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slicers/slicer1.xml" ContentType="application/vnd.ms-excel.slicer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12.xml" ContentType="application/vnd.openxmlformats-officedocument.drawing+xml"/>
  <Override PartName="/xl/slicers/slicer2.xml" ContentType="application/vnd.ms-excel.slicer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iagrams/data4.xml" ContentType="application/vnd.openxmlformats-officedocument.drawingml.diagramData+xml"/>
  <Override PartName="/xl/diagrams/layout4.xml" ContentType="application/vnd.openxmlformats-officedocument.drawingml.diagramLayout+xml"/>
  <Override PartName="/xl/diagrams/quickStyle4.xml" ContentType="application/vnd.openxmlformats-officedocument.drawingml.diagramStyle+xml"/>
  <Override PartName="/xl/diagrams/colors4.xml" ContentType="application/vnd.openxmlformats-officedocument.drawingml.diagramColors+xml"/>
  <Override PartName="/xl/diagrams/drawing4.xml" ContentType="application/vnd.ms-office.drawingml.diagramDrawing+xml"/>
  <Override PartName="/xl/drawings/drawing13.xml" ContentType="application/vnd.openxmlformats-officedocument.drawing+xml"/>
  <Override PartName="/xl/slicers/slicer3.xml" ContentType="application/vnd.ms-excel.slicer+xml"/>
  <Override PartName="/xl/diagrams/data5.xml" ContentType="application/vnd.openxmlformats-officedocument.drawingml.diagramData+xml"/>
  <Override PartName="/xl/diagrams/layout5.xml" ContentType="application/vnd.openxmlformats-officedocument.drawingml.diagramLayout+xml"/>
  <Override PartName="/xl/diagrams/quickStyle5.xml" ContentType="application/vnd.openxmlformats-officedocument.drawingml.diagramStyle+xml"/>
  <Override PartName="/xl/diagrams/colors5.xml" ContentType="application/vnd.openxmlformats-officedocument.drawingml.diagramColors+xml"/>
  <Override PartName="/xl/diagrams/drawing5.xml" ContentType="application/vnd.ms-office.drawingml.diagramDrawing+xml"/>
  <Override PartName="/xl/diagrams/data6.xml" ContentType="application/vnd.openxmlformats-officedocument.drawingml.diagramData+xml"/>
  <Override PartName="/xl/diagrams/layout6.xml" ContentType="application/vnd.openxmlformats-officedocument.drawingml.diagramLayout+xml"/>
  <Override PartName="/xl/diagrams/quickStyle6.xml" ContentType="application/vnd.openxmlformats-officedocument.drawingml.diagramStyle+xml"/>
  <Override PartName="/xl/diagrams/colors6.xml" ContentType="application/vnd.openxmlformats-officedocument.drawingml.diagramColors+xml"/>
  <Override PartName="/xl/diagrams/drawing6.xml" ContentType="application/vnd.ms-office.drawingml.diagramDrawing+xml"/>
  <Override PartName="/xl/drawings/drawing14.xml" ContentType="application/vnd.openxmlformats-officedocument.drawing+xml"/>
  <Override PartName="/xl/slicers/slicer4.xml" ContentType="application/vnd.ms-excel.slicer+xml"/>
  <Override PartName="/xl/diagrams/data7.xml" ContentType="application/vnd.openxmlformats-officedocument.drawingml.diagramData+xml"/>
  <Override PartName="/xl/diagrams/layout7.xml" ContentType="application/vnd.openxmlformats-officedocument.drawingml.diagramLayout+xml"/>
  <Override PartName="/xl/diagrams/quickStyle7.xml" ContentType="application/vnd.openxmlformats-officedocument.drawingml.diagramStyle+xml"/>
  <Override PartName="/xl/diagrams/colors7.xml" ContentType="application/vnd.openxmlformats-officedocument.drawingml.diagramColors+xml"/>
  <Override PartName="/xl/diagrams/drawing7.xml" ContentType="application/vnd.ms-office.drawingml.diagramDrawing+xml"/>
  <Override PartName="/xl/diagrams/data8.xml" ContentType="application/vnd.openxmlformats-officedocument.drawingml.diagramData+xml"/>
  <Override PartName="/xl/diagrams/layout8.xml" ContentType="application/vnd.openxmlformats-officedocument.drawingml.diagramLayout+xml"/>
  <Override PartName="/xl/diagrams/quickStyle8.xml" ContentType="application/vnd.openxmlformats-officedocument.drawingml.diagramStyle+xml"/>
  <Override PartName="/xl/diagrams/colors8.xml" ContentType="application/vnd.openxmlformats-officedocument.drawingml.diagramColors+xml"/>
  <Override PartName="/xl/diagrams/drawing8.xml" ContentType="application/vnd.ms-office.drawingml.diagramDrawing+xml"/>
  <Override PartName="/xl/drawings/drawing15.xml" ContentType="application/vnd.openxmlformats-officedocument.drawing+xml"/>
  <Override PartName="/xl/slicers/slicer5.xml" ContentType="application/vnd.ms-excel.slicer+xml"/>
  <Override PartName="/xl/diagrams/data9.xml" ContentType="application/vnd.openxmlformats-officedocument.drawingml.diagramData+xml"/>
  <Override PartName="/xl/diagrams/layout9.xml" ContentType="application/vnd.openxmlformats-officedocument.drawingml.diagramLayout+xml"/>
  <Override PartName="/xl/diagrams/quickStyle9.xml" ContentType="application/vnd.openxmlformats-officedocument.drawingml.diagramStyle+xml"/>
  <Override PartName="/xl/diagrams/colors9.xml" ContentType="application/vnd.openxmlformats-officedocument.drawingml.diagramColors+xml"/>
  <Override PartName="/xl/diagrams/drawing9.xml" ContentType="application/vnd.ms-office.drawingml.diagramDrawing+xml"/>
  <Override PartName="/xl/diagrams/data10.xml" ContentType="application/vnd.openxmlformats-officedocument.drawingml.diagramData+xml"/>
  <Override PartName="/xl/diagrams/layout10.xml" ContentType="application/vnd.openxmlformats-officedocument.drawingml.diagramLayout+xml"/>
  <Override PartName="/xl/diagrams/quickStyle10.xml" ContentType="application/vnd.openxmlformats-officedocument.drawingml.diagramStyle+xml"/>
  <Override PartName="/xl/diagrams/colors10.xml" ContentType="application/vnd.openxmlformats-officedocument.drawingml.diagramColors+xml"/>
  <Override PartName="/xl/diagrams/drawing10.xml" ContentType="application/vnd.ms-office.drawingml.diagramDrawing+xml"/>
  <Override PartName="/xl/drawings/drawing16.xml" ContentType="application/vnd.openxmlformats-officedocument.drawing+xml"/>
  <Override PartName="/xl/slicers/slicer6.xml" ContentType="application/vnd.ms-excel.slicer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7.xml" ContentType="application/vnd.openxmlformats-officedocument.drawing+xml"/>
  <Override PartName="/xl/slicers/slicer7.xml" ContentType="application/vnd.ms-excel.slicer+xml"/>
  <Override PartName="/xl/diagrams/data11.xml" ContentType="application/vnd.openxmlformats-officedocument.drawingml.diagramData+xml"/>
  <Override PartName="/xl/diagrams/layout11.xml" ContentType="application/vnd.openxmlformats-officedocument.drawingml.diagramLayout+xml"/>
  <Override PartName="/xl/diagrams/quickStyle11.xml" ContentType="application/vnd.openxmlformats-officedocument.drawingml.diagramStyle+xml"/>
  <Override PartName="/xl/diagrams/colors11.xml" ContentType="application/vnd.openxmlformats-officedocument.drawingml.diagramColors+xml"/>
  <Override PartName="/xl/diagrams/drawing11.xml" ContentType="application/vnd.ms-office.drawingml.diagramDrawing+xml"/>
  <Override PartName="/xl/drawings/drawing18.xml" ContentType="application/vnd.openxmlformats-officedocument.drawing+xml"/>
  <Override PartName="/xl/diagrams/data12.xml" ContentType="application/vnd.openxmlformats-officedocument.drawingml.diagramData+xml"/>
  <Override PartName="/xl/diagrams/layout12.xml" ContentType="application/vnd.openxmlformats-officedocument.drawingml.diagramLayout+xml"/>
  <Override PartName="/xl/diagrams/quickStyle12.xml" ContentType="application/vnd.openxmlformats-officedocument.drawingml.diagramStyle+xml"/>
  <Override PartName="/xl/diagrams/colors12.xml" ContentType="application/vnd.openxmlformats-officedocument.drawingml.diagramColors+xml"/>
  <Override PartName="/xl/diagrams/drawing12.xml" ContentType="application/vnd.ms-office.drawingml.diagramDrawing+xml"/>
  <Override PartName="/xl/diagrams/data13.xml" ContentType="application/vnd.openxmlformats-officedocument.drawingml.diagramData+xml"/>
  <Override PartName="/xl/diagrams/layout13.xml" ContentType="application/vnd.openxmlformats-officedocument.drawingml.diagramLayout+xml"/>
  <Override PartName="/xl/diagrams/quickStyle13.xml" ContentType="application/vnd.openxmlformats-officedocument.drawingml.diagramStyle+xml"/>
  <Override PartName="/xl/diagrams/colors13.xml" ContentType="application/vnd.openxmlformats-officedocument.drawingml.diagramColors+xml"/>
  <Override PartName="/xl/diagrams/drawing13.xml" ContentType="application/vnd.ms-office.drawingml.diagramDrawing+xml"/>
  <Override PartName="/xl/diagrams/data14.xml" ContentType="application/vnd.openxmlformats-officedocument.drawingml.diagramData+xml"/>
  <Override PartName="/xl/diagrams/layout14.xml" ContentType="application/vnd.openxmlformats-officedocument.drawingml.diagramLayout+xml"/>
  <Override PartName="/xl/diagrams/quickStyle14.xml" ContentType="application/vnd.openxmlformats-officedocument.drawingml.diagramStyle+xml"/>
  <Override PartName="/xl/diagrams/colors14.xml" ContentType="application/vnd.openxmlformats-officedocument.drawingml.diagramColors+xml"/>
  <Override PartName="/xl/diagrams/drawing14.xml" ContentType="application/vnd.ms-office.drawingml.diagramDrawing+xml"/>
  <Override PartName="/xl/diagrams/data15.xml" ContentType="application/vnd.openxmlformats-officedocument.drawingml.diagramData+xml"/>
  <Override PartName="/xl/diagrams/layout15.xml" ContentType="application/vnd.openxmlformats-officedocument.drawingml.diagramLayout+xml"/>
  <Override PartName="/xl/diagrams/quickStyle15.xml" ContentType="application/vnd.openxmlformats-officedocument.drawingml.diagramStyle+xml"/>
  <Override PartName="/xl/diagrams/colors15.xml" ContentType="application/vnd.openxmlformats-officedocument.drawingml.diagramColors+xml"/>
  <Override PartName="/xl/diagrams/drawing15.xml" ContentType="application/vnd.ms-office.drawingml.diagramDrawing+xml"/>
  <Override PartName="/xl/drawings/drawing19.xml" ContentType="application/vnd.openxmlformats-officedocument.drawing+xml"/>
  <Override PartName="/xl/diagrams/data16.xml" ContentType="application/vnd.openxmlformats-officedocument.drawingml.diagramData+xml"/>
  <Override PartName="/xl/diagrams/layout16.xml" ContentType="application/vnd.openxmlformats-officedocument.drawingml.diagramLayout+xml"/>
  <Override PartName="/xl/diagrams/quickStyle16.xml" ContentType="application/vnd.openxmlformats-officedocument.drawingml.diagramStyle+xml"/>
  <Override PartName="/xl/diagrams/colors16.xml" ContentType="application/vnd.openxmlformats-officedocument.drawingml.diagramColors+xml"/>
  <Override PartName="/xl/diagrams/drawing16.xml" ContentType="application/vnd.ms-office.drawingml.diagramDrawing+xml"/>
  <Override PartName="/xl/diagrams/data17.xml" ContentType="application/vnd.openxmlformats-officedocument.drawingml.diagramData+xml"/>
  <Override PartName="/xl/diagrams/layout17.xml" ContentType="application/vnd.openxmlformats-officedocument.drawingml.diagramLayout+xml"/>
  <Override PartName="/xl/diagrams/quickStyle17.xml" ContentType="application/vnd.openxmlformats-officedocument.drawingml.diagramStyle+xml"/>
  <Override PartName="/xl/diagrams/colors17.xml" ContentType="application/vnd.openxmlformats-officedocument.drawingml.diagramColors+xml"/>
  <Override PartName="/xl/diagrams/drawing17.xml" ContentType="application/vnd.ms-office.drawingml.diagramDrawing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1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3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24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25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6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6" rupBuild="21601"/>
  <workbookPr dateCompatibility="0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emerson.fraga\Desktop\"/>
    </mc:Choice>
  </mc:AlternateContent>
  <xr:revisionPtr revIDLastSave="0" documentId="13_ncr:9_{6164C4BE-7E78-4A5E-9FE9-A4F9A55514FB}" xr6:coauthVersionLast="43" xr6:coauthVersionMax="43" xr10:uidLastSave="{00000000-0000-0000-0000-000000000000}"/>
  <bookViews>
    <workbookView showHorizontalScroll="0" showVerticalScroll="0" showSheetTabs="0" xWindow="-120" yWindow="-120" windowWidth="29040" windowHeight="15840" tabRatio="884" firstSheet="22" activeTab="22" xr2:uid="{00000000-000D-0000-FFFF-FFFF00000000}"/>
  </bookViews>
  <sheets>
    <sheet name="JAN" sheetId="16" state="hidden" r:id="rId1"/>
    <sheet name="FEV" sheetId="60" state="hidden" r:id="rId2"/>
    <sheet name="MAR" sheetId="59" state="hidden" r:id="rId3"/>
    <sheet name="ABR" sheetId="58" state="hidden" r:id="rId4"/>
    <sheet name="MAI" sheetId="57" state="hidden" r:id="rId5"/>
    <sheet name="JUN" sheetId="56" state="hidden" r:id="rId6"/>
    <sheet name="JUL" sheetId="52" state="hidden" r:id="rId7"/>
    <sheet name="AGO" sheetId="51" state="hidden" r:id="rId8"/>
    <sheet name="SET" sheetId="53" state="hidden" r:id="rId9"/>
    <sheet name="OUT" sheetId="54" state="hidden" r:id="rId10"/>
    <sheet name="NOV" sheetId="55" state="hidden" r:id="rId11"/>
    <sheet name="DEZ" sheetId="61" state="hidden" r:id="rId12"/>
    <sheet name="ARRECADAÇÃO MENSAL POR RECEITA" sheetId="22" state="hidden" r:id="rId13"/>
    <sheet name="TOTAL POR UF" sheetId="29" state="hidden" r:id="rId14"/>
    <sheet name="EXERCÍCIOS ANTERIORES" sheetId="65" state="hidden" r:id="rId15"/>
    <sheet name="Lançamentos" sheetId="62" state="hidden" r:id="rId16"/>
    <sheet name="Médias por UF" sheetId="63" state="hidden" r:id="rId17"/>
    <sheet name="Médias por UF - Acumulada" sheetId="74" state="hidden" r:id="rId18"/>
    <sheet name="Evolução das Receitas" sheetId="73" state="hidden" r:id="rId19"/>
    <sheet name="Gráficos" sheetId="64" state="hidden" r:id="rId20"/>
    <sheet name="Dados - Receita e Qntd" sheetId="66" state="hidden" r:id="rId21"/>
    <sheet name="Dados - RRT" sheetId="69" state="hidden" r:id="rId22"/>
    <sheet name="Índice" sheetId="83" r:id="rId23"/>
    <sheet name="PF - Qntd" sheetId="67" r:id="rId24"/>
    <sheet name="PF - Receita" sheetId="76" r:id="rId25"/>
    <sheet name="PJ - Qntd" sheetId="75" r:id="rId26"/>
    <sheet name="PJ - Receita" sheetId="77" r:id="rId27"/>
    <sheet name="RRT - Qntd e Receita" sheetId="78" r:id="rId28"/>
    <sheet name="RRT - Subgrupos" sheetId="81" r:id="rId29"/>
    <sheet name="Taxas e Multas" sheetId="79" r:id="rId30"/>
    <sheet name="CAU BR - PF e PJ" sheetId="80" r:id="rId31"/>
    <sheet name="CAU BR - RRT e Taxas" sheetId="82" r:id="rId32"/>
    <sheet name="Gráficos - Arrec. Total" sheetId="85" r:id="rId33"/>
    <sheet name="Gráficos - PF" sheetId="95" r:id="rId34"/>
    <sheet name="Gráficos - PF - Ex. Ant." sheetId="96" r:id="rId35"/>
    <sheet name="Gráficos - PJ" sheetId="97" r:id="rId36"/>
    <sheet name="Gráficos - PJ - Ex. Ant." sheetId="98" r:id="rId37"/>
    <sheet name="Gráficos - RRT" sheetId="99" r:id="rId38"/>
    <sheet name="Gráficos - Taxas" sheetId="100" r:id="rId39"/>
  </sheets>
  <definedNames>
    <definedName name="_xlnm._FilterDatabase" localSheetId="20" hidden="1">'Dados - Receita e Qntd'!$A$3:$AO$3</definedName>
    <definedName name="_xlnm._FilterDatabase" localSheetId="18" hidden="1">'Evolução das Receitas'!$A$240:$O$762</definedName>
    <definedName name="_xlnm.Print_Area" localSheetId="38">'Gráficos - Taxas'!$A$1:$AC$37</definedName>
    <definedName name="PJ" localSheetId="30">#REF!</definedName>
    <definedName name="PJ" localSheetId="31">#REF!</definedName>
    <definedName name="PJ" localSheetId="32">#REF!</definedName>
    <definedName name="PJ" localSheetId="33">#REF!</definedName>
    <definedName name="PJ" localSheetId="34">#REF!</definedName>
    <definedName name="PJ" localSheetId="35">#REF!</definedName>
    <definedName name="PJ" localSheetId="36">#REF!</definedName>
    <definedName name="PJ" localSheetId="37">#REF!</definedName>
    <definedName name="PJ" localSheetId="38">#REF!</definedName>
    <definedName name="PJ" localSheetId="22">#REF!</definedName>
    <definedName name="PJ" localSheetId="27">#REF!</definedName>
    <definedName name="PJ" localSheetId="28">#REF!</definedName>
    <definedName name="PJ" localSheetId="29">#REF!</definedName>
    <definedName name="PJ">#REF!</definedName>
    <definedName name="SegmentaçãodeDados_Grupo">#N/A</definedName>
    <definedName name="SegmentaçãodeDados_UF">#N/A</definedName>
    <definedName name="XFE1048575" localSheetId="3">#REF!</definedName>
    <definedName name="XFE1048575" localSheetId="7">#REF!</definedName>
    <definedName name="XFE1048575" localSheetId="30">#REF!</definedName>
    <definedName name="XFE1048575" localSheetId="31">#REF!</definedName>
    <definedName name="XFE1048575" localSheetId="11">#REF!</definedName>
    <definedName name="XFE1048575" localSheetId="1">#REF!</definedName>
    <definedName name="XFE1048575" localSheetId="32">#REF!</definedName>
    <definedName name="XFE1048575" localSheetId="33">#REF!</definedName>
    <definedName name="XFE1048575" localSheetId="34">#REF!</definedName>
    <definedName name="XFE1048575" localSheetId="35">#REF!</definedName>
    <definedName name="XFE1048575" localSheetId="36">#REF!</definedName>
    <definedName name="XFE1048575" localSheetId="37">#REF!</definedName>
    <definedName name="XFE1048575" localSheetId="38">#REF!</definedName>
    <definedName name="XFE1048575" localSheetId="22">#REF!</definedName>
    <definedName name="XFE1048575" localSheetId="6">#REF!</definedName>
    <definedName name="XFE1048575" localSheetId="5">#REF!</definedName>
    <definedName name="XFE1048575" localSheetId="4">#REF!</definedName>
    <definedName name="XFE1048575" localSheetId="2">#REF!</definedName>
    <definedName name="XFE1048575" localSheetId="17">#REF!</definedName>
    <definedName name="XFE1048575" localSheetId="10">#REF!</definedName>
    <definedName name="XFE1048575" localSheetId="9">#REF!</definedName>
    <definedName name="XFE1048575" localSheetId="24">#REF!</definedName>
    <definedName name="XFE1048575" localSheetId="25">#REF!</definedName>
    <definedName name="XFE1048575" localSheetId="26">#REF!</definedName>
    <definedName name="XFE1048575" localSheetId="27">#REF!</definedName>
    <definedName name="XFE1048575" localSheetId="28">#REF!</definedName>
    <definedName name="XFE1048575" localSheetId="8">#REF!</definedName>
    <definedName name="XFE1048575" localSheetId="29">#REF!</definedName>
    <definedName name="XFE1048575">#REF!</definedName>
    <definedName name="XFe1048576" localSheetId="3">#REF!</definedName>
    <definedName name="XFe1048576" localSheetId="7">#REF!</definedName>
    <definedName name="XFe1048576" localSheetId="30">#REF!</definedName>
    <definedName name="XFe1048576" localSheetId="31">#REF!</definedName>
    <definedName name="XFe1048576" localSheetId="11">#REF!</definedName>
    <definedName name="XFe1048576" localSheetId="1">#REF!</definedName>
    <definedName name="XFe1048576" localSheetId="32">#REF!</definedName>
    <definedName name="XFe1048576" localSheetId="33">#REF!</definedName>
    <definedName name="XFe1048576" localSheetId="34">#REF!</definedName>
    <definedName name="XFe1048576" localSheetId="35">#REF!</definedName>
    <definedName name="XFe1048576" localSheetId="36">#REF!</definedName>
    <definedName name="XFe1048576" localSheetId="37">#REF!</definedName>
    <definedName name="XFe1048576" localSheetId="38">#REF!</definedName>
    <definedName name="XFe1048576" localSheetId="22">#REF!</definedName>
    <definedName name="XFe1048576" localSheetId="6">#REF!</definedName>
    <definedName name="XFe1048576" localSheetId="5">#REF!</definedName>
    <definedName name="XFe1048576" localSheetId="4">#REF!</definedName>
    <definedName name="XFe1048576" localSheetId="2">#REF!</definedName>
    <definedName name="XFe1048576" localSheetId="17">#REF!</definedName>
    <definedName name="XFe1048576" localSheetId="10">#REF!</definedName>
    <definedName name="XFe1048576" localSheetId="9">#REF!</definedName>
    <definedName name="XFe1048576" localSheetId="24">#REF!</definedName>
    <definedName name="XFe1048576" localSheetId="25">#REF!</definedName>
    <definedName name="XFe1048576" localSheetId="26">#REF!</definedName>
    <definedName name="XFe1048576" localSheetId="27">#REF!</definedName>
    <definedName name="XFe1048576" localSheetId="28">#REF!</definedName>
    <definedName name="XFe1048576" localSheetId="8">#REF!</definedName>
    <definedName name="XFe1048576" localSheetId="29">#REF!</definedName>
    <definedName name="XFe1048576">#REF!</definedName>
  </definedNames>
  <calcPr calcId="191029"/>
  <pivotCaches>
    <pivotCache cacheId="0" r:id="rId40"/>
    <pivotCache cacheId="1" r:id="rId41"/>
  </pivotCaches>
  <extLst>
    <ext xmlns:x14="http://schemas.microsoft.com/office/spreadsheetml/2009/9/main" uri="{BBE1A952-AA13-448e-AADC-164F8A28A991}">
      <x14:slicerCaches>
        <x14:slicerCache r:id="rId42"/>
        <x14:slicerCache r:id="rId43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purl.oclc.org/ooxml/spreadsheetml/main">
  <c r="BS32" i="66" l="1"/>
  <c r="BR32" i="66"/>
  <c r="CE32" i="66" l="1"/>
  <c r="CF32" i="66"/>
  <c r="AB5" i="66" l="1"/>
  <c r="AB6" i="66"/>
  <c r="AB7" i="66"/>
  <c r="AB8" i="66"/>
  <c r="AB9" i="66"/>
  <c r="AB10" i="66"/>
  <c r="AB11" i="66"/>
  <c r="AB12" i="66"/>
  <c r="AB13" i="66"/>
  <c r="AB14" i="66"/>
  <c r="AB15" i="66"/>
  <c r="AB16" i="66"/>
  <c r="AB17" i="66"/>
  <c r="AB18" i="66"/>
  <c r="AB19" i="66"/>
  <c r="AB20" i="66"/>
  <c r="AB21" i="66"/>
  <c r="AB22" i="66"/>
  <c r="AB23" i="66"/>
  <c r="AB24" i="66"/>
  <c r="AB25" i="66"/>
  <c r="AB26" i="66"/>
  <c r="AB27" i="66"/>
  <c r="AB28" i="66"/>
  <c r="AB29" i="66"/>
  <c r="AB30" i="66"/>
  <c r="AB31" i="66"/>
  <c r="AB4" i="66"/>
  <c r="CC32" i="66" l="1"/>
  <c r="AR69" i="66" s="1"/>
  <c r="CD32" i="66"/>
  <c r="AR70" i="66" s="1"/>
  <c r="AR71" i="66"/>
  <c r="AR72" i="66"/>
  <c r="BV32" i="66" l="1"/>
  <c r="BW32" i="66"/>
  <c r="AR63" i="66" s="1"/>
  <c r="AE31" i="66"/>
  <c r="AE30" i="66"/>
  <c r="AE29" i="66"/>
  <c r="AE28" i="66"/>
  <c r="AE27" i="66"/>
  <c r="AE26" i="66"/>
  <c r="AE25" i="66"/>
  <c r="AE24" i="66"/>
  <c r="AE23" i="66"/>
  <c r="AE22" i="66"/>
  <c r="AE21" i="66"/>
  <c r="AE20" i="66"/>
  <c r="AE19" i="66"/>
  <c r="AE18" i="66"/>
  <c r="AE17" i="66"/>
  <c r="AE16" i="66"/>
  <c r="AE15" i="66"/>
  <c r="AE14" i="66"/>
  <c r="AE13" i="66"/>
  <c r="AE12" i="66"/>
  <c r="AE11" i="66"/>
  <c r="AE10" i="66"/>
  <c r="AE9" i="66"/>
  <c r="AE8" i="66"/>
  <c r="AE7" i="66"/>
  <c r="AE6" i="66"/>
  <c r="AE5" i="66"/>
  <c r="AE4" i="66"/>
  <c r="CA32" i="66" l="1"/>
  <c r="AR67" i="66" s="1"/>
  <c r="CB32" i="66"/>
  <c r="AR68" i="66" s="1"/>
  <c r="BQ32" i="66"/>
  <c r="AR57" i="66" s="1"/>
  <c r="AA31" i="66"/>
  <c r="AC152" i="74" l="1"/>
  <c r="AC151" i="74"/>
  <c r="N151" i="74"/>
  <c r="AC150" i="74"/>
  <c r="N150" i="74"/>
  <c r="AC122" i="74"/>
  <c r="AC121" i="74"/>
  <c r="N121" i="74"/>
  <c r="AC120" i="74"/>
  <c r="N120" i="74"/>
  <c r="AC92" i="74"/>
  <c r="AC91" i="74"/>
  <c r="N91" i="74"/>
  <c r="AC90" i="74"/>
  <c r="N90" i="74"/>
  <c r="AC62" i="74"/>
  <c r="AC61" i="74"/>
  <c r="N61" i="74"/>
  <c r="AC60" i="74"/>
  <c r="N60" i="74"/>
  <c r="AC32" i="74"/>
  <c r="AC31" i="74"/>
  <c r="N31" i="74"/>
  <c r="AC30" i="74"/>
  <c r="N30" i="74"/>
  <c r="N93" i="74" l="1"/>
  <c r="AC93" i="74"/>
  <c r="BB93" i="74" s="1"/>
  <c r="N94" i="74"/>
  <c r="AC97" i="74"/>
  <c r="AT97" i="74" s="1"/>
  <c r="N99" i="74"/>
  <c r="AC99" i="74"/>
  <c r="AU99" i="74" s="1"/>
  <c r="N101" i="74"/>
  <c r="AK101" i="74" s="1"/>
  <c r="AC101" i="74"/>
  <c r="N103" i="74"/>
  <c r="AC103" i="74"/>
  <c r="N8" i="74"/>
  <c r="N13" i="74"/>
  <c r="AM13" i="74" s="1"/>
  <c r="N63" i="74"/>
  <c r="AC63" i="74"/>
  <c r="BC63" i="74" s="1"/>
  <c r="N64" i="74"/>
  <c r="AH64" i="74" s="1"/>
  <c r="AC64" i="74"/>
  <c r="AC66" i="74"/>
  <c r="AC68" i="74"/>
  <c r="N70" i="74"/>
  <c r="AM70" i="74" s="1"/>
  <c r="AC70" i="74"/>
  <c r="AC72" i="74"/>
  <c r="N74" i="74"/>
  <c r="AN74" i="74" s="1"/>
  <c r="N75" i="74"/>
  <c r="AG75" i="74" s="1"/>
  <c r="AC75" i="74"/>
  <c r="N76" i="74"/>
  <c r="N5" i="74"/>
  <c r="AC6" i="74"/>
  <c r="N11" i="74"/>
  <c r="AK11" i="74" s="1"/>
  <c r="N12" i="74"/>
  <c r="N143" i="74"/>
  <c r="AJ143" i="74" s="1"/>
  <c r="AC143" i="74"/>
  <c r="N144" i="74"/>
  <c r="AP144" i="74" s="1"/>
  <c r="N145" i="74"/>
  <c r="AC145" i="74"/>
  <c r="AU145" i="74" s="1"/>
  <c r="N146" i="74"/>
  <c r="N147" i="74"/>
  <c r="AC147" i="74"/>
  <c r="N148" i="74"/>
  <c r="AO148" i="74" s="1"/>
  <c r="AC148" i="74"/>
  <c r="BB148" i="74" s="1"/>
  <c r="AC149" i="74"/>
  <c r="BD149" i="74" s="1"/>
  <c r="N4" i="74"/>
  <c r="N6" i="74"/>
  <c r="N9" i="74"/>
  <c r="N10" i="74"/>
  <c r="AH10" i="74" s="1"/>
  <c r="N14" i="74"/>
  <c r="N169" i="74"/>
  <c r="AP169" i="74" s="1"/>
  <c r="AC169" i="74"/>
  <c r="AY169" i="74" s="1"/>
  <c r="N176" i="74"/>
  <c r="AE176" i="74" s="1"/>
  <c r="N15" i="74"/>
  <c r="N16" i="74"/>
  <c r="N17" i="74"/>
  <c r="N18" i="74"/>
  <c r="AP18" i="74" s="1"/>
  <c r="N19" i="74"/>
  <c r="N20" i="74"/>
  <c r="N21" i="74"/>
  <c r="AJ21" i="74" s="1"/>
  <c r="N22" i="74"/>
  <c r="AI22" i="74" s="1"/>
  <c r="N23" i="74"/>
  <c r="N24" i="74"/>
  <c r="N25" i="74"/>
  <c r="N26" i="74"/>
  <c r="AP26" i="74" s="1"/>
  <c r="N27" i="74"/>
  <c r="AC27" i="74"/>
  <c r="BA27" i="74" s="1"/>
  <c r="N28" i="74"/>
  <c r="AE28" i="74" s="1"/>
  <c r="N29" i="74"/>
  <c r="AC29" i="74"/>
  <c r="N123" i="74"/>
  <c r="AE123" i="74" s="1"/>
  <c r="N124" i="74"/>
  <c r="AC124" i="74"/>
  <c r="N125" i="74"/>
  <c r="N126" i="74"/>
  <c r="AC126" i="74"/>
  <c r="BE126" i="74" s="1"/>
  <c r="N127" i="74"/>
  <c r="N128" i="74"/>
  <c r="AC128" i="74"/>
  <c r="N129" i="74"/>
  <c r="N130" i="74"/>
  <c r="AC130" i="74"/>
  <c r="N131" i="74"/>
  <c r="AL131" i="74" s="1"/>
  <c r="N132" i="74"/>
  <c r="AN132" i="74" s="1"/>
  <c r="AC132" i="74"/>
  <c r="N134" i="74"/>
  <c r="AC134" i="74"/>
  <c r="AY134" i="74" s="1"/>
  <c r="N135" i="74"/>
  <c r="AC135" i="74"/>
  <c r="BB135" i="74" s="1"/>
  <c r="N136" i="74"/>
  <c r="AC136" i="74"/>
  <c r="BC136" i="74" s="1"/>
  <c r="N137" i="74"/>
  <c r="AL137" i="74" s="1"/>
  <c r="N138" i="74"/>
  <c r="AH138" i="74" s="1"/>
  <c r="AC138" i="74"/>
  <c r="N139" i="74"/>
  <c r="AP139" i="74" s="1"/>
  <c r="AC139" i="74"/>
  <c r="AX139" i="74" s="1"/>
  <c r="N140" i="74"/>
  <c r="AC140" i="74"/>
  <c r="AX140" i="74" s="1"/>
  <c r="N174" i="74"/>
  <c r="AH174" i="74" s="1"/>
  <c r="N33" i="74"/>
  <c r="AO33" i="74" s="1"/>
  <c r="N35" i="74"/>
  <c r="AC35" i="74"/>
  <c r="AC37" i="74"/>
  <c r="N41" i="74"/>
  <c r="AL41" i="74" s="1"/>
  <c r="AC41" i="74"/>
  <c r="BD41" i="74" s="1"/>
  <c r="N42" i="74"/>
  <c r="N43" i="74"/>
  <c r="AK43" i="74" s="1"/>
  <c r="AC43" i="74"/>
  <c r="AZ43" i="74" s="1"/>
  <c r="N44" i="74"/>
  <c r="N45" i="74"/>
  <c r="AC45" i="74"/>
  <c r="N46" i="74"/>
  <c r="AN46" i="74" s="1"/>
  <c r="N47" i="74"/>
  <c r="AH47" i="74" s="1"/>
  <c r="AC47" i="74"/>
  <c r="N48" i="74"/>
  <c r="AN48" i="74" s="1"/>
  <c r="N49" i="74"/>
  <c r="AL49" i="74" s="1"/>
  <c r="AC49" i="74"/>
  <c r="N50" i="74"/>
  <c r="N51" i="74"/>
  <c r="AC51" i="74"/>
  <c r="AX51" i="74" s="1"/>
  <c r="N52" i="74"/>
  <c r="AK52" i="74" s="1"/>
  <c r="N53" i="74"/>
  <c r="AC53" i="74"/>
  <c r="N54" i="74"/>
  <c r="AK54" i="74" s="1"/>
  <c r="N55" i="74"/>
  <c r="AC55" i="74"/>
  <c r="N56" i="74"/>
  <c r="N57" i="74"/>
  <c r="AK57" i="74" s="1"/>
  <c r="AC57" i="74"/>
  <c r="BD57" i="74" s="1"/>
  <c r="N58" i="74"/>
  <c r="N59" i="74"/>
  <c r="AC59" i="74"/>
  <c r="AX59" i="74" s="1"/>
  <c r="N141" i="74"/>
  <c r="N168" i="74"/>
  <c r="N175" i="74"/>
  <c r="AL175" i="74" s="1"/>
  <c r="AC175" i="74"/>
  <c r="AY175" i="74" s="1"/>
  <c r="N77" i="74"/>
  <c r="AC77" i="74"/>
  <c r="N78" i="74"/>
  <c r="AN78" i="74" s="1"/>
  <c r="N79" i="74"/>
  <c r="AJ79" i="74" s="1"/>
  <c r="AC79" i="74"/>
  <c r="N80" i="74"/>
  <c r="N81" i="74"/>
  <c r="AC81" i="74"/>
  <c r="BC81" i="74" s="1"/>
  <c r="N82" i="74"/>
  <c r="AC83" i="74"/>
  <c r="N85" i="74"/>
  <c r="AK85" i="74" s="1"/>
  <c r="AC87" i="74"/>
  <c r="BB87" i="74" s="1"/>
  <c r="AC89" i="74"/>
  <c r="N105" i="74"/>
  <c r="AC105" i="74"/>
  <c r="N106" i="74"/>
  <c r="AI106" i="74" s="1"/>
  <c r="N107" i="74"/>
  <c r="AC107" i="74"/>
  <c r="N108" i="74"/>
  <c r="AH108" i="74" s="1"/>
  <c r="AC108" i="74"/>
  <c r="BB108" i="74" s="1"/>
  <c r="N109" i="74"/>
  <c r="AP109" i="74" s="1"/>
  <c r="AC111" i="74"/>
  <c r="N113" i="74"/>
  <c r="AC113" i="74"/>
  <c r="AU113" i="74" s="1"/>
  <c r="N114" i="74"/>
  <c r="N115" i="74"/>
  <c r="AC115" i="74"/>
  <c r="BE115" i="74" s="1"/>
  <c r="AC116" i="74"/>
  <c r="BC116" i="74" s="1"/>
  <c r="N118" i="74"/>
  <c r="AO118" i="74" s="1"/>
  <c r="AC118" i="74"/>
  <c r="AC154" i="74"/>
  <c r="N158" i="74"/>
  <c r="AJ158" i="74" s="1"/>
  <c r="N161" i="74"/>
  <c r="AN161" i="74" s="1"/>
  <c r="AC161" i="74"/>
  <c r="AU161" i="74" s="1"/>
  <c r="AC167" i="74"/>
  <c r="BD167" i="74" s="1"/>
  <c r="AC173" i="74"/>
  <c r="AU173" i="74" s="1"/>
  <c r="N178" i="74"/>
  <c r="AL4" i="74"/>
  <c r="AM4" i="74"/>
  <c r="AF4" i="74"/>
  <c r="AK5" i="74"/>
  <c r="AX6" i="74"/>
  <c r="BE6" i="74"/>
  <c r="BA6" i="74"/>
  <c r="AW6" i="74"/>
  <c r="BD6" i="74"/>
  <c r="AZ6" i="74"/>
  <c r="AV6" i="74"/>
  <c r="BB6" i="74"/>
  <c r="BC6" i="74"/>
  <c r="AY6" i="74"/>
  <c r="AU6" i="74"/>
  <c r="AM8" i="74"/>
  <c r="AI8" i="74"/>
  <c r="AE8" i="74"/>
  <c r="AP8" i="74"/>
  <c r="AL8" i="74"/>
  <c r="AH8" i="74"/>
  <c r="AO8" i="74"/>
  <c r="AK8" i="74"/>
  <c r="AG8" i="74"/>
  <c r="AN8" i="74"/>
  <c r="AJ8" i="74"/>
  <c r="AF8" i="74"/>
  <c r="AO9" i="74"/>
  <c r="AK9" i="74"/>
  <c r="AG9" i="74"/>
  <c r="AN9" i="74"/>
  <c r="AJ9" i="74"/>
  <c r="AF9" i="74"/>
  <c r="AM9" i="74"/>
  <c r="AI9" i="74"/>
  <c r="AP9" i="74"/>
  <c r="AL9" i="74"/>
  <c r="AH9" i="74"/>
  <c r="AP10" i="74"/>
  <c r="AK10" i="74"/>
  <c r="AF10" i="74"/>
  <c r="AN11" i="74"/>
  <c r="AI11" i="74"/>
  <c r="AM12" i="74"/>
  <c r="AL12" i="74"/>
  <c r="AG12" i="74"/>
  <c r="AO13" i="74"/>
  <c r="AJ13" i="74"/>
  <c r="AP13" i="74"/>
  <c r="AI14" i="74"/>
  <c r="AH14" i="74"/>
  <c r="AN14" i="74"/>
  <c r="AK15" i="74"/>
  <c r="AF15" i="74"/>
  <c r="AL15" i="74"/>
  <c r="AO17" i="74"/>
  <c r="AK17" i="74"/>
  <c r="AG17" i="74"/>
  <c r="AN17" i="74"/>
  <c r="AJ17" i="74"/>
  <c r="AF17" i="74"/>
  <c r="AM17" i="74"/>
  <c r="AI17" i="74"/>
  <c r="AP17" i="74"/>
  <c r="AL17" i="74"/>
  <c r="AH17" i="74"/>
  <c r="AI18" i="74"/>
  <c r="AH18" i="74"/>
  <c r="AN18" i="74"/>
  <c r="AO19" i="74"/>
  <c r="AJ19" i="74"/>
  <c r="AP19" i="74"/>
  <c r="AK21" i="74"/>
  <c r="AG21" i="74"/>
  <c r="AN21" i="74"/>
  <c r="AL21" i="74"/>
  <c r="AH21" i="74"/>
  <c r="AN23" i="74"/>
  <c r="AI23" i="74"/>
  <c r="AO24" i="74"/>
  <c r="AO25" i="74"/>
  <c r="AK25" i="74"/>
  <c r="AG25" i="74"/>
  <c r="AN25" i="74"/>
  <c r="AJ25" i="74"/>
  <c r="AF25" i="74"/>
  <c r="AM25" i="74"/>
  <c r="AI25" i="74"/>
  <c r="AP25" i="74"/>
  <c r="AL25" i="74"/>
  <c r="AH25" i="74"/>
  <c r="AI26" i="74"/>
  <c r="AH26" i="74"/>
  <c r="AN26" i="74"/>
  <c r="AK27" i="74"/>
  <c r="AF27" i="74"/>
  <c r="AL27" i="74"/>
  <c r="AM28" i="74"/>
  <c r="AI28" i="74"/>
  <c r="AK28" i="74"/>
  <c r="AG28" i="74"/>
  <c r="AN28" i="74"/>
  <c r="BC29" i="74"/>
  <c r="AX29" i="74"/>
  <c r="AW29" i="74"/>
  <c r="AG33" i="74"/>
  <c r="AN33" i="74"/>
  <c r="AJ33" i="74"/>
  <c r="BD35" i="74"/>
  <c r="AY35" i="74"/>
  <c r="AW35" i="74"/>
  <c r="N3" i="74"/>
  <c r="AT6" i="74"/>
  <c r="N7" i="74"/>
  <c r="AC3" i="74"/>
  <c r="AT3" i="74" s="1"/>
  <c r="AC5" i="74"/>
  <c r="AT5" i="74" s="1"/>
  <c r="AC7" i="74"/>
  <c r="AT7" i="74" s="1"/>
  <c r="AC9" i="74"/>
  <c r="AC11" i="74"/>
  <c r="AT11" i="74" s="1"/>
  <c r="AC13" i="74"/>
  <c r="AT13" i="74" s="1"/>
  <c r="AC15" i="74"/>
  <c r="AT15" i="74" s="1"/>
  <c r="AC17" i="74"/>
  <c r="AT17" i="74" s="1"/>
  <c r="AC19" i="74"/>
  <c r="AT19" i="74" s="1"/>
  <c r="AC21" i="74"/>
  <c r="AT21" i="74" s="1"/>
  <c r="AC23" i="74"/>
  <c r="AT23" i="74" s="1"/>
  <c r="AC25" i="74"/>
  <c r="AT25" i="74" s="1"/>
  <c r="AE33" i="74"/>
  <c r="N37" i="74"/>
  <c r="AE9" i="74"/>
  <c r="AE17" i="74"/>
  <c r="AE25" i="74"/>
  <c r="AT35" i="74"/>
  <c r="N36" i="74"/>
  <c r="AE36" i="74" s="1"/>
  <c r="N39" i="74"/>
  <c r="AC39" i="74"/>
  <c r="AC4" i="74"/>
  <c r="AC8" i="74"/>
  <c r="AC10" i="74"/>
  <c r="AC12" i="74"/>
  <c r="AC14" i="74"/>
  <c r="AC16" i="74"/>
  <c r="AC18" i="74"/>
  <c r="AC20" i="74"/>
  <c r="AC22" i="74"/>
  <c r="AC24" i="74"/>
  <c r="AC26" i="74"/>
  <c r="AC28" i="74"/>
  <c r="N40" i="74"/>
  <c r="AE40" i="74" s="1"/>
  <c r="AP41" i="74"/>
  <c r="AO41" i="74"/>
  <c r="AF41" i="74"/>
  <c r="BB41" i="74"/>
  <c r="BA41" i="74"/>
  <c r="AV41" i="74"/>
  <c r="AG42" i="74"/>
  <c r="AM42" i="74"/>
  <c r="AH42" i="74"/>
  <c r="BA43" i="74"/>
  <c r="AW43" i="74"/>
  <c r="BD43" i="74"/>
  <c r="AM45" i="74"/>
  <c r="AL45" i="74"/>
  <c r="AG45" i="74"/>
  <c r="AV45" i="74"/>
  <c r="AG46" i="74"/>
  <c r="AF46" i="74"/>
  <c r="AH46" i="74"/>
  <c r="AP47" i="74"/>
  <c r="AK47" i="74"/>
  <c r="AF47" i="74"/>
  <c r="AX47" i="74"/>
  <c r="AW47" i="74"/>
  <c r="BC47" i="74"/>
  <c r="AI49" i="74"/>
  <c r="AE49" i="74"/>
  <c r="AP49" i="74"/>
  <c r="AN49" i="74"/>
  <c r="AJ49" i="74"/>
  <c r="AF49" i="74"/>
  <c r="AG50" i="74"/>
  <c r="AM50" i="74"/>
  <c r="AH50" i="74"/>
  <c r="BB51" i="74"/>
  <c r="BE51" i="74"/>
  <c r="AV51" i="74"/>
  <c r="AU51" i="74"/>
  <c r="AN52" i="74"/>
  <c r="AI52" i="74"/>
  <c r="AI53" i="74"/>
  <c r="AH53" i="74"/>
  <c r="AN53" i="74"/>
  <c r="AO54" i="74"/>
  <c r="AM54" i="74"/>
  <c r="AI54" i="74"/>
  <c r="AP54" i="74"/>
  <c r="BE55" i="74"/>
  <c r="BD55" i="74"/>
  <c r="AZ55" i="74"/>
  <c r="AY55" i="74"/>
  <c r="AU55" i="74"/>
  <c r="AI57" i="74"/>
  <c r="AO57" i="74"/>
  <c r="AN57" i="74"/>
  <c r="BB57" i="74"/>
  <c r="BA57" i="74"/>
  <c r="AV57" i="74"/>
  <c r="AO58" i="74"/>
  <c r="AN58" i="74"/>
  <c r="AJ58" i="74"/>
  <c r="AI58" i="74"/>
  <c r="AP58" i="74"/>
  <c r="AH59" i="74"/>
  <c r="BB59" i="74"/>
  <c r="BD59" i="74"/>
  <c r="AZ59" i="74"/>
  <c r="AV59" i="74"/>
  <c r="AC33" i="74"/>
  <c r="N34" i="74"/>
  <c r="AE34" i="74" s="1"/>
  <c r="N38" i="74"/>
  <c r="AE38" i="74" s="1"/>
  <c r="AN63" i="74"/>
  <c r="AM63" i="74"/>
  <c r="AI63" i="74"/>
  <c r="AL63" i="74"/>
  <c r="AH63" i="74"/>
  <c r="AG63" i="74"/>
  <c r="AW63" i="74"/>
  <c r="AP64" i="74"/>
  <c r="AL64" i="74"/>
  <c r="AJ64" i="74"/>
  <c r="AF64" i="74"/>
  <c r="AM64" i="74"/>
  <c r="BD66" i="74"/>
  <c r="AZ66" i="74"/>
  <c r="AY66" i="74"/>
  <c r="AT66" i="74"/>
  <c r="BB66" i="74"/>
  <c r="AW66" i="74"/>
  <c r="AW68" i="74"/>
  <c r="BD70" i="74"/>
  <c r="AZ70" i="74"/>
  <c r="AV70" i="74"/>
  <c r="BB70" i="74"/>
  <c r="BO70" i="74" s="1"/>
  <c r="AW70" i="74"/>
  <c r="BA70" i="74"/>
  <c r="AU70" i="74"/>
  <c r="BE70" i="74"/>
  <c r="AY70" i="74"/>
  <c r="BC70" i="74"/>
  <c r="AX70" i="74"/>
  <c r="BD72" i="74"/>
  <c r="AZ72" i="74"/>
  <c r="AU72" i="74"/>
  <c r="BE72" i="74"/>
  <c r="BC72" i="74"/>
  <c r="AX72" i="74"/>
  <c r="AC34" i="74"/>
  <c r="AC36" i="74"/>
  <c r="AC38" i="74"/>
  <c r="AT38" i="74" s="1"/>
  <c r="AC40" i="74"/>
  <c r="AC42" i="74"/>
  <c r="AC44" i="74"/>
  <c r="AT44" i="74" s="1"/>
  <c r="AC46" i="74"/>
  <c r="AC48" i="74"/>
  <c r="AC50" i="74"/>
  <c r="AC52" i="74"/>
  <c r="AT52" i="74" s="1"/>
  <c r="AC54" i="74"/>
  <c r="AC56" i="74"/>
  <c r="AC58" i="74"/>
  <c r="N65" i="74"/>
  <c r="AE70" i="74"/>
  <c r="AJ70" i="74"/>
  <c r="BL70" i="74" s="1"/>
  <c r="AP70" i="74"/>
  <c r="AC71" i="74"/>
  <c r="AT71" i="74" s="1"/>
  <c r="N72" i="74"/>
  <c r="N73" i="74"/>
  <c r="AE73" i="74" s="1"/>
  <c r="AP93" i="74"/>
  <c r="AL93" i="74"/>
  <c r="AH93" i="74"/>
  <c r="AM93" i="74"/>
  <c r="BO93" i="74" s="1"/>
  <c r="AG93" i="74"/>
  <c r="AK93" i="74"/>
  <c r="AF93" i="74"/>
  <c r="AO93" i="74"/>
  <c r="AJ93" i="74"/>
  <c r="AE93" i="74"/>
  <c r="AN93" i="74"/>
  <c r="AI93" i="74"/>
  <c r="AN94" i="74"/>
  <c r="AJ94" i="74"/>
  <c r="AF94" i="74"/>
  <c r="AL94" i="74"/>
  <c r="AG94" i="74"/>
  <c r="AP94" i="74"/>
  <c r="AK94" i="74"/>
  <c r="AE94" i="74"/>
  <c r="AO94" i="74"/>
  <c r="AI94" i="74"/>
  <c r="AM94" i="74"/>
  <c r="AH94" i="74"/>
  <c r="AE50" i="74"/>
  <c r="AE52" i="74"/>
  <c r="AE54" i="74"/>
  <c r="AE58" i="74"/>
  <c r="AC65" i="74"/>
  <c r="AT65" i="74" s="1"/>
  <c r="N66" i="74"/>
  <c r="N67" i="74"/>
  <c r="AE67" i="74" s="1"/>
  <c r="AF70" i="74"/>
  <c r="AL70" i="74"/>
  <c r="AT70" i="74"/>
  <c r="AC73" i="74"/>
  <c r="AT73" i="74" s="1"/>
  <c r="AC67" i="74"/>
  <c r="N68" i="74"/>
  <c r="N69" i="74"/>
  <c r="AH70" i="74"/>
  <c r="AC69" i="74"/>
  <c r="AT69" i="74" s="1"/>
  <c r="AO70" i="74"/>
  <c r="AK70" i="74"/>
  <c r="BM70" i="74" s="1"/>
  <c r="AG70" i="74"/>
  <c r="AI70" i="74"/>
  <c r="AN70" i="74"/>
  <c r="N71" i="74"/>
  <c r="AE71" i="74" s="1"/>
  <c r="AH75" i="74"/>
  <c r="AO75" i="74"/>
  <c r="AK75" i="74"/>
  <c r="AI75" i="74"/>
  <c r="AN76" i="74"/>
  <c r="AJ76" i="74"/>
  <c r="AI76" i="74"/>
  <c r="AE76" i="74"/>
  <c r="AH76" i="74"/>
  <c r="AO76" i="74"/>
  <c r="AP77" i="74"/>
  <c r="AL77" i="74"/>
  <c r="AH77" i="74"/>
  <c r="AO77" i="74"/>
  <c r="AK77" i="74"/>
  <c r="AG77" i="74"/>
  <c r="AN77" i="74"/>
  <c r="AJ77" i="74"/>
  <c r="AF77" i="74"/>
  <c r="AM77" i="74"/>
  <c r="AI77" i="74"/>
  <c r="BA77" i="74"/>
  <c r="AW77" i="74"/>
  <c r="AV77" i="74"/>
  <c r="BC77" i="74"/>
  <c r="BB77" i="74"/>
  <c r="AX77" i="74"/>
  <c r="AK79" i="74"/>
  <c r="AG79" i="74"/>
  <c r="AN79" i="74"/>
  <c r="BD79" i="74"/>
  <c r="AN80" i="74"/>
  <c r="AM80" i="74"/>
  <c r="AI80" i="74"/>
  <c r="AL80" i="74"/>
  <c r="AH80" i="74"/>
  <c r="AG80" i="74"/>
  <c r="AK81" i="74"/>
  <c r="BE81" i="74"/>
  <c r="AV81" i="74"/>
  <c r="AU81" i="74"/>
  <c r="AN82" i="74"/>
  <c r="AJ82" i="74"/>
  <c r="AF82" i="74"/>
  <c r="AM82" i="74"/>
  <c r="AI82" i="74"/>
  <c r="AE82" i="74"/>
  <c r="AP82" i="74"/>
  <c r="AL82" i="74"/>
  <c r="AH82" i="74"/>
  <c r="AO82" i="74"/>
  <c r="AK82" i="74"/>
  <c r="AG82" i="74"/>
  <c r="BD83" i="74"/>
  <c r="BA83" i="74"/>
  <c r="AU83" i="74"/>
  <c r="AT83" i="74"/>
  <c r="BC83" i="74"/>
  <c r="AW83" i="74"/>
  <c r="AV87" i="74"/>
  <c r="BC87" i="74"/>
  <c r="AX87" i="74"/>
  <c r="AY87" i="74"/>
  <c r="AE77" i="74"/>
  <c r="AE79" i="74"/>
  <c r="N83" i="74"/>
  <c r="N84" i="74"/>
  <c r="AE84" i="74" s="1"/>
  <c r="AV93" i="74"/>
  <c r="BB97" i="74"/>
  <c r="N98" i="74"/>
  <c r="AO99" i="74"/>
  <c r="AK99" i="74"/>
  <c r="AG99" i="74"/>
  <c r="AN99" i="74"/>
  <c r="AJ99" i="74"/>
  <c r="AF99" i="74"/>
  <c r="AM99" i="74"/>
  <c r="AI99" i="74"/>
  <c r="AE99" i="74"/>
  <c r="AP99" i="74"/>
  <c r="AL99" i="74"/>
  <c r="AH99" i="74"/>
  <c r="AV99" i="74"/>
  <c r="BC99" i="74"/>
  <c r="AY99" i="74"/>
  <c r="BA99" i="74"/>
  <c r="AW99" i="74"/>
  <c r="AO101" i="74"/>
  <c r="AG101" i="74"/>
  <c r="AM101" i="74"/>
  <c r="AI101" i="74"/>
  <c r="AE101" i="74"/>
  <c r="AL101" i="74"/>
  <c r="AO103" i="74"/>
  <c r="AK103" i="74"/>
  <c r="AG103" i="74"/>
  <c r="AN103" i="74"/>
  <c r="AJ103" i="74"/>
  <c r="AF103" i="74"/>
  <c r="AM103" i="74"/>
  <c r="AI103" i="74"/>
  <c r="AE103" i="74"/>
  <c r="AP103" i="74"/>
  <c r="AL103" i="74"/>
  <c r="AH103" i="74"/>
  <c r="BD103" i="74"/>
  <c r="AZ103" i="74"/>
  <c r="AV103" i="74"/>
  <c r="BC103" i="74"/>
  <c r="AY103" i="74"/>
  <c r="AU103" i="74"/>
  <c r="BB103" i="74"/>
  <c r="AX103" i="74"/>
  <c r="AT103" i="74"/>
  <c r="BE103" i="74"/>
  <c r="BA103" i="74"/>
  <c r="AW103" i="74"/>
  <c r="AK105" i="74"/>
  <c r="AG105" i="74"/>
  <c r="AF105" i="74"/>
  <c r="AM105" i="74"/>
  <c r="AP105" i="74"/>
  <c r="AL105" i="74"/>
  <c r="BC105" i="74"/>
  <c r="AY105" i="74"/>
  <c r="AU105" i="74"/>
  <c r="BB105" i="74"/>
  <c r="AW105" i="74"/>
  <c r="BA105" i="74"/>
  <c r="AV105" i="74"/>
  <c r="BE105" i="74"/>
  <c r="AZ105" i="74"/>
  <c r="AT105" i="74"/>
  <c r="BD105" i="74"/>
  <c r="AX105" i="74"/>
  <c r="AN106" i="74"/>
  <c r="AG106" i="74"/>
  <c r="AN107" i="74"/>
  <c r="AJ107" i="74"/>
  <c r="AF107" i="74"/>
  <c r="AM107" i="74"/>
  <c r="AH107" i="74"/>
  <c r="AL107" i="74"/>
  <c r="AG107" i="74"/>
  <c r="AP107" i="74"/>
  <c r="AK107" i="74"/>
  <c r="AE107" i="74"/>
  <c r="AO107" i="74"/>
  <c r="AI107" i="74"/>
  <c r="AU107" i="74"/>
  <c r="BA107" i="74"/>
  <c r="AZ107" i="74"/>
  <c r="AT107" i="74"/>
  <c r="BB107" i="74"/>
  <c r="AW107" i="74"/>
  <c r="AP108" i="74"/>
  <c r="AL108" i="74"/>
  <c r="AO108" i="74"/>
  <c r="AJ108" i="74"/>
  <c r="AE108" i="74"/>
  <c r="AU111" i="74"/>
  <c r="BD111" i="74"/>
  <c r="AW111" i="74"/>
  <c r="BA111" i="74"/>
  <c r="AZ111" i="74"/>
  <c r="AN113" i="74"/>
  <c r="AJ113" i="74"/>
  <c r="AF113" i="74"/>
  <c r="AO113" i="74"/>
  <c r="AI113" i="74"/>
  <c r="AM113" i="74"/>
  <c r="AH113" i="74"/>
  <c r="AL113" i="74"/>
  <c r="AG113" i="74"/>
  <c r="AP113" i="74"/>
  <c r="AK113" i="74"/>
  <c r="AY113" i="74"/>
  <c r="AW113" i="74"/>
  <c r="AT113" i="74"/>
  <c r="AP114" i="74"/>
  <c r="AL114" i="74"/>
  <c r="AH114" i="74"/>
  <c r="AN114" i="74"/>
  <c r="AI114" i="74"/>
  <c r="AM114" i="74"/>
  <c r="AG114" i="74"/>
  <c r="AK114" i="74"/>
  <c r="AF114" i="74"/>
  <c r="AO114" i="74"/>
  <c r="AJ114" i="74"/>
  <c r="AJ115" i="74"/>
  <c r="AF115" i="74"/>
  <c r="AL115" i="74"/>
  <c r="AG115" i="74"/>
  <c r="AE115" i="74"/>
  <c r="AO115" i="74"/>
  <c r="AU115" i="74"/>
  <c r="BA115" i="74"/>
  <c r="AV115" i="74"/>
  <c r="BB115" i="74"/>
  <c r="AW115" i="74"/>
  <c r="AC74" i="74"/>
  <c r="AC76" i="74"/>
  <c r="AT76" i="74" s="1"/>
  <c r="AC78" i="74"/>
  <c r="AC80" i="74"/>
  <c r="AT80" i="74" s="1"/>
  <c r="AC82" i="74"/>
  <c r="AC84" i="74"/>
  <c r="AT84" i="74" s="1"/>
  <c r="AC85" i="74"/>
  <c r="AT85" i="74" s="1"/>
  <c r="N86" i="74"/>
  <c r="AE86" i="74" s="1"/>
  <c r="BE93" i="74"/>
  <c r="BA93" i="74"/>
  <c r="AW93" i="74"/>
  <c r="AX93" i="74"/>
  <c r="BC93" i="74"/>
  <c r="AC94" i="74"/>
  <c r="N95" i="74"/>
  <c r="N96" i="74"/>
  <c r="AE96" i="74" s="1"/>
  <c r="AP85" i="74"/>
  <c r="AC86" i="74"/>
  <c r="AT86" i="74" s="1"/>
  <c r="N87" i="74"/>
  <c r="N88" i="74"/>
  <c r="AT93" i="74"/>
  <c r="AY93" i="74"/>
  <c r="BD93" i="74"/>
  <c r="AC95" i="74"/>
  <c r="AL85" i="74"/>
  <c r="AC88" i="74"/>
  <c r="AT88" i="74" s="1"/>
  <c r="N89" i="74"/>
  <c r="AU93" i="74"/>
  <c r="AZ93" i="74"/>
  <c r="N97" i="74"/>
  <c r="BD97" i="74"/>
  <c r="AZ97" i="74"/>
  <c r="AV97" i="74"/>
  <c r="BC97" i="74"/>
  <c r="AY97" i="74"/>
  <c r="AU97" i="74"/>
  <c r="BE97" i="74"/>
  <c r="BA97" i="74"/>
  <c r="AW97" i="74"/>
  <c r="AX97" i="74"/>
  <c r="AC106" i="74"/>
  <c r="AE113" i="74"/>
  <c r="AC114" i="74"/>
  <c r="AE114" i="74"/>
  <c r="N116" i="74"/>
  <c r="BD118" i="74"/>
  <c r="AZ118" i="74"/>
  <c r="AV118" i="74"/>
  <c r="BC118" i="74"/>
  <c r="AY118" i="74"/>
  <c r="AU118" i="74"/>
  <c r="BB118" i="74"/>
  <c r="AX118" i="74"/>
  <c r="AT118" i="74"/>
  <c r="BE118" i="74"/>
  <c r="BA118" i="74"/>
  <c r="AW118" i="74"/>
  <c r="N100" i="74"/>
  <c r="AE100" i="74" s="1"/>
  <c r="N102" i="74"/>
  <c r="N104" i="74"/>
  <c r="AE104" i="74" s="1"/>
  <c r="AC109" i="74"/>
  <c r="AT109" i="74" s="1"/>
  <c r="N110" i="74"/>
  <c r="N111" i="74"/>
  <c r="AE111" i="74" s="1"/>
  <c r="AT116" i="74"/>
  <c r="BE116" i="74"/>
  <c r="BA116" i="74"/>
  <c r="AJ123" i="74"/>
  <c r="AO123" i="74"/>
  <c r="AP124" i="74"/>
  <c r="AL124" i="74"/>
  <c r="AH124" i="74"/>
  <c r="AO124" i="74"/>
  <c r="AK124" i="74"/>
  <c r="AG124" i="74"/>
  <c r="AN124" i="74"/>
  <c r="AJ124" i="74"/>
  <c r="AF124" i="74"/>
  <c r="AM124" i="74"/>
  <c r="AI124" i="74"/>
  <c r="BE124" i="74"/>
  <c r="BA124" i="74"/>
  <c r="AW124" i="74"/>
  <c r="BD124" i="74"/>
  <c r="AZ124" i="74"/>
  <c r="AV124" i="74"/>
  <c r="BC124" i="74"/>
  <c r="AY124" i="74"/>
  <c r="AU124" i="74"/>
  <c r="BB124" i="74"/>
  <c r="AX124" i="74"/>
  <c r="AN125" i="74"/>
  <c r="AJ125" i="74"/>
  <c r="AF125" i="74"/>
  <c r="AM125" i="74"/>
  <c r="AI125" i="74"/>
  <c r="AE125" i="74"/>
  <c r="AP125" i="74"/>
  <c r="AL125" i="74"/>
  <c r="AH125" i="74"/>
  <c r="AO125" i="74"/>
  <c r="AK125" i="74"/>
  <c r="AG125" i="74"/>
  <c r="AL126" i="74"/>
  <c r="AM126" i="74"/>
  <c r="AV126" i="74"/>
  <c r="BC126" i="74"/>
  <c r="AY126" i="74"/>
  <c r="AN128" i="74"/>
  <c r="AJ128" i="74"/>
  <c r="AF128" i="74"/>
  <c r="AO128" i="74"/>
  <c r="AI128" i="74"/>
  <c r="AM128" i="74"/>
  <c r="AH128" i="74"/>
  <c r="AL128" i="74"/>
  <c r="AG128" i="74"/>
  <c r="AP128" i="74"/>
  <c r="AK128" i="74"/>
  <c r="AU128" i="74"/>
  <c r="AX128" i="74"/>
  <c r="AP129" i="74"/>
  <c r="AL129" i="74"/>
  <c r="AH129" i="74"/>
  <c r="AN129" i="74"/>
  <c r="AI129" i="74"/>
  <c r="AM129" i="74"/>
  <c r="AG129" i="74"/>
  <c r="AK129" i="74"/>
  <c r="AF129" i="74"/>
  <c r="AO129" i="74"/>
  <c r="AJ129" i="74"/>
  <c r="AN130" i="74"/>
  <c r="AJ130" i="74"/>
  <c r="AF130" i="74"/>
  <c r="AM130" i="74"/>
  <c r="AH130" i="74"/>
  <c r="AL130" i="74"/>
  <c r="AG130" i="74"/>
  <c r="AP130" i="74"/>
  <c r="AK130" i="74"/>
  <c r="AO130" i="74"/>
  <c r="AI130" i="74"/>
  <c r="BC130" i="74"/>
  <c r="AY130" i="74"/>
  <c r="AU130" i="74"/>
  <c r="BA130" i="74"/>
  <c r="AV130" i="74"/>
  <c r="BE130" i="74"/>
  <c r="AZ130" i="74"/>
  <c r="AT130" i="74"/>
  <c r="BD130" i="74"/>
  <c r="AX130" i="74"/>
  <c r="BB130" i="74"/>
  <c r="AW130" i="74"/>
  <c r="AM131" i="74"/>
  <c r="AI131" i="74"/>
  <c r="AP132" i="74"/>
  <c r="AK132" i="74"/>
  <c r="AE132" i="74"/>
  <c r="AN134" i="74"/>
  <c r="AJ134" i="74"/>
  <c r="AF134" i="74"/>
  <c r="AP134" i="74"/>
  <c r="AK134" i="74"/>
  <c r="AE134" i="74"/>
  <c r="AO134" i="74"/>
  <c r="AI134" i="74"/>
  <c r="AM134" i="74"/>
  <c r="AH134" i="74"/>
  <c r="AL134" i="74"/>
  <c r="AG134" i="74"/>
  <c r="AX134" i="74"/>
  <c r="BE134" i="74"/>
  <c r="AP135" i="74"/>
  <c r="AL135" i="74"/>
  <c r="AH135" i="74"/>
  <c r="AO135" i="74"/>
  <c r="AJ135" i="74"/>
  <c r="AE135" i="74"/>
  <c r="AN135" i="74"/>
  <c r="AI135" i="74"/>
  <c r="AM135" i="74"/>
  <c r="BO135" i="74" s="1"/>
  <c r="AG135" i="74"/>
  <c r="AK135" i="74"/>
  <c r="AF135" i="74"/>
  <c r="AN136" i="74"/>
  <c r="AJ136" i="74"/>
  <c r="AF136" i="74"/>
  <c r="AO136" i="74"/>
  <c r="AI136" i="74"/>
  <c r="AM136" i="74"/>
  <c r="AH136" i="74"/>
  <c r="AL136" i="74"/>
  <c r="AG136" i="74"/>
  <c r="AP136" i="74"/>
  <c r="AK136" i="74"/>
  <c r="BB136" i="74"/>
  <c r="BE136" i="74"/>
  <c r="AP137" i="74"/>
  <c r="AH137" i="74"/>
  <c r="AG137" i="74"/>
  <c r="AK137" i="74"/>
  <c r="AF137" i="74"/>
  <c r="AJ137" i="74"/>
  <c r="BE138" i="74"/>
  <c r="BA138" i="74"/>
  <c r="AW138" i="74"/>
  <c r="BB138" i="74"/>
  <c r="AV138" i="74"/>
  <c r="AZ138" i="74"/>
  <c r="AU138" i="74"/>
  <c r="AX138" i="74"/>
  <c r="BD138" i="74"/>
  <c r="BC138" i="74"/>
  <c r="AY138" i="74"/>
  <c r="AC96" i="74"/>
  <c r="AT96" i="74" s="1"/>
  <c r="AC98" i="74"/>
  <c r="AC100" i="74"/>
  <c r="AT100" i="74" s="1"/>
  <c r="AC102" i="74"/>
  <c r="AC104" i="74"/>
  <c r="AT104" i="74" s="1"/>
  <c r="AC110" i="74"/>
  <c r="N112" i="74"/>
  <c r="AZ116" i="74"/>
  <c r="AZ108" i="74"/>
  <c r="AC112" i="74"/>
  <c r="AE124" i="74"/>
  <c r="AT124" i="74"/>
  <c r="AT126" i="74"/>
  <c r="AE128" i="74"/>
  <c r="AC129" i="74"/>
  <c r="AE129" i="74"/>
  <c r="AT134" i="74"/>
  <c r="AT135" i="74"/>
  <c r="AY135" i="74"/>
  <c r="BD135" i="74"/>
  <c r="AE136" i="74"/>
  <c r="AC137" i="74"/>
  <c r="N142" i="74"/>
  <c r="N117" i="74"/>
  <c r="N119" i="74"/>
  <c r="AE119" i="74" s="1"/>
  <c r="AC123" i="74"/>
  <c r="AT123" i="74" s="1"/>
  <c r="AC125" i="74"/>
  <c r="AC127" i="74"/>
  <c r="AT127" i="74" s="1"/>
  <c r="AE130" i="74"/>
  <c r="AC131" i="74"/>
  <c r="N133" i="74"/>
  <c r="AE133" i="74" s="1"/>
  <c r="AU135" i="74"/>
  <c r="AZ135" i="74"/>
  <c r="AG141" i="74"/>
  <c r="AC141" i="74"/>
  <c r="AT141" i="74" s="1"/>
  <c r="AC117" i="74"/>
  <c r="AT117" i="74" s="1"/>
  <c r="AC119" i="74"/>
  <c r="AC133" i="74"/>
  <c r="AV135" i="74"/>
  <c r="AT138" i="74"/>
  <c r="AP140" i="74"/>
  <c r="AL140" i="74"/>
  <c r="AH140" i="74"/>
  <c r="AN140" i="74"/>
  <c r="AI140" i="74"/>
  <c r="BK140" i="74" s="1"/>
  <c r="AM140" i="74"/>
  <c r="AG140" i="74"/>
  <c r="AK140" i="74"/>
  <c r="AF140" i="74"/>
  <c r="BE140" i="74"/>
  <c r="BA140" i="74"/>
  <c r="AW140" i="74"/>
  <c r="BB140" i="74"/>
  <c r="AV140" i="74"/>
  <c r="AZ140" i="74"/>
  <c r="AU140" i="74"/>
  <c r="BD140" i="74"/>
  <c r="AY140" i="74"/>
  <c r="AT140" i="74"/>
  <c r="AE140" i="74"/>
  <c r="BC140" i="74"/>
  <c r="BE135" i="74"/>
  <c r="BA135" i="74"/>
  <c r="AW135" i="74"/>
  <c r="AX135" i="74"/>
  <c r="BC135" i="74"/>
  <c r="AN139" i="74"/>
  <c r="AI139" i="74"/>
  <c r="AG139" i="74"/>
  <c r="BC139" i="74"/>
  <c r="AY139" i="74"/>
  <c r="AU139" i="74"/>
  <c r="BB139" i="74"/>
  <c r="AW139" i="74"/>
  <c r="BA139" i="74"/>
  <c r="AV139" i="74"/>
  <c r="BE139" i="74"/>
  <c r="BR139" i="74" s="1"/>
  <c r="AZ139" i="74"/>
  <c r="BD139" i="74"/>
  <c r="AN143" i="74"/>
  <c r="AK143" i="74"/>
  <c r="BC143" i="74"/>
  <c r="AY143" i="74"/>
  <c r="AU143" i="74"/>
  <c r="BA143" i="74"/>
  <c r="AV143" i="74"/>
  <c r="BE143" i="74"/>
  <c r="AZ143" i="74"/>
  <c r="AT143" i="74"/>
  <c r="BD143" i="74"/>
  <c r="AX143" i="74"/>
  <c r="BB143" i="74"/>
  <c r="AW143" i="74"/>
  <c r="AN145" i="74"/>
  <c r="AJ145" i="74"/>
  <c r="AF145" i="74"/>
  <c r="AL145" i="74"/>
  <c r="AG145" i="74"/>
  <c r="AP145" i="74"/>
  <c r="AK145" i="74"/>
  <c r="AE145" i="74"/>
  <c r="AO145" i="74"/>
  <c r="AI145" i="74"/>
  <c r="AM145" i="74"/>
  <c r="AH145" i="74"/>
  <c r="AY145" i="74"/>
  <c r="AT145" i="74"/>
  <c r="AW145" i="74"/>
  <c r="AP146" i="74"/>
  <c r="AL146" i="74"/>
  <c r="AH146" i="74"/>
  <c r="AK146" i="74"/>
  <c r="AF146" i="74"/>
  <c r="AO146" i="74"/>
  <c r="AJ146" i="74"/>
  <c r="AE146" i="74"/>
  <c r="AN146" i="74"/>
  <c r="AI146" i="74"/>
  <c r="AM146" i="74"/>
  <c r="AG146" i="74"/>
  <c r="AN147" i="74"/>
  <c r="AJ147" i="74"/>
  <c r="AF147" i="74"/>
  <c r="AP147" i="74"/>
  <c r="AK147" i="74"/>
  <c r="AE147" i="74"/>
  <c r="AO147" i="74"/>
  <c r="AI147" i="74"/>
  <c r="AM147" i="74"/>
  <c r="AH147" i="74"/>
  <c r="AL147" i="74"/>
  <c r="AG147" i="74"/>
  <c r="BC147" i="74"/>
  <c r="AY147" i="74"/>
  <c r="AU147" i="74"/>
  <c r="BD147" i="74"/>
  <c r="AX147" i="74"/>
  <c r="BB147" i="74"/>
  <c r="AW147" i="74"/>
  <c r="BA147" i="74"/>
  <c r="AV147" i="74"/>
  <c r="BE147" i="74"/>
  <c r="AZ147" i="74"/>
  <c r="AN148" i="74"/>
  <c r="AK148" i="74"/>
  <c r="AW149" i="74"/>
  <c r="AT139" i="74"/>
  <c r="AC142" i="74"/>
  <c r="AT147" i="74"/>
  <c r="AT148" i="74"/>
  <c r="AY148" i="74"/>
  <c r="BD148" i="74"/>
  <c r="BD154" i="74"/>
  <c r="AZ154" i="74"/>
  <c r="AV154" i="74"/>
  <c r="BE154" i="74"/>
  <c r="AY154" i="74"/>
  <c r="AT154" i="74"/>
  <c r="BC154" i="74"/>
  <c r="AX154" i="74"/>
  <c r="BB154" i="74"/>
  <c r="AW154" i="74"/>
  <c r="BA154" i="74"/>
  <c r="AU154" i="74"/>
  <c r="AE143" i="74"/>
  <c r="AC144" i="74"/>
  <c r="AU148" i="74"/>
  <c r="AZ148" i="74"/>
  <c r="AC146" i="74"/>
  <c r="AV148" i="74"/>
  <c r="N149" i="74"/>
  <c r="BE148" i="74"/>
  <c r="BA148" i="74"/>
  <c r="AW148" i="74"/>
  <c r="AX148" i="74"/>
  <c r="BC148" i="74"/>
  <c r="N153" i="74"/>
  <c r="N157" i="74"/>
  <c r="AC157" i="74"/>
  <c r="AT157" i="74" s="1"/>
  <c r="N159" i="74"/>
  <c r="AE159" i="74" s="1"/>
  <c r="AC159" i="74"/>
  <c r="AT159" i="74" s="1"/>
  <c r="AJ161" i="74"/>
  <c r="BC161" i="74"/>
  <c r="BP161" i="74" s="1"/>
  <c r="N162" i="74"/>
  <c r="AC162" i="74"/>
  <c r="AC153" i="74"/>
  <c r="AT153" i="74" s="1"/>
  <c r="N154" i="74"/>
  <c r="N155" i="74"/>
  <c r="AE155" i="74" s="1"/>
  <c r="N156" i="74"/>
  <c r="AC156" i="74"/>
  <c r="AH158" i="74"/>
  <c r="AP158" i="74"/>
  <c r="N160" i="74"/>
  <c r="AC160" i="74"/>
  <c r="AT160" i="74" s="1"/>
  <c r="AC164" i="74"/>
  <c r="AO169" i="74"/>
  <c r="BE169" i="74"/>
  <c r="AZ169" i="74"/>
  <c r="AV169" i="74"/>
  <c r="BB169" i="74"/>
  <c r="BC169" i="74"/>
  <c r="AC155" i="74"/>
  <c r="AT155" i="74" s="1"/>
  <c r="AI158" i="74"/>
  <c r="AK158" i="74"/>
  <c r="AG158" i="74"/>
  <c r="AC158" i="74"/>
  <c r="AT158" i="74" s="1"/>
  <c r="AP161" i="74"/>
  <c r="AL161" i="74"/>
  <c r="AH161" i="74"/>
  <c r="AO161" i="74"/>
  <c r="AK161" i="74"/>
  <c r="AG161" i="74"/>
  <c r="AM161" i="74"/>
  <c r="AI161" i="74"/>
  <c r="BE161" i="74"/>
  <c r="BA161" i="74"/>
  <c r="AW161" i="74"/>
  <c r="BD161" i="74"/>
  <c r="AZ161" i="74"/>
  <c r="AV161" i="74"/>
  <c r="BB161" i="74"/>
  <c r="AX161" i="74"/>
  <c r="AF161" i="74"/>
  <c r="BH161" i="74" s="1"/>
  <c r="AY161" i="74"/>
  <c r="AE161" i="74"/>
  <c r="AT161" i="74"/>
  <c r="AC165" i="74"/>
  <c r="AT165" i="74" s="1"/>
  <c r="N166" i="74"/>
  <c r="AC166" i="74"/>
  <c r="AH168" i="74"/>
  <c r="AP175" i="74"/>
  <c r="AK175" i="74"/>
  <c r="AN175" i="74"/>
  <c r="BE175" i="74"/>
  <c r="BA175" i="74"/>
  <c r="AW175" i="74"/>
  <c r="AV175" i="74"/>
  <c r="BC175" i="74"/>
  <c r="AU175" i="74"/>
  <c r="AF175" i="74"/>
  <c r="N163" i="74"/>
  <c r="N167" i="74"/>
  <c r="AE167" i="74" s="1"/>
  <c r="BE167" i="74"/>
  <c r="BA167" i="74"/>
  <c r="AW167" i="74"/>
  <c r="AZ167" i="74"/>
  <c r="AY167" i="74"/>
  <c r="N170" i="74"/>
  <c r="AC170" i="74"/>
  <c r="AT170" i="74" s="1"/>
  <c r="AC163" i="74"/>
  <c r="AT163" i="74" s="1"/>
  <c r="N164" i="74"/>
  <c r="N165" i="74"/>
  <c r="AN168" i="74"/>
  <c r="AJ168" i="74"/>
  <c r="AF168" i="74"/>
  <c r="AM168" i="74"/>
  <c r="AI168" i="74"/>
  <c r="AE168" i="74"/>
  <c r="AO168" i="74"/>
  <c r="AK168" i="74"/>
  <c r="AG168" i="74"/>
  <c r="AC168" i="74"/>
  <c r="AT168" i="74" s="1"/>
  <c r="AJ178" i="74"/>
  <c r="AC178" i="74"/>
  <c r="AT178" i="74" s="1"/>
  <c r="N177" i="74"/>
  <c r="AC177" i="74"/>
  <c r="AT177" i="74" s="1"/>
  <c r="N171" i="74"/>
  <c r="N173" i="74"/>
  <c r="BA173" i="74"/>
  <c r="AV173" i="74"/>
  <c r="BB173" i="74"/>
  <c r="AX173" i="74"/>
  <c r="AC176" i="74"/>
  <c r="AT176" i="74" s="1"/>
  <c r="AC171" i="74"/>
  <c r="AT171" i="74" s="1"/>
  <c r="AC172" i="74"/>
  <c r="AT172" i="74" s="1"/>
  <c r="BC173" i="74"/>
  <c r="AN174" i="74"/>
  <c r="AI174" i="74"/>
  <c r="AC174" i="74"/>
  <c r="AT174" i="74" s="1"/>
  <c r="N179" i="74"/>
  <c r="AE179" i="74" s="1"/>
  <c r="AC179" i="74"/>
  <c r="AT179" i="74" s="1"/>
  <c r="N172" i="74"/>
  <c r="AE172" i="74" s="1"/>
  <c r="AT173" i="74"/>
  <c r="AZ175" i="74" l="1"/>
  <c r="AM158" i="74"/>
  <c r="AN158" i="74"/>
  <c r="AJ144" i="74"/>
  <c r="AZ113" i="74"/>
  <c r="BC113" i="74"/>
  <c r="AJ106" i="74"/>
  <c r="AH106" i="74"/>
  <c r="AZ81" i="74"/>
  <c r="AH57" i="74"/>
  <c r="AZ51" i="74"/>
  <c r="AL46" i="74"/>
  <c r="AK46" i="74"/>
  <c r="AJ41" i="74"/>
  <c r="AE41" i="74"/>
  <c r="BD175" i="74"/>
  <c r="AL158" i="74"/>
  <c r="AF158" i="74"/>
  <c r="BE113" i="74"/>
  <c r="AO106" i="74"/>
  <c r="AL106" i="74"/>
  <c r="AT81" i="74"/>
  <c r="BG81" i="74" s="1"/>
  <c r="BD81" i="74"/>
  <c r="AE46" i="74"/>
  <c r="AL57" i="74"/>
  <c r="BD51" i="74"/>
  <c r="AP46" i="74"/>
  <c r="AO46" i="74"/>
  <c r="AN41" i="74"/>
  <c r="AI41" i="74"/>
  <c r="AV113" i="74"/>
  <c r="AF106" i="74"/>
  <c r="AP106" i="74"/>
  <c r="AX81" i="74"/>
  <c r="AW81" i="74"/>
  <c r="AF57" i="74"/>
  <c r="AP57" i="74"/>
  <c r="AW51" i="74"/>
  <c r="AI46" i="74"/>
  <c r="AG41" i="74"/>
  <c r="AM41" i="74"/>
  <c r="BA113" i="74"/>
  <c r="AK106" i="74"/>
  <c r="BB81" i="74"/>
  <c r="BA81" i="74"/>
  <c r="AJ57" i="74"/>
  <c r="AE57" i="74"/>
  <c r="BA51" i="74"/>
  <c r="AM46" i="74"/>
  <c r="AK41" i="74"/>
  <c r="AX175" i="74"/>
  <c r="AO158" i="74"/>
  <c r="AE106" i="74"/>
  <c r="AX113" i="74"/>
  <c r="BK113" i="74" s="1"/>
  <c r="BB113" i="74"/>
  <c r="AM106" i="74"/>
  <c r="AY81" i="74"/>
  <c r="AG57" i="74"/>
  <c r="AM57" i="74"/>
  <c r="AY51" i="74"/>
  <c r="AT51" i="74"/>
  <c r="AJ46" i="74"/>
  <c r="AH41" i="74"/>
  <c r="BK139" i="74"/>
  <c r="AT175" i="74"/>
  <c r="BB175" i="74"/>
  <c r="AE158" i="74"/>
  <c r="BD113" i="74"/>
  <c r="BC51" i="74"/>
  <c r="AV89" i="74"/>
  <c r="BC89" i="74"/>
  <c r="BB89" i="74"/>
  <c r="AX89" i="74"/>
  <c r="AW89" i="74"/>
  <c r="BA89" i="74"/>
  <c r="BE89" i="74"/>
  <c r="AU89" i="74"/>
  <c r="AY89" i="74"/>
  <c r="BD89" i="74"/>
  <c r="AP35" i="74"/>
  <c r="AG35" i="74"/>
  <c r="AL35" i="74"/>
  <c r="AM35" i="74"/>
  <c r="AE127" i="74"/>
  <c r="BG127" i="74" s="1"/>
  <c r="AP127" i="74"/>
  <c r="AK127" i="74"/>
  <c r="BM127" i="74" s="1"/>
  <c r="AL127" i="74"/>
  <c r="AN127" i="74"/>
  <c r="AH127" i="74"/>
  <c r="AF127" i="74"/>
  <c r="AJ127" i="74"/>
  <c r="AO127" i="74"/>
  <c r="AW75" i="74"/>
  <c r="AX75" i="74"/>
  <c r="BK75" i="74" s="1"/>
  <c r="BD75" i="74"/>
  <c r="AU75" i="74"/>
  <c r="AZ75" i="74"/>
  <c r="AV75" i="74"/>
  <c r="AT75" i="74"/>
  <c r="BC75" i="74"/>
  <c r="AY75" i="74"/>
  <c r="BE75" i="74"/>
  <c r="AM178" i="74"/>
  <c r="AP178" i="74"/>
  <c r="AI178" i="74"/>
  <c r="AE178" i="74"/>
  <c r="AO178" i="74"/>
  <c r="AG178" i="74"/>
  <c r="AK178" i="74"/>
  <c r="AN178" i="74"/>
  <c r="AZ79" i="74"/>
  <c r="AX79" i="74"/>
  <c r="AV79" i="74"/>
  <c r="AT79" i="74"/>
  <c r="BC79" i="74"/>
  <c r="BA79" i="74"/>
  <c r="BB79" i="74"/>
  <c r="AY79" i="74"/>
  <c r="BL79" i="74" s="1"/>
  <c r="BE79" i="74"/>
  <c r="AU79" i="74"/>
  <c r="AW79" i="74"/>
  <c r="AK44" i="74"/>
  <c r="AE44" i="74"/>
  <c r="AN44" i="74"/>
  <c r="AI44" i="74"/>
  <c r="AZ132" i="74"/>
  <c r="AT132" i="74"/>
  <c r="AY132" i="74"/>
  <c r="BD132" i="74"/>
  <c r="AX132" i="74"/>
  <c r="BC132" i="74"/>
  <c r="BB132" i="74"/>
  <c r="AW132" i="74"/>
  <c r="AY64" i="74"/>
  <c r="BL64" i="74" s="1"/>
  <c r="BE64" i="74"/>
  <c r="AU64" i="74"/>
  <c r="BA64" i="74"/>
  <c r="BB64" i="74"/>
  <c r="AT64" i="74"/>
  <c r="AW64" i="74"/>
  <c r="AX64" i="74"/>
  <c r="AZ64" i="74"/>
  <c r="BM64" i="74" s="1"/>
  <c r="BD64" i="74"/>
  <c r="AV64" i="74"/>
  <c r="BB75" i="74"/>
  <c r="AO141" i="74"/>
  <c r="AP141" i="74"/>
  <c r="AN141" i="74"/>
  <c r="AK141" i="74"/>
  <c r="AH141" i="74"/>
  <c r="AJ141" i="74"/>
  <c r="AI141" i="74"/>
  <c r="AF141" i="74"/>
  <c r="AE141" i="74"/>
  <c r="AM141" i="74"/>
  <c r="AZ149" i="74"/>
  <c r="BB149" i="74"/>
  <c r="AV149" i="74"/>
  <c r="BA149" i="74"/>
  <c r="AT149" i="74"/>
  <c r="AX149" i="74"/>
  <c r="BC149" i="74"/>
  <c r="AY149" i="74"/>
  <c r="AU149" i="74"/>
  <c r="BE149" i="74"/>
  <c r="AO176" i="74"/>
  <c r="AV132" i="74"/>
  <c r="AG127" i="74"/>
  <c r="BA75" i="74"/>
  <c r="BC64" i="74"/>
  <c r="AG118" i="74"/>
  <c r="AH118" i="74"/>
  <c r="BJ118" i="74" s="1"/>
  <c r="AN118" i="74"/>
  <c r="BP118" i="74" s="1"/>
  <c r="AJ118" i="74"/>
  <c r="AI118" i="74"/>
  <c r="AF118" i="74"/>
  <c r="AE118" i="74"/>
  <c r="BG118" i="74" s="1"/>
  <c r="AM118" i="74"/>
  <c r="AH55" i="74"/>
  <c r="AP55" i="74"/>
  <c r="AK55" i="74"/>
  <c r="BM55" i="74" s="1"/>
  <c r="AF55" i="74"/>
  <c r="AI138" i="74"/>
  <c r="AP138" i="74"/>
  <c r="AF138" i="74"/>
  <c r="BH138" i="74" s="1"/>
  <c r="AE138" i="74"/>
  <c r="AL138" i="74"/>
  <c r="AM138" i="74"/>
  <c r="BO138" i="74" s="1"/>
  <c r="AO138" i="74"/>
  <c r="BQ138" i="74" s="1"/>
  <c r="AG138" i="74"/>
  <c r="BI138" i="74" s="1"/>
  <c r="AK138" i="74"/>
  <c r="AK22" i="74"/>
  <c r="AH22" i="74"/>
  <c r="AN22" i="74"/>
  <c r="AH144" i="74"/>
  <c r="AN144" i="74"/>
  <c r="AM144" i="74"/>
  <c r="AI144" i="74"/>
  <c r="AG144" i="74"/>
  <c r="AO144" i="74"/>
  <c r="AK144" i="74"/>
  <c r="AF144" i="74"/>
  <c r="AL141" i="74"/>
  <c r="BA132" i="74"/>
  <c r="AI127" i="74"/>
  <c r="AL118" i="74"/>
  <c r="AK109" i="74"/>
  <c r="AE109" i="74"/>
  <c r="AH109" i="74"/>
  <c r="AG109" i="74"/>
  <c r="AN109" i="74"/>
  <c r="AO109" i="74"/>
  <c r="AL109" i="74"/>
  <c r="AJ109" i="74"/>
  <c r="AI109" i="74"/>
  <c r="AF109" i="74"/>
  <c r="AM109" i="74"/>
  <c r="BD49" i="74"/>
  <c r="BB49" i="74"/>
  <c r="BA49" i="74"/>
  <c r="AV49" i="74"/>
  <c r="AJ29" i="74"/>
  <c r="AG29" i="74"/>
  <c r="AM29" i="74"/>
  <c r="AH29" i="74"/>
  <c r="AU101" i="74"/>
  <c r="BB101" i="74"/>
  <c r="AX101" i="74"/>
  <c r="BK101" i="74" s="1"/>
  <c r="BD101" i="74"/>
  <c r="BQ101" i="74" s="1"/>
  <c r="AT101" i="74"/>
  <c r="AV101" i="74"/>
  <c r="AZ101" i="74"/>
  <c r="BE101" i="74"/>
  <c r="BA101" i="74"/>
  <c r="AW101" i="74"/>
  <c r="BC101" i="74"/>
  <c r="AL144" i="74"/>
  <c r="AH178" i="74"/>
  <c r="AL178" i="74"/>
  <c r="AJ138" i="74"/>
  <c r="BE132" i="74"/>
  <c r="AM127" i="74"/>
  <c r="AP118" i="74"/>
  <c r="AY101" i="74"/>
  <c r="AT89" i="74"/>
  <c r="AK176" i="74"/>
  <c r="AG176" i="74"/>
  <c r="AN176" i="74"/>
  <c r="AI176" i="74"/>
  <c r="AJ176" i="74"/>
  <c r="AH176" i="74"/>
  <c r="AF176" i="74"/>
  <c r="AM176" i="74"/>
  <c r="AF178" i="74"/>
  <c r="AE144" i="74"/>
  <c r="AN138" i="74"/>
  <c r="AU132" i="74"/>
  <c r="AK118" i="74"/>
  <c r="AZ89" i="74"/>
  <c r="AZ173" i="74"/>
  <c r="AX167" i="74"/>
  <c r="BD169" i="74"/>
  <c r="BQ169" i="74" s="1"/>
  <c r="AH148" i="74"/>
  <c r="BD108" i="74"/>
  <c r="AM137" i="74"/>
  <c r="AG132" i="74"/>
  <c r="AZ126" i="74"/>
  <c r="AX116" i="74"/>
  <c r="BC108" i="74"/>
  <c r="AX115" i="74"/>
  <c r="AY115" i="74"/>
  <c r="AF108" i="74"/>
  <c r="AF101" i="74"/>
  <c r="BE99" i="74"/>
  <c r="AZ99" i="74"/>
  <c r="BE87" i="74"/>
  <c r="AZ87" i="74"/>
  <c r="AO79" i="74"/>
  <c r="BQ79" i="74" s="1"/>
  <c r="AM75" i="74"/>
  <c r="AL75" i="74"/>
  <c r="AN64" i="74"/>
  <c r="AW59" i="74"/>
  <c r="AF54" i="74"/>
  <c r="AG49" i="74"/>
  <c r="AM49" i="74"/>
  <c r="BO49" i="74" s="1"/>
  <c r="AU43" i="74"/>
  <c r="BE43" i="74"/>
  <c r="AK33" i="74"/>
  <c r="AO28" i="74"/>
  <c r="AP21" i="74"/>
  <c r="AO21" i="74"/>
  <c r="BD173" i="74"/>
  <c r="AT169" i="74"/>
  <c r="BB167" i="74"/>
  <c r="AW169" i="74"/>
  <c r="BD116" i="74"/>
  <c r="AY108" i="74"/>
  <c r="AI137" i="74"/>
  <c r="AH132" i="74"/>
  <c r="AL132" i="74"/>
  <c r="BN132" i="74" s="1"/>
  <c r="BD126" i="74"/>
  <c r="BB116" i="74"/>
  <c r="AX108" i="74"/>
  <c r="BD115" i="74"/>
  <c r="BC115" i="74"/>
  <c r="AK108" i="74"/>
  <c r="AJ101" i="74"/>
  <c r="AT99" i="74"/>
  <c r="BG99" i="74" s="1"/>
  <c r="BD99" i="74"/>
  <c r="BQ99" i="74" s="1"/>
  <c r="AT87" i="74"/>
  <c r="AU87" i="74"/>
  <c r="BD87" i="74"/>
  <c r="AI79" i="74"/>
  <c r="AH79" i="74"/>
  <c r="AF75" i="74"/>
  <c r="AP75" i="74"/>
  <c r="AG64" i="74"/>
  <c r="BI64" i="74" s="1"/>
  <c r="BA59" i="74"/>
  <c r="AJ54" i="74"/>
  <c r="AK49" i="74"/>
  <c r="AY43" i="74"/>
  <c r="AT43" i="74"/>
  <c r="AP33" i="74"/>
  <c r="AH28" i="74"/>
  <c r="AI21" i="74"/>
  <c r="AW173" i="74"/>
  <c r="AT167" i="74"/>
  <c r="AV167" i="74"/>
  <c r="AU169" i="74"/>
  <c r="BA169" i="74"/>
  <c r="AT108" i="74"/>
  <c r="AN137" i="74"/>
  <c r="AM132" i="74"/>
  <c r="AF132" i="74"/>
  <c r="BH132" i="74" s="1"/>
  <c r="AX126" i="74"/>
  <c r="AW126" i="74"/>
  <c r="AU116" i="74"/>
  <c r="AW108" i="74"/>
  <c r="AT115" i="74"/>
  <c r="BQ115" i="74"/>
  <c r="AG108" i="74"/>
  <c r="BI108" i="74" s="1"/>
  <c r="AH101" i="74"/>
  <c r="BJ101" i="74" s="1"/>
  <c r="AN101" i="74"/>
  <c r="AX99" i="74"/>
  <c r="AH85" i="74"/>
  <c r="AE75" i="74"/>
  <c r="BA87" i="74"/>
  <c r="AM79" i="74"/>
  <c r="BO79" i="74" s="1"/>
  <c r="AL79" i="74"/>
  <c r="BN79" i="74" s="1"/>
  <c r="AJ75" i="74"/>
  <c r="AI74" i="74"/>
  <c r="AK64" i="74"/>
  <c r="AU59" i="74"/>
  <c r="BE59" i="74"/>
  <c r="AN54" i="74"/>
  <c r="AO49" i="74"/>
  <c r="BQ49" i="74" s="1"/>
  <c r="BC43" i="74"/>
  <c r="AX43" i="74"/>
  <c r="AI33" i="74"/>
  <c r="AH33" i="74"/>
  <c r="AL28" i="74"/>
  <c r="AM21" i="74"/>
  <c r="BB126" i="74"/>
  <c r="BA126" i="74"/>
  <c r="BN126" i="74" s="1"/>
  <c r="AV116" i="74"/>
  <c r="AY116" i="74"/>
  <c r="BA108" i="74"/>
  <c r="AV108" i="74"/>
  <c r="AZ115" i="74"/>
  <c r="AI108" i="74"/>
  <c r="AM108" i="74"/>
  <c r="BO108" i="74" s="1"/>
  <c r="BB99" i="74"/>
  <c r="BO99" i="74" s="1"/>
  <c r="AW87" i="74"/>
  <c r="AF79" i="74"/>
  <c r="AP79" i="74"/>
  <c r="AN75" i="74"/>
  <c r="AE64" i="74"/>
  <c r="AO64" i="74"/>
  <c r="AY59" i="74"/>
  <c r="AT59" i="74"/>
  <c r="AH54" i="74"/>
  <c r="AG54" i="74"/>
  <c r="AH49" i="74"/>
  <c r="AV43" i="74"/>
  <c r="BB43" i="74"/>
  <c r="AE21" i="74"/>
  <c r="AM33" i="74"/>
  <c r="AL33" i="74"/>
  <c r="AF28" i="74"/>
  <c r="AP28" i="74"/>
  <c r="AF21" i="74"/>
  <c r="BK138" i="74"/>
  <c r="AI132" i="74"/>
  <c r="AJ132" i="74"/>
  <c r="AG174" i="74"/>
  <c r="AY173" i="74"/>
  <c r="BE173" i="74"/>
  <c r="AX169" i="74"/>
  <c r="AI169" i="74"/>
  <c r="AH143" i="74"/>
  <c r="AE137" i="74"/>
  <c r="AU108" i="74"/>
  <c r="AO137" i="74"/>
  <c r="AO132" i="74"/>
  <c r="AU126" i="74"/>
  <c r="AW116" i="74"/>
  <c r="BE108" i="74"/>
  <c r="BI115" i="74"/>
  <c r="AN108" i="74"/>
  <c r="AP101" i="74"/>
  <c r="AI78" i="74"/>
  <c r="AI64" i="74"/>
  <c r="BK64" i="74" s="1"/>
  <c r="BC59" i="74"/>
  <c r="AL54" i="74"/>
  <c r="AF33" i="74"/>
  <c r="AJ28" i="74"/>
  <c r="BG130" i="74"/>
  <c r="BH140" i="74"/>
  <c r="BJ130" i="74"/>
  <c r="BJ147" i="74"/>
  <c r="BK79" i="74"/>
  <c r="BP79" i="74"/>
  <c r="BL138" i="74"/>
  <c r="BG135" i="74"/>
  <c r="BM130" i="74"/>
  <c r="AN115" i="74"/>
  <c r="AH115" i="74"/>
  <c r="BJ115" i="74" s="1"/>
  <c r="AK115" i="74"/>
  <c r="AM115" i="74"/>
  <c r="BO115" i="74" s="1"/>
  <c r="AP115" i="74"/>
  <c r="AI115" i="74"/>
  <c r="AY111" i="74"/>
  <c r="BB111" i="74"/>
  <c r="BE111" i="74"/>
  <c r="BC111" i="74"/>
  <c r="AX111" i="74"/>
  <c r="AV111" i="74"/>
  <c r="AT111" i="74"/>
  <c r="AY107" i="74"/>
  <c r="BE107" i="74"/>
  <c r="AX107" i="74"/>
  <c r="BC107" i="74"/>
  <c r="BP107" i="74" s="1"/>
  <c r="AV107" i="74"/>
  <c r="BI107" i="74" s="1"/>
  <c r="BD107" i="74"/>
  <c r="AO105" i="74"/>
  <c r="BQ105" i="74" s="1"/>
  <c r="AJ105" i="74"/>
  <c r="AE105" i="74"/>
  <c r="AN105" i="74"/>
  <c r="AI105" i="74"/>
  <c r="BK105" i="74" s="1"/>
  <c r="AH105" i="74"/>
  <c r="AV83" i="74"/>
  <c r="AY83" i="74"/>
  <c r="BB83" i="74"/>
  <c r="AZ83" i="74"/>
  <c r="BE83" i="74"/>
  <c r="AX83" i="74"/>
  <c r="AF80" i="74"/>
  <c r="AP80" i="74"/>
  <c r="AK80" i="74"/>
  <c r="AJ80" i="74"/>
  <c r="AE80" i="74"/>
  <c r="BG80" i="74" s="1"/>
  <c r="AO80" i="74"/>
  <c r="BE77" i="74"/>
  <c r="AZ77" i="74"/>
  <c r="AU77" i="74"/>
  <c r="AT77" i="74"/>
  <c r="BG77" i="74" s="1"/>
  <c r="BD77" i="74"/>
  <c r="BQ77" i="74" s="1"/>
  <c r="AY77" i="74"/>
  <c r="AG58" i="74"/>
  <c r="AM58" i="74"/>
  <c r="AH58" i="74"/>
  <c r="AK58" i="74"/>
  <c r="AF58" i="74"/>
  <c r="AL58" i="74"/>
  <c r="AX55" i="74"/>
  <c r="AW55" i="74"/>
  <c r="BC55" i="74"/>
  <c r="AT55" i="74"/>
  <c r="BB55" i="74"/>
  <c r="BA55" i="74"/>
  <c r="AV55" i="74"/>
  <c r="AP53" i="74"/>
  <c r="AK53" i="74"/>
  <c r="AF53" i="74"/>
  <c r="AM53" i="74"/>
  <c r="AL53" i="74"/>
  <c r="AG53" i="74"/>
  <c r="AE53" i="74"/>
  <c r="AO53" i="74"/>
  <c r="AJ53" i="74"/>
  <c r="AO50" i="74"/>
  <c r="AJ50" i="74"/>
  <c r="AP50" i="74"/>
  <c r="AK50" i="74"/>
  <c r="AF50" i="74"/>
  <c r="AL50" i="74"/>
  <c r="AN50" i="74"/>
  <c r="AI50" i="74"/>
  <c r="BE47" i="74"/>
  <c r="AZ47" i="74"/>
  <c r="AU47" i="74"/>
  <c r="BH47" i="74" s="1"/>
  <c r="BB47" i="74"/>
  <c r="BA47" i="74"/>
  <c r="AV47" i="74"/>
  <c r="AT47" i="74"/>
  <c r="BD47" i="74"/>
  <c r="AY47" i="74"/>
  <c r="AE45" i="74"/>
  <c r="AO45" i="74"/>
  <c r="AJ45" i="74"/>
  <c r="AP45" i="74"/>
  <c r="AK45" i="74"/>
  <c r="AF45" i="74"/>
  <c r="AI45" i="74"/>
  <c r="AH45" i="74"/>
  <c r="AN45" i="74"/>
  <c r="AO42" i="74"/>
  <c r="AJ42" i="74"/>
  <c r="AP42" i="74"/>
  <c r="AK42" i="74"/>
  <c r="AF42" i="74"/>
  <c r="AL42" i="74"/>
  <c r="AN42" i="74"/>
  <c r="AI42" i="74"/>
  <c r="AE42" i="74"/>
  <c r="AV35" i="74"/>
  <c r="AX35" i="74"/>
  <c r="BA35" i="74"/>
  <c r="BC35" i="74"/>
  <c r="BE35" i="74"/>
  <c r="BR35" i="74" s="1"/>
  <c r="AZ35" i="74"/>
  <c r="AU35" i="74"/>
  <c r="BB35" i="74"/>
  <c r="BO35" i="74" s="1"/>
  <c r="AZ29" i="74"/>
  <c r="AU29" i="74"/>
  <c r="BE29" i="74"/>
  <c r="AV29" i="74"/>
  <c r="BI29" i="74" s="1"/>
  <c r="BB29" i="74"/>
  <c r="BO29" i="74" s="1"/>
  <c r="BA29" i="74"/>
  <c r="BD29" i="74"/>
  <c r="AY29" i="74"/>
  <c r="BL29" i="74" s="1"/>
  <c r="AT29" i="74"/>
  <c r="AN27" i="74"/>
  <c r="AI27" i="74"/>
  <c r="AO27" i="74"/>
  <c r="AJ27" i="74"/>
  <c r="AP27" i="74"/>
  <c r="AE27" i="74"/>
  <c r="AG27" i="74"/>
  <c r="AM27" i="74"/>
  <c r="AH27" i="74"/>
  <c r="AK23" i="74"/>
  <c r="AF23" i="74"/>
  <c r="AL23" i="74"/>
  <c r="AG23" i="74"/>
  <c r="AM23" i="74"/>
  <c r="AH23" i="74"/>
  <c r="AO23" i="74"/>
  <c r="AJ23" i="74"/>
  <c r="AP23" i="74"/>
  <c r="AE23" i="74"/>
  <c r="BG23" i="74" s="1"/>
  <c r="AG19" i="74"/>
  <c r="AM19" i="74"/>
  <c r="AH19" i="74"/>
  <c r="AN19" i="74"/>
  <c r="AI19" i="74"/>
  <c r="AE19" i="74"/>
  <c r="AK19" i="74"/>
  <c r="AF19" i="74"/>
  <c r="AL19" i="74"/>
  <c r="AN15" i="74"/>
  <c r="AI15" i="74"/>
  <c r="AO15" i="74"/>
  <c r="AJ15" i="74"/>
  <c r="AP15" i="74"/>
  <c r="AG15" i="74"/>
  <c r="AM15" i="74"/>
  <c r="AH15" i="74"/>
  <c r="AE15" i="74"/>
  <c r="BG15" i="74" s="1"/>
  <c r="AP14" i="74"/>
  <c r="AK14" i="74"/>
  <c r="AF14" i="74"/>
  <c r="AM14" i="74"/>
  <c r="AL14" i="74"/>
  <c r="AG14" i="74"/>
  <c r="AE14" i="74"/>
  <c r="AO14" i="74"/>
  <c r="AJ14" i="74"/>
  <c r="AK4" i="74"/>
  <c r="AN4" i="74"/>
  <c r="AP4" i="74"/>
  <c r="AG4" i="74"/>
  <c r="AJ4" i="74"/>
  <c r="AH4" i="74"/>
  <c r="AO4" i="74"/>
  <c r="AE4" i="74"/>
  <c r="AI4" i="74"/>
  <c r="AE12" i="74"/>
  <c r="AO12" i="74"/>
  <c r="AJ12" i="74"/>
  <c r="AP12" i="74"/>
  <c r="AK12" i="74"/>
  <c r="AF12" i="74"/>
  <c r="AI12" i="74"/>
  <c r="AH12" i="74"/>
  <c r="AN12" i="74"/>
  <c r="AM76" i="74"/>
  <c r="AL76" i="74"/>
  <c r="AG76" i="74"/>
  <c r="AF76" i="74"/>
  <c r="AP76" i="74"/>
  <c r="AK76" i="74"/>
  <c r="BA72" i="74"/>
  <c r="AT72" i="74"/>
  <c r="AW72" i="74"/>
  <c r="AV72" i="74"/>
  <c r="AY72" i="74"/>
  <c r="BB72" i="74"/>
  <c r="BE66" i="74"/>
  <c r="AX66" i="74"/>
  <c r="AU66" i="74"/>
  <c r="AV66" i="74"/>
  <c r="BC66" i="74"/>
  <c r="BA66" i="74"/>
  <c r="AF63" i="74"/>
  <c r="AP63" i="74"/>
  <c r="AK63" i="74"/>
  <c r="AJ63" i="74"/>
  <c r="AE63" i="74"/>
  <c r="AO63" i="74"/>
  <c r="BG167" i="74"/>
  <c r="BM77" i="74"/>
  <c r="BH77" i="74"/>
  <c r="BR77" i="74"/>
  <c r="BM143" i="74"/>
  <c r="BG138" i="74"/>
  <c r="BJ70" i="74"/>
  <c r="BQ70" i="74"/>
  <c r="BG113" i="74"/>
  <c r="AO81" i="74"/>
  <c r="BQ81" i="74" s="1"/>
  <c r="AJ81" i="74"/>
  <c r="BL81" i="74" s="1"/>
  <c r="AE81" i="74"/>
  <c r="AL81" i="74"/>
  <c r="AG81" i="74"/>
  <c r="BI81" i="74" s="1"/>
  <c r="AM81" i="74"/>
  <c r="BO81" i="74" s="1"/>
  <c r="BE53" i="74"/>
  <c r="AZ53" i="74"/>
  <c r="AU53" i="74"/>
  <c r="BH53" i="74" s="1"/>
  <c r="AX53" i="74"/>
  <c r="BK53" i="74" s="1"/>
  <c r="AW53" i="74"/>
  <c r="BC53" i="74"/>
  <c r="AT53" i="74"/>
  <c r="BG53" i="74" s="1"/>
  <c r="AY53" i="74"/>
  <c r="BA53" i="74"/>
  <c r="BD53" i="74"/>
  <c r="BE45" i="74"/>
  <c r="BR45" i="74" s="1"/>
  <c r="AZ45" i="74"/>
  <c r="AU45" i="74"/>
  <c r="AX45" i="74"/>
  <c r="AW45" i="74"/>
  <c r="BC45" i="74"/>
  <c r="BP45" i="74" s="1"/>
  <c r="AT45" i="74"/>
  <c r="AY45" i="74"/>
  <c r="BA45" i="74"/>
  <c r="BN45" i="74" s="1"/>
  <c r="BD45" i="74"/>
  <c r="BD37" i="74"/>
  <c r="AY37" i="74"/>
  <c r="BA37" i="74"/>
  <c r="AV37" i="74"/>
  <c r="BB37" i="74"/>
  <c r="BE37" i="74"/>
  <c r="AZ37" i="74"/>
  <c r="AX37" i="74"/>
  <c r="BC37" i="74"/>
  <c r="AW37" i="74"/>
  <c r="AU37" i="74"/>
  <c r="AY128" i="74"/>
  <c r="BL128" i="74" s="1"/>
  <c r="BA128" i="74"/>
  <c r="BD128" i="74"/>
  <c r="BB128" i="74"/>
  <c r="BO128" i="74" s="1"/>
  <c r="BE128" i="74"/>
  <c r="BR128" i="74" s="1"/>
  <c r="AH126" i="74"/>
  <c r="AN126" i="74"/>
  <c r="AI126" i="74"/>
  <c r="BK126" i="74" s="1"/>
  <c r="AP126" i="74"/>
  <c r="BR126" i="74" s="1"/>
  <c r="AK126" i="74"/>
  <c r="AF126" i="74"/>
  <c r="AP24" i="74"/>
  <c r="AK24" i="74"/>
  <c r="AF24" i="74"/>
  <c r="AI24" i="74"/>
  <c r="AH24" i="74"/>
  <c r="AN24" i="74"/>
  <c r="AM24" i="74"/>
  <c r="AG24" i="74"/>
  <c r="AE24" i="74"/>
  <c r="AJ24" i="74"/>
  <c r="AL24" i="74"/>
  <c r="AI20" i="74"/>
  <c r="AH20" i="74"/>
  <c r="AN20" i="74"/>
  <c r="AP20" i="74"/>
  <c r="AK20" i="74"/>
  <c r="AF20" i="74"/>
  <c r="AL20" i="74"/>
  <c r="AO20" i="74"/>
  <c r="AM20" i="74"/>
  <c r="AG20" i="74"/>
  <c r="AP16" i="74"/>
  <c r="AK16" i="74"/>
  <c r="AF16" i="74"/>
  <c r="AI16" i="74"/>
  <c r="AH16" i="74"/>
  <c r="AN16" i="74"/>
  <c r="AM16" i="74"/>
  <c r="AG16" i="74"/>
  <c r="AE16" i="74"/>
  <c r="AJ16" i="74"/>
  <c r="AL16" i="74"/>
  <c r="AL6" i="74"/>
  <c r="AG6" i="74"/>
  <c r="BI6" i="74" s="1"/>
  <c r="AJ6" i="74"/>
  <c r="AI6" i="74"/>
  <c r="AO6" i="74"/>
  <c r="BQ6" i="74" s="1"/>
  <c r="AE6" i="74"/>
  <c r="AP6" i="74"/>
  <c r="AN6" i="74"/>
  <c r="BP6" i="74" s="1"/>
  <c r="AH6" i="74"/>
  <c r="BJ6" i="74" s="1"/>
  <c r="AF6" i="74"/>
  <c r="BH6" i="74" s="1"/>
  <c r="AK6" i="74"/>
  <c r="AJ5" i="74"/>
  <c r="AO5" i="74"/>
  <c r="AH5" i="74"/>
  <c r="AM5" i="74"/>
  <c r="AP5" i="74"/>
  <c r="AI5" i="74"/>
  <c r="AE5" i="74"/>
  <c r="BG5" i="74" s="1"/>
  <c r="AG5" i="74"/>
  <c r="AN5" i="74"/>
  <c r="AL5" i="74"/>
  <c r="BC68" i="74"/>
  <c r="BA68" i="74"/>
  <c r="BD68" i="74"/>
  <c r="AX68" i="74"/>
  <c r="AU68" i="74"/>
  <c r="AZ68" i="74"/>
  <c r="BB68" i="74"/>
  <c r="BE68" i="74"/>
  <c r="AK174" i="74"/>
  <c r="AO175" i="74"/>
  <c r="BQ175" i="74" s="1"/>
  <c r="AE148" i="74"/>
  <c r="AO139" i="74"/>
  <c r="AE126" i="74"/>
  <c r="BG126" i="74" s="1"/>
  <c r="AX136" i="74"/>
  <c r="AV136" i="74"/>
  <c r="AU136" i="74"/>
  <c r="BH136" i="74" s="1"/>
  <c r="AV134" i="74"/>
  <c r="BI134" i="74" s="1"/>
  <c r="BD134" i="74"/>
  <c r="AE131" i="74"/>
  <c r="AZ128" i="74"/>
  <c r="BM128" i="74" s="1"/>
  <c r="BC128" i="74"/>
  <c r="BP128" i="74" s="1"/>
  <c r="AJ126" i="74"/>
  <c r="AL123" i="74"/>
  <c r="AE85" i="74"/>
  <c r="AI81" i="74"/>
  <c r="BK81" i="74" s="1"/>
  <c r="AH81" i="74"/>
  <c r="BJ81" i="74" s="1"/>
  <c r="AK78" i="74"/>
  <c r="AF78" i="74"/>
  <c r="AV68" i="74"/>
  <c r="AX63" i="74"/>
  <c r="BB45" i="74"/>
  <c r="BI35" i="74"/>
  <c r="AO16" i="74"/>
  <c r="AF5" i="74"/>
  <c r="AM85" i="74"/>
  <c r="AO85" i="74"/>
  <c r="AI85" i="74"/>
  <c r="AJ85" i="74"/>
  <c r="AG85" i="74"/>
  <c r="AF85" i="74"/>
  <c r="AE59" i="74"/>
  <c r="AM59" i="74"/>
  <c r="AI59" i="74"/>
  <c r="AO59" i="74"/>
  <c r="BQ59" i="74" s="1"/>
  <c r="AJ59" i="74"/>
  <c r="BL59" i="74" s="1"/>
  <c r="AP59" i="74"/>
  <c r="AK59" i="74"/>
  <c r="AF59" i="74"/>
  <c r="BH59" i="74" s="1"/>
  <c r="AL59" i="74"/>
  <c r="AG59" i="74"/>
  <c r="AE51" i="74"/>
  <c r="AO51" i="74"/>
  <c r="BQ51" i="74" s="1"/>
  <c r="AJ51" i="74"/>
  <c r="BL51" i="74" s="1"/>
  <c r="AM51" i="74"/>
  <c r="AL51" i="74"/>
  <c r="AG51" i="74"/>
  <c r="BI51" i="74" s="1"/>
  <c r="AI51" i="74"/>
  <c r="AN51" i="74"/>
  <c r="AP51" i="74"/>
  <c r="AF51" i="74"/>
  <c r="BH51" i="74" s="1"/>
  <c r="AH51" i="74"/>
  <c r="AE43" i="74"/>
  <c r="AO43" i="74"/>
  <c r="AJ43" i="74"/>
  <c r="BL43" i="74" s="1"/>
  <c r="AM43" i="74"/>
  <c r="AL43" i="74"/>
  <c r="AG43" i="74"/>
  <c r="AI43" i="74"/>
  <c r="AN43" i="74"/>
  <c r="BP43" i="74" s="1"/>
  <c r="AP43" i="74"/>
  <c r="AF43" i="74"/>
  <c r="AH43" i="74"/>
  <c r="BJ43" i="74" s="1"/>
  <c r="AP131" i="74"/>
  <c r="AG131" i="74"/>
  <c r="AJ131" i="74"/>
  <c r="AH131" i="74"/>
  <c r="AF131" i="74"/>
  <c r="AN131" i="74"/>
  <c r="AZ27" i="74"/>
  <c r="AU27" i="74"/>
  <c r="BH27" i="74" s="1"/>
  <c r="BE27" i="74"/>
  <c r="BC27" i="74"/>
  <c r="AX27" i="74"/>
  <c r="AW27" i="74"/>
  <c r="BJ27" i="74" s="1"/>
  <c r="AY27" i="74"/>
  <c r="BB27" i="74"/>
  <c r="BD27" i="74"/>
  <c r="AT27" i="74"/>
  <c r="BG27" i="74" s="1"/>
  <c r="AJ74" i="74"/>
  <c r="AE74" i="74"/>
  <c r="AO74" i="74"/>
  <c r="AF74" i="74"/>
  <c r="AP74" i="74"/>
  <c r="AK74" i="74"/>
  <c r="AM74" i="74"/>
  <c r="AL74" i="74"/>
  <c r="AG74" i="74"/>
  <c r="BG179" i="74"/>
  <c r="AM174" i="74"/>
  <c r="AH169" i="74"/>
  <c r="BJ169" i="74" s="1"/>
  <c r="AL148" i="74"/>
  <c r="BN148" i="74" s="1"/>
  <c r="AZ145" i="74"/>
  <c r="AP143" i="74"/>
  <c r="AL139" i="74"/>
  <c r="BN139" i="74" s="1"/>
  <c r="AT136" i="74"/>
  <c r="BR136" i="74"/>
  <c r="AF174" i="74"/>
  <c r="AM175" i="74"/>
  <c r="BO175" i="74" s="1"/>
  <c r="AH175" i="74"/>
  <c r="BJ175" i="74" s="1"/>
  <c r="AJ169" i="74"/>
  <c r="BL169" i="74" s="1"/>
  <c r="AG169" i="74"/>
  <c r="BI169" i="74" s="1"/>
  <c r="AL169" i="74"/>
  <c r="BN169" i="74" s="1"/>
  <c r="AM148" i="74"/>
  <c r="BO148" i="74" s="1"/>
  <c r="AJ148" i="74"/>
  <c r="AP148" i="74"/>
  <c r="AV145" i="74"/>
  <c r="BI145" i="74" s="1"/>
  <c r="AX145" i="74"/>
  <c r="BK145" i="74" s="1"/>
  <c r="BE145" i="74"/>
  <c r="AI143" i="74"/>
  <c r="AG143" i="74"/>
  <c r="BI143" i="74" s="1"/>
  <c r="AF143" i="74"/>
  <c r="AE139" i="74"/>
  <c r="AH139" i="74"/>
  <c r="BJ139" i="74" s="1"/>
  <c r="AF139" i="74"/>
  <c r="BH139" i="74" s="1"/>
  <c r="BM138" i="74"/>
  <c r="BR140" i="74"/>
  <c r="BD136" i="74"/>
  <c r="BA136" i="74"/>
  <c r="BN136" i="74" s="1"/>
  <c r="AY136" i="74"/>
  <c r="BA134" i="74"/>
  <c r="BK132" i="74"/>
  <c r="BR132" i="74"/>
  <c r="AO131" i="74"/>
  <c r="AV128" i="74"/>
  <c r="AG126" i="74"/>
  <c r="AF81" i="74"/>
  <c r="BH81" i="74" s="1"/>
  <c r="AP81" i="74"/>
  <c r="AH78" i="74"/>
  <c r="AV53" i="74"/>
  <c r="AK51" i="74"/>
  <c r="BM51" i="74" s="1"/>
  <c r="AV27" i="74"/>
  <c r="AJ20" i="74"/>
  <c r="AJ78" i="74"/>
  <c r="AE78" i="74"/>
  <c r="AO78" i="74"/>
  <c r="AM78" i="74"/>
  <c r="AL78" i="74"/>
  <c r="AG78" i="74"/>
  <c r="AO56" i="74"/>
  <c r="AJ56" i="74"/>
  <c r="AP56" i="74"/>
  <c r="AG56" i="74"/>
  <c r="AM56" i="74"/>
  <c r="AH56" i="74"/>
  <c r="AF56" i="74"/>
  <c r="AI56" i="74"/>
  <c r="AE56" i="74"/>
  <c r="AK56" i="74"/>
  <c r="AL56" i="74"/>
  <c r="AO48" i="74"/>
  <c r="AJ48" i="74"/>
  <c r="AP48" i="74"/>
  <c r="AG48" i="74"/>
  <c r="AM48" i="74"/>
  <c r="AH48" i="74"/>
  <c r="AF48" i="74"/>
  <c r="AI48" i="74"/>
  <c r="AE48" i="74"/>
  <c r="AK48" i="74"/>
  <c r="AL48" i="74"/>
  <c r="AU134" i="74"/>
  <c r="AW134" i="74"/>
  <c r="BJ134" i="74" s="1"/>
  <c r="AN123" i="74"/>
  <c r="AI123" i="74"/>
  <c r="AH123" i="74"/>
  <c r="AF123" i="74"/>
  <c r="AP123" i="74"/>
  <c r="AK123" i="74"/>
  <c r="AY63" i="74"/>
  <c r="AT63" i="74"/>
  <c r="BD63" i="74"/>
  <c r="BQ63" i="74" s="1"/>
  <c r="AU63" i="74"/>
  <c r="BE63" i="74"/>
  <c r="AZ63" i="74"/>
  <c r="BB63" i="74"/>
  <c r="BA63" i="74"/>
  <c r="AV63" i="74"/>
  <c r="AE175" i="74"/>
  <c r="BG175" i="74" s="1"/>
  <c r="AE169" i="74"/>
  <c r="AI175" i="74"/>
  <c r="BK175" i="74" s="1"/>
  <c r="BG159" i="74"/>
  <c r="AM169" i="74"/>
  <c r="BO169" i="74" s="1"/>
  <c r="AG148" i="74"/>
  <c r="BB145" i="74"/>
  <c r="BO145" i="74" s="1"/>
  <c r="BC145" i="74"/>
  <c r="AM143" i="74"/>
  <c r="BO143" i="74" s="1"/>
  <c r="BN138" i="74"/>
  <c r="BN140" i="74"/>
  <c r="BO136" i="74"/>
  <c r="AO174" i="74"/>
  <c r="AE174" i="74"/>
  <c r="AJ174" i="74"/>
  <c r="AJ175" i="74"/>
  <c r="BL175" i="74" s="1"/>
  <c r="AG175" i="74"/>
  <c r="BI175" i="74" s="1"/>
  <c r="AF169" i="74"/>
  <c r="BH169" i="74" s="1"/>
  <c r="AN169" i="74"/>
  <c r="AK169" i="74"/>
  <c r="AF148" i="74"/>
  <c r="BH148" i="74" s="1"/>
  <c r="AI148" i="74"/>
  <c r="BA145" i="74"/>
  <c r="BD145" i="74"/>
  <c r="AO143" i="74"/>
  <c r="BQ143" i="74" s="1"/>
  <c r="AL143" i="74"/>
  <c r="BN143" i="74" s="1"/>
  <c r="AM139" i="74"/>
  <c r="BO139" i="74" s="1"/>
  <c r="AJ139" i="74"/>
  <c r="AT128" i="74"/>
  <c r="BG128" i="74" s="1"/>
  <c r="AK139" i="74"/>
  <c r="AZ136" i="74"/>
  <c r="AW136" i="74"/>
  <c r="AZ134" i="74"/>
  <c r="BM134" i="74" s="1"/>
  <c r="BB134" i="74"/>
  <c r="BO134" i="74" s="1"/>
  <c r="BC134" i="74"/>
  <c r="AK131" i="74"/>
  <c r="AW128" i="74"/>
  <c r="BJ128" i="74" s="1"/>
  <c r="AO126" i="74"/>
  <c r="AG123" i="74"/>
  <c r="AM123" i="74"/>
  <c r="AN85" i="74"/>
  <c r="AN81" i="74"/>
  <c r="BP81" i="74" s="1"/>
  <c r="AP78" i="74"/>
  <c r="AH74" i="74"/>
  <c r="AT68" i="74"/>
  <c r="AY68" i="74"/>
  <c r="AN59" i="74"/>
  <c r="AN56" i="74"/>
  <c r="BB53" i="74"/>
  <c r="AT37" i="74"/>
  <c r="AE20" i="74"/>
  <c r="AM6" i="74"/>
  <c r="BK124" i="74"/>
  <c r="BP124" i="74"/>
  <c r="BJ124" i="74"/>
  <c r="BR70" i="74"/>
  <c r="BQ64" i="74"/>
  <c r="AL52" i="74"/>
  <c r="AL44" i="74"/>
  <c r="AO35" i="74"/>
  <c r="BQ35" i="74" s="1"/>
  <c r="AE11" i="74"/>
  <c r="AF26" i="74"/>
  <c r="AF18" i="74"/>
  <c r="AL11" i="74"/>
  <c r="BN35" i="74"/>
  <c r="AX57" i="74"/>
  <c r="AW57" i="74"/>
  <c r="BJ57" i="74" s="1"/>
  <c r="BC57" i="74"/>
  <c r="BP57" i="74" s="1"/>
  <c r="BE57" i="74"/>
  <c r="AZ57" i="74"/>
  <c r="AU57" i="74"/>
  <c r="BH57" i="74" s="1"/>
  <c r="AM55" i="74"/>
  <c r="BO55" i="74" s="1"/>
  <c r="AL55" i="74"/>
  <c r="AG55" i="74"/>
  <c r="BI55" i="74" s="1"/>
  <c r="AE55" i="74"/>
  <c r="BG55" i="74" s="1"/>
  <c r="AO55" i="74"/>
  <c r="AJ55" i="74"/>
  <c r="AG52" i="74"/>
  <c r="AM52" i="74"/>
  <c r="AH52" i="74"/>
  <c r="AO52" i="74"/>
  <c r="AJ52" i="74"/>
  <c r="AP52" i="74"/>
  <c r="AX49" i="74"/>
  <c r="BK49" i="74" s="1"/>
  <c r="AW49" i="74"/>
  <c r="BC49" i="74"/>
  <c r="BE49" i="74"/>
  <c r="BR49" i="74" s="1"/>
  <c r="AZ49" i="74"/>
  <c r="BM49" i="74" s="1"/>
  <c r="AU49" i="74"/>
  <c r="AM47" i="74"/>
  <c r="AL47" i="74"/>
  <c r="BN47" i="74" s="1"/>
  <c r="AG47" i="74"/>
  <c r="BI47" i="74" s="1"/>
  <c r="AE47" i="74"/>
  <c r="AO47" i="74"/>
  <c r="AJ47" i="74"/>
  <c r="AG44" i="74"/>
  <c r="AM44" i="74"/>
  <c r="AH44" i="74"/>
  <c r="AO44" i="74"/>
  <c r="AJ44" i="74"/>
  <c r="AP44" i="74"/>
  <c r="AX41" i="74"/>
  <c r="AW41" i="74"/>
  <c r="BJ41" i="74" s="1"/>
  <c r="BC41" i="74"/>
  <c r="BP41" i="74" s="1"/>
  <c r="BE41" i="74"/>
  <c r="AZ41" i="74"/>
  <c r="BM41" i="74" s="1"/>
  <c r="AU41" i="74"/>
  <c r="AI35" i="74"/>
  <c r="BK35" i="74" s="1"/>
  <c r="AH35" i="74"/>
  <c r="BJ35" i="74" s="1"/>
  <c r="AK35" i="74"/>
  <c r="AF35" i="74"/>
  <c r="BH35" i="74" s="1"/>
  <c r="AN35" i="74"/>
  <c r="AK29" i="74"/>
  <c r="AF29" i="74"/>
  <c r="AL29" i="74"/>
  <c r="AN29" i="74"/>
  <c r="BP29" i="74" s="1"/>
  <c r="AI29" i="74"/>
  <c r="AE29" i="74"/>
  <c r="BG29" i="74" s="1"/>
  <c r="AM26" i="74"/>
  <c r="AL26" i="74"/>
  <c r="AG26" i="74"/>
  <c r="AE26" i="74"/>
  <c r="AO26" i="74"/>
  <c r="AJ26" i="74"/>
  <c r="AE22" i="74"/>
  <c r="AO22" i="74"/>
  <c r="AJ22" i="74"/>
  <c r="AM22" i="74"/>
  <c r="AL22" i="74"/>
  <c r="AG22" i="74"/>
  <c r="AM18" i="74"/>
  <c r="AL18" i="74"/>
  <c r="AG18" i="74"/>
  <c r="AE18" i="74"/>
  <c r="AO18" i="74"/>
  <c r="AJ18" i="74"/>
  <c r="AL176" i="74"/>
  <c r="AP176" i="74"/>
  <c r="AM10" i="74"/>
  <c r="AL10" i="74"/>
  <c r="AG10" i="74"/>
  <c r="AE10" i="74"/>
  <c r="AO10" i="74"/>
  <c r="AJ10" i="74"/>
  <c r="AO11" i="74"/>
  <c r="AJ11" i="74"/>
  <c r="AP11" i="74"/>
  <c r="AG11" i="74"/>
  <c r="AM11" i="74"/>
  <c r="AH11" i="74"/>
  <c r="AK13" i="74"/>
  <c r="AF13" i="74"/>
  <c r="AL13" i="74"/>
  <c r="AN13" i="74"/>
  <c r="AI13" i="74"/>
  <c r="AE13" i="74"/>
  <c r="BG13" i="74" s="1"/>
  <c r="BI79" i="74"/>
  <c r="BP70" i="74"/>
  <c r="BN70" i="74"/>
  <c r="AE35" i="74"/>
  <c r="BG35" i="74" s="1"/>
  <c r="AY57" i="74"/>
  <c r="AT57" i="74"/>
  <c r="AN55" i="74"/>
  <c r="AI55" i="74"/>
  <c r="AF52" i="74"/>
  <c r="AY49" i="74"/>
  <c r="BL49" i="74" s="1"/>
  <c r="AT49" i="74"/>
  <c r="AN47" i="74"/>
  <c r="BP47" i="74" s="1"/>
  <c r="AI47" i="74"/>
  <c r="BK47" i="74" s="1"/>
  <c r="AF44" i="74"/>
  <c r="AY41" i="74"/>
  <c r="AT41" i="74"/>
  <c r="BG41" i="74" s="1"/>
  <c r="AJ35" i="74"/>
  <c r="BL35" i="74" s="1"/>
  <c r="AP29" i="74"/>
  <c r="BR29" i="74" s="1"/>
  <c r="AO29" i="74"/>
  <c r="AK26" i="74"/>
  <c r="AF22" i="74"/>
  <c r="AP22" i="74"/>
  <c r="AK18" i="74"/>
  <c r="AH13" i="74"/>
  <c r="AG13" i="74"/>
  <c r="AF11" i="74"/>
  <c r="AN10" i="74"/>
  <c r="AI10" i="74"/>
  <c r="BO27" i="74"/>
  <c r="BG172" i="74"/>
  <c r="BG143" i="74"/>
  <c r="BP148" i="74"/>
  <c r="BR145" i="74"/>
  <c r="BJ143" i="74"/>
  <c r="BP143" i="74"/>
  <c r="BH130" i="74"/>
  <c r="BP126" i="74"/>
  <c r="BJ126" i="74"/>
  <c r="BL118" i="74"/>
  <c r="BQ118" i="74"/>
  <c r="BH113" i="74"/>
  <c r="BH108" i="74"/>
  <c r="BQ107" i="74"/>
  <c r="BR105" i="74"/>
  <c r="BM105" i="74"/>
  <c r="BO77" i="74"/>
  <c r="BI77" i="74"/>
  <c r="BN77" i="74"/>
  <c r="BQ75" i="74"/>
  <c r="BH64" i="74"/>
  <c r="BR64" i="74"/>
  <c r="AO140" i="74"/>
  <c r="BQ140" i="74" s="1"/>
  <c r="AJ140" i="74"/>
  <c r="BL140" i="74" s="1"/>
  <c r="BG85" i="74"/>
  <c r="BJ79" i="74"/>
  <c r="AU167" i="74"/>
  <c r="BC167" i="74"/>
  <c r="BI135" i="74"/>
  <c r="BI113" i="74"/>
  <c r="BG79" i="74"/>
  <c r="BG75" i="74"/>
  <c r="AP174" i="74"/>
  <c r="AL174" i="74"/>
  <c r="BQ148" i="74"/>
  <c r="BN147" i="74"/>
  <c r="BQ147" i="74"/>
  <c r="BM145" i="74"/>
  <c r="BG140" i="74"/>
  <c r="BM140" i="74"/>
  <c r="BR138" i="74"/>
  <c r="BI136" i="74"/>
  <c r="BK136" i="74"/>
  <c r="BP136" i="74"/>
  <c r="BL135" i="74"/>
  <c r="BR135" i="74"/>
  <c r="BK134" i="74"/>
  <c r="BR134" i="74"/>
  <c r="BQ132" i="74"/>
  <c r="BI132" i="74"/>
  <c r="BR130" i="74"/>
  <c r="BO130" i="74"/>
  <c r="BI128" i="74"/>
  <c r="BL126" i="74"/>
  <c r="BO124" i="74"/>
  <c r="BI124" i="74"/>
  <c r="BN124" i="74"/>
  <c r="BH118" i="74"/>
  <c r="BM118" i="74"/>
  <c r="BG115" i="74"/>
  <c r="BN115" i="74"/>
  <c r="BQ113" i="74"/>
  <c r="BK108" i="74"/>
  <c r="BQ108" i="74"/>
  <c r="BK107" i="74"/>
  <c r="BR107" i="74"/>
  <c r="BO105" i="74"/>
  <c r="BH75" i="74"/>
  <c r="BM75" i="74"/>
  <c r="BK70" i="74"/>
  <c r="BH70" i="74"/>
  <c r="AP168" i="74"/>
  <c r="AL168" i="74"/>
  <c r="BG100" i="74"/>
  <c r="BG96" i="74"/>
  <c r="AM172" i="74"/>
  <c r="AI172" i="74"/>
  <c r="AO172" i="74"/>
  <c r="AK172" i="74"/>
  <c r="AG172" i="74"/>
  <c r="AL172" i="74"/>
  <c r="AJ172" i="74"/>
  <c r="AN172" i="74"/>
  <c r="AF172" i="74"/>
  <c r="AH172" i="74"/>
  <c r="AP172" i="74"/>
  <c r="BC174" i="74"/>
  <c r="BP174" i="74" s="1"/>
  <c r="AY174" i="74"/>
  <c r="AU174" i="74"/>
  <c r="BH174" i="74" s="1"/>
  <c r="BB174" i="74"/>
  <c r="AX174" i="74"/>
  <c r="BD174" i="74"/>
  <c r="AZ174" i="74"/>
  <c r="AV174" i="74"/>
  <c r="BI174" i="74" s="1"/>
  <c r="AW174" i="74"/>
  <c r="BJ174" i="74" s="1"/>
  <c r="BA174" i="74"/>
  <c r="BE174" i="74"/>
  <c r="BB172" i="74"/>
  <c r="AX172" i="74"/>
  <c r="BD172" i="74"/>
  <c r="AZ172" i="74"/>
  <c r="AV172" i="74"/>
  <c r="BE172" i="74"/>
  <c r="AW172" i="74"/>
  <c r="BC172" i="74"/>
  <c r="AU172" i="74"/>
  <c r="AY172" i="74"/>
  <c r="BA172" i="74"/>
  <c r="BE177" i="74"/>
  <c r="BA177" i="74"/>
  <c r="AW177" i="74"/>
  <c r="BD177" i="74"/>
  <c r="AZ177" i="74"/>
  <c r="AV177" i="74"/>
  <c r="BB177" i="74"/>
  <c r="AX177" i="74"/>
  <c r="AU177" i="74"/>
  <c r="AY177" i="74"/>
  <c r="BC177" i="74"/>
  <c r="BG169" i="74"/>
  <c r="BG168" i="74"/>
  <c r="AO164" i="74"/>
  <c r="AK164" i="74"/>
  <c r="AG164" i="74"/>
  <c r="AN164" i="74"/>
  <c r="AI164" i="74"/>
  <c r="AM164" i="74"/>
  <c r="AH164" i="74"/>
  <c r="AP164" i="74"/>
  <c r="AJ164" i="74"/>
  <c r="AE164" i="74"/>
  <c r="AL164" i="74"/>
  <c r="AF164" i="74"/>
  <c r="BH175" i="74"/>
  <c r="BP175" i="74"/>
  <c r="BM175" i="74"/>
  <c r="BR175" i="74"/>
  <c r="AN166" i="74"/>
  <c r="AJ166" i="74"/>
  <c r="AF166" i="74"/>
  <c r="AM166" i="74"/>
  <c r="AI166" i="74"/>
  <c r="AE166" i="74"/>
  <c r="AO166" i="74"/>
  <c r="AK166" i="74"/>
  <c r="AG166" i="74"/>
  <c r="AP166" i="74"/>
  <c r="AL166" i="74"/>
  <c r="AH166" i="74"/>
  <c r="BG161" i="74"/>
  <c r="BK161" i="74"/>
  <c r="BQ161" i="74"/>
  <c r="BK169" i="74"/>
  <c r="BD164" i="74"/>
  <c r="AZ164" i="74"/>
  <c r="AV164" i="74"/>
  <c r="BB164" i="74"/>
  <c r="AW164" i="74"/>
  <c r="BA164" i="74"/>
  <c r="AU164" i="74"/>
  <c r="BC164" i="74"/>
  <c r="AX164" i="74"/>
  <c r="AT164" i="74"/>
  <c r="BE164" i="74"/>
  <c r="AY164" i="74"/>
  <c r="AM156" i="74"/>
  <c r="AI156" i="74"/>
  <c r="AE156" i="74"/>
  <c r="AO156" i="74"/>
  <c r="AK156" i="74"/>
  <c r="AG156" i="74"/>
  <c r="AP156" i="74"/>
  <c r="AH156" i="74"/>
  <c r="AN156" i="74"/>
  <c r="AF156" i="74"/>
  <c r="AL156" i="74"/>
  <c r="AJ156" i="74"/>
  <c r="BB153" i="74"/>
  <c r="AX153" i="74"/>
  <c r="BE153" i="74"/>
  <c r="AZ153" i="74"/>
  <c r="AU153" i="74"/>
  <c r="BD153" i="74"/>
  <c r="AY153" i="74"/>
  <c r="BC153" i="74"/>
  <c r="AW153" i="74"/>
  <c r="BA153" i="74"/>
  <c r="AV153" i="74"/>
  <c r="AN162" i="74"/>
  <c r="AJ162" i="74"/>
  <c r="AF162" i="74"/>
  <c r="AM162" i="74"/>
  <c r="AI162" i="74"/>
  <c r="AE162" i="74"/>
  <c r="AO162" i="74"/>
  <c r="AK162" i="74"/>
  <c r="AG162" i="74"/>
  <c r="AP162" i="74"/>
  <c r="AL162" i="74"/>
  <c r="AH162" i="74"/>
  <c r="AP159" i="74"/>
  <c r="AL159" i="74"/>
  <c r="AH159" i="74"/>
  <c r="AO159" i="74"/>
  <c r="AK159" i="74"/>
  <c r="AG159" i="74"/>
  <c r="AM159" i="74"/>
  <c r="AI159" i="74"/>
  <c r="AN159" i="74"/>
  <c r="AJ159" i="74"/>
  <c r="AF159" i="74"/>
  <c r="BG141" i="74"/>
  <c r="BL148" i="74"/>
  <c r="BR148" i="74"/>
  <c r="BI147" i="74"/>
  <c r="BK147" i="74"/>
  <c r="BR147" i="74"/>
  <c r="BJ145" i="74"/>
  <c r="BG145" i="74"/>
  <c r="BN145" i="74"/>
  <c r="BK143" i="74"/>
  <c r="BH143" i="74"/>
  <c r="BI139" i="74"/>
  <c r="BP139" i="74"/>
  <c r="BP138" i="74"/>
  <c r="BI140" i="74"/>
  <c r="BJ140" i="74"/>
  <c r="BC141" i="74"/>
  <c r="AY141" i="74"/>
  <c r="AU141" i="74"/>
  <c r="BH141" i="74" s="1"/>
  <c r="BA141" i="74"/>
  <c r="BN141" i="74" s="1"/>
  <c r="AV141" i="74"/>
  <c r="BI141" i="74" s="1"/>
  <c r="BE141" i="74"/>
  <c r="AZ141" i="74"/>
  <c r="BD141" i="74"/>
  <c r="BQ141" i="74" s="1"/>
  <c r="AX141" i="74"/>
  <c r="BB141" i="74"/>
  <c r="AW141" i="74"/>
  <c r="BJ138" i="74"/>
  <c r="AP133" i="74"/>
  <c r="AL133" i="74"/>
  <c r="AH133" i="74"/>
  <c r="AK133" i="74"/>
  <c r="AF133" i="74"/>
  <c r="AO133" i="74"/>
  <c r="AJ133" i="74"/>
  <c r="AN133" i="74"/>
  <c r="AI133" i="74"/>
  <c r="AM133" i="74"/>
  <c r="AG133" i="74"/>
  <c r="BC127" i="74"/>
  <c r="AY127" i="74"/>
  <c r="AU127" i="74"/>
  <c r="BB127" i="74"/>
  <c r="BO127" i="74" s="1"/>
  <c r="AX127" i="74"/>
  <c r="BE127" i="74"/>
  <c r="BA127" i="74"/>
  <c r="BN127" i="74" s="1"/>
  <c r="AW127" i="74"/>
  <c r="BJ127" i="74" s="1"/>
  <c r="BD127" i="74"/>
  <c r="AZ127" i="74"/>
  <c r="AV127" i="74"/>
  <c r="BI127" i="74" s="1"/>
  <c r="BM139" i="74"/>
  <c r="BE137" i="74"/>
  <c r="BR137" i="74" s="1"/>
  <c r="BA137" i="74"/>
  <c r="BN137" i="74" s="1"/>
  <c r="AW137" i="74"/>
  <c r="BB137" i="74"/>
  <c r="BO137" i="74" s="1"/>
  <c r="AV137" i="74"/>
  <c r="AZ137" i="74"/>
  <c r="AU137" i="74"/>
  <c r="BH137" i="74" s="1"/>
  <c r="BD137" i="74"/>
  <c r="BQ137" i="74" s="1"/>
  <c r="AY137" i="74"/>
  <c r="BL137" i="74" s="1"/>
  <c r="AT137" i="74"/>
  <c r="BG137" i="74" s="1"/>
  <c r="BC137" i="74"/>
  <c r="AX137" i="74"/>
  <c r="BK137" i="74" s="1"/>
  <c r="BG124" i="74"/>
  <c r="BB102" i="74"/>
  <c r="AX102" i="74"/>
  <c r="BE102" i="74"/>
  <c r="BA102" i="74"/>
  <c r="AW102" i="74"/>
  <c r="BD102" i="74"/>
  <c r="AZ102" i="74"/>
  <c r="AV102" i="74"/>
  <c r="BC102" i="74"/>
  <c r="AY102" i="74"/>
  <c r="AU102" i="74"/>
  <c r="BM136" i="74"/>
  <c r="BJ136" i="74"/>
  <c r="BM135" i="74"/>
  <c r="BP135" i="74"/>
  <c r="BJ135" i="74"/>
  <c r="BG134" i="74"/>
  <c r="BL134" i="74"/>
  <c r="BO132" i="74"/>
  <c r="BM132" i="74"/>
  <c r="BQ130" i="74"/>
  <c r="BN130" i="74"/>
  <c r="BL130" i="74"/>
  <c r="BH128" i="74"/>
  <c r="BO126" i="74"/>
  <c r="BI126" i="74"/>
  <c r="BH124" i="74"/>
  <c r="BM124" i="74"/>
  <c r="BR124" i="74"/>
  <c r="BG123" i="74"/>
  <c r="AN111" i="74"/>
  <c r="BP111" i="74" s="1"/>
  <c r="AJ111" i="74"/>
  <c r="BL111" i="74" s="1"/>
  <c r="AF111" i="74"/>
  <c r="BH111" i="74" s="1"/>
  <c r="AP111" i="74"/>
  <c r="AK111" i="74"/>
  <c r="BM111" i="74" s="1"/>
  <c r="AO111" i="74"/>
  <c r="BQ111" i="74" s="1"/>
  <c r="AI111" i="74"/>
  <c r="BK111" i="74" s="1"/>
  <c r="AM111" i="74"/>
  <c r="BO111" i="74" s="1"/>
  <c r="AH111" i="74"/>
  <c r="BJ111" i="74" s="1"/>
  <c r="AL111" i="74"/>
  <c r="BN111" i="74" s="1"/>
  <c r="AG111" i="74"/>
  <c r="AM104" i="74"/>
  <c r="AI104" i="74"/>
  <c r="AP104" i="74"/>
  <c r="AL104" i="74"/>
  <c r="AH104" i="74"/>
  <c r="AO104" i="74"/>
  <c r="AK104" i="74"/>
  <c r="AG104" i="74"/>
  <c r="AN104" i="74"/>
  <c r="AJ104" i="74"/>
  <c r="AF104" i="74"/>
  <c r="BK118" i="74"/>
  <c r="AO89" i="74"/>
  <c r="BQ89" i="74" s="1"/>
  <c r="AK89" i="74"/>
  <c r="BM89" i="74" s="1"/>
  <c r="AG89" i="74"/>
  <c r="AN89" i="74"/>
  <c r="BP89" i="74" s="1"/>
  <c r="AI89" i="74"/>
  <c r="BK89" i="74" s="1"/>
  <c r="AM89" i="74"/>
  <c r="BO89" i="74" s="1"/>
  <c r="AH89" i="74"/>
  <c r="BJ89" i="74" s="1"/>
  <c r="AL89" i="74"/>
  <c r="BN89" i="74" s="1"/>
  <c r="AF89" i="74"/>
  <c r="BH89" i="74" s="1"/>
  <c r="AP89" i="74"/>
  <c r="AJ89" i="74"/>
  <c r="AE89" i="74"/>
  <c r="AO87" i="74"/>
  <c r="BQ87" i="74" s="1"/>
  <c r="AK87" i="74"/>
  <c r="AG87" i="74"/>
  <c r="BI87" i="74" s="1"/>
  <c r="AP87" i="74"/>
  <c r="BR87" i="74" s="1"/>
  <c r="AJ87" i="74"/>
  <c r="BL87" i="74" s="1"/>
  <c r="AE87" i="74"/>
  <c r="AN87" i="74"/>
  <c r="BP87" i="74" s="1"/>
  <c r="AI87" i="74"/>
  <c r="BK87" i="74" s="1"/>
  <c r="AM87" i="74"/>
  <c r="BO87" i="74" s="1"/>
  <c r="AH87" i="74"/>
  <c r="AL87" i="74"/>
  <c r="BN87" i="74" s="1"/>
  <c r="AF87" i="74"/>
  <c r="BH87" i="74" s="1"/>
  <c r="AM86" i="74"/>
  <c r="AI86" i="74"/>
  <c r="AP86" i="74"/>
  <c r="AK86" i="74"/>
  <c r="AF86" i="74"/>
  <c r="AO86" i="74"/>
  <c r="AJ86" i="74"/>
  <c r="AN86" i="74"/>
  <c r="AH86" i="74"/>
  <c r="AL86" i="74"/>
  <c r="AG86" i="74"/>
  <c r="BD85" i="74"/>
  <c r="AZ85" i="74"/>
  <c r="BM85" i="74" s="1"/>
  <c r="AV85" i="74"/>
  <c r="BE85" i="74"/>
  <c r="AY85" i="74"/>
  <c r="BL85" i="74" s="1"/>
  <c r="BC85" i="74"/>
  <c r="AX85" i="74"/>
  <c r="BB85" i="74"/>
  <c r="BO85" i="74" s="1"/>
  <c r="AW85" i="74"/>
  <c r="BJ85" i="74" s="1"/>
  <c r="BA85" i="74"/>
  <c r="BN85" i="74" s="1"/>
  <c r="AU85" i="74"/>
  <c r="BB84" i="74"/>
  <c r="AX84" i="74"/>
  <c r="BE84" i="74"/>
  <c r="AZ84" i="74"/>
  <c r="AU84" i="74"/>
  <c r="BD84" i="74"/>
  <c r="AY84" i="74"/>
  <c r="BC84" i="74"/>
  <c r="AW84" i="74"/>
  <c r="BA84" i="74"/>
  <c r="AV84" i="74"/>
  <c r="BC80" i="74"/>
  <c r="AY80" i="74"/>
  <c r="BL80" i="74" s="1"/>
  <c r="AU80" i="74"/>
  <c r="BH80" i="74" s="1"/>
  <c r="BB80" i="74"/>
  <c r="AX80" i="74"/>
  <c r="BE80" i="74"/>
  <c r="BA80" i="74"/>
  <c r="BN80" i="74" s="1"/>
  <c r="AW80" i="74"/>
  <c r="BJ80" i="74" s="1"/>
  <c r="BD80" i="74"/>
  <c r="AZ80" i="74"/>
  <c r="AV80" i="74"/>
  <c r="BI80" i="74" s="1"/>
  <c r="BK115" i="74"/>
  <c r="BR115" i="74"/>
  <c r="BR113" i="74"/>
  <c r="BO113" i="74"/>
  <c r="BL113" i="74"/>
  <c r="BL108" i="74"/>
  <c r="BR108" i="74"/>
  <c r="BM107" i="74"/>
  <c r="BJ107" i="74"/>
  <c r="BJ105" i="74"/>
  <c r="BP105" i="74"/>
  <c r="BR103" i="74"/>
  <c r="BH103" i="74"/>
  <c r="BM103" i="74"/>
  <c r="BR99" i="74"/>
  <c r="BH99" i="74"/>
  <c r="BM99" i="74"/>
  <c r="AM84" i="74"/>
  <c r="AI84" i="74"/>
  <c r="AL84" i="74"/>
  <c r="AG84" i="74"/>
  <c r="AP84" i="74"/>
  <c r="AK84" i="74"/>
  <c r="AF84" i="74"/>
  <c r="AO84" i="74"/>
  <c r="AJ84" i="74"/>
  <c r="AN84" i="74"/>
  <c r="AH84" i="74"/>
  <c r="BN81" i="74"/>
  <c r="BH79" i="74"/>
  <c r="BM79" i="74"/>
  <c r="BR79" i="74"/>
  <c r="BL77" i="74"/>
  <c r="BP75" i="74"/>
  <c r="BJ75" i="74"/>
  <c r="AM71" i="74"/>
  <c r="AI71" i="74"/>
  <c r="AN71" i="74"/>
  <c r="AH71" i="74"/>
  <c r="AL71" i="74"/>
  <c r="AG71" i="74"/>
  <c r="AP71" i="74"/>
  <c r="AK71" i="74"/>
  <c r="AF71" i="74"/>
  <c r="AO71" i="74"/>
  <c r="AJ71" i="74"/>
  <c r="BI70" i="74"/>
  <c r="AO68" i="74"/>
  <c r="BQ68" i="74" s="1"/>
  <c r="AK68" i="74"/>
  <c r="BM68" i="74" s="1"/>
  <c r="AG68" i="74"/>
  <c r="AP68" i="74"/>
  <c r="AJ68" i="74"/>
  <c r="BL68" i="74" s="1"/>
  <c r="AE68" i="74"/>
  <c r="BG68" i="74" s="1"/>
  <c r="AN68" i="74"/>
  <c r="AI68" i="74"/>
  <c r="AM68" i="74"/>
  <c r="BO68" i="74" s="1"/>
  <c r="AH68" i="74"/>
  <c r="BJ68" i="74" s="1"/>
  <c r="AL68" i="74"/>
  <c r="BN68" i="74" s="1"/>
  <c r="AF68" i="74"/>
  <c r="AM67" i="74"/>
  <c r="AI67" i="74"/>
  <c r="AP67" i="74"/>
  <c r="AK67" i="74"/>
  <c r="AF67" i="74"/>
  <c r="AO67" i="74"/>
  <c r="AJ67" i="74"/>
  <c r="AN67" i="74"/>
  <c r="AH67" i="74"/>
  <c r="AL67" i="74"/>
  <c r="AG67" i="74"/>
  <c r="BG52" i="74"/>
  <c r="BG44" i="74"/>
  <c r="BK93" i="74"/>
  <c r="BQ93" i="74"/>
  <c r="AP73" i="74"/>
  <c r="AL73" i="74"/>
  <c r="AM73" i="74"/>
  <c r="AI73" i="74"/>
  <c r="AN73" i="74"/>
  <c r="AG73" i="74"/>
  <c r="AK73" i="74"/>
  <c r="AF73" i="74"/>
  <c r="AJ73" i="74"/>
  <c r="AO73" i="74"/>
  <c r="AH73" i="74"/>
  <c r="BG64" i="74"/>
  <c r="BD52" i="74"/>
  <c r="AZ52" i="74"/>
  <c r="BM52" i="74" s="1"/>
  <c r="AV52" i="74"/>
  <c r="BC52" i="74"/>
  <c r="BP52" i="74" s="1"/>
  <c r="AY52" i="74"/>
  <c r="BL52" i="74" s="1"/>
  <c r="AU52" i="74"/>
  <c r="BB52" i="74"/>
  <c r="AX52" i="74"/>
  <c r="BK52" i="74" s="1"/>
  <c r="BE52" i="74"/>
  <c r="BA52" i="74"/>
  <c r="AW52" i="74"/>
  <c r="BD44" i="74"/>
  <c r="AZ44" i="74"/>
  <c r="BM44" i="74" s="1"/>
  <c r="AV44" i="74"/>
  <c r="BC44" i="74"/>
  <c r="AY44" i="74"/>
  <c r="AU44" i="74"/>
  <c r="BB44" i="74"/>
  <c r="BO44" i="74" s="1"/>
  <c r="AX44" i="74"/>
  <c r="BE44" i="74"/>
  <c r="BA44" i="74"/>
  <c r="BN44" i="74" s="1"/>
  <c r="AW44" i="74"/>
  <c r="BB36" i="74"/>
  <c r="AX36" i="74"/>
  <c r="BE36" i="74"/>
  <c r="BA36" i="74"/>
  <c r="AW36" i="74"/>
  <c r="AZ36" i="74"/>
  <c r="AY36" i="74"/>
  <c r="BD36" i="74"/>
  <c r="AV36" i="74"/>
  <c r="BC36" i="74"/>
  <c r="AU36" i="74"/>
  <c r="BP64" i="74"/>
  <c r="BJ64" i="74"/>
  <c r="BR63" i="74"/>
  <c r="AN38" i="74"/>
  <c r="AJ38" i="74"/>
  <c r="AF38" i="74"/>
  <c r="AM38" i="74"/>
  <c r="AI38" i="74"/>
  <c r="AP38" i="74"/>
  <c r="AL38" i="74"/>
  <c r="AH38" i="74"/>
  <c r="AO38" i="74"/>
  <c r="AK38" i="74"/>
  <c r="AG38" i="74"/>
  <c r="AM34" i="74"/>
  <c r="AI34" i="74"/>
  <c r="AP34" i="74"/>
  <c r="AL34" i="74"/>
  <c r="AH34" i="74"/>
  <c r="AK34" i="74"/>
  <c r="AJ34" i="74"/>
  <c r="AO34" i="74"/>
  <c r="AG34" i="74"/>
  <c r="AN34" i="74"/>
  <c r="AF34" i="74"/>
  <c r="BG59" i="74"/>
  <c r="BQ57" i="74"/>
  <c r="BG57" i="74"/>
  <c r="BL55" i="74"/>
  <c r="BQ55" i="74"/>
  <c r="BG51" i="74"/>
  <c r="BG49" i="74"/>
  <c r="BL45" i="74"/>
  <c r="BG45" i="74"/>
  <c r="BQ43" i="74"/>
  <c r="BG43" i="74"/>
  <c r="BL41" i="74"/>
  <c r="BQ41" i="74"/>
  <c r="BB22" i="74"/>
  <c r="AX22" i="74"/>
  <c r="BE22" i="74"/>
  <c r="BA22" i="74"/>
  <c r="BN22" i="74" s="1"/>
  <c r="AW22" i="74"/>
  <c r="BD22" i="74"/>
  <c r="AZ22" i="74"/>
  <c r="BM22" i="74" s="1"/>
  <c r="AV22" i="74"/>
  <c r="BC22" i="74"/>
  <c r="BP22" i="74" s="1"/>
  <c r="AY22" i="74"/>
  <c r="AU22" i="74"/>
  <c r="BB14" i="74"/>
  <c r="BO14" i="74" s="1"/>
  <c r="AX14" i="74"/>
  <c r="BE14" i="74"/>
  <c r="BR14" i="74" s="1"/>
  <c r="BA14" i="74"/>
  <c r="BN14" i="74" s="1"/>
  <c r="AW14" i="74"/>
  <c r="BD14" i="74"/>
  <c r="AZ14" i="74"/>
  <c r="AV14" i="74"/>
  <c r="BC14" i="74"/>
  <c r="AY14" i="74"/>
  <c r="BL14" i="74" s="1"/>
  <c r="AU14" i="74"/>
  <c r="BH14" i="74" s="1"/>
  <c r="BA4" i="74"/>
  <c r="BN4" i="74" s="1"/>
  <c r="BD4" i="74"/>
  <c r="AZ4" i="74"/>
  <c r="AV4" i="74"/>
  <c r="BB4" i="74"/>
  <c r="AW4" i="74"/>
  <c r="BC4" i="74"/>
  <c r="BP4" i="74" s="1"/>
  <c r="AY4" i="74"/>
  <c r="AU4" i="74"/>
  <c r="BH4" i="74" s="1"/>
  <c r="AX4" i="74"/>
  <c r="BE4" i="74"/>
  <c r="BG25" i="74"/>
  <c r="BG17" i="74"/>
  <c r="BD25" i="74"/>
  <c r="BQ25" i="74" s="1"/>
  <c r="AZ25" i="74"/>
  <c r="BM25" i="74" s="1"/>
  <c r="AV25" i="74"/>
  <c r="BI25" i="74" s="1"/>
  <c r="BC25" i="74"/>
  <c r="BP25" i="74" s="1"/>
  <c r="AY25" i="74"/>
  <c r="BL25" i="74" s="1"/>
  <c r="AU25" i="74"/>
  <c r="BH25" i="74" s="1"/>
  <c r="BB25" i="74"/>
  <c r="BO25" i="74" s="1"/>
  <c r="AX25" i="74"/>
  <c r="BE25" i="74"/>
  <c r="BA25" i="74"/>
  <c r="BN25" i="74" s="1"/>
  <c r="AW25" i="74"/>
  <c r="BJ25" i="74" s="1"/>
  <c r="BD17" i="74"/>
  <c r="BQ17" i="74" s="1"/>
  <c r="AZ17" i="74"/>
  <c r="BM17" i="74" s="1"/>
  <c r="AV17" i="74"/>
  <c r="BI17" i="74" s="1"/>
  <c r="BC17" i="74"/>
  <c r="AY17" i="74"/>
  <c r="AU17" i="74"/>
  <c r="BH17" i="74" s="1"/>
  <c r="BB17" i="74"/>
  <c r="BO17" i="74" s="1"/>
  <c r="AX17" i="74"/>
  <c r="BE17" i="74"/>
  <c r="BA17" i="74"/>
  <c r="BN17" i="74" s="1"/>
  <c r="AW17" i="74"/>
  <c r="BD9" i="74"/>
  <c r="AZ9" i="74"/>
  <c r="AV9" i="74"/>
  <c r="BI9" i="74" s="1"/>
  <c r="BC9" i="74"/>
  <c r="BP9" i="74" s="1"/>
  <c r="AY9" i="74"/>
  <c r="BL9" i="74" s="1"/>
  <c r="AU9" i="74"/>
  <c r="BB9" i="74"/>
  <c r="BO9" i="74" s="1"/>
  <c r="AX9" i="74"/>
  <c r="BK9" i="74" s="1"/>
  <c r="BE9" i="74"/>
  <c r="BA9" i="74"/>
  <c r="AW9" i="74"/>
  <c r="BJ9" i="74" s="1"/>
  <c r="AK7" i="74"/>
  <c r="AN7" i="74"/>
  <c r="AJ7" i="74"/>
  <c r="AF7" i="74"/>
  <c r="AM7" i="74"/>
  <c r="AI7" i="74"/>
  <c r="AO7" i="74"/>
  <c r="AG7" i="74"/>
  <c r="AP7" i="74"/>
  <c r="AL7" i="74"/>
  <c r="AH7" i="74"/>
  <c r="BH29" i="74"/>
  <c r="BM29" i="74"/>
  <c r="BN27" i="74"/>
  <c r="BM27" i="74"/>
  <c r="AT22" i="74"/>
  <c r="BJ17" i="74"/>
  <c r="AT14" i="74"/>
  <c r="BG14" i="74" s="1"/>
  <c r="BG6" i="74"/>
  <c r="BK6" i="74"/>
  <c r="BE179" i="74"/>
  <c r="BA179" i="74"/>
  <c r="AW179" i="74"/>
  <c r="BD179" i="74"/>
  <c r="AZ179" i="74"/>
  <c r="AV179" i="74"/>
  <c r="BB179" i="74"/>
  <c r="AX179" i="74"/>
  <c r="AY179" i="74"/>
  <c r="AU179" i="74"/>
  <c r="BC179" i="74"/>
  <c r="BG174" i="74"/>
  <c r="BL174" i="74"/>
  <c r="BC176" i="74"/>
  <c r="BP176" i="74" s="1"/>
  <c r="AY176" i="74"/>
  <c r="AU176" i="74"/>
  <c r="BB176" i="74"/>
  <c r="AX176" i="74"/>
  <c r="BD176" i="74"/>
  <c r="AZ176" i="74"/>
  <c r="AV176" i="74"/>
  <c r="BI176" i="74" s="1"/>
  <c r="BA176" i="74"/>
  <c r="BN176" i="74" s="1"/>
  <c r="AW176" i="74"/>
  <c r="BE176" i="74"/>
  <c r="AP173" i="74"/>
  <c r="AL173" i="74"/>
  <c r="BN173" i="74" s="1"/>
  <c r="AH173" i="74"/>
  <c r="AO173" i="74"/>
  <c r="BQ173" i="74" s="1"/>
  <c r="AK173" i="74"/>
  <c r="BM173" i="74" s="1"/>
  <c r="AG173" i="74"/>
  <c r="BI173" i="74" s="1"/>
  <c r="AM173" i="74"/>
  <c r="BO173" i="74" s="1"/>
  <c r="AI173" i="74"/>
  <c r="BK173" i="74" s="1"/>
  <c r="AJ173" i="74"/>
  <c r="AF173" i="74"/>
  <c r="BH173" i="74" s="1"/>
  <c r="AN173" i="74"/>
  <c r="BP173" i="74" s="1"/>
  <c r="AP177" i="74"/>
  <c r="BR177" i="74" s="1"/>
  <c r="AL177" i="74"/>
  <c r="BN177" i="74" s="1"/>
  <c r="AH177" i="74"/>
  <c r="AO177" i="74"/>
  <c r="AK177" i="74"/>
  <c r="AG177" i="74"/>
  <c r="BI177" i="74" s="1"/>
  <c r="AM177" i="74"/>
  <c r="BO177" i="74" s="1"/>
  <c r="AI177" i="74"/>
  <c r="AN177" i="74"/>
  <c r="BP177" i="74" s="1"/>
  <c r="AF177" i="74"/>
  <c r="AJ177" i="74"/>
  <c r="BL177" i="74" s="1"/>
  <c r="BB163" i="74"/>
  <c r="AX163" i="74"/>
  <c r="BC163" i="74"/>
  <c r="AW163" i="74"/>
  <c r="BA163" i="74"/>
  <c r="AV163" i="74"/>
  <c r="BD163" i="74"/>
  <c r="AY163" i="74"/>
  <c r="BE163" i="74"/>
  <c r="AZ163" i="74"/>
  <c r="AU163" i="74"/>
  <c r="BC170" i="74"/>
  <c r="AY170" i="74"/>
  <c r="AU170" i="74"/>
  <c r="BB170" i="74"/>
  <c r="AX170" i="74"/>
  <c r="BD170" i="74"/>
  <c r="AZ170" i="74"/>
  <c r="AV170" i="74"/>
  <c r="BA170" i="74"/>
  <c r="AW170" i="74"/>
  <c r="BE170" i="74"/>
  <c r="AP167" i="74"/>
  <c r="BR167" i="74" s="1"/>
  <c r="AL167" i="74"/>
  <c r="BN167" i="74" s="1"/>
  <c r="AH167" i="74"/>
  <c r="BJ167" i="74" s="1"/>
  <c r="AO167" i="74"/>
  <c r="BQ167" i="74" s="1"/>
  <c r="AK167" i="74"/>
  <c r="BM167" i="74" s="1"/>
  <c r="AG167" i="74"/>
  <c r="BI167" i="74" s="1"/>
  <c r="AM167" i="74"/>
  <c r="AI167" i="74"/>
  <c r="AJ167" i="74"/>
  <c r="BL167" i="74" s="1"/>
  <c r="AF167" i="74"/>
  <c r="BH167" i="74" s="1"/>
  <c r="AN167" i="74"/>
  <c r="BD165" i="74"/>
  <c r="AZ165" i="74"/>
  <c r="BB165" i="74"/>
  <c r="AX165" i="74"/>
  <c r="BC165" i="74"/>
  <c r="AV165" i="74"/>
  <c r="BA165" i="74"/>
  <c r="AU165" i="74"/>
  <c r="BE165" i="74"/>
  <c r="AW165" i="74"/>
  <c r="AY165" i="74"/>
  <c r="BO161" i="74"/>
  <c r="BJ161" i="74"/>
  <c r="BB158" i="74"/>
  <c r="BO158" i="74" s="1"/>
  <c r="AX158" i="74"/>
  <c r="BD158" i="74"/>
  <c r="BQ158" i="74" s="1"/>
  <c r="AZ158" i="74"/>
  <c r="BM158" i="74" s="1"/>
  <c r="AV158" i="74"/>
  <c r="BI158" i="74" s="1"/>
  <c r="BE158" i="74"/>
  <c r="BR158" i="74" s="1"/>
  <c r="AW158" i="74"/>
  <c r="BC158" i="74"/>
  <c r="BP158" i="74" s="1"/>
  <c r="AU158" i="74"/>
  <c r="BH158" i="74" s="1"/>
  <c r="BA158" i="74"/>
  <c r="BN158" i="74" s="1"/>
  <c r="AY158" i="74"/>
  <c r="BL158" i="74" s="1"/>
  <c r="BB155" i="74"/>
  <c r="AX155" i="74"/>
  <c r="BD155" i="74"/>
  <c r="AY155" i="74"/>
  <c r="BC155" i="74"/>
  <c r="AW155" i="74"/>
  <c r="BA155" i="74"/>
  <c r="AV155" i="74"/>
  <c r="BE155" i="74"/>
  <c r="AZ155" i="74"/>
  <c r="AU155" i="74"/>
  <c r="BC160" i="74"/>
  <c r="AY160" i="74"/>
  <c r="AU160" i="74"/>
  <c r="BB160" i="74"/>
  <c r="AX160" i="74"/>
  <c r="BD160" i="74"/>
  <c r="AZ160" i="74"/>
  <c r="AV160" i="74"/>
  <c r="BE160" i="74"/>
  <c r="BA160" i="74"/>
  <c r="AW160" i="74"/>
  <c r="BJ158" i="74"/>
  <c r="AM155" i="74"/>
  <c r="AI155" i="74"/>
  <c r="AP155" i="74"/>
  <c r="AK155" i="74"/>
  <c r="AF155" i="74"/>
  <c r="AO155" i="74"/>
  <c r="AJ155" i="74"/>
  <c r="AN155" i="74"/>
  <c r="AH155" i="74"/>
  <c r="AL155" i="74"/>
  <c r="AG155" i="74"/>
  <c r="AO157" i="74"/>
  <c r="AK157" i="74"/>
  <c r="AG157" i="74"/>
  <c r="AM157" i="74"/>
  <c r="AI157" i="74"/>
  <c r="AJ157" i="74"/>
  <c r="AP157" i="74"/>
  <c r="AH157" i="74"/>
  <c r="AN157" i="74"/>
  <c r="AF157" i="74"/>
  <c r="AL157" i="74"/>
  <c r="AO149" i="74"/>
  <c r="BQ149" i="74" s="1"/>
  <c r="AK149" i="74"/>
  <c r="AG149" i="74"/>
  <c r="AN149" i="74"/>
  <c r="BP149" i="74" s="1"/>
  <c r="AJ149" i="74"/>
  <c r="BL149" i="74" s="1"/>
  <c r="AF149" i="74"/>
  <c r="AM149" i="74"/>
  <c r="AE149" i="74"/>
  <c r="BG149" i="74" s="1"/>
  <c r="AL149" i="74"/>
  <c r="BN149" i="74" s="1"/>
  <c r="AI149" i="74"/>
  <c r="BK149" i="74" s="1"/>
  <c r="AP149" i="74"/>
  <c r="AH149" i="74"/>
  <c r="BJ149" i="74" s="1"/>
  <c r="BK148" i="74"/>
  <c r="BH147" i="74"/>
  <c r="BH145" i="74"/>
  <c r="BL143" i="74"/>
  <c r="BQ139" i="74"/>
  <c r="BK141" i="74"/>
  <c r="BO140" i="74"/>
  <c r="BE133" i="74"/>
  <c r="BA133" i="74"/>
  <c r="AW133" i="74"/>
  <c r="BD133" i="74"/>
  <c r="AY133" i="74"/>
  <c r="AT133" i="74"/>
  <c r="BG133" i="74" s="1"/>
  <c r="BC133" i="74"/>
  <c r="AX133" i="74"/>
  <c r="BB133" i="74"/>
  <c r="AV133" i="74"/>
  <c r="AZ133" i="74"/>
  <c r="AU133" i="74"/>
  <c r="BL141" i="74"/>
  <c r="BE131" i="74"/>
  <c r="BR131" i="74" s="1"/>
  <c r="BA131" i="74"/>
  <c r="BN131" i="74" s="1"/>
  <c r="AW131" i="74"/>
  <c r="AZ131" i="74"/>
  <c r="AU131" i="74"/>
  <c r="BD131" i="74"/>
  <c r="AY131" i="74"/>
  <c r="AT131" i="74"/>
  <c r="BG131" i="74" s="1"/>
  <c r="BC131" i="74"/>
  <c r="BP131" i="74" s="1"/>
  <c r="AX131" i="74"/>
  <c r="BK131" i="74" s="1"/>
  <c r="BB131" i="74"/>
  <c r="AV131" i="74"/>
  <c r="BI131" i="74" s="1"/>
  <c r="BC125" i="74"/>
  <c r="BP125" i="74" s="1"/>
  <c r="AY125" i="74"/>
  <c r="BL125" i="74" s="1"/>
  <c r="AU125" i="74"/>
  <c r="BH125" i="74" s="1"/>
  <c r="BB125" i="74"/>
  <c r="BO125" i="74" s="1"/>
  <c r="AX125" i="74"/>
  <c r="BK125" i="74" s="1"/>
  <c r="BE125" i="74"/>
  <c r="BR125" i="74" s="1"/>
  <c r="BA125" i="74"/>
  <c r="AW125" i="74"/>
  <c r="BD125" i="74"/>
  <c r="BQ125" i="74" s="1"/>
  <c r="AZ125" i="74"/>
  <c r="BM125" i="74" s="1"/>
  <c r="AV125" i="74"/>
  <c r="AM117" i="74"/>
  <c r="AI117" i="74"/>
  <c r="AP117" i="74"/>
  <c r="AL117" i="74"/>
  <c r="AH117" i="74"/>
  <c r="AO117" i="74"/>
  <c r="AK117" i="74"/>
  <c r="AG117" i="74"/>
  <c r="AN117" i="74"/>
  <c r="AJ117" i="74"/>
  <c r="AF117" i="74"/>
  <c r="BG136" i="74"/>
  <c r="BB100" i="74"/>
  <c r="AX100" i="74"/>
  <c r="BE100" i="74"/>
  <c r="BA100" i="74"/>
  <c r="AW100" i="74"/>
  <c r="BD100" i="74"/>
  <c r="AZ100" i="74"/>
  <c r="AV100" i="74"/>
  <c r="BC100" i="74"/>
  <c r="AY100" i="74"/>
  <c r="AU100" i="74"/>
  <c r="BM137" i="74"/>
  <c r="BP137" i="74"/>
  <c r="BL136" i="74"/>
  <c r="BN135" i="74"/>
  <c r="BP134" i="74"/>
  <c r="BL132" i="74"/>
  <c r="BP130" i="74"/>
  <c r="BH127" i="74"/>
  <c r="BH126" i="74"/>
  <c r="BM126" i="74"/>
  <c r="BL124" i="74"/>
  <c r="BQ124" i="74"/>
  <c r="AP110" i="74"/>
  <c r="AL110" i="74"/>
  <c r="AH110" i="74"/>
  <c r="AK110" i="74"/>
  <c r="AF110" i="74"/>
  <c r="AO110" i="74"/>
  <c r="AJ110" i="74"/>
  <c r="AN110" i="74"/>
  <c r="AI110" i="74"/>
  <c r="AM110" i="74"/>
  <c r="AG110" i="74"/>
  <c r="AM102" i="74"/>
  <c r="BO102" i="74" s="1"/>
  <c r="AI102" i="74"/>
  <c r="AP102" i="74"/>
  <c r="AL102" i="74"/>
  <c r="AH102" i="74"/>
  <c r="AO102" i="74"/>
  <c r="AK102" i="74"/>
  <c r="AG102" i="74"/>
  <c r="AN102" i="74"/>
  <c r="BP102" i="74" s="1"/>
  <c r="AJ102" i="74"/>
  <c r="AF102" i="74"/>
  <c r="BO118" i="74"/>
  <c r="BI118" i="74"/>
  <c r="AE117" i="74"/>
  <c r="BG117" i="74" s="1"/>
  <c r="BE114" i="74"/>
  <c r="BR114" i="74" s="1"/>
  <c r="BA114" i="74"/>
  <c r="BN114" i="74" s="1"/>
  <c r="AW114" i="74"/>
  <c r="BJ114" i="74" s="1"/>
  <c r="BB114" i="74"/>
  <c r="BO114" i="74" s="1"/>
  <c r="AV114" i="74"/>
  <c r="BI114" i="74" s="1"/>
  <c r="AZ114" i="74"/>
  <c r="BM114" i="74" s="1"/>
  <c r="AU114" i="74"/>
  <c r="BD114" i="74"/>
  <c r="AY114" i="74"/>
  <c r="BL114" i="74" s="1"/>
  <c r="AT114" i="74"/>
  <c r="BG114" i="74" s="1"/>
  <c r="BC114" i="74"/>
  <c r="BP114" i="74" s="1"/>
  <c r="AX114" i="74"/>
  <c r="AO97" i="74"/>
  <c r="BQ97" i="74" s="1"/>
  <c r="AK97" i="74"/>
  <c r="BM97" i="74" s="1"/>
  <c r="AG97" i="74"/>
  <c r="BI97" i="74" s="1"/>
  <c r="AN97" i="74"/>
  <c r="BP97" i="74" s="1"/>
  <c r="AJ97" i="74"/>
  <c r="BL97" i="74" s="1"/>
  <c r="AF97" i="74"/>
  <c r="BH97" i="74" s="1"/>
  <c r="AP97" i="74"/>
  <c r="BR97" i="74" s="1"/>
  <c r="AL97" i="74"/>
  <c r="BN97" i="74" s="1"/>
  <c r="AH97" i="74"/>
  <c r="BJ97" i="74" s="1"/>
  <c r="AE97" i="74"/>
  <c r="BG97" i="74" s="1"/>
  <c r="AM97" i="74"/>
  <c r="BO97" i="74" s="1"/>
  <c r="AI97" i="74"/>
  <c r="BK97" i="74" s="1"/>
  <c r="BB88" i="74"/>
  <c r="AX88" i="74"/>
  <c r="BC88" i="74"/>
  <c r="AW88" i="74"/>
  <c r="BA88" i="74"/>
  <c r="AV88" i="74"/>
  <c r="BE88" i="74"/>
  <c r="AZ88" i="74"/>
  <c r="AU88" i="74"/>
  <c r="BD88" i="74"/>
  <c r="AY88" i="74"/>
  <c r="BB86" i="74"/>
  <c r="AX86" i="74"/>
  <c r="BD86" i="74"/>
  <c r="AY86" i="74"/>
  <c r="BC86" i="74"/>
  <c r="AW86" i="74"/>
  <c r="BA86" i="74"/>
  <c r="AV86" i="74"/>
  <c r="BE86" i="74"/>
  <c r="AZ86" i="74"/>
  <c r="AU86" i="74"/>
  <c r="AP95" i="74"/>
  <c r="AL95" i="74"/>
  <c r="AH95" i="74"/>
  <c r="AK95" i="74"/>
  <c r="AF95" i="74"/>
  <c r="AO95" i="74"/>
  <c r="AJ95" i="74"/>
  <c r="AN95" i="74"/>
  <c r="AI95" i="74"/>
  <c r="AM95" i="74"/>
  <c r="AG95" i="74"/>
  <c r="BG86" i="74"/>
  <c r="BI85" i="74"/>
  <c r="BC78" i="74"/>
  <c r="BP78" i="74" s="1"/>
  <c r="AY78" i="74"/>
  <c r="BL78" i="74" s="1"/>
  <c r="AU78" i="74"/>
  <c r="BB78" i="74"/>
  <c r="AX78" i="74"/>
  <c r="BK78" i="74" s="1"/>
  <c r="BE78" i="74"/>
  <c r="BA78" i="74"/>
  <c r="BN78" i="74" s="1"/>
  <c r="AW78" i="74"/>
  <c r="BJ78" i="74" s="1"/>
  <c r="BD78" i="74"/>
  <c r="BQ78" i="74" s="1"/>
  <c r="AZ78" i="74"/>
  <c r="AV78" i="74"/>
  <c r="BH115" i="74"/>
  <c r="BQ114" i="74"/>
  <c r="BP113" i="74"/>
  <c r="BG109" i="74"/>
  <c r="BO107" i="74"/>
  <c r="BN105" i="74"/>
  <c r="BI105" i="74"/>
  <c r="BG104" i="74"/>
  <c r="BG103" i="74"/>
  <c r="BL103" i="74"/>
  <c r="BQ103" i="74"/>
  <c r="BN101" i="74"/>
  <c r="BO101" i="74"/>
  <c r="BI101" i="74"/>
  <c r="BL99" i="74"/>
  <c r="BG84" i="74"/>
  <c r="BM81" i="74"/>
  <c r="BR81" i="74"/>
  <c r="BQ80" i="74"/>
  <c r="AT78" i="74"/>
  <c r="BG78" i="74" s="1"/>
  <c r="BK77" i="74"/>
  <c r="BP77" i="74"/>
  <c r="BJ77" i="74"/>
  <c r="BO75" i="74"/>
  <c r="BI75" i="74"/>
  <c r="BN75" i="74"/>
  <c r="BG71" i="74"/>
  <c r="BB67" i="74"/>
  <c r="AX67" i="74"/>
  <c r="BD67" i="74"/>
  <c r="AY67" i="74"/>
  <c r="BC67" i="74"/>
  <c r="AW67" i="74"/>
  <c r="BA67" i="74"/>
  <c r="AV67" i="74"/>
  <c r="BE67" i="74"/>
  <c r="AZ67" i="74"/>
  <c r="AU67" i="74"/>
  <c r="BP93" i="74"/>
  <c r="BH93" i="74"/>
  <c r="BJ93" i="74"/>
  <c r="BG73" i="74"/>
  <c r="AM65" i="74"/>
  <c r="AI65" i="74"/>
  <c r="AL65" i="74"/>
  <c r="AG65" i="74"/>
  <c r="AP65" i="74"/>
  <c r="AK65" i="74"/>
  <c r="AF65" i="74"/>
  <c r="AO65" i="74"/>
  <c r="AJ65" i="74"/>
  <c r="AN65" i="74"/>
  <c r="AH65" i="74"/>
  <c r="BD58" i="74"/>
  <c r="AZ58" i="74"/>
  <c r="BM58" i="74" s="1"/>
  <c r="AV58" i="74"/>
  <c r="BC58" i="74"/>
  <c r="AY58" i="74"/>
  <c r="AU58" i="74"/>
  <c r="BB58" i="74"/>
  <c r="BO58" i="74" s="1"/>
  <c r="AX58" i="74"/>
  <c r="BE58" i="74"/>
  <c r="BR58" i="74" s="1"/>
  <c r="BA58" i="74"/>
  <c r="BN58" i="74" s="1"/>
  <c r="AW58" i="74"/>
  <c r="BJ58" i="74" s="1"/>
  <c r="BD50" i="74"/>
  <c r="AZ50" i="74"/>
  <c r="BM50" i="74" s="1"/>
  <c r="AV50" i="74"/>
  <c r="BI50" i="74" s="1"/>
  <c r="BC50" i="74"/>
  <c r="AY50" i="74"/>
  <c r="AU50" i="74"/>
  <c r="BH50" i="74" s="1"/>
  <c r="BB50" i="74"/>
  <c r="BO50" i="74" s="1"/>
  <c r="AX50" i="74"/>
  <c r="BE50" i="74"/>
  <c r="BA50" i="74"/>
  <c r="BN50" i="74" s="1"/>
  <c r="AW50" i="74"/>
  <c r="BJ50" i="74" s="1"/>
  <c r="BD42" i="74"/>
  <c r="AZ42" i="74"/>
  <c r="AV42" i="74"/>
  <c r="BI42" i="74" s="1"/>
  <c r="BC42" i="74"/>
  <c r="BP42" i="74" s="1"/>
  <c r="AY42" i="74"/>
  <c r="BL42" i="74" s="1"/>
  <c r="AU42" i="74"/>
  <c r="BB42" i="74"/>
  <c r="BO42" i="74" s="1"/>
  <c r="AX42" i="74"/>
  <c r="BK42" i="74" s="1"/>
  <c r="BE42" i="74"/>
  <c r="BR42" i="74" s="1"/>
  <c r="BA42" i="74"/>
  <c r="AW42" i="74"/>
  <c r="BJ42" i="74" s="1"/>
  <c r="BB34" i="74"/>
  <c r="AX34" i="74"/>
  <c r="BE34" i="74"/>
  <c r="BA34" i="74"/>
  <c r="AW34" i="74"/>
  <c r="BD34" i="74"/>
  <c r="AV34" i="74"/>
  <c r="BC34" i="74"/>
  <c r="AU34" i="74"/>
  <c r="AZ34" i="74"/>
  <c r="AY34" i="74"/>
  <c r="BO64" i="74"/>
  <c r="BN64" i="74"/>
  <c r="BL63" i="74"/>
  <c r="BG38" i="74"/>
  <c r="BJ59" i="74"/>
  <c r="BK59" i="74"/>
  <c r="BK57" i="74"/>
  <c r="BJ55" i="74"/>
  <c r="BP53" i="74"/>
  <c r="BJ53" i="74"/>
  <c r="BP51" i="74"/>
  <c r="BK51" i="74"/>
  <c r="BP49" i="74"/>
  <c r="BJ49" i="74"/>
  <c r="BJ47" i="74"/>
  <c r="BH44" i="74"/>
  <c r="BM42" i="74"/>
  <c r="AT36" i="74"/>
  <c r="BG36" i="74" s="1"/>
  <c r="BB28" i="74"/>
  <c r="BO28" i="74" s="1"/>
  <c r="AX28" i="74"/>
  <c r="BK28" i="74" s="1"/>
  <c r="BE28" i="74"/>
  <c r="BA28" i="74"/>
  <c r="BN28" i="74" s="1"/>
  <c r="AW28" i="74"/>
  <c r="BJ28" i="74" s="1"/>
  <c r="BD28" i="74"/>
  <c r="BQ28" i="74" s="1"/>
  <c r="AZ28" i="74"/>
  <c r="AV28" i="74"/>
  <c r="BC28" i="74"/>
  <c r="BP28" i="74" s="1"/>
  <c r="AY28" i="74"/>
  <c r="BL28" i="74" s="1"/>
  <c r="AU28" i="74"/>
  <c r="BB20" i="74"/>
  <c r="BO20" i="74" s="1"/>
  <c r="AX20" i="74"/>
  <c r="BK20" i="74" s="1"/>
  <c r="BE20" i="74"/>
  <c r="BR20" i="74" s="1"/>
  <c r="BA20" i="74"/>
  <c r="AW20" i="74"/>
  <c r="BD20" i="74"/>
  <c r="AZ20" i="74"/>
  <c r="AV20" i="74"/>
  <c r="BC20" i="74"/>
  <c r="AY20" i="74"/>
  <c r="BL20" i="74" s="1"/>
  <c r="AU20" i="74"/>
  <c r="BB12" i="74"/>
  <c r="BO12" i="74" s="1"/>
  <c r="AX12" i="74"/>
  <c r="BK12" i="74" s="1"/>
  <c r="BE12" i="74"/>
  <c r="BA12" i="74"/>
  <c r="BN12" i="74" s="1"/>
  <c r="AW12" i="74"/>
  <c r="BD12" i="74"/>
  <c r="BQ12" i="74" s="1"/>
  <c r="AZ12" i="74"/>
  <c r="BM12" i="74" s="1"/>
  <c r="AV12" i="74"/>
  <c r="BI12" i="74" s="1"/>
  <c r="BC12" i="74"/>
  <c r="BP12" i="74" s="1"/>
  <c r="AY12" i="74"/>
  <c r="BL12" i="74" s="1"/>
  <c r="AU12" i="74"/>
  <c r="BE39" i="74"/>
  <c r="BA39" i="74"/>
  <c r="AW39" i="74"/>
  <c r="BD39" i="74"/>
  <c r="AZ39" i="74"/>
  <c r="AV39" i="74"/>
  <c r="BC39" i="74"/>
  <c r="AY39" i="74"/>
  <c r="AU39" i="74"/>
  <c r="BB39" i="74"/>
  <c r="AX39" i="74"/>
  <c r="AT39" i="74"/>
  <c r="BD23" i="74"/>
  <c r="BQ23" i="74" s="1"/>
  <c r="AZ23" i="74"/>
  <c r="BM23" i="74" s="1"/>
  <c r="AV23" i="74"/>
  <c r="BC23" i="74"/>
  <c r="BP23" i="74" s="1"/>
  <c r="AY23" i="74"/>
  <c r="BL23" i="74" s="1"/>
  <c r="AU23" i="74"/>
  <c r="BB23" i="74"/>
  <c r="BO23" i="74" s="1"/>
  <c r="AX23" i="74"/>
  <c r="BK23" i="74" s="1"/>
  <c r="BE23" i="74"/>
  <c r="BR23" i="74" s="1"/>
  <c r="BA23" i="74"/>
  <c r="AW23" i="74"/>
  <c r="BD15" i="74"/>
  <c r="AZ15" i="74"/>
  <c r="AV15" i="74"/>
  <c r="BI15" i="74" s="1"/>
  <c r="BC15" i="74"/>
  <c r="BP15" i="74" s="1"/>
  <c r="AY15" i="74"/>
  <c r="AU15" i="74"/>
  <c r="BH15" i="74" s="1"/>
  <c r="BB15" i="74"/>
  <c r="AX15" i="74"/>
  <c r="BK15" i="74" s="1"/>
  <c r="BE15" i="74"/>
  <c r="BA15" i="74"/>
  <c r="BN15" i="74" s="1"/>
  <c r="AW15" i="74"/>
  <c r="BJ15" i="74" s="1"/>
  <c r="AV7" i="74"/>
  <c r="BC7" i="74"/>
  <c r="AY7" i="74"/>
  <c r="AU7" i="74"/>
  <c r="BB7" i="74"/>
  <c r="AX7" i="74"/>
  <c r="BD7" i="74"/>
  <c r="BE7" i="74"/>
  <c r="BA7" i="74"/>
  <c r="AW7" i="74"/>
  <c r="AZ7" i="74"/>
  <c r="BQ29" i="74"/>
  <c r="BQ27" i="74"/>
  <c r="BR22" i="74"/>
  <c r="AT20" i="74"/>
  <c r="AT12" i="74"/>
  <c r="BN9" i="74"/>
  <c r="BH9" i="74"/>
  <c r="BM9" i="74"/>
  <c r="AE7" i="74"/>
  <c r="BG7" i="74" s="1"/>
  <c r="BO6" i="74"/>
  <c r="AT4" i="74"/>
  <c r="BG4" i="74" s="1"/>
  <c r="BO4" i="74"/>
  <c r="AP179" i="74"/>
  <c r="AL179" i="74"/>
  <c r="AH179" i="74"/>
  <c r="BJ179" i="74" s="1"/>
  <c r="AO179" i="74"/>
  <c r="AK179" i="74"/>
  <c r="AG179" i="74"/>
  <c r="AM179" i="74"/>
  <c r="BO179" i="74" s="1"/>
  <c r="AI179" i="74"/>
  <c r="BK179" i="74" s="1"/>
  <c r="AF179" i="74"/>
  <c r="AJ179" i="74"/>
  <c r="AN179" i="74"/>
  <c r="BP179" i="74" s="1"/>
  <c r="BK174" i="74"/>
  <c r="BG176" i="74"/>
  <c r="BL176" i="74"/>
  <c r="AM171" i="74"/>
  <c r="AI171" i="74"/>
  <c r="AO171" i="74"/>
  <c r="AJ171" i="74"/>
  <c r="AN171" i="74"/>
  <c r="AH171" i="74"/>
  <c r="AP171" i="74"/>
  <c r="AK171" i="74"/>
  <c r="AF171" i="74"/>
  <c r="AG171" i="74"/>
  <c r="AL171" i="74"/>
  <c r="AM165" i="74"/>
  <c r="BO165" i="74" s="1"/>
  <c r="AI165" i="74"/>
  <c r="BK165" i="74" s="1"/>
  <c r="AN165" i="74"/>
  <c r="AH165" i="74"/>
  <c r="AL165" i="74"/>
  <c r="AG165" i="74"/>
  <c r="AO165" i="74"/>
  <c r="BQ165" i="74" s="1"/>
  <c r="AJ165" i="74"/>
  <c r="BL165" i="74" s="1"/>
  <c r="AP165" i="74"/>
  <c r="AK165" i="74"/>
  <c r="AF165" i="74"/>
  <c r="BH165" i="74" s="1"/>
  <c r="AM163" i="74"/>
  <c r="BO163" i="74" s="1"/>
  <c r="AI163" i="74"/>
  <c r="AO163" i="74"/>
  <c r="AJ163" i="74"/>
  <c r="AN163" i="74"/>
  <c r="AH163" i="74"/>
  <c r="BJ163" i="74" s="1"/>
  <c r="AP163" i="74"/>
  <c r="BR163" i="74" s="1"/>
  <c r="AK163" i="74"/>
  <c r="BM163" i="74" s="1"/>
  <c r="AF163" i="74"/>
  <c r="AL163" i="74"/>
  <c r="BN163" i="74" s="1"/>
  <c r="AG163" i="74"/>
  <c r="BC166" i="74"/>
  <c r="AY166" i="74"/>
  <c r="AU166" i="74"/>
  <c r="BB166" i="74"/>
  <c r="AX166" i="74"/>
  <c r="BD166" i="74"/>
  <c r="AZ166" i="74"/>
  <c r="AV166" i="74"/>
  <c r="BE166" i="74"/>
  <c r="AW166" i="74"/>
  <c r="BA166" i="74"/>
  <c r="BI161" i="74"/>
  <c r="BN161" i="74"/>
  <c r="BG158" i="74"/>
  <c r="BB156" i="74"/>
  <c r="AX156" i="74"/>
  <c r="BD156" i="74"/>
  <c r="AZ156" i="74"/>
  <c r="AV156" i="74"/>
  <c r="BA156" i="74"/>
  <c r="AY156" i="74"/>
  <c r="BE156" i="74"/>
  <c r="AW156" i="74"/>
  <c r="BC156" i="74"/>
  <c r="AU156" i="74"/>
  <c r="BG155" i="74"/>
  <c r="BC162" i="74"/>
  <c r="AY162" i="74"/>
  <c r="AU162" i="74"/>
  <c r="BB162" i="74"/>
  <c r="AX162" i="74"/>
  <c r="BD162" i="74"/>
  <c r="AZ162" i="74"/>
  <c r="AV162" i="74"/>
  <c r="BE162" i="74"/>
  <c r="BA162" i="74"/>
  <c r="AW162" i="74"/>
  <c r="BL161" i="74"/>
  <c r="AM153" i="74"/>
  <c r="BO153" i="74" s="1"/>
  <c r="AI153" i="74"/>
  <c r="AL153" i="74"/>
  <c r="AG153" i="74"/>
  <c r="AP153" i="74"/>
  <c r="AK153" i="74"/>
  <c r="BM153" i="74" s="1"/>
  <c r="AF153" i="74"/>
  <c r="AO153" i="74"/>
  <c r="AJ153" i="74"/>
  <c r="AN153" i="74"/>
  <c r="BP153" i="74" s="1"/>
  <c r="AH153" i="74"/>
  <c r="BJ153" i="74" s="1"/>
  <c r="BM148" i="74"/>
  <c r="BJ148" i="74"/>
  <c r="BG147" i="74"/>
  <c r="BL147" i="74"/>
  <c r="BL145" i="74"/>
  <c r="BG139" i="74"/>
  <c r="BB119" i="74"/>
  <c r="AX119" i="74"/>
  <c r="BE119" i="74"/>
  <c r="BA119" i="74"/>
  <c r="AW119" i="74"/>
  <c r="BD119" i="74"/>
  <c r="AZ119" i="74"/>
  <c r="AV119" i="74"/>
  <c r="BC119" i="74"/>
  <c r="AY119" i="74"/>
  <c r="AU119" i="74"/>
  <c r="BC123" i="74"/>
  <c r="AY123" i="74"/>
  <c r="BL123" i="74" s="1"/>
  <c r="AU123" i="74"/>
  <c r="BB123" i="74"/>
  <c r="AX123" i="74"/>
  <c r="BK123" i="74" s="1"/>
  <c r="BE123" i="74"/>
  <c r="BA123" i="74"/>
  <c r="BN123" i="74" s="1"/>
  <c r="AW123" i="74"/>
  <c r="BJ123" i="74" s="1"/>
  <c r="BD123" i="74"/>
  <c r="BQ123" i="74" s="1"/>
  <c r="AZ123" i="74"/>
  <c r="BM123" i="74" s="1"/>
  <c r="AV123" i="74"/>
  <c r="AP142" i="74"/>
  <c r="AL142" i="74"/>
  <c r="AH142" i="74"/>
  <c r="AM142" i="74"/>
  <c r="AG142" i="74"/>
  <c r="AK142" i="74"/>
  <c r="AF142" i="74"/>
  <c r="AO142" i="74"/>
  <c r="AJ142" i="74"/>
  <c r="AN142" i="74"/>
  <c r="AI142" i="74"/>
  <c r="BE112" i="74"/>
  <c r="BA112" i="74"/>
  <c r="AW112" i="74"/>
  <c r="BC112" i="74"/>
  <c r="AX112" i="74"/>
  <c r="BB112" i="74"/>
  <c r="AV112" i="74"/>
  <c r="AZ112" i="74"/>
  <c r="AU112" i="74"/>
  <c r="BD112" i="74"/>
  <c r="AY112" i="74"/>
  <c r="AT112" i="74"/>
  <c r="AP112" i="74"/>
  <c r="BR112" i="74" s="1"/>
  <c r="AL112" i="74"/>
  <c r="BN112" i="74" s="1"/>
  <c r="AH112" i="74"/>
  <c r="BJ112" i="74" s="1"/>
  <c r="AO112" i="74"/>
  <c r="AJ112" i="74"/>
  <c r="AN112" i="74"/>
  <c r="AI112" i="74"/>
  <c r="AM112" i="74"/>
  <c r="AG112" i="74"/>
  <c r="AK112" i="74"/>
  <c r="AF112" i="74"/>
  <c r="BB98" i="74"/>
  <c r="AX98" i="74"/>
  <c r="BE98" i="74"/>
  <c r="BA98" i="74"/>
  <c r="AW98" i="74"/>
  <c r="BD98" i="74"/>
  <c r="AZ98" i="74"/>
  <c r="AV98" i="74"/>
  <c r="BC98" i="74"/>
  <c r="AY98" i="74"/>
  <c r="AU98" i="74"/>
  <c r="BI137" i="74"/>
  <c r="BJ137" i="74"/>
  <c r="BP132" i="74"/>
  <c r="BL131" i="74"/>
  <c r="BK128" i="74"/>
  <c r="BL127" i="74"/>
  <c r="AT125" i="74"/>
  <c r="BG125" i="74" s="1"/>
  <c r="BJ125" i="74"/>
  <c r="BC109" i="74"/>
  <c r="BP109" i="74" s="1"/>
  <c r="AY109" i="74"/>
  <c r="AU109" i="74"/>
  <c r="BH109" i="74" s="1"/>
  <c r="BE109" i="74"/>
  <c r="BR109" i="74" s="1"/>
  <c r="AZ109" i="74"/>
  <c r="BM109" i="74" s="1"/>
  <c r="BD109" i="74"/>
  <c r="AX109" i="74"/>
  <c r="BK109" i="74" s="1"/>
  <c r="BB109" i="74"/>
  <c r="BO109" i="74" s="1"/>
  <c r="AW109" i="74"/>
  <c r="BJ109" i="74" s="1"/>
  <c r="BA109" i="74"/>
  <c r="AV109" i="74"/>
  <c r="BI109" i="74" s="1"/>
  <c r="AM100" i="74"/>
  <c r="AI100" i="74"/>
  <c r="AP100" i="74"/>
  <c r="BR100" i="74" s="1"/>
  <c r="AL100" i="74"/>
  <c r="BN100" i="74" s="1"/>
  <c r="AH100" i="74"/>
  <c r="AO100" i="74"/>
  <c r="AK100" i="74"/>
  <c r="AG100" i="74"/>
  <c r="BI100" i="74" s="1"/>
  <c r="AN100" i="74"/>
  <c r="AJ100" i="74"/>
  <c r="AF100" i="74"/>
  <c r="BH100" i="74" s="1"/>
  <c r="BN118" i="74"/>
  <c r="AN116" i="74"/>
  <c r="BP116" i="74" s="1"/>
  <c r="AJ116" i="74"/>
  <c r="BL116" i="74" s="1"/>
  <c r="AM116" i="74"/>
  <c r="BO116" i="74" s="1"/>
  <c r="AI116" i="74"/>
  <c r="AP116" i="74"/>
  <c r="BR116" i="74" s="1"/>
  <c r="AL116" i="74"/>
  <c r="BN116" i="74" s="1"/>
  <c r="AH116" i="74"/>
  <c r="BJ116" i="74" s="1"/>
  <c r="AK116" i="74"/>
  <c r="BM116" i="74" s="1"/>
  <c r="AG116" i="74"/>
  <c r="BI116" i="74" s="1"/>
  <c r="AF116" i="74"/>
  <c r="BH116" i="74" s="1"/>
  <c r="AO116" i="74"/>
  <c r="BQ116" i="74" s="1"/>
  <c r="BE106" i="74"/>
  <c r="BR106" i="74" s="1"/>
  <c r="BA106" i="74"/>
  <c r="BN106" i="74" s="1"/>
  <c r="AW106" i="74"/>
  <c r="BJ106" i="74" s="1"/>
  <c r="BB106" i="74"/>
  <c r="BO106" i="74" s="1"/>
  <c r="AV106" i="74"/>
  <c r="BI106" i="74" s="1"/>
  <c r="AZ106" i="74"/>
  <c r="BM106" i="74" s="1"/>
  <c r="AU106" i="74"/>
  <c r="BH106" i="74" s="1"/>
  <c r="BD106" i="74"/>
  <c r="AY106" i="74"/>
  <c r="BL106" i="74" s="1"/>
  <c r="AT106" i="74"/>
  <c r="BG106" i="74" s="1"/>
  <c r="BC106" i="74"/>
  <c r="BP106" i="74" s="1"/>
  <c r="AX106" i="74"/>
  <c r="BE95" i="74"/>
  <c r="BA95" i="74"/>
  <c r="AW95" i="74"/>
  <c r="BD95" i="74"/>
  <c r="AY95" i="74"/>
  <c r="AT95" i="74"/>
  <c r="BC95" i="74"/>
  <c r="AX95" i="74"/>
  <c r="BB95" i="74"/>
  <c r="AV95" i="74"/>
  <c r="AZ95" i="74"/>
  <c r="AU95" i="74"/>
  <c r="AM88" i="74"/>
  <c r="AI88" i="74"/>
  <c r="AO88" i="74"/>
  <c r="AJ88" i="74"/>
  <c r="AN88" i="74"/>
  <c r="AH88" i="74"/>
  <c r="BJ88" i="74" s="1"/>
  <c r="AL88" i="74"/>
  <c r="AG88" i="74"/>
  <c r="AP88" i="74"/>
  <c r="BR88" i="74" s="1"/>
  <c r="AK88" i="74"/>
  <c r="BM88" i="74" s="1"/>
  <c r="AF88" i="74"/>
  <c r="AT98" i="74"/>
  <c r="BC94" i="74"/>
  <c r="BP94" i="74" s="1"/>
  <c r="AY94" i="74"/>
  <c r="BL94" i="74" s="1"/>
  <c r="AU94" i="74"/>
  <c r="BH94" i="74" s="1"/>
  <c r="BE94" i="74"/>
  <c r="AZ94" i="74"/>
  <c r="BM94" i="74" s="1"/>
  <c r="BD94" i="74"/>
  <c r="BQ94" i="74" s="1"/>
  <c r="AX94" i="74"/>
  <c r="BB94" i="74"/>
  <c r="BO94" i="74" s="1"/>
  <c r="AW94" i="74"/>
  <c r="BJ94" i="74" s="1"/>
  <c r="BA94" i="74"/>
  <c r="BN94" i="74" s="1"/>
  <c r="AV94" i="74"/>
  <c r="BB82" i="74"/>
  <c r="BO82" i="74" s="1"/>
  <c r="AX82" i="74"/>
  <c r="BK82" i="74" s="1"/>
  <c r="BA82" i="74"/>
  <c r="BN82" i="74" s="1"/>
  <c r="AV82" i="74"/>
  <c r="BI82" i="74" s="1"/>
  <c r="BE82" i="74"/>
  <c r="BR82" i="74" s="1"/>
  <c r="AZ82" i="74"/>
  <c r="BM82" i="74" s="1"/>
  <c r="AU82" i="74"/>
  <c r="BH82" i="74" s="1"/>
  <c r="BD82" i="74"/>
  <c r="BQ82" i="74" s="1"/>
  <c r="AY82" i="74"/>
  <c r="BL82" i="74" s="1"/>
  <c r="BC82" i="74"/>
  <c r="BP82" i="74" s="1"/>
  <c r="AW82" i="74"/>
  <c r="BC76" i="74"/>
  <c r="BP76" i="74" s="1"/>
  <c r="AY76" i="74"/>
  <c r="BL76" i="74" s="1"/>
  <c r="AU76" i="74"/>
  <c r="BH76" i="74" s="1"/>
  <c r="BB76" i="74"/>
  <c r="BO76" i="74" s="1"/>
  <c r="AX76" i="74"/>
  <c r="BK76" i="74" s="1"/>
  <c r="BE76" i="74"/>
  <c r="BA76" i="74"/>
  <c r="BN76" i="74" s="1"/>
  <c r="AW76" i="74"/>
  <c r="BJ76" i="74" s="1"/>
  <c r="BD76" i="74"/>
  <c r="BQ76" i="74" s="1"/>
  <c r="AZ76" i="74"/>
  <c r="BM76" i="74" s="1"/>
  <c r="AV76" i="74"/>
  <c r="BI76" i="74" s="1"/>
  <c r="BL115" i="74"/>
  <c r="BH114" i="74"/>
  <c r="BK114" i="74"/>
  <c r="BN113" i="74"/>
  <c r="AE112" i="74"/>
  <c r="BG111" i="74"/>
  <c r="BJ108" i="74"/>
  <c r="BH107" i="74"/>
  <c r="BQ106" i="74"/>
  <c r="BH105" i="74"/>
  <c r="BJ103" i="74"/>
  <c r="BK103" i="74"/>
  <c r="BP103" i="74"/>
  <c r="AT102" i="74"/>
  <c r="BR101" i="74"/>
  <c r="BH101" i="74"/>
  <c r="BM101" i="74"/>
  <c r="BJ99" i="74"/>
  <c r="BK99" i="74"/>
  <c r="BP99" i="74"/>
  <c r="AM98" i="74"/>
  <c r="AI98" i="74"/>
  <c r="AP98" i="74"/>
  <c r="BR98" i="74" s="1"/>
  <c r="AL98" i="74"/>
  <c r="AH98" i="74"/>
  <c r="AN98" i="74"/>
  <c r="BP98" i="74" s="1"/>
  <c r="AJ98" i="74"/>
  <c r="AF98" i="74"/>
  <c r="AO98" i="74"/>
  <c r="AK98" i="74"/>
  <c r="AG98" i="74"/>
  <c r="AO83" i="74"/>
  <c r="BQ83" i="74" s="1"/>
  <c r="AK83" i="74"/>
  <c r="BM83" i="74" s="1"/>
  <c r="AG83" i="74"/>
  <c r="AM83" i="74"/>
  <c r="BO83" i="74" s="1"/>
  <c r="AH83" i="74"/>
  <c r="BJ83" i="74" s="1"/>
  <c r="AL83" i="74"/>
  <c r="BN83" i="74" s="1"/>
  <c r="AF83" i="74"/>
  <c r="BH83" i="74" s="1"/>
  <c r="AP83" i="74"/>
  <c r="BR83" i="74" s="1"/>
  <c r="AJ83" i="74"/>
  <c r="BL83" i="74" s="1"/>
  <c r="AE83" i="74"/>
  <c r="BG83" i="74" s="1"/>
  <c r="AN83" i="74"/>
  <c r="BP83" i="74" s="1"/>
  <c r="AI83" i="74"/>
  <c r="BK83" i="74" s="1"/>
  <c r="BK80" i="74"/>
  <c r="BP80" i="74"/>
  <c r="BO78" i="74"/>
  <c r="AM69" i="74"/>
  <c r="AI69" i="74"/>
  <c r="AO69" i="74"/>
  <c r="AJ69" i="74"/>
  <c r="AN69" i="74"/>
  <c r="AH69" i="74"/>
  <c r="AL69" i="74"/>
  <c r="AG69" i="74"/>
  <c r="AP69" i="74"/>
  <c r="AK69" i="74"/>
  <c r="AF69" i="74"/>
  <c r="AT67" i="74"/>
  <c r="BG67" i="74" s="1"/>
  <c r="AO66" i="74"/>
  <c r="BQ66" i="74" s="1"/>
  <c r="AK66" i="74"/>
  <c r="BM66" i="74" s="1"/>
  <c r="AG66" i="74"/>
  <c r="BI66" i="74" s="1"/>
  <c r="AL66" i="74"/>
  <c r="BN66" i="74" s="1"/>
  <c r="AF66" i="74"/>
  <c r="BH66" i="74" s="1"/>
  <c r="AP66" i="74"/>
  <c r="AJ66" i="74"/>
  <c r="BL66" i="74" s="1"/>
  <c r="AE66" i="74"/>
  <c r="BG66" i="74" s="1"/>
  <c r="AN66" i="74"/>
  <c r="BP66" i="74" s="1"/>
  <c r="AI66" i="74"/>
  <c r="BK66" i="74" s="1"/>
  <c r="AM66" i="74"/>
  <c r="BO66" i="74" s="1"/>
  <c r="AH66" i="74"/>
  <c r="BJ66" i="74" s="1"/>
  <c r="AE95" i="74"/>
  <c r="BK94" i="74"/>
  <c r="BR94" i="74"/>
  <c r="BG93" i="74"/>
  <c r="BM93" i="74"/>
  <c r="BN93" i="74"/>
  <c r="AO72" i="74"/>
  <c r="BQ72" i="74" s="1"/>
  <c r="AK72" i="74"/>
  <c r="BM72" i="74" s="1"/>
  <c r="AG72" i="74"/>
  <c r="BI72" i="74" s="1"/>
  <c r="AM72" i="74"/>
  <c r="AH72" i="74"/>
  <c r="BJ72" i="74" s="1"/>
  <c r="AL72" i="74"/>
  <c r="BN72" i="74" s="1"/>
  <c r="AF72" i="74"/>
  <c r="BH72" i="74" s="1"/>
  <c r="AP72" i="74"/>
  <c r="BR72" i="74" s="1"/>
  <c r="AJ72" i="74"/>
  <c r="AE72" i="74"/>
  <c r="BG72" i="74" s="1"/>
  <c r="AN72" i="74"/>
  <c r="BP72" i="74" s="1"/>
  <c r="AI72" i="74"/>
  <c r="BK72" i="74" s="1"/>
  <c r="AE65" i="74"/>
  <c r="BG65" i="74" s="1"/>
  <c r="BD56" i="74"/>
  <c r="AZ56" i="74"/>
  <c r="BM56" i="74" s="1"/>
  <c r="AV56" i="74"/>
  <c r="BC56" i="74"/>
  <c r="AY56" i="74"/>
  <c r="BL56" i="74" s="1"/>
  <c r="AU56" i="74"/>
  <c r="BH56" i="74" s="1"/>
  <c r="BB56" i="74"/>
  <c r="BO56" i="74" s="1"/>
  <c r="AX56" i="74"/>
  <c r="BE56" i="74"/>
  <c r="BA56" i="74"/>
  <c r="BN56" i="74" s="1"/>
  <c r="AW56" i="74"/>
  <c r="BJ56" i="74" s="1"/>
  <c r="BD48" i="74"/>
  <c r="AZ48" i="74"/>
  <c r="BM48" i="74" s="1"/>
  <c r="AV48" i="74"/>
  <c r="BI48" i="74" s="1"/>
  <c r="BC48" i="74"/>
  <c r="AY48" i="74"/>
  <c r="BL48" i="74" s="1"/>
  <c r="AU48" i="74"/>
  <c r="BH48" i="74" s="1"/>
  <c r="BB48" i="74"/>
  <c r="AX48" i="74"/>
  <c r="BK48" i="74" s="1"/>
  <c r="BE48" i="74"/>
  <c r="BR48" i="74" s="1"/>
  <c r="BA48" i="74"/>
  <c r="BN48" i="74" s="1"/>
  <c r="AW48" i="74"/>
  <c r="BC40" i="74"/>
  <c r="AY40" i="74"/>
  <c r="AU40" i="74"/>
  <c r="BB40" i="74"/>
  <c r="AX40" i="74"/>
  <c r="BE40" i="74"/>
  <c r="BA40" i="74"/>
  <c r="AW40" i="74"/>
  <c r="AZ40" i="74"/>
  <c r="AV40" i="74"/>
  <c r="BD40" i="74"/>
  <c r="BJ63" i="74"/>
  <c r="BK63" i="74"/>
  <c r="BP63" i="74"/>
  <c r="BD33" i="74"/>
  <c r="BQ33" i="74" s="1"/>
  <c r="AZ33" i="74"/>
  <c r="BM33" i="74" s="1"/>
  <c r="AV33" i="74"/>
  <c r="BI33" i="74" s="1"/>
  <c r="BC33" i="74"/>
  <c r="BP33" i="74" s="1"/>
  <c r="AY33" i="74"/>
  <c r="BL33" i="74" s="1"/>
  <c r="AU33" i="74"/>
  <c r="BH33" i="74" s="1"/>
  <c r="BB33" i="74"/>
  <c r="BO33" i="74" s="1"/>
  <c r="BA33" i="74"/>
  <c r="BN33" i="74" s="1"/>
  <c r="AX33" i="74"/>
  <c r="BK33" i="74" s="1"/>
  <c r="BE33" i="74"/>
  <c r="BR33" i="74" s="1"/>
  <c r="AW33" i="74"/>
  <c r="BJ33" i="74" s="1"/>
  <c r="BI59" i="74"/>
  <c r="BN59" i="74"/>
  <c r="BO59" i="74"/>
  <c r="BL58" i="74"/>
  <c r="BQ58" i="74"/>
  <c r="BI57" i="74"/>
  <c r="BN57" i="74"/>
  <c r="BO57" i="74"/>
  <c r="BR56" i="74"/>
  <c r="BN55" i="74"/>
  <c r="BI53" i="74"/>
  <c r="BN53" i="74"/>
  <c r="BQ52" i="74"/>
  <c r="BN51" i="74"/>
  <c r="BO51" i="74"/>
  <c r="BL50" i="74"/>
  <c r="BN49" i="74"/>
  <c r="BO47" i="74"/>
  <c r="BI45" i="74"/>
  <c r="BO45" i="74"/>
  <c r="BR44" i="74"/>
  <c r="BI43" i="74"/>
  <c r="BN43" i="74"/>
  <c r="BO43" i="74"/>
  <c r="BI41" i="74"/>
  <c r="BN41" i="74"/>
  <c r="BO41" i="74"/>
  <c r="BB26" i="74"/>
  <c r="AX26" i="74"/>
  <c r="BK26" i="74" s="1"/>
  <c r="BE26" i="74"/>
  <c r="BR26" i="74" s="1"/>
  <c r="BA26" i="74"/>
  <c r="AW26" i="74"/>
  <c r="BJ26" i="74" s="1"/>
  <c r="BD26" i="74"/>
  <c r="AZ26" i="74"/>
  <c r="AV26" i="74"/>
  <c r="BI26" i="74" s="1"/>
  <c r="BC26" i="74"/>
  <c r="BP26" i="74" s="1"/>
  <c r="AY26" i="74"/>
  <c r="AU26" i="74"/>
  <c r="BB18" i="74"/>
  <c r="AX18" i="74"/>
  <c r="BK18" i="74" s="1"/>
  <c r="BE18" i="74"/>
  <c r="BR18" i="74" s="1"/>
  <c r="BA18" i="74"/>
  <c r="AW18" i="74"/>
  <c r="BJ18" i="74" s="1"/>
  <c r="BD18" i="74"/>
  <c r="AZ18" i="74"/>
  <c r="BM18" i="74" s="1"/>
  <c r="AV18" i="74"/>
  <c r="BI18" i="74" s="1"/>
  <c r="BC18" i="74"/>
  <c r="BP18" i="74" s="1"/>
  <c r="AY18" i="74"/>
  <c r="AU18" i="74"/>
  <c r="BB10" i="74"/>
  <c r="AX10" i="74"/>
  <c r="BE10" i="74"/>
  <c r="BR10" i="74" s="1"/>
  <c r="BA10" i="74"/>
  <c r="AW10" i="74"/>
  <c r="BJ10" i="74" s="1"/>
  <c r="BD10" i="74"/>
  <c r="AZ10" i="74"/>
  <c r="BM10" i="74" s="1"/>
  <c r="AV10" i="74"/>
  <c r="BI10" i="74" s="1"/>
  <c r="BC10" i="74"/>
  <c r="BP10" i="74" s="1"/>
  <c r="AY10" i="74"/>
  <c r="AU10" i="74"/>
  <c r="BH10" i="74" s="1"/>
  <c r="AP39" i="74"/>
  <c r="AL39" i="74"/>
  <c r="BN39" i="74" s="1"/>
  <c r="AH39" i="74"/>
  <c r="AO39" i="74"/>
  <c r="AK39" i="74"/>
  <c r="AG39" i="74"/>
  <c r="BI39" i="74" s="1"/>
  <c r="AN39" i="74"/>
  <c r="AJ39" i="74"/>
  <c r="AF39" i="74"/>
  <c r="AM39" i="74"/>
  <c r="BO39" i="74" s="1"/>
  <c r="AI39" i="74"/>
  <c r="AE39" i="74"/>
  <c r="BG21" i="74"/>
  <c r="AT34" i="74"/>
  <c r="BG34" i="74" s="1"/>
  <c r="BD21" i="74"/>
  <c r="BQ21" i="74" s="1"/>
  <c r="AZ21" i="74"/>
  <c r="BM21" i="74" s="1"/>
  <c r="AV21" i="74"/>
  <c r="BI21" i="74" s="1"/>
  <c r="BC21" i="74"/>
  <c r="BP21" i="74" s="1"/>
  <c r="AY21" i="74"/>
  <c r="BL21" i="74" s="1"/>
  <c r="AU21" i="74"/>
  <c r="BH21" i="74" s="1"/>
  <c r="BB21" i="74"/>
  <c r="BO21" i="74" s="1"/>
  <c r="AX21" i="74"/>
  <c r="BE21" i="74"/>
  <c r="BR21" i="74" s="1"/>
  <c r="BA21" i="74"/>
  <c r="BN21" i="74" s="1"/>
  <c r="AW21" i="74"/>
  <c r="BJ21" i="74" s="1"/>
  <c r="BD13" i="74"/>
  <c r="BQ13" i="74" s="1"/>
  <c r="AZ13" i="74"/>
  <c r="AV13" i="74"/>
  <c r="BC13" i="74"/>
  <c r="AY13" i="74"/>
  <c r="BL13" i="74" s="1"/>
  <c r="AU13" i="74"/>
  <c r="BB13" i="74"/>
  <c r="BO13" i="74" s="1"/>
  <c r="AX13" i="74"/>
  <c r="BE13" i="74"/>
  <c r="BR13" i="74" s="1"/>
  <c r="BA13" i="74"/>
  <c r="BN13" i="74" s="1"/>
  <c r="AW13" i="74"/>
  <c r="AZ5" i="74"/>
  <c r="BM5" i="74" s="1"/>
  <c r="BC5" i="74"/>
  <c r="BP5" i="74" s="1"/>
  <c r="AY5" i="74"/>
  <c r="AU5" i="74"/>
  <c r="BH5" i="74" s="1"/>
  <c r="BB5" i="74"/>
  <c r="BO5" i="74" s="1"/>
  <c r="AX5" i="74"/>
  <c r="BD5" i="74"/>
  <c r="BQ5" i="74" s="1"/>
  <c r="BE5" i="74"/>
  <c r="BR5" i="74" s="1"/>
  <c r="BA5" i="74"/>
  <c r="BN5" i="74" s="1"/>
  <c r="AW5" i="74"/>
  <c r="AV5" i="74"/>
  <c r="BI5" i="74" s="1"/>
  <c r="AK3" i="74"/>
  <c r="AJ3" i="74"/>
  <c r="AM3" i="74"/>
  <c r="AI3" i="74"/>
  <c r="AG3" i="74"/>
  <c r="AF3" i="74"/>
  <c r="AP3" i="74"/>
  <c r="AL3" i="74"/>
  <c r="AH3" i="74"/>
  <c r="AO3" i="74"/>
  <c r="AN3" i="74"/>
  <c r="BK29" i="74"/>
  <c r="AT28" i="74"/>
  <c r="BG28" i="74" s="1"/>
  <c r="BI28" i="74"/>
  <c r="BK27" i="74"/>
  <c r="BP27" i="74"/>
  <c r="AT26" i="74"/>
  <c r="BR25" i="74"/>
  <c r="BG22" i="74"/>
  <c r="BM20" i="74"/>
  <c r="AT18" i="74"/>
  <c r="BR17" i="74"/>
  <c r="BL17" i="74"/>
  <c r="BM15" i="74"/>
  <c r="AT10" i="74"/>
  <c r="BR9" i="74"/>
  <c r="BQ9" i="74"/>
  <c r="BL6" i="74"/>
  <c r="BN6" i="74"/>
  <c r="BI4" i="74"/>
  <c r="AE177" i="74"/>
  <c r="BG177" i="74" s="1"/>
  <c r="AE173" i="74"/>
  <c r="BG173" i="74" s="1"/>
  <c r="BJ176" i="74"/>
  <c r="BM174" i="74"/>
  <c r="BB171" i="74"/>
  <c r="AX171" i="74"/>
  <c r="BC171" i="74"/>
  <c r="AW171" i="74"/>
  <c r="BA171" i="74"/>
  <c r="AV171" i="74"/>
  <c r="BD171" i="74"/>
  <c r="AY171" i="74"/>
  <c r="AZ171" i="74"/>
  <c r="AU171" i="74"/>
  <c r="BE171" i="74"/>
  <c r="BK176" i="74"/>
  <c r="AE171" i="74"/>
  <c r="BG171" i="74" s="1"/>
  <c r="BC178" i="74"/>
  <c r="BP178" i="74" s="1"/>
  <c r="AY178" i="74"/>
  <c r="BL178" i="74" s="1"/>
  <c r="AU178" i="74"/>
  <c r="BH178" i="74" s="1"/>
  <c r="BB178" i="74"/>
  <c r="BO178" i="74" s="1"/>
  <c r="AX178" i="74"/>
  <c r="BK178" i="74" s="1"/>
  <c r="BD178" i="74"/>
  <c r="BQ178" i="74" s="1"/>
  <c r="AZ178" i="74"/>
  <c r="AV178" i="74"/>
  <c r="BE178" i="74"/>
  <c r="BR178" i="74" s="1"/>
  <c r="BA178" i="74"/>
  <c r="BN178" i="74" s="1"/>
  <c r="AW178" i="74"/>
  <c r="BJ178" i="74" s="1"/>
  <c r="BG178" i="74"/>
  <c r="BC168" i="74"/>
  <c r="BP168" i="74" s="1"/>
  <c r="AY168" i="74"/>
  <c r="BL168" i="74" s="1"/>
  <c r="AU168" i="74"/>
  <c r="BH168" i="74" s="1"/>
  <c r="BB168" i="74"/>
  <c r="BO168" i="74" s="1"/>
  <c r="AX168" i="74"/>
  <c r="BK168" i="74" s="1"/>
  <c r="BD168" i="74"/>
  <c r="BQ168" i="74" s="1"/>
  <c r="AZ168" i="74"/>
  <c r="BM168" i="74" s="1"/>
  <c r="AV168" i="74"/>
  <c r="BI168" i="74" s="1"/>
  <c r="AW168" i="74"/>
  <c r="BJ168" i="74" s="1"/>
  <c r="BA168" i="74"/>
  <c r="BN168" i="74" s="1"/>
  <c r="BE168" i="74"/>
  <c r="AE165" i="74"/>
  <c r="BG165" i="74" s="1"/>
  <c r="AN170" i="74"/>
  <c r="BP170" i="74" s="1"/>
  <c r="AJ170" i="74"/>
  <c r="BL170" i="74" s="1"/>
  <c r="AF170" i="74"/>
  <c r="AM170" i="74"/>
  <c r="AI170" i="74"/>
  <c r="AE170" i="74"/>
  <c r="BG170" i="74" s="1"/>
  <c r="AO170" i="74"/>
  <c r="BQ170" i="74" s="1"/>
  <c r="AK170" i="74"/>
  <c r="AG170" i="74"/>
  <c r="AH170" i="74"/>
  <c r="BJ170" i="74" s="1"/>
  <c r="AL170" i="74"/>
  <c r="BN170" i="74" s="1"/>
  <c r="AP170" i="74"/>
  <c r="AE163" i="74"/>
  <c r="BG163" i="74" s="1"/>
  <c r="BN175" i="74"/>
  <c r="AT166" i="74"/>
  <c r="AE157" i="74"/>
  <c r="BG157" i="74" s="1"/>
  <c r="BM161" i="74"/>
  <c r="BR161" i="74"/>
  <c r="BK158" i="74"/>
  <c r="BP169" i="74"/>
  <c r="BM169" i="74"/>
  <c r="BR169" i="74"/>
  <c r="AN160" i="74"/>
  <c r="BP160" i="74" s="1"/>
  <c r="AJ160" i="74"/>
  <c r="AF160" i="74"/>
  <c r="AM160" i="74"/>
  <c r="AI160" i="74"/>
  <c r="BK160" i="74" s="1"/>
  <c r="AE160" i="74"/>
  <c r="BG160" i="74" s="1"/>
  <c r="AO160" i="74"/>
  <c r="BQ160" i="74" s="1"/>
  <c r="AK160" i="74"/>
  <c r="AG160" i="74"/>
  <c r="BI160" i="74" s="1"/>
  <c r="AL160" i="74"/>
  <c r="AH160" i="74"/>
  <c r="AP160" i="74"/>
  <c r="BR160" i="74" s="1"/>
  <c r="AT156" i="74"/>
  <c r="AO154" i="74"/>
  <c r="BQ154" i="74" s="1"/>
  <c r="AK154" i="74"/>
  <c r="BM154" i="74" s="1"/>
  <c r="AG154" i="74"/>
  <c r="BI154" i="74" s="1"/>
  <c r="AL154" i="74"/>
  <c r="BN154" i="74" s="1"/>
  <c r="AF154" i="74"/>
  <c r="BH154" i="74" s="1"/>
  <c r="AP154" i="74"/>
  <c r="BR154" i="74" s="1"/>
  <c r="AJ154" i="74"/>
  <c r="BL154" i="74" s="1"/>
  <c r="AE154" i="74"/>
  <c r="BG154" i="74" s="1"/>
  <c r="AN154" i="74"/>
  <c r="BP154" i="74" s="1"/>
  <c r="AI154" i="74"/>
  <c r="BK154" i="74" s="1"/>
  <c r="AM154" i="74"/>
  <c r="BO154" i="74" s="1"/>
  <c r="AH154" i="74"/>
  <c r="BJ154" i="74" s="1"/>
  <c r="AT162" i="74"/>
  <c r="BE159" i="74"/>
  <c r="BA159" i="74"/>
  <c r="AW159" i="74"/>
  <c r="BD159" i="74"/>
  <c r="AZ159" i="74"/>
  <c r="AV159" i="74"/>
  <c r="BB159" i="74"/>
  <c r="AX159" i="74"/>
  <c r="AU159" i="74"/>
  <c r="BC159" i="74"/>
  <c r="AY159" i="74"/>
  <c r="BD157" i="74"/>
  <c r="AZ157" i="74"/>
  <c r="AV157" i="74"/>
  <c r="BB157" i="74"/>
  <c r="AX157" i="74"/>
  <c r="BC157" i="74"/>
  <c r="AU157" i="74"/>
  <c r="BA157" i="74"/>
  <c r="AY157" i="74"/>
  <c r="BE157" i="74"/>
  <c r="AW157" i="74"/>
  <c r="AE153" i="74"/>
  <c r="BG153" i="74" s="1"/>
  <c r="BE146" i="74"/>
  <c r="BA146" i="74"/>
  <c r="BN146" i="74" s="1"/>
  <c r="AW146" i="74"/>
  <c r="BJ146" i="74" s="1"/>
  <c r="BD146" i="74"/>
  <c r="BQ146" i="74" s="1"/>
  <c r="AY146" i="74"/>
  <c r="BL146" i="74" s="1"/>
  <c r="AT146" i="74"/>
  <c r="BG146" i="74" s="1"/>
  <c r="BC146" i="74"/>
  <c r="BP146" i="74" s="1"/>
  <c r="AX146" i="74"/>
  <c r="BK146" i="74" s="1"/>
  <c r="BB146" i="74"/>
  <c r="BO146" i="74" s="1"/>
  <c r="AV146" i="74"/>
  <c r="BI146" i="74" s="1"/>
  <c r="AZ146" i="74"/>
  <c r="BM146" i="74" s="1"/>
  <c r="AU146" i="74"/>
  <c r="BH146" i="74" s="1"/>
  <c r="BE144" i="74"/>
  <c r="BR144" i="74" s="1"/>
  <c r="BA144" i="74"/>
  <c r="BN144" i="74" s="1"/>
  <c r="AW144" i="74"/>
  <c r="BJ144" i="74" s="1"/>
  <c r="AZ144" i="74"/>
  <c r="BM144" i="74" s="1"/>
  <c r="AU144" i="74"/>
  <c r="BH144" i="74" s="1"/>
  <c r="BD144" i="74"/>
  <c r="BQ144" i="74" s="1"/>
  <c r="AY144" i="74"/>
  <c r="BL144" i="74" s="1"/>
  <c r="AT144" i="74"/>
  <c r="BG144" i="74" s="1"/>
  <c r="BC144" i="74"/>
  <c r="BP144" i="74" s="1"/>
  <c r="AX144" i="74"/>
  <c r="BK144" i="74" s="1"/>
  <c r="BB144" i="74"/>
  <c r="AV144" i="74"/>
  <c r="BI144" i="74" s="1"/>
  <c r="BE142" i="74"/>
  <c r="BA142" i="74"/>
  <c r="AW142" i="74"/>
  <c r="AZ142" i="74"/>
  <c r="AU142" i="74"/>
  <c r="BD142" i="74"/>
  <c r="AY142" i="74"/>
  <c r="AT142" i="74"/>
  <c r="BC142" i="74"/>
  <c r="AX142" i="74"/>
  <c r="AV142" i="74"/>
  <c r="BB142" i="74"/>
  <c r="BI148" i="74"/>
  <c r="BG148" i="74"/>
  <c r="BO147" i="74"/>
  <c r="BM147" i="74"/>
  <c r="BP147" i="74"/>
  <c r="BR146" i="74"/>
  <c r="BQ145" i="74"/>
  <c r="BP145" i="74"/>
  <c r="BR143" i="74"/>
  <c r="BL139" i="74"/>
  <c r="BP140" i="74"/>
  <c r="BB117" i="74"/>
  <c r="AX117" i="74"/>
  <c r="BE117" i="74"/>
  <c r="BA117" i="74"/>
  <c r="AW117" i="74"/>
  <c r="BD117" i="74"/>
  <c r="AZ117" i="74"/>
  <c r="AV117" i="74"/>
  <c r="BC117" i="74"/>
  <c r="AY117" i="74"/>
  <c r="AU117" i="74"/>
  <c r="BR141" i="74"/>
  <c r="BO141" i="74"/>
  <c r="AM119" i="74"/>
  <c r="AI119" i="74"/>
  <c r="BK119" i="74" s="1"/>
  <c r="AP119" i="74"/>
  <c r="BR119" i="74" s="1"/>
  <c r="AL119" i="74"/>
  <c r="BN119" i="74" s="1"/>
  <c r="AH119" i="74"/>
  <c r="AO119" i="74"/>
  <c r="BQ119" i="74" s="1"/>
  <c r="AK119" i="74"/>
  <c r="BM119" i="74" s="1"/>
  <c r="AG119" i="74"/>
  <c r="AN119" i="74"/>
  <c r="AJ119" i="74"/>
  <c r="BL119" i="74" s="1"/>
  <c r="AF119" i="74"/>
  <c r="BH119" i="74" s="1"/>
  <c r="AE142" i="74"/>
  <c r="BE129" i="74"/>
  <c r="BR129" i="74" s="1"/>
  <c r="BA129" i="74"/>
  <c r="BN129" i="74" s="1"/>
  <c r="AW129" i="74"/>
  <c r="BJ129" i="74" s="1"/>
  <c r="BB129" i="74"/>
  <c r="BO129" i="74" s="1"/>
  <c r="AV129" i="74"/>
  <c r="BI129" i="74" s="1"/>
  <c r="AZ129" i="74"/>
  <c r="BM129" i="74" s="1"/>
  <c r="AU129" i="74"/>
  <c r="BH129" i="74" s="1"/>
  <c r="BD129" i="74"/>
  <c r="BQ129" i="74" s="1"/>
  <c r="AY129" i="74"/>
  <c r="BL129" i="74" s="1"/>
  <c r="AT129" i="74"/>
  <c r="BG129" i="74" s="1"/>
  <c r="BC129" i="74"/>
  <c r="BP129" i="74" s="1"/>
  <c r="AX129" i="74"/>
  <c r="BK129" i="74" s="1"/>
  <c r="BE110" i="74"/>
  <c r="BA110" i="74"/>
  <c r="AW110" i="74"/>
  <c r="BD110" i="74"/>
  <c r="AY110" i="74"/>
  <c r="AT110" i="74"/>
  <c r="BC110" i="74"/>
  <c r="AX110" i="74"/>
  <c r="BB110" i="74"/>
  <c r="AV110" i="74"/>
  <c r="AZ110" i="74"/>
  <c r="AU110" i="74"/>
  <c r="BB104" i="74"/>
  <c r="AX104" i="74"/>
  <c r="BE104" i="74"/>
  <c r="BA104" i="74"/>
  <c r="AW104" i="74"/>
  <c r="BD104" i="74"/>
  <c r="AZ104" i="74"/>
  <c r="AV104" i="74"/>
  <c r="BC104" i="74"/>
  <c r="AY104" i="74"/>
  <c r="AU104" i="74"/>
  <c r="BB96" i="74"/>
  <c r="AX96" i="74"/>
  <c r="BE96" i="74"/>
  <c r="BA96" i="74"/>
  <c r="AW96" i="74"/>
  <c r="BC96" i="74"/>
  <c r="AY96" i="74"/>
  <c r="AU96" i="74"/>
  <c r="BD96" i="74"/>
  <c r="AZ96" i="74"/>
  <c r="AV96" i="74"/>
  <c r="BQ136" i="74"/>
  <c r="BH135" i="74"/>
  <c r="BK135" i="74"/>
  <c r="BQ135" i="74"/>
  <c r="BN134" i="74"/>
  <c r="BQ134" i="74"/>
  <c r="BH134" i="74"/>
  <c r="BG132" i="74"/>
  <c r="BQ131" i="74"/>
  <c r="BO131" i="74"/>
  <c r="BK130" i="74"/>
  <c r="BI130" i="74"/>
  <c r="BN128" i="74"/>
  <c r="BQ128" i="74"/>
  <c r="BP127" i="74"/>
  <c r="BI125" i="74"/>
  <c r="BN125" i="74"/>
  <c r="BR123" i="74"/>
  <c r="AT119" i="74"/>
  <c r="BG119" i="74" s="1"/>
  <c r="BR118" i="74"/>
  <c r="AE116" i="74"/>
  <c r="BG116" i="74" s="1"/>
  <c r="AE88" i="74"/>
  <c r="BG88" i="74" s="1"/>
  <c r="BR85" i="74"/>
  <c r="AM96" i="74"/>
  <c r="AI96" i="74"/>
  <c r="AP96" i="74"/>
  <c r="AL96" i="74"/>
  <c r="AH96" i="74"/>
  <c r="AN96" i="74"/>
  <c r="AJ96" i="74"/>
  <c r="AF96" i="74"/>
  <c r="AK96" i="74"/>
  <c r="AG96" i="74"/>
  <c r="AO96" i="74"/>
  <c r="AT82" i="74"/>
  <c r="BG82" i="74" s="1"/>
  <c r="BC74" i="74"/>
  <c r="BP74" i="74" s="1"/>
  <c r="AY74" i="74"/>
  <c r="BL74" i="74" s="1"/>
  <c r="AU74" i="74"/>
  <c r="BB74" i="74"/>
  <c r="BO74" i="74" s="1"/>
  <c r="AX74" i="74"/>
  <c r="BK74" i="74" s="1"/>
  <c r="BE74" i="74"/>
  <c r="BA74" i="74"/>
  <c r="AW74" i="74"/>
  <c r="BJ74" i="74" s="1"/>
  <c r="BD74" i="74"/>
  <c r="BQ74" i="74" s="1"/>
  <c r="AZ74" i="74"/>
  <c r="BM74" i="74" s="1"/>
  <c r="AV74" i="74"/>
  <c r="BI74" i="74" s="1"/>
  <c r="BM115" i="74"/>
  <c r="BM113" i="74"/>
  <c r="BJ113" i="74"/>
  <c r="AE110" i="74"/>
  <c r="BL109" i="74"/>
  <c r="BG108" i="74"/>
  <c r="BM108" i="74"/>
  <c r="BN108" i="74"/>
  <c r="BG107" i="74"/>
  <c r="BN107" i="74"/>
  <c r="BL107" i="74"/>
  <c r="BK106" i="74"/>
  <c r="BG105" i="74"/>
  <c r="BL105" i="74"/>
  <c r="BN103" i="74"/>
  <c r="BO103" i="74"/>
  <c r="BI103" i="74"/>
  <c r="AE102" i="74"/>
  <c r="BG102" i="74" s="1"/>
  <c r="BG101" i="74"/>
  <c r="BN99" i="74"/>
  <c r="BI99" i="74"/>
  <c r="AE98" i="74"/>
  <c r="BG98" i="74" s="1"/>
  <c r="BJ82" i="74"/>
  <c r="BO80" i="74"/>
  <c r="BM78" i="74"/>
  <c r="BG76" i="74"/>
  <c r="AT74" i="74"/>
  <c r="BG74" i="74" s="1"/>
  <c r="BB69" i="74"/>
  <c r="AX69" i="74"/>
  <c r="BC69" i="74"/>
  <c r="AW69" i="74"/>
  <c r="BA69" i="74"/>
  <c r="AV69" i="74"/>
  <c r="BE69" i="74"/>
  <c r="AZ69" i="74"/>
  <c r="AU69" i="74"/>
  <c r="BD69" i="74"/>
  <c r="AY69" i="74"/>
  <c r="AE69" i="74"/>
  <c r="BG69" i="74" s="1"/>
  <c r="BE73" i="74"/>
  <c r="BA73" i="74"/>
  <c r="AW73" i="74"/>
  <c r="BB73" i="74"/>
  <c r="AX73" i="74"/>
  <c r="AY73" i="74"/>
  <c r="BD73" i="74"/>
  <c r="AV73" i="74"/>
  <c r="BC73" i="74"/>
  <c r="AU73" i="74"/>
  <c r="AZ73" i="74"/>
  <c r="BB65" i="74"/>
  <c r="AX65" i="74"/>
  <c r="BE65" i="74"/>
  <c r="AZ65" i="74"/>
  <c r="AU65" i="74"/>
  <c r="BD65" i="74"/>
  <c r="AY65" i="74"/>
  <c r="BC65" i="74"/>
  <c r="AW65" i="74"/>
  <c r="BA65" i="74"/>
  <c r="AV65" i="74"/>
  <c r="AT94" i="74"/>
  <c r="BG94" i="74" s="1"/>
  <c r="BI94" i="74"/>
  <c r="BL93" i="74"/>
  <c r="BI93" i="74"/>
  <c r="BR93" i="74"/>
  <c r="BB71" i="74"/>
  <c r="AX71" i="74"/>
  <c r="BA71" i="74"/>
  <c r="AV71" i="74"/>
  <c r="BE71" i="74"/>
  <c r="AZ71" i="74"/>
  <c r="AU71" i="74"/>
  <c r="BD71" i="74"/>
  <c r="AY71" i="74"/>
  <c r="BC71" i="74"/>
  <c r="AW71" i="74"/>
  <c r="BG70" i="74"/>
  <c r="BD54" i="74"/>
  <c r="BQ54" i="74" s="1"/>
  <c r="AZ54" i="74"/>
  <c r="BM54" i="74" s="1"/>
  <c r="AV54" i="74"/>
  <c r="BI54" i="74" s="1"/>
  <c r="BC54" i="74"/>
  <c r="BP54" i="74" s="1"/>
  <c r="AY54" i="74"/>
  <c r="BL54" i="74" s="1"/>
  <c r="AU54" i="74"/>
  <c r="BH54" i="74" s="1"/>
  <c r="BB54" i="74"/>
  <c r="BO54" i="74" s="1"/>
  <c r="AX54" i="74"/>
  <c r="BK54" i="74" s="1"/>
  <c r="BE54" i="74"/>
  <c r="BR54" i="74" s="1"/>
  <c r="BA54" i="74"/>
  <c r="BN54" i="74" s="1"/>
  <c r="AW54" i="74"/>
  <c r="BD46" i="74"/>
  <c r="BQ46" i="74" s="1"/>
  <c r="AZ46" i="74"/>
  <c r="BM46" i="74" s="1"/>
  <c r="AV46" i="74"/>
  <c r="BI46" i="74" s="1"/>
  <c r="BC46" i="74"/>
  <c r="BP46" i="74" s="1"/>
  <c r="AY46" i="74"/>
  <c r="BL46" i="74" s="1"/>
  <c r="AU46" i="74"/>
  <c r="BH46" i="74" s="1"/>
  <c r="BB46" i="74"/>
  <c r="BO46" i="74" s="1"/>
  <c r="AX46" i="74"/>
  <c r="BK46" i="74" s="1"/>
  <c r="BE46" i="74"/>
  <c r="BR46" i="74" s="1"/>
  <c r="BA46" i="74"/>
  <c r="BN46" i="74" s="1"/>
  <c r="AW46" i="74"/>
  <c r="BJ46" i="74" s="1"/>
  <c r="BC38" i="74"/>
  <c r="AY38" i="74"/>
  <c r="AU38" i="74"/>
  <c r="BB38" i="74"/>
  <c r="AX38" i="74"/>
  <c r="BE38" i="74"/>
  <c r="BA38" i="74"/>
  <c r="AW38" i="74"/>
  <c r="AV38" i="74"/>
  <c r="BD38" i="74"/>
  <c r="AZ38" i="74"/>
  <c r="BI63" i="74"/>
  <c r="BN63" i="74"/>
  <c r="BO63" i="74"/>
  <c r="AT40" i="74"/>
  <c r="BG40" i="74" s="1"/>
  <c r="BM59" i="74"/>
  <c r="BR59" i="74"/>
  <c r="AT58" i="74"/>
  <c r="BG58" i="74" s="1"/>
  <c r="BK58" i="74"/>
  <c r="BP58" i="74"/>
  <c r="BM57" i="74"/>
  <c r="BR57" i="74"/>
  <c r="AT56" i="74"/>
  <c r="BP56" i="74"/>
  <c r="BH55" i="74"/>
  <c r="BR55" i="74"/>
  <c r="AT54" i="74"/>
  <c r="BG54" i="74" s="1"/>
  <c r="BR51" i="74"/>
  <c r="AT50" i="74"/>
  <c r="BG50" i="74" s="1"/>
  <c r="BH49" i="74"/>
  <c r="AT48" i="74"/>
  <c r="BP48" i="74"/>
  <c r="BM47" i="74"/>
  <c r="BR47" i="74"/>
  <c r="AT46" i="74"/>
  <c r="BG46" i="74" s="1"/>
  <c r="BH43" i="74"/>
  <c r="BM43" i="74"/>
  <c r="BR43" i="74"/>
  <c r="AT42" i="74"/>
  <c r="BH41" i="74"/>
  <c r="BR41" i="74"/>
  <c r="AN40" i="74"/>
  <c r="BP40" i="74" s="1"/>
  <c r="AJ40" i="74"/>
  <c r="AF40" i="74"/>
  <c r="AM40" i="74"/>
  <c r="AI40" i="74"/>
  <c r="AP40" i="74"/>
  <c r="BR40" i="74" s="1"/>
  <c r="AL40" i="74"/>
  <c r="AH40" i="74"/>
  <c r="AG40" i="74"/>
  <c r="AO40" i="74"/>
  <c r="AK40" i="74"/>
  <c r="BM40" i="74" s="1"/>
  <c r="BB24" i="74"/>
  <c r="BO24" i="74" s="1"/>
  <c r="AX24" i="74"/>
  <c r="BK24" i="74" s="1"/>
  <c r="BE24" i="74"/>
  <c r="BR24" i="74" s="1"/>
  <c r="BA24" i="74"/>
  <c r="BN24" i="74" s="1"/>
  <c r="AW24" i="74"/>
  <c r="BJ24" i="74" s="1"/>
  <c r="BD24" i="74"/>
  <c r="BQ24" i="74" s="1"/>
  <c r="AZ24" i="74"/>
  <c r="AV24" i="74"/>
  <c r="BI24" i="74" s="1"/>
  <c r="BC24" i="74"/>
  <c r="AY24" i="74"/>
  <c r="AU24" i="74"/>
  <c r="BH24" i="74" s="1"/>
  <c r="BB16" i="74"/>
  <c r="BO16" i="74" s="1"/>
  <c r="AX16" i="74"/>
  <c r="BE16" i="74"/>
  <c r="BA16" i="74"/>
  <c r="BN16" i="74" s="1"/>
  <c r="AW16" i="74"/>
  <c r="BD16" i="74"/>
  <c r="AZ16" i="74"/>
  <c r="BM16" i="74" s="1"/>
  <c r="AV16" i="74"/>
  <c r="BI16" i="74" s="1"/>
  <c r="BC16" i="74"/>
  <c r="BP16" i="74" s="1"/>
  <c r="AY16" i="74"/>
  <c r="BL16" i="74" s="1"/>
  <c r="AU16" i="74"/>
  <c r="BH16" i="74" s="1"/>
  <c r="BB8" i="74"/>
  <c r="BO8" i="74" s="1"/>
  <c r="AX8" i="74"/>
  <c r="BK8" i="74" s="1"/>
  <c r="BE8" i="74"/>
  <c r="BR8" i="74" s="1"/>
  <c r="BA8" i="74"/>
  <c r="BN8" i="74" s="1"/>
  <c r="AW8" i="74"/>
  <c r="BJ8" i="74" s="1"/>
  <c r="BD8" i="74"/>
  <c r="BQ8" i="74" s="1"/>
  <c r="AZ8" i="74"/>
  <c r="BM8" i="74" s="1"/>
  <c r="AV8" i="74"/>
  <c r="BI8" i="74" s="1"/>
  <c r="BC8" i="74"/>
  <c r="BP8" i="74" s="1"/>
  <c r="AY8" i="74"/>
  <c r="BL8" i="74" s="1"/>
  <c r="AU8" i="74"/>
  <c r="BH8" i="74" s="1"/>
  <c r="AM36" i="74"/>
  <c r="AI36" i="74"/>
  <c r="AP36" i="74"/>
  <c r="BR36" i="74" s="1"/>
  <c r="AL36" i="74"/>
  <c r="BN36" i="74" s="1"/>
  <c r="AH36" i="74"/>
  <c r="AO36" i="74"/>
  <c r="BQ36" i="74" s="1"/>
  <c r="AG36" i="74"/>
  <c r="AN36" i="74"/>
  <c r="BP36" i="74" s="1"/>
  <c r="AF36" i="74"/>
  <c r="BH36" i="74" s="1"/>
  <c r="AK36" i="74"/>
  <c r="AJ36" i="74"/>
  <c r="BL36" i="74" s="1"/>
  <c r="BG19" i="74"/>
  <c r="BG11" i="74"/>
  <c r="AO37" i="74"/>
  <c r="BQ37" i="74" s="1"/>
  <c r="AK37" i="74"/>
  <c r="AG37" i="74"/>
  <c r="AN37" i="74"/>
  <c r="BP37" i="74" s="1"/>
  <c r="AJ37" i="74"/>
  <c r="BL37" i="74" s="1"/>
  <c r="AF37" i="74"/>
  <c r="BH37" i="74" s="1"/>
  <c r="AI37" i="74"/>
  <c r="AP37" i="74"/>
  <c r="BR37" i="74" s="1"/>
  <c r="AH37" i="74"/>
  <c r="BJ37" i="74" s="1"/>
  <c r="AM37" i="74"/>
  <c r="BO37" i="74" s="1"/>
  <c r="AE37" i="74"/>
  <c r="BG37" i="74" s="1"/>
  <c r="AL37" i="74"/>
  <c r="BN37" i="74" s="1"/>
  <c r="BD19" i="74"/>
  <c r="BQ19" i="74" s="1"/>
  <c r="AZ19" i="74"/>
  <c r="BM19" i="74" s="1"/>
  <c r="AV19" i="74"/>
  <c r="BC19" i="74"/>
  <c r="AY19" i="74"/>
  <c r="BL19" i="74" s="1"/>
  <c r="AU19" i="74"/>
  <c r="BH19" i="74" s="1"/>
  <c r="BB19" i="74"/>
  <c r="AX19" i="74"/>
  <c r="BK19" i="74" s="1"/>
  <c r="BE19" i="74"/>
  <c r="BR19" i="74" s="1"/>
  <c r="BA19" i="74"/>
  <c r="BN19" i="74" s="1"/>
  <c r="AW19" i="74"/>
  <c r="BJ19" i="74" s="1"/>
  <c r="BD11" i="74"/>
  <c r="BQ11" i="74" s="1"/>
  <c r="AZ11" i="74"/>
  <c r="BM11" i="74" s="1"/>
  <c r="AV11" i="74"/>
  <c r="BI11" i="74" s="1"/>
  <c r="BC11" i="74"/>
  <c r="BP11" i="74" s="1"/>
  <c r="AY11" i="74"/>
  <c r="AU11" i="74"/>
  <c r="BB11" i="74"/>
  <c r="BO11" i="74" s="1"/>
  <c r="AX11" i="74"/>
  <c r="BK11" i="74" s="1"/>
  <c r="BE11" i="74"/>
  <c r="BR11" i="74" s="1"/>
  <c r="BA11" i="74"/>
  <c r="AW11" i="74"/>
  <c r="AZ3" i="74"/>
  <c r="AU3" i="74"/>
  <c r="BB3" i="74"/>
  <c r="AX3" i="74"/>
  <c r="AV3" i="74"/>
  <c r="AY3" i="74"/>
  <c r="BE3" i="74"/>
  <c r="BA3" i="74"/>
  <c r="AW3" i="74"/>
  <c r="BD3" i="74"/>
  <c r="BC3" i="74"/>
  <c r="AT33" i="74"/>
  <c r="BG33" i="74" s="1"/>
  <c r="BJ29" i="74"/>
  <c r="BM28" i="74"/>
  <c r="BR28" i="74"/>
  <c r="BM26" i="74"/>
  <c r="BK25" i="74"/>
  <c r="AT24" i="74"/>
  <c r="BJ22" i="74"/>
  <c r="BK22" i="74"/>
  <c r="BQ20" i="74"/>
  <c r="BK17" i="74"/>
  <c r="BP17" i="74"/>
  <c r="AT16" i="74"/>
  <c r="BR15" i="74"/>
  <c r="BL15" i="74"/>
  <c r="BP14" i="74"/>
  <c r="BJ14" i="74"/>
  <c r="BK14" i="74"/>
  <c r="BG12" i="74"/>
  <c r="AT9" i="74"/>
  <c r="BG9" i="74" s="1"/>
  <c r="AT8" i="74"/>
  <c r="BG8" i="74" s="1"/>
  <c r="BM6" i="74"/>
  <c r="BR6" i="74"/>
  <c r="BL5" i="74"/>
  <c r="BR4" i="74"/>
  <c r="AE3" i="74"/>
  <c r="BG3" i="74" s="1"/>
  <c r="BK170" i="74" l="1"/>
  <c r="BN18" i="74"/>
  <c r="BJ20" i="74"/>
  <c r="BM177" i="74"/>
  <c r="BL84" i="74"/>
  <c r="BK41" i="74"/>
  <c r="BL40" i="74"/>
  <c r="BJ13" i="74"/>
  <c r="BM100" i="74"/>
  <c r="BJ102" i="74"/>
  <c r="BI149" i="74"/>
  <c r="BL44" i="74"/>
  <c r="BO174" i="74"/>
  <c r="BO160" i="74"/>
  <c r="BP59" i="74"/>
  <c r="BH28" i="74"/>
  <c r="BP108" i="74"/>
  <c r="BI49" i="74"/>
  <c r="BK127" i="74"/>
  <c r="BM141" i="74"/>
  <c r="BJ132" i="74"/>
  <c r="BK44" i="74"/>
  <c r="BL75" i="74"/>
  <c r="BR127" i="74"/>
  <c r="BM176" i="74"/>
  <c r="BR68" i="74"/>
  <c r="BL89" i="74"/>
  <c r="BI89" i="74"/>
  <c r="BJ141" i="74"/>
  <c r="BR27" i="74"/>
  <c r="BJ45" i="74"/>
  <c r="BQ50" i="74"/>
  <c r="BM53" i="74"/>
  <c r="BR75" i="74"/>
  <c r="BL101" i="74"/>
  <c r="BP101" i="74"/>
  <c r="BP141" i="74"/>
  <c r="BQ127" i="74"/>
  <c r="BN10" i="74"/>
  <c r="BL26" i="74"/>
  <c r="BL163" i="74"/>
  <c r="BI20" i="74"/>
  <c r="BO167" i="74"/>
  <c r="BJ173" i="74"/>
  <c r="BQ176" i="74"/>
  <c r="BG87" i="74"/>
  <c r="BL57" i="74"/>
  <c r="BJ51" i="74"/>
  <c r="BK85" i="74"/>
  <c r="BM45" i="74"/>
  <c r="BJ4" i="74"/>
  <c r="BL27" i="74"/>
  <c r="BK45" i="74"/>
  <c r="BL53" i="74"/>
  <c r="BR53" i="74"/>
  <c r="BP115" i="74"/>
  <c r="BK40" i="74"/>
  <c r="BI58" i="74"/>
  <c r="BI102" i="74"/>
  <c r="BN26" i="74"/>
  <c r="BK43" i="74"/>
  <c r="BN165" i="74"/>
  <c r="BL22" i="74"/>
  <c r="BH11" i="74"/>
  <c r="BG56" i="74"/>
  <c r="BR74" i="74"/>
  <c r="BQ96" i="74"/>
  <c r="BH170" i="74"/>
  <c r="BH13" i="74"/>
  <c r="BQ18" i="74"/>
  <c r="BO98" i="74"/>
  <c r="BL88" i="74"/>
  <c r="BQ109" i="74"/>
  <c r="BP123" i="74"/>
  <c r="BQ153" i="74"/>
  <c r="BN42" i="74"/>
  <c r="BO149" i="74"/>
  <c r="BJ52" i="74"/>
  <c r="BR84" i="74"/>
  <c r="BR80" i="74"/>
  <c r="BK55" i="74"/>
  <c r="BM35" i="74"/>
  <c r="BQ47" i="74"/>
  <c r="BP88" i="74"/>
  <c r="BO19" i="74"/>
  <c r="BK21" i="74"/>
  <c r="BL10" i="74"/>
  <c r="BG112" i="74"/>
  <c r="BH153" i="74"/>
  <c r="BH149" i="74"/>
  <c r="BJ87" i="74"/>
  <c r="BM87" i="74"/>
  <c r="BQ126" i="74"/>
  <c r="BK167" i="74"/>
  <c r="BM37" i="74"/>
  <c r="BJ54" i="74"/>
  <c r="BJ160" i="74"/>
  <c r="BH160" i="74"/>
  <c r="BQ56" i="74"/>
  <c r="BP165" i="74"/>
  <c r="BI23" i="74"/>
  <c r="BH12" i="74"/>
  <c r="BH131" i="74"/>
  <c r="BL173" i="74"/>
  <c r="BR173" i="74"/>
  <c r="BO176" i="74"/>
  <c r="BK68" i="74"/>
  <c r="BL47" i="74"/>
  <c r="BI178" i="74"/>
  <c r="BH18" i="74"/>
  <c r="BI83" i="74"/>
  <c r="BR76" i="74"/>
  <c r="BK116" i="74"/>
  <c r="BN23" i="74"/>
  <c r="BH78" i="74"/>
  <c r="BH176" i="74"/>
  <c r="BG89" i="74"/>
  <c r="BR111" i="74"/>
  <c r="BN29" i="74"/>
  <c r="BM63" i="74"/>
  <c r="BR168" i="74"/>
  <c r="BM178" i="74"/>
  <c r="BL18" i="74"/>
  <c r="BO72" i="74"/>
  <c r="BR66" i="74"/>
  <c r="BJ98" i="74"/>
  <c r="BN109" i="74"/>
  <c r="BQ179" i="74"/>
  <c r="BN102" i="74"/>
  <c r="BR149" i="74"/>
  <c r="BP167" i="74"/>
  <c r="BQ14" i="74"/>
  <c r="BO22" i="74"/>
  <c r="BP44" i="74"/>
  <c r="BO52" i="74"/>
  <c r="BM80" i="74"/>
  <c r="BG24" i="74"/>
  <c r="BI19" i="74"/>
  <c r="BK16" i="74"/>
  <c r="BI119" i="74"/>
  <c r="BO144" i="74"/>
  <c r="BK5" i="74"/>
  <c r="BJ48" i="74"/>
  <c r="BO123" i="74"/>
  <c r="BH20" i="74"/>
  <c r="BK50" i="74"/>
  <c r="BM149" i="74"/>
  <c r="BJ177" i="74"/>
  <c r="BQ4" i="74"/>
  <c r="BI44" i="74"/>
  <c r="BR89" i="74"/>
  <c r="BQ84" i="74"/>
  <c r="BM112" i="74"/>
  <c r="BP112" i="74"/>
  <c r="BG63" i="74"/>
  <c r="BG95" i="74"/>
  <c r="BP84" i="74"/>
  <c r="BM84" i="74"/>
  <c r="BQ45" i="74"/>
  <c r="BG39" i="74"/>
  <c r="BL39" i="74"/>
  <c r="BQ39" i="74"/>
  <c r="BP100" i="74"/>
  <c r="BJ100" i="74"/>
  <c r="BO100" i="74"/>
  <c r="BJ5" i="74"/>
  <c r="BH123" i="74"/>
  <c r="BQ48" i="74"/>
  <c r="BK56" i="74"/>
  <c r="BI78" i="74"/>
  <c r="BJ40" i="74"/>
  <c r="BO40" i="74"/>
  <c r="BJ84" i="74"/>
  <c r="BH84" i="74"/>
  <c r="BR174" i="74"/>
  <c r="BJ11" i="74"/>
  <c r="BH26" i="74"/>
  <c r="BN52" i="74"/>
  <c r="BG20" i="74"/>
  <c r="BR78" i="74"/>
  <c r="BM131" i="74"/>
  <c r="BH63" i="74"/>
  <c r="BR12" i="74"/>
  <c r="BM4" i="74"/>
  <c r="BQ15" i="74"/>
  <c r="BJ23" i="74"/>
  <c r="BI27" i="74"/>
  <c r="BQ42" i="74"/>
  <c r="BH45" i="74"/>
  <c r="BG47" i="74"/>
  <c r="BP50" i="74"/>
  <c r="BR50" i="74"/>
  <c r="BQ53" i="74"/>
  <c r="BO53" i="74"/>
  <c r="BP55" i="74"/>
  <c r="BQ85" i="74"/>
  <c r="BG42" i="74"/>
  <c r="BG110" i="74"/>
  <c r="BM160" i="74"/>
  <c r="BG26" i="74"/>
  <c r="BP13" i="74"/>
  <c r="BN98" i="74"/>
  <c r="BH88" i="74"/>
  <c r="BN88" i="74"/>
  <c r="BQ163" i="74"/>
  <c r="BM165" i="74"/>
  <c r="BI165" i="74"/>
  <c r="BH179" i="74"/>
  <c r="BO15" i="74"/>
  <c r="BH23" i="74"/>
  <c r="BH42" i="74"/>
  <c r="BL4" i="74"/>
  <c r="BM14" i="74"/>
  <c r="BQ22" i="74"/>
  <c r="BO84" i="74"/>
  <c r="BH22" i="74"/>
  <c r="BH52" i="74"/>
  <c r="BM13" i="74"/>
  <c r="BO10" i="74"/>
  <c r="BO18" i="74"/>
  <c r="BO26" i="74"/>
  <c r="BQ44" i="74"/>
  <c r="BR52" i="74"/>
  <c r="BN40" i="74"/>
  <c r="BH40" i="74"/>
  <c r="BI170" i="74"/>
  <c r="BG10" i="74"/>
  <c r="BL72" i="74"/>
  <c r="BO88" i="74"/>
  <c r="BN153" i="74"/>
  <c r="BH163" i="74"/>
  <c r="BP163" i="74"/>
  <c r="BJ165" i="74"/>
  <c r="BJ12" i="74"/>
  <c r="BH58" i="74"/>
  <c r="BH102" i="74"/>
  <c r="BM102" i="74"/>
  <c r="BR102" i="74"/>
  <c r="BK4" i="74"/>
  <c r="BI22" i="74"/>
  <c r="BI52" i="74"/>
  <c r="BI111" i="74"/>
  <c r="BL11" i="74"/>
  <c r="BP19" i="74"/>
  <c r="BM36" i="74"/>
  <c r="BK36" i="74"/>
  <c r="BM24" i="74"/>
  <c r="BQ40" i="74"/>
  <c r="BL96" i="74"/>
  <c r="BR96" i="74"/>
  <c r="BO170" i="74"/>
  <c r="BG18" i="74"/>
  <c r="BK39" i="74"/>
  <c r="BP39" i="74"/>
  <c r="BJ39" i="74"/>
  <c r="BK10" i="74"/>
  <c r="BI112" i="74"/>
  <c r="BL112" i="74"/>
  <c r="BI123" i="74"/>
  <c r="BK153" i="74"/>
  <c r="BI179" i="74"/>
  <c r="BN179" i="74"/>
  <c r="BK177" i="74"/>
  <c r="BQ177" i="74"/>
  <c r="BR176" i="74"/>
  <c r="BI14" i="74"/>
  <c r="BJ44" i="74"/>
  <c r="BP35" i="74"/>
  <c r="BP85" i="74"/>
  <c r="BK37" i="74"/>
  <c r="BI37" i="74"/>
  <c r="BQ16" i="74"/>
  <c r="BP24" i="74"/>
  <c r="BN74" i="74"/>
  <c r="BH74" i="74"/>
  <c r="BK13" i="74"/>
  <c r="BO48" i="74"/>
  <c r="BQ88" i="74"/>
  <c r="BL100" i="74"/>
  <c r="BQ100" i="74"/>
  <c r="BK100" i="74"/>
  <c r="BI153" i="74"/>
  <c r="BK163" i="74"/>
  <c r="BR165" i="74"/>
  <c r="BM179" i="74"/>
  <c r="BR179" i="74"/>
  <c r="BP20" i="74"/>
  <c r="BJ131" i="74"/>
  <c r="BH68" i="74"/>
  <c r="BH85" i="74"/>
  <c r="BN174" i="74"/>
  <c r="BQ174" i="74"/>
  <c r="BG16" i="74"/>
  <c r="BN11" i="74"/>
  <c r="BI36" i="74"/>
  <c r="BJ16" i="74"/>
  <c r="BG48" i="74"/>
  <c r="BH96" i="74"/>
  <c r="BN96" i="74"/>
  <c r="BR170" i="74"/>
  <c r="BM170" i="74"/>
  <c r="BI13" i="74"/>
  <c r="BH39" i="74"/>
  <c r="BM39" i="74"/>
  <c r="BR39" i="74"/>
  <c r="BQ26" i="74"/>
  <c r="BK88" i="74"/>
  <c r="BN20" i="74"/>
  <c r="BL102" i="74"/>
  <c r="BQ102" i="74"/>
  <c r="BK102" i="74"/>
  <c r="BH177" i="74"/>
  <c r="BP68" i="74"/>
  <c r="BI68" i="74"/>
  <c r="BJ36" i="74"/>
  <c r="BO36" i="74"/>
  <c r="BR16" i="74"/>
  <c r="BL24" i="74"/>
  <c r="BI40" i="74"/>
  <c r="BI96" i="74"/>
  <c r="BP119" i="74"/>
  <c r="BJ119" i="74"/>
  <c r="BO119" i="74"/>
  <c r="BN160" i="74"/>
  <c r="BL160" i="74"/>
  <c r="BQ10" i="74"/>
  <c r="BI56" i="74"/>
  <c r="BI98" i="74"/>
  <c r="BL98" i="74"/>
  <c r="BI88" i="74"/>
  <c r="BL153" i="74"/>
  <c r="BR153" i="74"/>
  <c r="BI163" i="74"/>
  <c r="BL179" i="74"/>
  <c r="BO155" i="74"/>
  <c r="BJ155" i="74"/>
  <c r="BH155" i="74"/>
  <c r="BK84" i="74"/>
  <c r="BJ164" i="74"/>
  <c r="BO164" i="74"/>
  <c r="BM96" i="74"/>
  <c r="BG142" i="74"/>
  <c r="BM98" i="74"/>
  <c r="BK98" i="74"/>
  <c r="BN155" i="74"/>
  <c r="BQ155" i="74"/>
  <c r="BK155" i="74"/>
  <c r="BN84" i="74"/>
  <c r="BP96" i="74"/>
  <c r="BK96" i="74"/>
  <c r="BN3" i="74"/>
  <c r="BK3" i="74"/>
  <c r="BH69" i="74"/>
  <c r="BN69" i="74"/>
  <c r="BQ69" i="74"/>
  <c r="BQ98" i="74"/>
  <c r="BO112" i="74"/>
  <c r="BQ112" i="74"/>
  <c r="BQ142" i="74"/>
  <c r="BO142" i="74"/>
  <c r="BI171" i="74"/>
  <c r="BJ171" i="74"/>
  <c r="BK171" i="74"/>
  <c r="BJ65" i="74"/>
  <c r="BH65" i="74"/>
  <c r="BN65" i="74"/>
  <c r="BO95" i="74"/>
  <c r="BQ95" i="74"/>
  <c r="BN95" i="74"/>
  <c r="BI110" i="74"/>
  <c r="BL110" i="74"/>
  <c r="BJ110" i="74"/>
  <c r="BP117" i="74"/>
  <c r="BJ117" i="74"/>
  <c r="BO117" i="74"/>
  <c r="BJ157" i="74"/>
  <c r="BO157" i="74"/>
  <c r="BP155" i="74"/>
  <c r="BM155" i="74"/>
  <c r="BR7" i="74"/>
  <c r="BO7" i="74"/>
  <c r="BM7" i="74"/>
  <c r="BI34" i="74"/>
  <c r="BJ34" i="74"/>
  <c r="BO34" i="74"/>
  <c r="BJ38" i="74"/>
  <c r="BO38" i="74"/>
  <c r="BJ73" i="74"/>
  <c r="BM73" i="74"/>
  <c r="BO73" i="74"/>
  <c r="BJ67" i="74"/>
  <c r="BH67" i="74"/>
  <c r="BO67" i="74"/>
  <c r="BH71" i="74"/>
  <c r="BN71" i="74"/>
  <c r="BO71" i="74"/>
  <c r="BI84" i="74"/>
  <c r="BP86" i="74"/>
  <c r="BM86" i="74"/>
  <c r="BI104" i="74"/>
  <c r="BN104" i="74"/>
  <c r="BK133" i="74"/>
  <c r="BH133" i="74"/>
  <c r="BR133" i="74"/>
  <c r="BP159" i="74"/>
  <c r="BM159" i="74"/>
  <c r="BR159" i="74"/>
  <c r="BI162" i="74"/>
  <c r="BK162" i="74"/>
  <c r="BP162" i="74"/>
  <c r="BL156" i="74"/>
  <c r="BJ156" i="74"/>
  <c r="BQ156" i="74"/>
  <c r="BI166" i="74"/>
  <c r="BK166" i="74"/>
  <c r="BP166" i="74"/>
  <c r="BL164" i="74"/>
  <c r="BK164" i="74"/>
  <c r="BQ164" i="74"/>
  <c r="BR172" i="74"/>
  <c r="BL172" i="74"/>
  <c r="BQ172" i="74"/>
  <c r="BJ96" i="74"/>
  <c r="BO96" i="74"/>
  <c r="BP3" i="74"/>
  <c r="BR3" i="74"/>
  <c r="BO3" i="74"/>
  <c r="BM69" i="74"/>
  <c r="BJ69" i="74"/>
  <c r="BK69" i="74"/>
  <c r="BH98" i="74"/>
  <c r="BH112" i="74"/>
  <c r="BK112" i="74"/>
  <c r="BK142" i="74"/>
  <c r="BH142" i="74"/>
  <c r="BJ142" i="74"/>
  <c r="BH171" i="74"/>
  <c r="BP171" i="74"/>
  <c r="BO171" i="74"/>
  <c r="BP65" i="74"/>
  <c r="BM65" i="74"/>
  <c r="BK65" i="74"/>
  <c r="BK95" i="74"/>
  <c r="BH95" i="74"/>
  <c r="BR95" i="74"/>
  <c r="BO110" i="74"/>
  <c r="BQ110" i="74"/>
  <c r="BN110" i="74"/>
  <c r="BI117" i="74"/>
  <c r="BN117" i="74"/>
  <c r="BN157" i="74"/>
  <c r="BR157" i="74"/>
  <c r="BI157" i="74"/>
  <c r="BI155" i="74"/>
  <c r="BL155" i="74"/>
  <c r="BR155" i="74"/>
  <c r="BI7" i="74"/>
  <c r="BH7" i="74"/>
  <c r="BQ34" i="74"/>
  <c r="BN34" i="74"/>
  <c r="BI38" i="74"/>
  <c r="BN38" i="74"/>
  <c r="BH38" i="74"/>
  <c r="BQ73" i="74"/>
  <c r="BI73" i="74"/>
  <c r="BN73" i="74"/>
  <c r="BP67" i="74"/>
  <c r="BM67" i="74"/>
  <c r="BM71" i="74"/>
  <c r="BJ71" i="74"/>
  <c r="BI86" i="74"/>
  <c r="BL86" i="74"/>
  <c r="BR86" i="74"/>
  <c r="BH104" i="74"/>
  <c r="BM104" i="74"/>
  <c r="BR104" i="74"/>
  <c r="BP133" i="74"/>
  <c r="BM133" i="74"/>
  <c r="BK159" i="74"/>
  <c r="BQ159" i="74"/>
  <c r="BJ162" i="74"/>
  <c r="BM162" i="74"/>
  <c r="BO162" i="74"/>
  <c r="BN156" i="74"/>
  <c r="BR156" i="74"/>
  <c r="BG156" i="74"/>
  <c r="BJ166" i="74"/>
  <c r="BM166" i="74"/>
  <c r="BO166" i="74"/>
  <c r="BH164" i="74"/>
  <c r="BR164" i="74"/>
  <c r="BP164" i="74"/>
  <c r="BJ172" i="74"/>
  <c r="BN172" i="74"/>
  <c r="BK172" i="74"/>
  <c r="BQ3" i="74"/>
  <c r="BH3" i="74"/>
  <c r="BL3" i="74"/>
  <c r="BR69" i="74"/>
  <c r="BP69" i="74"/>
  <c r="BO69" i="74"/>
  <c r="BP142" i="74"/>
  <c r="BM142" i="74"/>
  <c r="BN142" i="74"/>
  <c r="BM171" i="74"/>
  <c r="BL171" i="74"/>
  <c r="BL65" i="74"/>
  <c r="BR65" i="74"/>
  <c r="BO65" i="74"/>
  <c r="BP95" i="74"/>
  <c r="BM95" i="74"/>
  <c r="BK110" i="74"/>
  <c r="BH110" i="74"/>
  <c r="BR110" i="74"/>
  <c r="BH117" i="74"/>
  <c r="BM117" i="74"/>
  <c r="BR117" i="74"/>
  <c r="BH157" i="74"/>
  <c r="BL157" i="74"/>
  <c r="BM157" i="74"/>
  <c r="BJ7" i="74"/>
  <c r="BQ7" i="74"/>
  <c r="BL7" i="74"/>
  <c r="BH34" i="74"/>
  <c r="BL34" i="74"/>
  <c r="BR34" i="74"/>
  <c r="BM38" i="74"/>
  <c r="BR38" i="74"/>
  <c r="BL38" i="74"/>
  <c r="BL73" i="74"/>
  <c r="BP73" i="74"/>
  <c r="BR73" i="74"/>
  <c r="BI67" i="74"/>
  <c r="BL67" i="74"/>
  <c r="BR67" i="74"/>
  <c r="BL71" i="74"/>
  <c r="BR71" i="74"/>
  <c r="BP71" i="74"/>
  <c r="BN86" i="74"/>
  <c r="BQ86" i="74"/>
  <c r="BK86" i="74"/>
  <c r="BL104" i="74"/>
  <c r="BQ104" i="74"/>
  <c r="BK104" i="74"/>
  <c r="BI133" i="74"/>
  <c r="BL133" i="74"/>
  <c r="BJ133" i="74"/>
  <c r="BH159" i="74"/>
  <c r="BO159" i="74"/>
  <c r="BJ159" i="74"/>
  <c r="BN162" i="74"/>
  <c r="BQ162" i="74"/>
  <c r="BH162" i="74"/>
  <c r="BH156" i="74"/>
  <c r="BI156" i="74"/>
  <c r="BK156" i="74"/>
  <c r="BN166" i="74"/>
  <c r="BQ166" i="74"/>
  <c r="BH166" i="74"/>
  <c r="BN164" i="74"/>
  <c r="BI164" i="74"/>
  <c r="BH172" i="74"/>
  <c r="BI172" i="74"/>
  <c r="BO172" i="74"/>
  <c r="BJ3" i="74"/>
  <c r="BI3" i="74"/>
  <c r="BM3" i="74"/>
  <c r="BI69" i="74"/>
  <c r="BL69" i="74"/>
  <c r="BL142" i="74"/>
  <c r="BI142" i="74"/>
  <c r="BR142" i="74"/>
  <c r="BN171" i="74"/>
  <c r="BR171" i="74"/>
  <c r="BQ171" i="74"/>
  <c r="BQ65" i="74"/>
  <c r="BI65" i="74"/>
  <c r="BI95" i="74"/>
  <c r="BL95" i="74"/>
  <c r="BJ95" i="74"/>
  <c r="BP110" i="74"/>
  <c r="BM110" i="74"/>
  <c r="BL117" i="74"/>
  <c r="BQ117" i="74"/>
  <c r="BK117" i="74"/>
  <c r="BP157" i="74"/>
  <c r="BK157" i="74"/>
  <c r="BQ157" i="74"/>
  <c r="BN7" i="74"/>
  <c r="BK7" i="74"/>
  <c r="BP7" i="74"/>
  <c r="BP34" i="74"/>
  <c r="BM34" i="74"/>
  <c r="BK34" i="74"/>
  <c r="BQ38" i="74"/>
  <c r="BK38" i="74"/>
  <c r="BP38" i="74"/>
  <c r="BH73" i="74"/>
  <c r="BK73" i="74"/>
  <c r="BN67" i="74"/>
  <c r="BQ67" i="74"/>
  <c r="BK67" i="74"/>
  <c r="BQ71" i="74"/>
  <c r="BI71" i="74"/>
  <c r="BK71" i="74"/>
  <c r="BJ86" i="74"/>
  <c r="BH86" i="74"/>
  <c r="BO86" i="74"/>
  <c r="BP104" i="74"/>
  <c r="BJ104" i="74"/>
  <c r="BO104" i="74"/>
  <c r="BO133" i="74"/>
  <c r="BQ133" i="74"/>
  <c r="BN133" i="74"/>
  <c r="BL159" i="74"/>
  <c r="BI159" i="74"/>
  <c r="BN159" i="74"/>
  <c r="BR162" i="74"/>
  <c r="BG162" i="74"/>
  <c r="BL162" i="74"/>
  <c r="BP156" i="74"/>
  <c r="BM156" i="74"/>
  <c r="BO156" i="74"/>
  <c r="BR166" i="74"/>
  <c r="BG166" i="74"/>
  <c r="BL166" i="74"/>
  <c r="BG164" i="74"/>
  <c r="BM164" i="74"/>
  <c r="BP172" i="74"/>
  <c r="BM172" i="74"/>
  <c r="D237" i="73"/>
  <c r="G237" i="73"/>
  <c r="B237" i="73"/>
  <c r="G2" i="69" l="1"/>
  <c r="G3" i="69"/>
  <c r="G4" i="69"/>
  <c r="G5" i="69"/>
  <c r="G6" i="69"/>
  <c r="G7" i="69"/>
  <c r="G8" i="69"/>
  <c r="G9" i="69"/>
  <c r="G10" i="69"/>
  <c r="G11" i="69"/>
  <c r="G12" i="69"/>
  <c r="G13" i="69"/>
  <c r="G14" i="69"/>
  <c r="G15" i="69"/>
  <c r="G16" i="69"/>
  <c r="G17" i="69"/>
  <c r="G18" i="69"/>
  <c r="G19" i="69"/>
  <c r="G20" i="69"/>
  <c r="G21" i="69"/>
  <c r="G22" i="69"/>
  <c r="G23" i="69"/>
  <c r="G24" i="69"/>
  <c r="G25" i="69"/>
  <c r="G26" i="69"/>
  <c r="G27" i="69"/>
  <c r="G28" i="69"/>
  <c r="G29" i="69"/>
  <c r="G30" i="69"/>
  <c r="G31" i="69"/>
  <c r="G32" i="69"/>
  <c r="G33" i="69"/>
  <c r="G34" i="69"/>
  <c r="G35" i="69"/>
  <c r="G36" i="69"/>
  <c r="G37" i="69"/>
  <c r="G38" i="69"/>
  <c r="G39" i="69"/>
  <c r="G40" i="69"/>
  <c r="G41" i="69"/>
  <c r="G42" i="69"/>
  <c r="G43" i="69"/>
  <c r="G44" i="69"/>
  <c r="G45" i="69"/>
  <c r="G46" i="69"/>
  <c r="G47" i="69"/>
  <c r="G48" i="69"/>
  <c r="G49" i="69"/>
  <c r="G50" i="69"/>
  <c r="G51" i="69"/>
  <c r="G52" i="69"/>
  <c r="G53" i="69"/>
  <c r="G54" i="69"/>
  <c r="U4" i="66"/>
  <c r="Y4" i="66"/>
  <c r="AL4" i="66"/>
  <c r="U5" i="66"/>
  <c r="Y5" i="66"/>
  <c r="AL5" i="66"/>
  <c r="U6" i="66"/>
  <c r="Y6" i="66"/>
  <c r="AL6" i="66"/>
  <c r="U7" i="66"/>
  <c r="Y7" i="66"/>
  <c r="AL7" i="66"/>
  <c r="U8" i="66"/>
  <c r="Y8" i="66"/>
  <c r="AL8" i="66"/>
  <c r="U9" i="66"/>
  <c r="Y9" i="66"/>
  <c r="AL9" i="66"/>
  <c r="U10" i="66"/>
  <c r="Y10" i="66"/>
  <c r="AL10" i="66"/>
  <c r="U11" i="66"/>
  <c r="Y11" i="66"/>
  <c r="AL11" i="66"/>
  <c r="U12" i="66"/>
  <c r="Y12" i="66"/>
  <c r="AL12" i="66"/>
  <c r="U13" i="66"/>
  <c r="Y13" i="66"/>
  <c r="AL13" i="66"/>
  <c r="U14" i="66"/>
  <c r="Y14" i="66"/>
  <c r="AL14" i="66"/>
  <c r="U15" i="66"/>
  <c r="Y15" i="66"/>
  <c r="AL15" i="66"/>
  <c r="U16" i="66"/>
  <c r="Y16" i="66"/>
  <c r="AL16" i="66"/>
  <c r="U17" i="66"/>
  <c r="Y17" i="66"/>
  <c r="AL17" i="66"/>
  <c r="U18" i="66"/>
  <c r="Y18" i="66"/>
  <c r="AL18" i="66"/>
  <c r="U19" i="66"/>
  <c r="Y19" i="66"/>
  <c r="AL19" i="66"/>
  <c r="U20" i="66"/>
  <c r="Y20" i="66"/>
  <c r="AL20" i="66"/>
  <c r="U21" i="66"/>
  <c r="Y21" i="66"/>
  <c r="AL21" i="66"/>
  <c r="U22" i="66"/>
  <c r="Y22" i="66"/>
  <c r="AL22" i="66"/>
  <c r="U23" i="66"/>
  <c r="Y23" i="66"/>
  <c r="AL23" i="66"/>
  <c r="U24" i="66"/>
  <c r="Y24" i="66"/>
  <c r="AL24" i="66"/>
  <c r="U25" i="66"/>
  <c r="Y25" i="66"/>
  <c r="AL25" i="66"/>
  <c r="U26" i="66"/>
  <c r="Y26" i="66"/>
  <c r="AL26" i="66"/>
  <c r="U27" i="66"/>
  <c r="Y27" i="66"/>
  <c r="AL27" i="66"/>
  <c r="U28" i="66"/>
  <c r="Y28" i="66"/>
  <c r="AL28" i="66"/>
  <c r="U29" i="66"/>
  <c r="Y29" i="66"/>
  <c r="AL29" i="66"/>
  <c r="U30" i="66"/>
  <c r="Y30" i="66"/>
  <c r="AL30" i="66"/>
  <c r="AK31" i="66"/>
  <c r="AT32" i="66"/>
  <c r="AR34" i="66" s="1"/>
  <c r="AU32" i="66"/>
  <c r="AR35" i="66" s="1"/>
  <c r="AV32" i="66"/>
  <c r="AR36" i="66" s="1"/>
  <c r="AW32" i="66"/>
  <c r="AR37" i="66" s="1"/>
  <c r="AX32" i="66"/>
  <c r="AR38" i="66" s="1"/>
  <c r="AY32" i="66"/>
  <c r="AR39" i="66" s="1"/>
  <c r="AZ32" i="66"/>
  <c r="AR40" i="66" s="1"/>
  <c r="BA32" i="66"/>
  <c r="AR41" i="66" s="1"/>
  <c r="BB32" i="66"/>
  <c r="AR42" i="66" s="1"/>
  <c r="BC32" i="66"/>
  <c r="AR43" i="66" s="1"/>
  <c r="BD32" i="66"/>
  <c r="AR44" i="66" s="1"/>
  <c r="BE32" i="66"/>
  <c r="BF32" i="66"/>
  <c r="AR46" i="66" s="1"/>
  <c r="BG32" i="66"/>
  <c r="AR47" i="66" s="1"/>
  <c r="BH32" i="66"/>
  <c r="AR48" i="66" s="1"/>
  <c r="BI32" i="66"/>
  <c r="AR49" i="66" s="1"/>
  <c r="BJ32" i="66"/>
  <c r="AR50" i="66" s="1"/>
  <c r="BK32" i="66"/>
  <c r="AR51" i="66" s="1"/>
  <c r="BL32" i="66"/>
  <c r="AR52" i="66" s="1"/>
  <c r="BM32" i="66"/>
  <c r="AR53" i="66" s="1"/>
  <c r="BN32" i="66"/>
  <c r="AR54" i="66" s="1"/>
  <c r="BO32" i="66"/>
  <c r="AR55" i="66" s="1"/>
  <c r="BP32" i="66"/>
  <c r="AR56" i="66" s="1"/>
  <c r="AR58" i="66"/>
  <c r="AR59" i="66"/>
  <c r="BT32" i="66"/>
  <c r="AR60" i="66" s="1"/>
  <c r="BU32" i="66"/>
  <c r="AR61" i="66" s="1"/>
  <c r="AR62" i="66"/>
  <c r="BX32" i="66"/>
  <c r="BY32" i="66"/>
  <c r="BZ32" i="66"/>
  <c r="AR66" i="66" s="1"/>
  <c r="AR45" i="66" l="1"/>
  <c r="AR65" i="66"/>
  <c r="AR64" i="66"/>
  <c r="Y31" i="66"/>
  <c r="AJ31" i="66"/>
  <c r="AL31" i="66" s="1"/>
  <c r="U31" i="66"/>
  <c r="N42" i="64"/>
  <c r="N23" i="64" l="1"/>
  <c r="N10" i="64"/>
  <c r="N24" i="64"/>
  <c r="H19" i="60" l="1"/>
  <c r="C19" i="60"/>
  <c r="N4" i="62" l="1"/>
  <c r="J10" i="62" s="1"/>
  <c r="AD34" i="62"/>
  <c r="AD35" i="62"/>
  <c r="AD36" i="62"/>
  <c r="AD63" i="62"/>
  <c r="AD64" i="62"/>
  <c r="AD65" i="62"/>
  <c r="N121" i="62"/>
  <c r="L127" i="62" s="1"/>
  <c r="N122" i="62"/>
  <c r="L128" i="62" s="1"/>
  <c r="N123" i="62"/>
  <c r="G129" i="62" s="1"/>
  <c r="N6" i="62"/>
  <c r="D12" i="62" s="1"/>
  <c r="N7" i="62"/>
  <c r="C13" i="62" s="1"/>
  <c r="N34" i="62"/>
  <c r="N35" i="62"/>
  <c r="N36" i="62"/>
  <c r="N62" i="62"/>
  <c r="N63" i="62"/>
  <c r="N64" i="62"/>
  <c r="N65" i="62"/>
  <c r="N91" i="62"/>
  <c r="I97" i="62" s="1"/>
  <c r="N92" i="62"/>
  <c r="J98" i="62" s="1"/>
  <c r="N93" i="62"/>
  <c r="E99" i="62" s="1"/>
  <c r="N94" i="62"/>
  <c r="L98" i="62"/>
  <c r="M3" i="62"/>
  <c r="L3" i="62"/>
  <c r="K3" i="62"/>
  <c r="J3" i="62"/>
  <c r="I3" i="62"/>
  <c r="H3" i="62"/>
  <c r="G3" i="62"/>
  <c r="F3" i="62"/>
  <c r="AC38" i="62"/>
  <c r="AB38" i="62"/>
  <c r="AA38" i="62"/>
  <c r="Z38" i="62"/>
  <c r="Y38" i="62"/>
  <c r="X38" i="62"/>
  <c r="W38" i="62"/>
  <c r="V38" i="62"/>
  <c r="AC67" i="62"/>
  <c r="AB67" i="62"/>
  <c r="AA67" i="62"/>
  <c r="Z67" i="62"/>
  <c r="Y67" i="62"/>
  <c r="X67" i="62"/>
  <c r="W67" i="62"/>
  <c r="V67" i="62"/>
  <c r="M129" i="62"/>
  <c r="I129" i="62"/>
  <c r="E129" i="62"/>
  <c r="M128" i="62"/>
  <c r="K128" i="62"/>
  <c r="J128" i="62"/>
  <c r="I128" i="62"/>
  <c r="G128" i="62"/>
  <c r="F128" i="62"/>
  <c r="E128" i="62"/>
  <c r="C128" i="62"/>
  <c r="B128" i="62"/>
  <c r="M125" i="62"/>
  <c r="L125" i="62"/>
  <c r="K125" i="62"/>
  <c r="J125" i="62"/>
  <c r="I125" i="62"/>
  <c r="H125" i="62"/>
  <c r="G125" i="62"/>
  <c r="F125" i="62"/>
  <c r="M100" i="62"/>
  <c r="L100" i="62"/>
  <c r="K100" i="62"/>
  <c r="J100" i="62"/>
  <c r="I100" i="62"/>
  <c r="H100" i="62"/>
  <c r="G100" i="62"/>
  <c r="F100" i="62"/>
  <c r="E100" i="62"/>
  <c r="D100" i="62"/>
  <c r="C100" i="62"/>
  <c r="B100" i="62"/>
  <c r="M98" i="62"/>
  <c r="I98" i="62"/>
  <c r="F98" i="62"/>
  <c r="E98" i="62"/>
  <c r="J97" i="62"/>
  <c r="H97" i="62"/>
  <c r="D97" i="62"/>
  <c r="M96" i="62"/>
  <c r="L96" i="62"/>
  <c r="K96" i="62"/>
  <c r="J96" i="62"/>
  <c r="I96" i="62"/>
  <c r="H96" i="62"/>
  <c r="G96" i="62"/>
  <c r="F96" i="62"/>
  <c r="M67" i="62"/>
  <c r="L67" i="62"/>
  <c r="K67" i="62"/>
  <c r="J67" i="62"/>
  <c r="I67" i="62"/>
  <c r="H67" i="62"/>
  <c r="G67" i="62"/>
  <c r="F67" i="62"/>
  <c r="M38" i="62"/>
  <c r="L38" i="62"/>
  <c r="K38" i="62"/>
  <c r="J38" i="62"/>
  <c r="I38" i="62"/>
  <c r="H38" i="62"/>
  <c r="G38" i="62"/>
  <c r="F38" i="62"/>
  <c r="I12" i="62"/>
  <c r="B13" i="62"/>
  <c r="G17" i="62" s="1"/>
  <c r="E13" i="62"/>
  <c r="F13" i="62"/>
  <c r="I13" i="62"/>
  <c r="J13" i="62"/>
  <c r="M13" i="62"/>
  <c r="K10" i="62"/>
  <c r="G10" i="62"/>
  <c r="C10" i="62"/>
  <c r="K127" i="62" l="1"/>
  <c r="B127" i="62"/>
  <c r="M127" i="62"/>
  <c r="C127" i="62"/>
  <c r="E127" i="62"/>
  <c r="F127" i="62"/>
  <c r="G127" i="62"/>
  <c r="J127" i="62"/>
  <c r="I127" i="62"/>
  <c r="K97" i="62"/>
  <c r="K12" i="62"/>
  <c r="C12" i="62"/>
  <c r="J12" i="62"/>
  <c r="B12" i="62"/>
  <c r="F17" i="62" s="1"/>
  <c r="H12" i="62"/>
  <c r="G12" i="62"/>
  <c r="L97" i="62"/>
  <c r="F12" i="62"/>
  <c r="M12" i="62"/>
  <c r="E12" i="62"/>
  <c r="L12" i="62"/>
  <c r="AD48" i="64"/>
  <c r="AC48" i="64"/>
  <c r="N5" i="62"/>
  <c r="M11" i="62" s="1"/>
  <c r="D10" i="62"/>
  <c r="H10" i="62"/>
  <c r="L10" i="62"/>
  <c r="I10" i="62"/>
  <c r="E10" i="62"/>
  <c r="M10" i="62"/>
  <c r="B10" i="62"/>
  <c r="D17" i="62" s="1"/>
  <c r="F10" i="62"/>
  <c r="C129" i="62"/>
  <c r="K129" i="62"/>
  <c r="D127" i="62"/>
  <c r="H127" i="62"/>
  <c r="D128" i="62"/>
  <c r="H128" i="62"/>
  <c r="D129" i="62"/>
  <c r="H129" i="62"/>
  <c r="L129" i="62"/>
  <c r="B129" i="62"/>
  <c r="F129" i="62"/>
  <c r="J129" i="62"/>
  <c r="L13" i="62"/>
  <c r="H13" i="62"/>
  <c r="D13" i="62"/>
  <c r="K13" i="62"/>
  <c r="G13" i="62"/>
  <c r="B98" i="62"/>
  <c r="E97" i="62"/>
  <c r="M97" i="62"/>
  <c r="M101" i="62" s="1"/>
  <c r="B97" i="62"/>
  <c r="B101" i="62" s="1"/>
  <c r="L101" i="62"/>
  <c r="I99" i="62"/>
  <c r="M99" i="62"/>
  <c r="B99" i="62"/>
  <c r="F99" i="62"/>
  <c r="J99" i="62"/>
  <c r="J101" i="62"/>
  <c r="C98" i="62"/>
  <c r="G98" i="62"/>
  <c r="K98" i="62"/>
  <c r="K101" i="62" s="1"/>
  <c r="C99" i="62"/>
  <c r="G99" i="62"/>
  <c r="K99" i="62"/>
  <c r="F97" i="62"/>
  <c r="F101" i="62" s="1"/>
  <c r="D98" i="62"/>
  <c r="D101" i="62" s="1"/>
  <c r="H98" i="62"/>
  <c r="H101" i="62" s="1"/>
  <c r="D99" i="62"/>
  <c r="H99" i="62"/>
  <c r="L99" i="62"/>
  <c r="I101" i="62"/>
  <c r="E101" i="62"/>
  <c r="C97" i="62"/>
  <c r="G97" i="62"/>
  <c r="G101" i="62" l="1"/>
  <c r="C101" i="62"/>
  <c r="B11" i="62"/>
  <c r="E17" i="62" s="1"/>
  <c r="I11" i="62"/>
  <c r="I14" i="62" s="1"/>
  <c r="J11" i="62"/>
  <c r="J14" i="62" s="1"/>
  <c r="E11" i="62"/>
  <c r="E14" i="62" s="1"/>
  <c r="C11" i="62"/>
  <c r="C14" i="62" s="1"/>
  <c r="G11" i="62"/>
  <c r="G14" i="62" s="1"/>
  <c r="K11" i="62"/>
  <c r="K14" i="62" s="1"/>
  <c r="M14" i="62"/>
  <c r="F11" i="62"/>
  <c r="F14" i="62" s="1"/>
  <c r="L11" i="62"/>
  <c r="L14" i="62" s="1"/>
  <c r="D11" i="62"/>
  <c r="D14" i="62" s="1"/>
  <c r="H11" i="62"/>
  <c r="H14" i="62" s="1"/>
  <c r="N43" i="64"/>
  <c r="N36" i="64"/>
  <c r="N30" i="64"/>
  <c r="N17" i="64"/>
  <c r="N11" i="64"/>
  <c r="B14" i="62" l="1"/>
  <c r="N3" i="64"/>
  <c r="AD42" i="64"/>
  <c r="AC42" i="64"/>
  <c r="AC46" i="64"/>
  <c r="AD46" i="64"/>
  <c r="AD43" i="64"/>
  <c r="AC43" i="64"/>
  <c r="AD47" i="64"/>
  <c r="AC47" i="64"/>
  <c r="AD44" i="64"/>
  <c r="AC44" i="64"/>
  <c r="AD41" i="64"/>
  <c r="AC41" i="64"/>
  <c r="AD45" i="64"/>
  <c r="AC45" i="64"/>
  <c r="N4" i="64"/>
  <c r="O3" i="62"/>
  <c r="B18" i="62" l="1"/>
  <c r="B17" i="62"/>
  <c r="J9" i="62"/>
  <c r="G9" i="62"/>
  <c r="H9" i="62"/>
  <c r="K9" i="62"/>
  <c r="L9" i="62"/>
  <c r="F9" i="62"/>
  <c r="M9" i="62"/>
  <c r="I9" i="62"/>
  <c r="H17" i="62"/>
  <c r="AG66" i="16"/>
  <c r="B29" i="65" l="1"/>
  <c r="C28" i="65"/>
  <c r="B27" i="65"/>
  <c r="C26" i="65"/>
  <c r="B26" i="65"/>
  <c r="B25" i="65"/>
  <c r="C24" i="65"/>
  <c r="B24" i="65"/>
  <c r="C21" i="65"/>
  <c r="B21" i="65"/>
  <c r="B20" i="65"/>
  <c r="C63" i="65"/>
  <c r="B19" i="65"/>
  <c r="B18" i="65"/>
  <c r="B17" i="65"/>
  <c r="B15" i="65"/>
  <c r="B14" i="65"/>
  <c r="B13" i="65"/>
  <c r="B12" i="65"/>
  <c r="B10" i="65"/>
  <c r="B9" i="65"/>
  <c r="B7" i="65"/>
  <c r="B6" i="65"/>
  <c r="B3" i="65"/>
  <c r="C29" i="65"/>
  <c r="B28" i="65"/>
  <c r="C27" i="65"/>
  <c r="C25" i="65"/>
  <c r="C23" i="65"/>
  <c r="B23" i="65"/>
  <c r="C22" i="65"/>
  <c r="B22" i="65"/>
  <c r="C20" i="65"/>
  <c r="C19" i="65"/>
  <c r="C18" i="65"/>
  <c r="C17" i="65"/>
  <c r="C16" i="65"/>
  <c r="B16" i="65"/>
  <c r="C15" i="65"/>
  <c r="C14" i="65"/>
  <c r="C13" i="65"/>
  <c r="C12" i="65"/>
  <c r="C11" i="65"/>
  <c r="B11" i="65"/>
  <c r="C10" i="65"/>
  <c r="C9" i="65"/>
  <c r="C8" i="65"/>
  <c r="B8" i="65"/>
  <c r="C7" i="65"/>
  <c r="C6" i="65"/>
  <c r="C5" i="65"/>
  <c r="C4" i="65"/>
  <c r="B4" i="65"/>
  <c r="AA30" i="65"/>
  <c r="AA32" i="65" s="1"/>
  <c r="Y30" i="65"/>
  <c r="Y32" i="65" s="1"/>
  <c r="X30" i="65"/>
  <c r="X32" i="65" s="1"/>
  <c r="W30" i="65"/>
  <c r="W32" i="65" s="1"/>
  <c r="U30" i="65"/>
  <c r="U32" i="65" s="1"/>
  <c r="T30" i="65"/>
  <c r="T32" i="65" s="1"/>
  <c r="S30" i="65"/>
  <c r="S32" i="65" s="1"/>
  <c r="Q30" i="65"/>
  <c r="Q32" i="65" s="1"/>
  <c r="P30" i="65"/>
  <c r="P32" i="65" s="1"/>
  <c r="O30" i="65"/>
  <c r="O32" i="65" s="1"/>
  <c r="M30" i="65"/>
  <c r="M32" i="65" s="1"/>
  <c r="L30" i="65"/>
  <c r="L32" i="65" s="1"/>
  <c r="C3" i="65"/>
  <c r="B63" i="65" l="1"/>
  <c r="C30" i="65"/>
  <c r="N30" i="65"/>
  <c r="N32" i="65" s="1"/>
  <c r="R30" i="65"/>
  <c r="R32" i="65" s="1"/>
  <c r="V30" i="65"/>
  <c r="V32" i="65" s="1"/>
  <c r="Z30" i="65"/>
  <c r="Z32" i="65" s="1"/>
  <c r="B5" i="65"/>
  <c r="B30" i="65" s="1"/>
  <c r="C32" i="65" l="1"/>
  <c r="B32" i="65" l="1"/>
  <c r="A40" i="64" l="1"/>
  <c r="AV10" i="64" s="1"/>
  <c r="A34" i="64"/>
  <c r="AV9" i="64" s="1"/>
  <c r="A28" i="64"/>
  <c r="AV8" i="64" s="1"/>
  <c r="A21" i="64"/>
  <c r="AV7" i="64" s="1"/>
  <c r="A15" i="64"/>
  <c r="AV6" i="64" s="1"/>
  <c r="A8" i="64"/>
  <c r="AV5" i="64" s="1"/>
  <c r="A1" i="64"/>
  <c r="AC152" i="63"/>
  <c r="AC151" i="63"/>
  <c r="N151" i="63"/>
  <c r="AC150" i="63"/>
  <c r="N150" i="63"/>
  <c r="AC122" i="63"/>
  <c r="AC121" i="63"/>
  <c r="N121" i="63"/>
  <c r="AC120" i="63"/>
  <c r="N120" i="63"/>
  <c r="AC92" i="63"/>
  <c r="AC91" i="63"/>
  <c r="N91" i="63"/>
  <c r="AC90" i="63"/>
  <c r="N90" i="63"/>
  <c r="AC62" i="63"/>
  <c r="AC61" i="63"/>
  <c r="N61" i="63"/>
  <c r="AC60" i="63"/>
  <c r="N60" i="63"/>
  <c r="AC32" i="63"/>
  <c r="AC31" i="63"/>
  <c r="N31" i="63"/>
  <c r="AC30" i="63"/>
  <c r="N30" i="63"/>
  <c r="N120" i="62"/>
  <c r="H126" i="62" l="1"/>
  <c r="H130" i="62" s="1"/>
  <c r="G126" i="62"/>
  <c r="G130" i="62" s="1"/>
  <c r="F126" i="62"/>
  <c r="F130" i="62" s="1"/>
  <c r="M126" i="62"/>
  <c r="M130" i="62" s="1"/>
  <c r="E126" i="62"/>
  <c r="E130" i="62" s="1"/>
  <c r="K126" i="62"/>
  <c r="K130" i="62" s="1"/>
  <c r="L126" i="62"/>
  <c r="L130" i="62" s="1"/>
  <c r="D126" i="62"/>
  <c r="D130" i="62" s="1"/>
  <c r="J126" i="62"/>
  <c r="J130" i="62" s="1"/>
  <c r="B126" i="62"/>
  <c r="B130" i="62" s="1"/>
  <c r="I126" i="62"/>
  <c r="I130" i="62" s="1"/>
  <c r="C126" i="62"/>
  <c r="C130" i="62" s="1"/>
  <c r="N3" i="63"/>
  <c r="AM3" i="63" s="1"/>
  <c r="AC3" i="63"/>
  <c r="BB3" i="63" s="1"/>
  <c r="N4" i="63"/>
  <c r="AF4" i="63" s="1"/>
  <c r="AC4" i="63"/>
  <c r="AT4" i="63" s="1"/>
  <c r="N5" i="63"/>
  <c r="AL5" i="63" s="1"/>
  <c r="AC5" i="63"/>
  <c r="AX5" i="63" s="1"/>
  <c r="N6" i="63"/>
  <c r="AG6" i="63" s="1"/>
  <c r="AC6" i="63"/>
  <c r="AY6" i="63" s="1"/>
  <c r="N7" i="63"/>
  <c r="AO7" i="63" s="1"/>
  <c r="AC7" i="63"/>
  <c r="BB7" i="63" s="1"/>
  <c r="N8" i="63"/>
  <c r="AC8" i="63"/>
  <c r="N9" i="63"/>
  <c r="AI9" i="63" s="1"/>
  <c r="AC9" i="63"/>
  <c r="AX9" i="63" s="1"/>
  <c r="N10" i="63"/>
  <c r="N13" i="63"/>
  <c r="AJ13" i="63" s="1"/>
  <c r="AC13" i="63"/>
  <c r="BA13" i="63" s="1"/>
  <c r="N15" i="63"/>
  <c r="AP15" i="63" s="1"/>
  <c r="AC15" i="63"/>
  <c r="AV15" i="63" s="1"/>
  <c r="N17" i="63"/>
  <c r="AL17" i="63" s="1"/>
  <c r="AC17" i="63"/>
  <c r="AW17" i="63" s="1"/>
  <c r="N19" i="63"/>
  <c r="AJ19" i="63" s="1"/>
  <c r="AC19" i="63"/>
  <c r="N21" i="63"/>
  <c r="AJ21" i="63" s="1"/>
  <c r="AC21" i="63"/>
  <c r="BE21" i="63" s="1"/>
  <c r="N23" i="63"/>
  <c r="AL23" i="63" s="1"/>
  <c r="AC23" i="63"/>
  <c r="N25" i="63"/>
  <c r="AG25" i="63" s="1"/>
  <c r="AC25" i="63"/>
  <c r="BA25" i="63" s="1"/>
  <c r="N27" i="63"/>
  <c r="AJ27" i="63" s="1"/>
  <c r="AC27" i="63"/>
  <c r="AV27" i="63" s="1"/>
  <c r="N29" i="63"/>
  <c r="AJ29" i="63" s="1"/>
  <c r="AC29" i="63"/>
  <c r="BD29" i="63" s="1"/>
  <c r="N63" i="63"/>
  <c r="AE63" i="63" s="1"/>
  <c r="N64" i="63"/>
  <c r="AC64" i="63"/>
  <c r="AX64" i="63" s="1"/>
  <c r="N65" i="63"/>
  <c r="AO65" i="63" s="1"/>
  <c r="N66" i="63"/>
  <c r="AE66" i="63" s="1"/>
  <c r="AC66" i="63"/>
  <c r="AX66" i="63" s="1"/>
  <c r="N67" i="63"/>
  <c r="AM67" i="63" s="1"/>
  <c r="N68" i="63"/>
  <c r="AO68" i="63" s="1"/>
  <c r="AC68" i="63"/>
  <c r="AT68" i="63" s="1"/>
  <c r="N69" i="63"/>
  <c r="AI69" i="63" s="1"/>
  <c r="N70" i="63"/>
  <c r="AK70" i="63" s="1"/>
  <c r="AC70" i="63"/>
  <c r="AX70" i="63" s="1"/>
  <c r="N71" i="63"/>
  <c r="AP71" i="63" s="1"/>
  <c r="N72" i="63"/>
  <c r="AC72" i="63"/>
  <c r="BA72" i="63" s="1"/>
  <c r="N73" i="63"/>
  <c r="AJ73" i="63" s="1"/>
  <c r="N74" i="63"/>
  <c r="AC74" i="63"/>
  <c r="AZ74" i="63" s="1"/>
  <c r="N75" i="63"/>
  <c r="AF75" i="63" s="1"/>
  <c r="N76" i="63"/>
  <c r="AE76" i="63" s="1"/>
  <c r="AC76" i="63"/>
  <c r="BE76" i="63" s="1"/>
  <c r="N77" i="63"/>
  <c r="AL77" i="63" s="1"/>
  <c r="N78" i="63"/>
  <c r="AE78" i="63" s="1"/>
  <c r="AC78" i="63"/>
  <c r="AT78" i="63" s="1"/>
  <c r="N79" i="63"/>
  <c r="AO79" i="63" s="1"/>
  <c r="N80" i="63"/>
  <c r="AC80" i="63"/>
  <c r="AU80" i="63" s="1"/>
  <c r="N81" i="63"/>
  <c r="AM81" i="63" s="1"/>
  <c r="N82" i="63"/>
  <c r="AC82" i="63"/>
  <c r="AW82" i="63" s="1"/>
  <c r="N83" i="63"/>
  <c r="AO83" i="63" s="1"/>
  <c r="N84" i="63"/>
  <c r="AP84" i="63" s="1"/>
  <c r="AC84" i="63"/>
  <c r="BB84" i="63" s="1"/>
  <c r="N86" i="63"/>
  <c r="AG86" i="63" s="1"/>
  <c r="N88" i="63"/>
  <c r="AK88" i="63" s="1"/>
  <c r="AC132" i="63"/>
  <c r="BC132" i="63" s="1"/>
  <c r="N133" i="63"/>
  <c r="AP133" i="63" s="1"/>
  <c r="AC133" i="63"/>
  <c r="N106" i="63"/>
  <c r="AG106" i="63" s="1"/>
  <c r="AC106" i="63"/>
  <c r="AT106" i="63" s="1"/>
  <c r="N108" i="63"/>
  <c r="AP108" i="63" s="1"/>
  <c r="AC112" i="63"/>
  <c r="BD112" i="63" s="1"/>
  <c r="AC175" i="63"/>
  <c r="N159" i="63"/>
  <c r="AP159" i="63" s="1"/>
  <c r="AC159" i="63"/>
  <c r="AT159" i="63" s="1"/>
  <c r="AC167" i="63"/>
  <c r="AV167" i="63" s="1"/>
  <c r="AC169" i="63"/>
  <c r="AT169" i="63" s="1"/>
  <c r="AC114" i="63"/>
  <c r="AT114" i="63" s="1"/>
  <c r="N116" i="63"/>
  <c r="AO116" i="63" s="1"/>
  <c r="N135" i="63"/>
  <c r="AF135" i="63" s="1"/>
  <c r="N146" i="63"/>
  <c r="N33" i="63"/>
  <c r="AH33" i="63" s="1"/>
  <c r="AC33" i="63"/>
  <c r="BD33" i="63" s="1"/>
  <c r="N35" i="63"/>
  <c r="AO35" i="63" s="1"/>
  <c r="AC35" i="63"/>
  <c r="AY35" i="63" s="1"/>
  <c r="N37" i="63"/>
  <c r="AK37" i="63" s="1"/>
  <c r="AC37" i="63"/>
  <c r="BD37" i="63" s="1"/>
  <c r="N39" i="63"/>
  <c r="AO39" i="63" s="1"/>
  <c r="AC39" i="63"/>
  <c r="AY39" i="63" s="1"/>
  <c r="N41" i="63"/>
  <c r="AG41" i="63" s="1"/>
  <c r="AC41" i="63"/>
  <c r="BD41" i="63" s="1"/>
  <c r="N43" i="63"/>
  <c r="AO43" i="63" s="1"/>
  <c r="AC43" i="63"/>
  <c r="BE43" i="63" s="1"/>
  <c r="N45" i="63"/>
  <c r="AL45" i="63" s="1"/>
  <c r="AC45" i="63"/>
  <c r="BD45" i="63" s="1"/>
  <c r="N47" i="63"/>
  <c r="AO47" i="63" s="1"/>
  <c r="AC47" i="63"/>
  <c r="AZ47" i="63" s="1"/>
  <c r="AC48" i="63"/>
  <c r="BA48" i="63" s="1"/>
  <c r="AC50" i="63"/>
  <c r="AT50" i="63" s="1"/>
  <c r="N51" i="63"/>
  <c r="AN51" i="63" s="1"/>
  <c r="N52" i="63"/>
  <c r="AL52" i="63" s="1"/>
  <c r="AC52" i="63"/>
  <c r="AX52" i="63" s="1"/>
  <c r="N53" i="63"/>
  <c r="AM53" i="63" s="1"/>
  <c r="N54" i="63"/>
  <c r="AC54" i="63"/>
  <c r="BA54" i="63" s="1"/>
  <c r="N55" i="63"/>
  <c r="AG55" i="63" s="1"/>
  <c r="N56" i="63"/>
  <c r="AK56" i="63" s="1"/>
  <c r="AC56" i="63"/>
  <c r="AX56" i="63" s="1"/>
  <c r="N57" i="63"/>
  <c r="AK57" i="63" s="1"/>
  <c r="AC58" i="63"/>
  <c r="AT58" i="63" s="1"/>
  <c r="AC100" i="63"/>
  <c r="BE100" i="63" s="1"/>
  <c r="AC140" i="63"/>
  <c r="BC140" i="63" s="1"/>
  <c r="N141" i="63"/>
  <c r="AL141" i="63" s="1"/>
  <c r="N142" i="63"/>
  <c r="AM142" i="63" s="1"/>
  <c r="AC142" i="63"/>
  <c r="AX142" i="63" s="1"/>
  <c r="N148" i="63"/>
  <c r="AC148" i="63"/>
  <c r="AC153" i="63"/>
  <c r="AT153" i="63" s="1"/>
  <c r="AC154" i="63"/>
  <c r="AZ154" i="63" s="1"/>
  <c r="N161" i="63"/>
  <c r="AL161" i="63" s="1"/>
  <c r="AC161" i="63"/>
  <c r="AX161" i="63" s="1"/>
  <c r="N171" i="63"/>
  <c r="AM171" i="63" s="1"/>
  <c r="AC171" i="63"/>
  <c r="AX171" i="63" s="1"/>
  <c r="N178" i="63"/>
  <c r="AO178" i="63" s="1"/>
  <c r="AC178" i="63"/>
  <c r="N114" i="63"/>
  <c r="AO114" i="63" s="1"/>
  <c r="AC135" i="63"/>
  <c r="AT135" i="63" s="1"/>
  <c r="AC139" i="63"/>
  <c r="AT139" i="63" s="1"/>
  <c r="AC146" i="63"/>
  <c r="AX146" i="63" s="1"/>
  <c r="N124" i="63"/>
  <c r="AO124" i="63" s="1"/>
  <c r="AC124" i="63"/>
  <c r="AW124" i="63" s="1"/>
  <c r="N126" i="63"/>
  <c r="AC126" i="63"/>
  <c r="AU126" i="63" s="1"/>
  <c r="N130" i="63"/>
  <c r="AH130" i="63" s="1"/>
  <c r="AC130" i="63"/>
  <c r="BC130" i="63" s="1"/>
  <c r="AC131" i="63"/>
  <c r="BE131" i="63" s="1"/>
  <c r="N144" i="63"/>
  <c r="AE144" i="63" s="1"/>
  <c r="AC144" i="63"/>
  <c r="AZ144" i="63" s="1"/>
  <c r="N155" i="63"/>
  <c r="AI155" i="63" s="1"/>
  <c r="N157" i="63"/>
  <c r="AM157" i="63" s="1"/>
  <c r="AC157" i="63"/>
  <c r="AC163" i="63"/>
  <c r="AU163" i="63" s="1"/>
  <c r="AC166" i="63"/>
  <c r="AX166" i="63" s="1"/>
  <c r="N173" i="63"/>
  <c r="AJ173" i="63" s="1"/>
  <c r="AC173" i="63"/>
  <c r="AV173" i="63" s="1"/>
  <c r="AD33" i="62"/>
  <c r="N58" i="63"/>
  <c r="AI58" i="63" s="1"/>
  <c r="N59" i="63"/>
  <c r="AG59" i="63" s="1"/>
  <c r="N166" i="63"/>
  <c r="AO166" i="63" s="1"/>
  <c r="AD62" i="62"/>
  <c r="N153" i="63"/>
  <c r="AP153" i="63" s="1"/>
  <c r="N169" i="63"/>
  <c r="AL4" i="63"/>
  <c r="AM5" i="63"/>
  <c r="BD4" i="63"/>
  <c r="AL8" i="63"/>
  <c r="AX8" i="63"/>
  <c r="AI10" i="63"/>
  <c r="AC10" i="63"/>
  <c r="AT10" i="63" s="1"/>
  <c r="AE8" i="63"/>
  <c r="BB15" i="63"/>
  <c r="AG17" i="63"/>
  <c r="BB19" i="63"/>
  <c r="BB23" i="63"/>
  <c r="AL25" i="63"/>
  <c r="BB27" i="63"/>
  <c r="N33" i="62"/>
  <c r="N11" i="63"/>
  <c r="AE11" i="63" s="1"/>
  <c r="AC11" i="63"/>
  <c r="AT11" i="63" s="1"/>
  <c r="BE35" i="63"/>
  <c r="AU35" i="63"/>
  <c r="BE39" i="63"/>
  <c r="BD43" i="63"/>
  <c r="AY47" i="63"/>
  <c r="N12" i="63"/>
  <c r="N14" i="63"/>
  <c r="N16" i="63"/>
  <c r="N18" i="63"/>
  <c r="AE18" i="63" s="1"/>
  <c r="N20" i="63"/>
  <c r="N22" i="63"/>
  <c r="N24" i="63"/>
  <c r="N26" i="63"/>
  <c r="AE26" i="63" s="1"/>
  <c r="N28" i="63"/>
  <c r="N34" i="63"/>
  <c r="AE34" i="63" s="1"/>
  <c r="N36" i="63"/>
  <c r="N38" i="63"/>
  <c r="N40" i="63"/>
  <c r="AE40" i="63" s="1"/>
  <c r="N42" i="63"/>
  <c r="AE42" i="63" s="1"/>
  <c r="N44" i="63"/>
  <c r="N46" i="63"/>
  <c r="N48" i="63"/>
  <c r="AE48" i="63" s="1"/>
  <c r="AC12" i="63"/>
  <c r="AT12" i="63" s="1"/>
  <c r="AC14" i="63"/>
  <c r="AT14" i="63" s="1"/>
  <c r="AC16" i="63"/>
  <c r="AC18" i="63"/>
  <c r="AC20" i="63"/>
  <c r="AT20" i="63" s="1"/>
  <c r="AC22" i="63"/>
  <c r="AT22" i="63" s="1"/>
  <c r="AC24" i="63"/>
  <c r="AC26" i="63"/>
  <c r="AC28" i="63"/>
  <c r="AT28" i="63" s="1"/>
  <c r="AC34" i="63"/>
  <c r="AT34" i="63" s="1"/>
  <c r="AC36" i="63"/>
  <c r="AT36" i="63" s="1"/>
  <c r="AC38" i="63"/>
  <c r="AC40" i="63"/>
  <c r="AT40" i="63" s="1"/>
  <c r="AC42" i="63"/>
  <c r="AT42" i="63" s="1"/>
  <c r="AC44" i="63"/>
  <c r="AT44" i="63" s="1"/>
  <c r="AC46" i="63"/>
  <c r="N50" i="63"/>
  <c r="AF64" i="63"/>
  <c r="AW64" i="63"/>
  <c r="AW66" i="63"/>
  <c r="AG67" i="63"/>
  <c r="AN69" i="63"/>
  <c r="AF70" i="63"/>
  <c r="BB72" i="63"/>
  <c r="AU74" i="63"/>
  <c r="AL75" i="63"/>
  <c r="AF77" i="63"/>
  <c r="AO78" i="63"/>
  <c r="BC82" i="63"/>
  <c r="AJ83" i="63"/>
  <c r="N49" i="63"/>
  <c r="AE49" i="63" s="1"/>
  <c r="AM52" i="63"/>
  <c r="AH52" i="63"/>
  <c r="AF52" i="63"/>
  <c r="BB54" i="63"/>
  <c r="AW54" i="63"/>
  <c r="AU54" i="63"/>
  <c r="AG57" i="63"/>
  <c r="AP57" i="63"/>
  <c r="AM59" i="63"/>
  <c r="AH59" i="63"/>
  <c r="AC49" i="63"/>
  <c r="AT49" i="63" s="1"/>
  <c r="AC51" i="63"/>
  <c r="AT51" i="63" s="1"/>
  <c r="AC53" i="63"/>
  <c r="AT53" i="63" s="1"/>
  <c r="AC55" i="63"/>
  <c r="AC57" i="63"/>
  <c r="AT57" i="63" s="1"/>
  <c r="AC59" i="63"/>
  <c r="AT59" i="63" s="1"/>
  <c r="AC63" i="63"/>
  <c r="AC65" i="63"/>
  <c r="AT65" i="63" s="1"/>
  <c r="AC67" i="63"/>
  <c r="AT67" i="63" s="1"/>
  <c r="AC69" i="63"/>
  <c r="AC71" i="63"/>
  <c r="AC73" i="63"/>
  <c r="AT73" i="63" s="1"/>
  <c r="AC75" i="63"/>
  <c r="AT75" i="63" s="1"/>
  <c r="AC77" i="63"/>
  <c r="AC79" i="63"/>
  <c r="AC81" i="63"/>
  <c r="AT81" i="63" s="1"/>
  <c r="AC83" i="63"/>
  <c r="AT83" i="63" s="1"/>
  <c r="AC88" i="63"/>
  <c r="AT88" i="63" s="1"/>
  <c r="AE57" i="63"/>
  <c r="AC86" i="63"/>
  <c r="AT86" i="63" s="1"/>
  <c r="N94" i="63"/>
  <c r="AE94" i="63" s="1"/>
  <c r="AC94" i="63"/>
  <c r="AT94" i="63" s="1"/>
  <c r="N85" i="63"/>
  <c r="N87" i="63"/>
  <c r="AE87" i="63" s="1"/>
  <c r="N89" i="63"/>
  <c r="AE89" i="63" s="1"/>
  <c r="N93" i="63"/>
  <c r="AE93" i="63" s="1"/>
  <c r="N95" i="63"/>
  <c r="AE95" i="63" s="1"/>
  <c r="N96" i="63"/>
  <c r="AC96" i="63"/>
  <c r="N99" i="63"/>
  <c r="AE99" i="63" s="1"/>
  <c r="N100" i="63"/>
  <c r="N103" i="63"/>
  <c r="AE103" i="63" s="1"/>
  <c r="N104" i="63"/>
  <c r="AC104" i="63"/>
  <c r="N107" i="63"/>
  <c r="AE107" i="63" s="1"/>
  <c r="N112" i="63"/>
  <c r="N115" i="63"/>
  <c r="AE115" i="63" s="1"/>
  <c r="AC85" i="63"/>
  <c r="AT85" i="63" s="1"/>
  <c r="AC87" i="63"/>
  <c r="AT87" i="63" s="1"/>
  <c r="AC89" i="63"/>
  <c r="AC93" i="63"/>
  <c r="AC95" i="63"/>
  <c r="AT95" i="63" s="1"/>
  <c r="AC99" i="63"/>
  <c r="AT99" i="63" s="1"/>
  <c r="AC103" i="63"/>
  <c r="AT103" i="63" s="1"/>
  <c r="N105" i="63"/>
  <c r="AE105" i="63" s="1"/>
  <c r="N110" i="63"/>
  <c r="AC110" i="63"/>
  <c r="N113" i="63"/>
  <c r="AE113" i="63" s="1"/>
  <c r="N118" i="63"/>
  <c r="AC118" i="63"/>
  <c r="N97" i="63"/>
  <c r="AE97" i="63" s="1"/>
  <c r="N98" i="63"/>
  <c r="AC98" i="63"/>
  <c r="N101" i="63"/>
  <c r="AE101" i="63" s="1"/>
  <c r="N102" i="63"/>
  <c r="AC102" i="63"/>
  <c r="AC108" i="63"/>
  <c r="N111" i="63"/>
  <c r="AE111" i="63" s="1"/>
  <c r="AC116" i="63"/>
  <c r="N119" i="63"/>
  <c r="AE119" i="63" s="1"/>
  <c r="N123" i="63"/>
  <c r="AE123" i="63" s="1"/>
  <c r="AC97" i="63"/>
  <c r="AT97" i="63" s="1"/>
  <c r="AC101" i="63"/>
  <c r="AT101" i="63" s="1"/>
  <c r="N109" i="63"/>
  <c r="AE109" i="63" s="1"/>
  <c r="N117" i="63"/>
  <c r="AE117" i="63" s="1"/>
  <c r="N125" i="63"/>
  <c r="AE125" i="63" s="1"/>
  <c r="N129" i="63"/>
  <c r="AE129" i="63" s="1"/>
  <c r="N138" i="63"/>
  <c r="AE138" i="63" s="1"/>
  <c r="N149" i="63"/>
  <c r="AE149" i="63" s="1"/>
  <c r="AC105" i="63"/>
  <c r="AT105" i="63" s="1"/>
  <c r="AC107" i="63"/>
  <c r="AC109" i="63"/>
  <c r="AT109" i="63" s="1"/>
  <c r="AC111" i="63"/>
  <c r="AT111" i="63" s="1"/>
  <c r="AC113" i="63"/>
  <c r="AC115" i="63"/>
  <c r="AC117" i="63"/>
  <c r="AT117" i="63" s="1"/>
  <c r="AC119" i="63"/>
  <c r="AT119" i="63" s="1"/>
  <c r="AC123" i="63"/>
  <c r="AT123" i="63" s="1"/>
  <c r="AC125" i="63"/>
  <c r="N128" i="63"/>
  <c r="AE128" i="63" s="1"/>
  <c r="AC129" i="63"/>
  <c r="BA133" i="63"/>
  <c r="BC133" i="63"/>
  <c r="N136" i="63"/>
  <c r="AE136" i="63" s="1"/>
  <c r="AC138" i="63"/>
  <c r="BD140" i="63"/>
  <c r="AH141" i="63"/>
  <c r="AN141" i="63"/>
  <c r="AH144" i="63"/>
  <c r="N145" i="63"/>
  <c r="AE145" i="63" s="1"/>
  <c r="N127" i="63"/>
  <c r="AC128" i="63"/>
  <c r="N131" i="63"/>
  <c r="BA131" i="63"/>
  <c r="AY131" i="63"/>
  <c r="BB133" i="63"/>
  <c r="N134" i="63"/>
  <c r="AE134" i="63" s="1"/>
  <c r="AC136" i="63"/>
  <c r="N139" i="63"/>
  <c r="BE139" i="63"/>
  <c r="BA139" i="63"/>
  <c r="AW139" i="63"/>
  <c r="BD139" i="63"/>
  <c r="AZ139" i="63"/>
  <c r="AV139" i="63"/>
  <c r="BC139" i="63"/>
  <c r="AY139" i="63"/>
  <c r="AU139" i="63"/>
  <c r="AX139" i="63"/>
  <c r="AN146" i="63"/>
  <c r="AJ146" i="63"/>
  <c r="AF146" i="63"/>
  <c r="AP146" i="63"/>
  <c r="AL146" i="63"/>
  <c r="AH146" i="63"/>
  <c r="AK146" i="63"/>
  <c r="AI146" i="63"/>
  <c r="AO146" i="63"/>
  <c r="AG146" i="63"/>
  <c r="AU146" i="63"/>
  <c r="AE146" i="63"/>
  <c r="AC127" i="63"/>
  <c r="N132" i="63"/>
  <c r="AE132" i="63" s="1"/>
  <c r="AC134" i="63"/>
  <c r="N137" i="63"/>
  <c r="AC137" i="63"/>
  <c r="BB139" i="63"/>
  <c r="N140" i="63"/>
  <c r="AE140" i="63" s="1"/>
  <c r="AM141" i="63"/>
  <c r="AM146" i="63"/>
  <c r="AC145" i="63"/>
  <c r="AV148" i="63"/>
  <c r="AC149" i="63"/>
  <c r="AC155" i="63"/>
  <c r="N160" i="63"/>
  <c r="AE160" i="63" s="1"/>
  <c r="N143" i="63"/>
  <c r="N147" i="63"/>
  <c r="AE147" i="63" s="1"/>
  <c r="BC148" i="63"/>
  <c r="AY148" i="63"/>
  <c r="AU148" i="63"/>
  <c r="BE148" i="63"/>
  <c r="BA148" i="63"/>
  <c r="AW148" i="63"/>
  <c r="AX148" i="63"/>
  <c r="N156" i="63"/>
  <c r="AE156" i="63" s="1"/>
  <c r="AN161" i="63"/>
  <c r="BC161" i="63"/>
  <c r="AY161" i="63"/>
  <c r="AU161" i="63"/>
  <c r="BE161" i="63"/>
  <c r="BA161" i="63"/>
  <c r="AW161" i="63"/>
  <c r="BD161" i="63"/>
  <c r="AV161" i="63"/>
  <c r="BB161" i="63"/>
  <c r="AT161" i="63"/>
  <c r="AZ161" i="63"/>
  <c r="N170" i="63"/>
  <c r="AE170" i="63" s="1"/>
  <c r="AC141" i="63"/>
  <c r="AT141" i="63" s="1"/>
  <c r="AC143" i="63"/>
  <c r="AC147" i="63"/>
  <c r="AZ148" i="63"/>
  <c r="N154" i="63"/>
  <c r="AE154" i="63" s="1"/>
  <c r="AP157" i="63"/>
  <c r="AI157" i="63"/>
  <c r="BC157" i="63"/>
  <c r="AP169" i="63"/>
  <c r="AG169" i="63"/>
  <c r="AI169" i="63"/>
  <c r="AC156" i="63"/>
  <c r="AC160" i="63"/>
  <c r="N164" i="63"/>
  <c r="AC164" i="63"/>
  <c r="N167" i="63"/>
  <c r="AE167" i="63" s="1"/>
  <c r="N158" i="63"/>
  <c r="N162" i="63"/>
  <c r="AE162" i="63" s="1"/>
  <c r="N165" i="63"/>
  <c r="AE165" i="63" s="1"/>
  <c r="BC167" i="63"/>
  <c r="BE178" i="63"/>
  <c r="BA178" i="63"/>
  <c r="AW178" i="63"/>
  <c r="BD178" i="63"/>
  <c r="AZ178" i="63"/>
  <c r="AV178" i="63"/>
  <c r="BC178" i="63"/>
  <c r="AY178" i="63"/>
  <c r="AU178" i="63"/>
  <c r="AT178" i="63"/>
  <c r="BB178" i="63"/>
  <c r="AC158" i="63"/>
  <c r="AC162" i="63"/>
  <c r="N163" i="63"/>
  <c r="AE163" i="63" s="1"/>
  <c r="AC165" i="63"/>
  <c r="AF173" i="63"/>
  <c r="AO173" i="63"/>
  <c r="AK173" i="63"/>
  <c r="N174" i="63"/>
  <c r="AE174" i="63" s="1"/>
  <c r="BC175" i="63"/>
  <c r="BB175" i="63"/>
  <c r="AX175" i="63"/>
  <c r="BA175" i="63"/>
  <c r="AW175" i="63"/>
  <c r="AX178" i="63"/>
  <c r="AV169" i="63"/>
  <c r="AC170" i="63"/>
  <c r="AC174" i="63"/>
  <c r="N176" i="63"/>
  <c r="AC176" i="63"/>
  <c r="N168" i="63"/>
  <c r="AE168" i="63" s="1"/>
  <c r="BC169" i="63"/>
  <c r="AY169" i="63"/>
  <c r="AU169" i="63"/>
  <c r="BE169" i="63"/>
  <c r="BA169" i="63"/>
  <c r="AW169" i="63"/>
  <c r="AX169" i="63"/>
  <c r="N172" i="63"/>
  <c r="BA173" i="63"/>
  <c r="N177" i="63"/>
  <c r="AE177" i="63" s="1"/>
  <c r="AC168" i="63"/>
  <c r="AT168" i="63" s="1"/>
  <c r="AZ169" i="63"/>
  <c r="AC172" i="63"/>
  <c r="N175" i="63"/>
  <c r="AE175" i="63" s="1"/>
  <c r="AC177" i="63"/>
  <c r="N179" i="63"/>
  <c r="AE179" i="63" s="1"/>
  <c r="AC179" i="63"/>
  <c r="AE45" i="63" l="1"/>
  <c r="AU48" i="63"/>
  <c r="AV29" i="63"/>
  <c r="AJ159" i="63"/>
  <c r="AG81" i="63"/>
  <c r="AV58" i="63"/>
  <c r="AZ17" i="63"/>
  <c r="AE7" i="63"/>
  <c r="BE132" i="63"/>
  <c r="AK84" i="63"/>
  <c r="BC21" i="63"/>
  <c r="AJ142" i="63"/>
  <c r="AU70" i="63"/>
  <c r="BD25" i="63"/>
  <c r="AY13" i="63"/>
  <c r="BL13" i="63" s="1"/>
  <c r="AV37" i="63"/>
  <c r="AG171" i="63"/>
  <c r="AY153" i="63"/>
  <c r="AU132" i="63"/>
  <c r="AU114" i="63"/>
  <c r="AY106" i="63"/>
  <c r="AJ171" i="63"/>
  <c r="BC163" i="63"/>
  <c r="BE144" i="63"/>
  <c r="AH159" i="63"/>
  <c r="AH142" i="63"/>
  <c r="AV132" i="63"/>
  <c r="BE114" i="63"/>
  <c r="AJ124" i="63"/>
  <c r="BB106" i="63"/>
  <c r="BE52" i="63"/>
  <c r="AH81" i="63"/>
  <c r="BB78" i="63"/>
  <c r="AE41" i="63"/>
  <c r="AG45" i="63"/>
  <c r="AU39" i="63"/>
  <c r="AP37" i="63"/>
  <c r="BB29" i="63"/>
  <c r="AY25" i="63"/>
  <c r="AX21" i="63"/>
  <c r="AU17" i="63"/>
  <c r="AJ7" i="63"/>
  <c r="AG5" i="63"/>
  <c r="AV78" i="63"/>
  <c r="AP73" i="63"/>
  <c r="AZ70" i="63"/>
  <c r="AJ68" i="63"/>
  <c r="AJ65" i="63"/>
  <c r="AT48" i="63"/>
  <c r="BG48" i="63" s="1"/>
  <c r="AE33" i="63"/>
  <c r="BD48" i="63"/>
  <c r="AM41" i="63"/>
  <c r="BA29" i="63"/>
  <c r="AW21" i="63"/>
  <c r="BE17" i="63"/>
  <c r="BD13" i="63"/>
  <c r="AH3" i="63"/>
  <c r="AW163" i="63"/>
  <c r="AG130" i="63"/>
  <c r="BA58" i="63"/>
  <c r="AM55" i="63"/>
  <c r="AU52" i="63"/>
  <c r="BH52" i="63" s="1"/>
  <c r="AH171" i="63"/>
  <c r="AX163" i="63"/>
  <c r="BD153" i="63"/>
  <c r="AE159" i="63"/>
  <c r="AG142" i="63"/>
  <c r="AZ114" i="63"/>
  <c r="BD106" i="63"/>
  <c r="AJ130" i="63"/>
  <c r="BB58" i="63"/>
  <c r="AZ52" i="63"/>
  <c r="BM52" i="63" s="1"/>
  <c r="BA78" i="63"/>
  <c r="AO76" i="63"/>
  <c r="AO73" i="63"/>
  <c r="BE70" i="63"/>
  <c r="AE68" i="63"/>
  <c r="AE37" i="63"/>
  <c r="AT21" i="63"/>
  <c r="AL41" i="63"/>
  <c r="AF37" i="63"/>
  <c r="AN33" i="63"/>
  <c r="AH9" i="63"/>
  <c r="AG166" i="63"/>
  <c r="AZ146" i="63"/>
  <c r="AF141" i="63"/>
  <c r="AK141" i="63"/>
  <c r="AP141" i="63"/>
  <c r="AL106" i="63"/>
  <c r="AF88" i="63"/>
  <c r="AH57" i="63"/>
  <c r="AF57" i="63"/>
  <c r="AO57" i="63"/>
  <c r="AV54" i="63"/>
  <c r="BE54" i="63"/>
  <c r="AG52" i="63"/>
  <c r="AP52" i="63"/>
  <c r="AZ80" i="63"/>
  <c r="AK75" i="63"/>
  <c r="AV72" i="63"/>
  <c r="AP70" i="63"/>
  <c r="AH67" i="63"/>
  <c r="AT47" i="63"/>
  <c r="AT43" i="63"/>
  <c r="AT39" i="63"/>
  <c r="AT35" i="63"/>
  <c r="BD47" i="63"/>
  <c r="BQ47" i="63" s="1"/>
  <c r="AY43" i="63"/>
  <c r="AZ39" i="63"/>
  <c r="AZ35" i="63"/>
  <c r="AO29" i="63"/>
  <c r="BQ29" i="63" s="1"/>
  <c r="AM25" i="63"/>
  <c r="AO21" i="63"/>
  <c r="AO13" i="63"/>
  <c r="AL166" i="63"/>
  <c r="BD146" i="63"/>
  <c r="AI141" i="63"/>
  <c r="AJ141" i="63"/>
  <c r="AO141" i="63"/>
  <c r="AE75" i="63"/>
  <c r="BG75" i="63" s="1"/>
  <c r="AL57" i="63"/>
  <c r="AJ57" i="63"/>
  <c r="AZ54" i="63"/>
  <c r="AX54" i="63"/>
  <c r="AK52" i="63"/>
  <c r="AI52" i="63"/>
  <c r="BK52" i="63" s="1"/>
  <c r="AP83" i="63"/>
  <c r="BE80" i="63"/>
  <c r="AJ78" i="63"/>
  <c r="BC64" i="63"/>
  <c r="AE13" i="63"/>
  <c r="AU47" i="63"/>
  <c r="BE47" i="63"/>
  <c r="AZ43" i="63"/>
  <c r="BD39" i="63"/>
  <c r="BQ39" i="63" s="1"/>
  <c r="BD35" i="63"/>
  <c r="BQ35" i="63" s="1"/>
  <c r="AM17" i="63"/>
  <c r="AM166" i="63"/>
  <c r="AE141" i="63"/>
  <c r="BG141" i="63" s="1"/>
  <c r="AG141" i="63"/>
  <c r="AM57" i="63"/>
  <c r="BC54" i="63"/>
  <c r="AN52" i="63"/>
  <c r="AE29" i="63"/>
  <c r="AU43" i="63"/>
  <c r="AE171" i="63"/>
  <c r="AK171" i="63"/>
  <c r="AF171" i="63"/>
  <c r="BB153" i="63"/>
  <c r="AV163" i="63"/>
  <c r="AT163" i="63"/>
  <c r="BG163" i="63" s="1"/>
  <c r="AY163" i="63"/>
  <c r="AU153" i="63"/>
  <c r="AZ153" i="63"/>
  <c r="BE153" i="63"/>
  <c r="BR153" i="63" s="1"/>
  <c r="AK159" i="63"/>
  <c r="AO159" i="63"/>
  <c r="AF159" i="63"/>
  <c r="AE142" i="63"/>
  <c r="AK142" i="63"/>
  <c r="AF142" i="63"/>
  <c r="BA132" i="63"/>
  <c r="BB132" i="63"/>
  <c r="AE114" i="63"/>
  <c r="BG114" i="63" s="1"/>
  <c r="AV114" i="63"/>
  <c r="BA114" i="63"/>
  <c r="AU106" i="63"/>
  <c r="AZ106" i="63"/>
  <c r="BE106" i="63"/>
  <c r="AL130" i="63"/>
  <c r="AI124" i="63"/>
  <c r="AH124" i="63"/>
  <c r="BJ124" i="63" s="1"/>
  <c r="BC58" i="63"/>
  <c r="AW58" i="63"/>
  <c r="AX58" i="63"/>
  <c r="BK58" i="63" s="1"/>
  <c r="AI55" i="63"/>
  <c r="AV52" i="63"/>
  <c r="BA52" i="63"/>
  <c r="BB52" i="63"/>
  <c r="BO52" i="63" s="1"/>
  <c r="AG84" i="63"/>
  <c r="AM84" i="63"/>
  <c r="AF81" i="63"/>
  <c r="BC78" i="63"/>
  <c r="AW78" i="63"/>
  <c r="AX78" i="63"/>
  <c r="AK76" i="63"/>
  <c r="AL73" i="63"/>
  <c r="AK73" i="63"/>
  <c r="AV70" i="63"/>
  <c r="BA70" i="63"/>
  <c r="BB70" i="63"/>
  <c r="AH68" i="63"/>
  <c r="AI65" i="63"/>
  <c r="AT17" i="63"/>
  <c r="BB48" i="63"/>
  <c r="AZ48" i="63"/>
  <c r="BE48" i="63"/>
  <c r="AN45" i="63"/>
  <c r="AK41" i="63"/>
  <c r="AO37" i="63"/>
  <c r="BQ37" i="63" s="1"/>
  <c r="AJ33" i="63"/>
  <c r="AX29" i="63"/>
  <c r="BC29" i="63"/>
  <c r="AW29" i="63"/>
  <c r="AU25" i="63"/>
  <c r="AZ25" i="63"/>
  <c r="BE25" i="63"/>
  <c r="AY21" i="63"/>
  <c r="BL21" i="63" s="1"/>
  <c r="BD21" i="63"/>
  <c r="BB17" i="63"/>
  <c r="AV17" i="63"/>
  <c r="BA17" i="63"/>
  <c r="AU13" i="63"/>
  <c r="AZ13" i="63"/>
  <c r="BE13" i="63"/>
  <c r="AF7" i="63"/>
  <c r="AP7" i="63"/>
  <c r="AO3" i="63"/>
  <c r="AO9" i="63"/>
  <c r="AN5" i="63"/>
  <c r="AI5" i="63"/>
  <c r="AO171" i="63"/>
  <c r="AL171" i="63"/>
  <c r="AN171" i="63"/>
  <c r="BA163" i="63"/>
  <c r="BB163" i="63"/>
  <c r="BC153" i="63"/>
  <c r="AW153" i="63"/>
  <c r="AM159" i="63"/>
  <c r="AL159" i="63"/>
  <c r="AN159" i="63"/>
  <c r="AO142" i="63"/>
  <c r="AL142" i="63"/>
  <c r="AN142" i="63"/>
  <c r="AZ132" i="63"/>
  <c r="AT132" i="63"/>
  <c r="BG132" i="63" s="1"/>
  <c r="AY132" i="63"/>
  <c r="AY114" i="63"/>
  <c r="BD114" i="63"/>
  <c r="BQ114" i="63" s="1"/>
  <c r="BC106" i="63"/>
  <c r="AW106" i="63"/>
  <c r="AO130" i="63"/>
  <c r="AN130" i="63"/>
  <c r="BP130" i="63" s="1"/>
  <c r="AN124" i="63"/>
  <c r="BB114" i="63"/>
  <c r="AE73" i="63"/>
  <c r="BG73" i="63" s="1"/>
  <c r="AU58" i="63"/>
  <c r="AZ58" i="63"/>
  <c r="BE58" i="63"/>
  <c r="AN55" i="63"/>
  <c r="AY52" i="63"/>
  <c r="BD52" i="63"/>
  <c r="AT52" i="63"/>
  <c r="AL84" i="63"/>
  <c r="AL81" i="63"/>
  <c r="AK81" i="63"/>
  <c r="AU78" i="63"/>
  <c r="AZ78" i="63"/>
  <c r="BE78" i="63"/>
  <c r="AF76" i="63"/>
  <c r="AP76" i="63"/>
  <c r="AF73" i="63"/>
  <c r="AY70" i="63"/>
  <c r="BD70" i="63"/>
  <c r="AT70" i="63"/>
  <c r="AN68" i="63"/>
  <c r="AI68" i="63"/>
  <c r="AN65" i="63"/>
  <c r="AT29" i="63"/>
  <c r="AT25" i="63"/>
  <c r="AV48" i="63"/>
  <c r="AY48" i="63"/>
  <c r="AW48" i="63"/>
  <c r="AI45" i="63"/>
  <c r="AH45" i="63"/>
  <c r="AF41" i="63"/>
  <c r="AP41" i="63"/>
  <c r="AJ37" i="63"/>
  <c r="AO33" i="63"/>
  <c r="BQ33" i="63" s="1"/>
  <c r="AU29" i="63"/>
  <c r="AZ29" i="63"/>
  <c r="BE29" i="63"/>
  <c r="AX25" i="63"/>
  <c r="BC25" i="63"/>
  <c r="AW25" i="63"/>
  <c r="BB21" i="63"/>
  <c r="AV21" i="63"/>
  <c r="BA21" i="63"/>
  <c r="AY17" i="63"/>
  <c r="BD17" i="63"/>
  <c r="AX13" i="63"/>
  <c r="BC13" i="63"/>
  <c r="AW13" i="63"/>
  <c r="AK7" i="63"/>
  <c r="AJ3" i="63"/>
  <c r="AE3" i="63"/>
  <c r="AJ9" i="63"/>
  <c r="AE9" i="63"/>
  <c r="AH5" i="63"/>
  <c r="AI171" i="63"/>
  <c r="BK171" i="63" s="1"/>
  <c r="AP171" i="63"/>
  <c r="AZ163" i="63"/>
  <c r="BD163" i="63"/>
  <c r="BE163" i="63"/>
  <c r="AX153" i="63"/>
  <c r="AV153" i="63"/>
  <c r="BA153" i="63"/>
  <c r="AI159" i="63"/>
  <c r="AG159" i="63"/>
  <c r="AI142" i="63"/>
  <c r="BK142" i="63" s="1"/>
  <c r="AP142" i="63"/>
  <c r="BD132" i="63"/>
  <c r="AW132" i="63"/>
  <c r="AX132" i="63"/>
  <c r="AX114" i="63"/>
  <c r="BC114" i="63"/>
  <c r="AW114" i="63"/>
  <c r="AX106" i="63"/>
  <c r="AV106" i="63"/>
  <c r="BA106" i="63"/>
  <c r="AE124" i="63"/>
  <c r="AY58" i="63"/>
  <c r="BD58" i="63"/>
  <c r="AH55" i="63"/>
  <c r="BC52" i="63"/>
  <c r="AW52" i="63"/>
  <c r="BJ52" i="63" s="1"/>
  <c r="AF84" i="63"/>
  <c r="AY78" i="63"/>
  <c r="BD78" i="63"/>
  <c r="AJ76" i="63"/>
  <c r="BC70" i="63"/>
  <c r="AW70" i="63"/>
  <c r="AP65" i="63"/>
  <c r="AT13" i="63"/>
  <c r="AX48" i="63"/>
  <c r="BC48" i="63"/>
  <c r="AM45" i="63"/>
  <c r="AI33" i="63"/>
  <c r="AY29" i="63"/>
  <c r="BB25" i="63"/>
  <c r="AV25" i="63"/>
  <c r="BI25" i="63" s="1"/>
  <c r="AU21" i="63"/>
  <c r="AZ21" i="63"/>
  <c r="AX17" i="63"/>
  <c r="BC17" i="63"/>
  <c r="BB13" i="63"/>
  <c r="AV13" i="63"/>
  <c r="AN3" i="63"/>
  <c r="AI3" i="63"/>
  <c r="AN9" i="63"/>
  <c r="BE159" i="63"/>
  <c r="BR159" i="63" s="1"/>
  <c r="AT142" i="63"/>
  <c r="AV45" i="63"/>
  <c r="AY3" i="63"/>
  <c r="BB166" i="63"/>
  <c r="AU130" i="63"/>
  <c r="AY100" i="63"/>
  <c r="BA171" i="63"/>
  <c r="AU154" i="63"/>
  <c r="AY84" i="63"/>
  <c r="AX76" i="63"/>
  <c r="AV68" i="63"/>
  <c r="BB33" i="63"/>
  <c r="BE5" i="63"/>
  <c r="AU9" i="63"/>
  <c r="AN153" i="63"/>
  <c r="AN58" i="63"/>
  <c r="BB171" i="63"/>
  <c r="AE153" i="63"/>
  <c r="BG153" i="63" s="1"/>
  <c r="AM133" i="63"/>
  <c r="BO133" i="63" s="1"/>
  <c r="BE154" i="63"/>
  <c r="AW130" i="63"/>
  <c r="AW76" i="63"/>
  <c r="AW50" i="63"/>
  <c r="BB45" i="63"/>
  <c r="BA41" i="63"/>
  <c r="BB37" i="63"/>
  <c r="AZ5" i="63"/>
  <c r="AT7" i="63"/>
  <c r="BC171" i="63"/>
  <c r="BC166" i="63"/>
  <c r="AH153" i="63"/>
  <c r="AW142" i="63"/>
  <c r="AJ108" i="63"/>
  <c r="AT100" i="63"/>
  <c r="AX124" i="63"/>
  <c r="AX100" i="63"/>
  <c r="AL58" i="63"/>
  <c r="BN58" i="63" s="1"/>
  <c r="AN53" i="63"/>
  <c r="BD84" i="63"/>
  <c r="BA68" i="63"/>
  <c r="AT45" i="63"/>
  <c r="BG45" i="63" s="1"/>
  <c r="BA45" i="63"/>
  <c r="BB41" i="63"/>
  <c r="BO41" i="63" s="1"/>
  <c r="BA37" i="63"/>
  <c r="AV33" i="63"/>
  <c r="AZ9" i="63"/>
  <c r="BD3" i="63"/>
  <c r="BQ3" i="63" s="1"/>
  <c r="AY7" i="63"/>
  <c r="AW166" i="63"/>
  <c r="AY142" i="63"/>
  <c r="BL142" i="63" s="1"/>
  <c r="AV130" i="63"/>
  <c r="BD154" i="63"/>
  <c r="AF116" i="63"/>
  <c r="AZ124" i="63"/>
  <c r="AW100" i="63"/>
  <c r="AT84" i="63"/>
  <c r="BC76" i="63"/>
  <c r="BB68" i="63"/>
  <c r="BC50" i="63"/>
  <c r="AV41" i="63"/>
  <c r="BI41" i="63" s="1"/>
  <c r="BA33" i="63"/>
  <c r="AU5" i="63"/>
  <c r="BE9" i="63"/>
  <c r="AT3" i="63"/>
  <c r="BD7" i="63"/>
  <c r="BQ7" i="63" s="1"/>
  <c r="AM153" i="63"/>
  <c r="BO153" i="63" s="1"/>
  <c r="AJ153" i="63"/>
  <c r="BL153" i="63" s="1"/>
  <c r="AO153" i="63"/>
  <c r="AG133" i="63"/>
  <c r="AJ58" i="63"/>
  <c r="AH58" i="63"/>
  <c r="BJ58" i="63" s="1"/>
  <c r="AM58" i="63"/>
  <c r="BO58" i="63" s="1"/>
  <c r="AI153" i="63"/>
  <c r="AG153" i="63"/>
  <c r="BI153" i="63" s="1"/>
  <c r="AL153" i="63"/>
  <c r="AP116" i="63"/>
  <c r="AG58" i="63"/>
  <c r="AE58" i="63"/>
  <c r="BG58" i="63" s="1"/>
  <c r="AL56" i="63"/>
  <c r="AN19" i="63"/>
  <c r="AG15" i="63"/>
  <c r="BI15" i="63" s="1"/>
  <c r="AF153" i="63"/>
  <c r="BH153" i="63" s="1"/>
  <c r="AK153" i="63"/>
  <c r="BM153" i="63" s="1"/>
  <c r="AO58" i="63"/>
  <c r="BQ58" i="63" s="1"/>
  <c r="AK27" i="63"/>
  <c r="AN23" i="63"/>
  <c r="AG155" i="63"/>
  <c r="AL155" i="63"/>
  <c r="AF133" i="63"/>
  <c r="AF108" i="63"/>
  <c r="AM23" i="63"/>
  <c r="BO23" i="63" s="1"/>
  <c r="AF15" i="63"/>
  <c r="AE56" i="63"/>
  <c r="AO56" i="63"/>
  <c r="AJ56" i="63"/>
  <c r="AI56" i="63"/>
  <c r="BK56" i="63" s="1"/>
  <c r="AH56" i="63"/>
  <c r="AN56" i="63"/>
  <c r="AK53" i="63"/>
  <c r="AF53" i="63"/>
  <c r="AL53" i="63"/>
  <c r="AO53" i="63"/>
  <c r="AJ53" i="63"/>
  <c r="AP53" i="63"/>
  <c r="AE53" i="63"/>
  <c r="BG53" i="63" s="1"/>
  <c r="AM116" i="63"/>
  <c r="AH116" i="63"/>
  <c r="AN116" i="63"/>
  <c r="AE116" i="63"/>
  <c r="AL116" i="63"/>
  <c r="AG116" i="63"/>
  <c r="AM108" i="63"/>
  <c r="AH108" i="63"/>
  <c r="AN108" i="63"/>
  <c r="AE108" i="63"/>
  <c r="AL108" i="63"/>
  <c r="AG108" i="63"/>
  <c r="AO133" i="63"/>
  <c r="AJ133" i="63"/>
  <c r="AE133" i="63"/>
  <c r="AI133" i="63"/>
  <c r="AH133" i="63"/>
  <c r="AN133" i="63"/>
  <c r="BP133" i="63" s="1"/>
  <c r="AM82" i="63"/>
  <c r="AO82" i="63"/>
  <c r="AE82" i="63"/>
  <c r="AG79" i="63"/>
  <c r="AP79" i="63"/>
  <c r="AJ79" i="63"/>
  <c r="AE79" i="63"/>
  <c r="AM74" i="63"/>
  <c r="AE74" i="63"/>
  <c r="AG71" i="63"/>
  <c r="AJ71" i="63"/>
  <c r="AE71" i="63"/>
  <c r="AO71" i="63"/>
  <c r="AM66" i="63"/>
  <c r="AJ66" i="63"/>
  <c r="AG63" i="63"/>
  <c r="AJ63" i="63"/>
  <c r="AO63" i="63"/>
  <c r="AH27" i="63"/>
  <c r="AN27" i="63"/>
  <c r="AI27" i="63"/>
  <c r="AL27" i="63"/>
  <c r="AG27" i="63"/>
  <c r="BI27" i="63" s="1"/>
  <c r="AM27" i="63"/>
  <c r="BO27" i="63" s="1"/>
  <c r="AP23" i="63"/>
  <c r="AK23" i="63"/>
  <c r="AF23" i="63"/>
  <c r="AO23" i="63"/>
  <c r="AJ23" i="63"/>
  <c r="AL19" i="63"/>
  <c r="AG19" i="63"/>
  <c r="AM19" i="63"/>
  <c r="BO19" i="63" s="1"/>
  <c r="AP19" i="63"/>
  <c r="AK19" i="63"/>
  <c r="AF19" i="63"/>
  <c r="AO15" i="63"/>
  <c r="AJ15" i="63"/>
  <c r="AH15" i="63"/>
  <c r="AN15" i="63"/>
  <c r="AI15" i="63"/>
  <c r="AK133" i="63"/>
  <c r="AJ116" i="63"/>
  <c r="AK108" i="63"/>
  <c r="AF56" i="63"/>
  <c r="AP56" i="63"/>
  <c r="AH53" i="63"/>
  <c r="AG53" i="63"/>
  <c r="AJ82" i="63"/>
  <c r="AJ74" i="63"/>
  <c r="AP63" i="63"/>
  <c r="AO27" i="63"/>
  <c r="AG23" i="63"/>
  <c r="AO19" i="63"/>
  <c r="AK15" i="63"/>
  <c r="AI108" i="63"/>
  <c r="AI116" i="63"/>
  <c r="AP130" i="63"/>
  <c r="AI130" i="63"/>
  <c r="AE130" i="63"/>
  <c r="AF130" i="63"/>
  <c r="AK130" i="63"/>
  <c r="AM130" i="63"/>
  <c r="AL124" i="63"/>
  <c r="AG124" i="63"/>
  <c r="AM124" i="63"/>
  <c r="AP124" i="63"/>
  <c r="AK124" i="63"/>
  <c r="BM124" i="63" s="1"/>
  <c r="AF124" i="63"/>
  <c r="AK55" i="63"/>
  <c r="AF55" i="63"/>
  <c r="AL55" i="63"/>
  <c r="AE55" i="63"/>
  <c r="AO55" i="63"/>
  <c r="AJ55" i="63"/>
  <c r="AP55" i="63"/>
  <c r="AP45" i="63"/>
  <c r="AK45" i="63"/>
  <c r="AF45" i="63"/>
  <c r="AO45" i="63"/>
  <c r="BQ45" i="63" s="1"/>
  <c r="AJ45" i="63"/>
  <c r="AO41" i="63"/>
  <c r="BQ41" i="63" s="1"/>
  <c r="AJ41" i="63"/>
  <c r="AH41" i="63"/>
  <c r="AN41" i="63"/>
  <c r="AI41" i="63"/>
  <c r="AH37" i="63"/>
  <c r="AN37" i="63"/>
  <c r="AI37" i="63"/>
  <c r="AL37" i="63"/>
  <c r="BN37" i="63" s="1"/>
  <c r="AG37" i="63"/>
  <c r="AM37" i="63"/>
  <c r="BO37" i="63" s="1"/>
  <c r="AL33" i="63"/>
  <c r="AG33" i="63"/>
  <c r="AM33" i="63"/>
  <c r="AP33" i="63"/>
  <c r="AK33" i="63"/>
  <c r="AF33" i="63"/>
  <c r="AE84" i="63"/>
  <c r="AO84" i="63"/>
  <c r="AJ84" i="63"/>
  <c r="AI84" i="63"/>
  <c r="AH84" i="63"/>
  <c r="AN84" i="63"/>
  <c r="AO81" i="63"/>
  <c r="AJ81" i="63"/>
  <c r="AP81" i="63"/>
  <c r="AE81" i="63"/>
  <c r="BG81" i="63" s="1"/>
  <c r="AN81" i="63"/>
  <c r="AI81" i="63"/>
  <c r="AI76" i="63"/>
  <c r="AH76" i="63"/>
  <c r="AN76" i="63"/>
  <c r="AM76" i="63"/>
  <c r="AL76" i="63"/>
  <c r="AG76" i="63"/>
  <c r="AN73" i="63"/>
  <c r="AI73" i="63"/>
  <c r="AG73" i="63"/>
  <c r="AM73" i="63"/>
  <c r="AH73" i="63"/>
  <c r="AM68" i="63"/>
  <c r="AL68" i="63"/>
  <c r="AG68" i="63"/>
  <c r="AP68" i="63"/>
  <c r="AK68" i="63"/>
  <c r="AF68" i="63"/>
  <c r="AG65" i="63"/>
  <c r="AM65" i="63"/>
  <c r="AH65" i="63"/>
  <c r="AK65" i="63"/>
  <c r="AF65" i="63"/>
  <c r="AL65" i="63"/>
  <c r="AE65" i="63"/>
  <c r="BG65" i="63" s="1"/>
  <c r="AM9" i="63"/>
  <c r="AL9" i="63"/>
  <c r="AG9" i="63"/>
  <c r="AP9" i="63"/>
  <c r="AK9" i="63"/>
  <c r="AF9" i="63"/>
  <c r="BH9" i="63" s="1"/>
  <c r="AI7" i="63"/>
  <c r="AH7" i="63"/>
  <c r="AN7" i="63"/>
  <c r="AM7" i="63"/>
  <c r="AL7" i="63"/>
  <c r="AG7" i="63"/>
  <c r="AP5" i="63"/>
  <c r="BR5" i="63" s="1"/>
  <c r="AK5" i="63"/>
  <c r="AF5" i="63"/>
  <c r="BH5" i="63" s="1"/>
  <c r="AE5" i="63"/>
  <c r="AO5" i="63"/>
  <c r="AJ5" i="63"/>
  <c r="AL133" i="63"/>
  <c r="BN133" i="63" s="1"/>
  <c r="AK116" i="63"/>
  <c r="AO108" i="63"/>
  <c r="AG56" i="63"/>
  <c r="AM56" i="63"/>
  <c r="AI53" i="63"/>
  <c r="AO74" i="63"/>
  <c r="AO66" i="63"/>
  <c r="AE27" i="63"/>
  <c r="AE23" i="63"/>
  <c r="AE19" i="63"/>
  <c r="AE15" i="63"/>
  <c r="AF27" i="63"/>
  <c r="AP27" i="63"/>
  <c r="AI23" i="63"/>
  <c r="AH23" i="63"/>
  <c r="AI19" i="63"/>
  <c r="AH19" i="63"/>
  <c r="AM15" i="63"/>
  <c r="BO15" i="63" s="1"/>
  <c r="AL15" i="63"/>
  <c r="AF3" i="63"/>
  <c r="AK3" i="63"/>
  <c r="AP3" i="63"/>
  <c r="AG3" i="63"/>
  <c r="AL3" i="63"/>
  <c r="BI17" i="63"/>
  <c r="BN17" i="63"/>
  <c r="BN25" i="63"/>
  <c r="BO17" i="63"/>
  <c r="AA68" i="62"/>
  <c r="W68" i="62"/>
  <c r="S68" i="62"/>
  <c r="Y68" i="62"/>
  <c r="AB68" i="62"/>
  <c r="T68" i="62"/>
  <c r="Z68" i="62"/>
  <c r="V68" i="62"/>
  <c r="R68" i="62"/>
  <c r="T76" i="62" s="1"/>
  <c r="AC68" i="62"/>
  <c r="U68" i="62"/>
  <c r="X68" i="62"/>
  <c r="AA69" i="62"/>
  <c r="W69" i="62"/>
  <c r="S69" i="62"/>
  <c r="X69" i="62"/>
  <c r="Z69" i="62"/>
  <c r="V69" i="62"/>
  <c r="R69" i="62"/>
  <c r="AC69" i="62"/>
  <c r="Y69" i="62"/>
  <c r="U69" i="62"/>
  <c r="AB69" i="62"/>
  <c r="T69" i="62"/>
  <c r="AA70" i="62"/>
  <c r="W70" i="62"/>
  <c r="S70" i="62"/>
  <c r="AB70" i="62"/>
  <c r="T70" i="62"/>
  <c r="Z70" i="62"/>
  <c r="V70" i="62"/>
  <c r="R70" i="62"/>
  <c r="V75" i="62" s="1"/>
  <c r="AC70" i="62"/>
  <c r="Y70" i="62"/>
  <c r="U70" i="62"/>
  <c r="X70" i="62"/>
  <c r="AA71" i="62"/>
  <c r="W71" i="62"/>
  <c r="S71" i="62"/>
  <c r="X71" i="62"/>
  <c r="Z71" i="62"/>
  <c r="V71" i="62"/>
  <c r="R71" i="62"/>
  <c r="AC71" i="62"/>
  <c r="Y71" i="62"/>
  <c r="U71" i="62"/>
  <c r="AB71" i="62"/>
  <c r="T71" i="62"/>
  <c r="AA42" i="62"/>
  <c r="W42" i="62"/>
  <c r="S42" i="62"/>
  <c r="Z42" i="62"/>
  <c r="V42" i="62"/>
  <c r="R42" i="62"/>
  <c r="T42" i="62"/>
  <c r="AC42" i="62"/>
  <c r="Y42" i="62"/>
  <c r="U42" i="62"/>
  <c r="AB42" i="62"/>
  <c r="X42" i="62"/>
  <c r="AA40" i="62"/>
  <c r="W40" i="62"/>
  <c r="S40" i="62"/>
  <c r="X40" i="62"/>
  <c r="Z40" i="62"/>
  <c r="V40" i="62"/>
  <c r="R40" i="62"/>
  <c r="AB40" i="62"/>
  <c r="AC40" i="62"/>
  <c r="Y40" i="62"/>
  <c r="U40" i="62"/>
  <c r="T40" i="62"/>
  <c r="AA39" i="62"/>
  <c r="AA43" i="62" s="1"/>
  <c r="W39" i="62"/>
  <c r="W43" i="62" s="1"/>
  <c r="S39" i="62"/>
  <c r="S43" i="62" s="1"/>
  <c r="X39" i="62"/>
  <c r="Z39" i="62"/>
  <c r="V39" i="62"/>
  <c r="R39" i="62"/>
  <c r="AB39" i="62"/>
  <c r="AC39" i="62"/>
  <c r="AC43" i="62" s="1"/>
  <c r="Y39" i="62"/>
  <c r="Y43" i="62" s="1"/>
  <c r="U39" i="62"/>
  <c r="U43" i="62" s="1"/>
  <c r="T39" i="62"/>
  <c r="AA41" i="62"/>
  <c r="W41" i="62"/>
  <c r="S41" i="62"/>
  <c r="X41" i="62"/>
  <c r="Z41" i="62"/>
  <c r="V41" i="62"/>
  <c r="R41" i="62"/>
  <c r="AC41" i="62"/>
  <c r="Y41" i="62"/>
  <c r="U41" i="62"/>
  <c r="AB41" i="62"/>
  <c r="T41" i="62"/>
  <c r="J70" i="62"/>
  <c r="M70" i="62"/>
  <c r="I70" i="62"/>
  <c r="E70" i="62"/>
  <c r="L70" i="62"/>
  <c r="H70" i="62"/>
  <c r="D70" i="62"/>
  <c r="K70" i="62"/>
  <c r="G70" i="62"/>
  <c r="C70" i="62"/>
  <c r="F70" i="62"/>
  <c r="B70" i="62"/>
  <c r="C71" i="62"/>
  <c r="J71" i="62"/>
  <c r="B71" i="62"/>
  <c r="M71" i="62"/>
  <c r="I71" i="62"/>
  <c r="E71" i="62"/>
  <c r="L71" i="62"/>
  <c r="H71" i="62"/>
  <c r="D71" i="62"/>
  <c r="K71" i="62"/>
  <c r="G71" i="62"/>
  <c r="F71" i="62"/>
  <c r="J68" i="62"/>
  <c r="M68" i="62"/>
  <c r="I68" i="62"/>
  <c r="E68" i="62"/>
  <c r="L68" i="62"/>
  <c r="H68" i="62"/>
  <c r="D68" i="62"/>
  <c r="K68" i="62"/>
  <c r="G68" i="62"/>
  <c r="C68" i="62"/>
  <c r="F68" i="62"/>
  <c r="B68" i="62"/>
  <c r="J69" i="62"/>
  <c r="M69" i="62"/>
  <c r="I69" i="62"/>
  <c r="E69" i="62"/>
  <c r="L69" i="62"/>
  <c r="H69" i="62"/>
  <c r="D69" i="62"/>
  <c r="K69" i="62"/>
  <c r="G69" i="62"/>
  <c r="C69" i="62"/>
  <c r="F69" i="62"/>
  <c r="B69" i="62"/>
  <c r="E75" i="62" s="1"/>
  <c r="K39" i="62"/>
  <c r="G39" i="62"/>
  <c r="C39" i="62"/>
  <c r="I39" i="62"/>
  <c r="L39" i="62"/>
  <c r="D39" i="62"/>
  <c r="J39" i="62"/>
  <c r="F39" i="62"/>
  <c r="B39" i="62"/>
  <c r="M39" i="62"/>
  <c r="E39" i="62"/>
  <c r="H39" i="62"/>
  <c r="K42" i="62"/>
  <c r="G42" i="62"/>
  <c r="C42" i="62"/>
  <c r="I42" i="62"/>
  <c r="H42" i="62"/>
  <c r="D42" i="62"/>
  <c r="J42" i="62"/>
  <c r="F42" i="62"/>
  <c r="B42" i="62"/>
  <c r="M42" i="62"/>
  <c r="E42" i="62"/>
  <c r="L42" i="62"/>
  <c r="K41" i="62"/>
  <c r="G41" i="62"/>
  <c r="C41" i="62"/>
  <c r="M41" i="62"/>
  <c r="I41" i="62"/>
  <c r="D41" i="62"/>
  <c r="J41" i="62"/>
  <c r="F41" i="62"/>
  <c r="B41" i="62"/>
  <c r="E41" i="62"/>
  <c r="L41" i="62"/>
  <c r="H41" i="62"/>
  <c r="K40" i="62"/>
  <c r="G40" i="62"/>
  <c r="C40" i="62"/>
  <c r="M40" i="62"/>
  <c r="E40" i="62"/>
  <c r="H40" i="62"/>
  <c r="J40" i="62"/>
  <c r="F40" i="62"/>
  <c r="B40" i="62"/>
  <c r="I40" i="62"/>
  <c r="L40" i="62"/>
  <c r="D40" i="62"/>
  <c r="BC173" i="63"/>
  <c r="AJ178" i="63"/>
  <c r="BL178" i="63" s="1"/>
  <c r="AO161" i="63"/>
  <c r="BQ161" i="63" s="1"/>
  <c r="AV126" i="63"/>
  <c r="BB126" i="63"/>
  <c r="BE140" i="63"/>
  <c r="BD135" i="63"/>
  <c r="AP51" i="63"/>
  <c r="AZ175" i="63"/>
  <c r="AY175" i="63"/>
  <c r="AT175" i="63"/>
  <c r="BG175" i="63" s="1"/>
  <c r="AV175" i="63"/>
  <c r="AU175" i="63"/>
  <c r="BE175" i="63"/>
  <c r="BD175" i="63"/>
  <c r="AM106" i="63"/>
  <c r="BO106" i="63" s="1"/>
  <c r="AI106" i="63"/>
  <c r="AH106" i="63"/>
  <c r="AN106" i="63"/>
  <c r="AE106" i="63"/>
  <c r="BG106" i="63" s="1"/>
  <c r="AO106" i="63"/>
  <c r="AJ106" i="63"/>
  <c r="AP106" i="63"/>
  <c r="BR106" i="63" s="1"/>
  <c r="AK106" i="63"/>
  <c r="AF106" i="63"/>
  <c r="BH106" i="63" s="1"/>
  <c r="AG88" i="63"/>
  <c r="AM88" i="63"/>
  <c r="AH88" i="63"/>
  <c r="AN88" i="63"/>
  <c r="AI88" i="63"/>
  <c r="AL88" i="63"/>
  <c r="AP88" i="63"/>
  <c r="AO88" i="63"/>
  <c r="AJ88" i="63"/>
  <c r="AE88" i="63"/>
  <c r="BG88" i="63" s="1"/>
  <c r="AK83" i="63"/>
  <c r="AF83" i="63"/>
  <c r="AL83" i="63"/>
  <c r="AG83" i="63"/>
  <c r="AM83" i="63"/>
  <c r="AH83" i="63"/>
  <c r="AN83" i="63"/>
  <c r="AI83" i="63"/>
  <c r="AE83" i="63"/>
  <c r="BG83" i="63" s="1"/>
  <c r="BB80" i="63"/>
  <c r="BA80" i="63"/>
  <c r="AV80" i="63"/>
  <c r="AX80" i="63"/>
  <c r="AW80" i="63"/>
  <c r="BC80" i="63"/>
  <c r="AT80" i="63"/>
  <c r="BD80" i="63"/>
  <c r="AY80" i="63"/>
  <c r="AP78" i="63"/>
  <c r="AK78" i="63"/>
  <c r="BM78" i="63" s="1"/>
  <c r="AF78" i="63"/>
  <c r="BH78" i="63" s="1"/>
  <c r="AM78" i="63"/>
  <c r="AL78" i="63"/>
  <c r="AG78" i="63"/>
  <c r="BI78" i="63" s="1"/>
  <c r="AI78" i="63"/>
  <c r="BK78" i="63" s="1"/>
  <c r="AH78" i="63"/>
  <c r="AN78" i="63"/>
  <c r="AG75" i="63"/>
  <c r="AM75" i="63"/>
  <c r="AH75" i="63"/>
  <c r="AN75" i="63"/>
  <c r="AI75" i="63"/>
  <c r="AO75" i="63"/>
  <c r="AJ75" i="63"/>
  <c r="AP75" i="63"/>
  <c r="AX72" i="63"/>
  <c r="AW72" i="63"/>
  <c r="BC72" i="63"/>
  <c r="AT72" i="63"/>
  <c r="BD72" i="63"/>
  <c r="AY72" i="63"/>
  <c r="BE72" i="63"/>
  <c r="AZ72" i="63"/>
  <c r="AU72" i="63"/>
  <c r="AM70" i="63"/>
  <c r="AL70" i="63"/>
  <c r="AG70" i="63"/>
  <c r="AI70" i="63"/>
  <c r="BK70" i="63" s="1"/>
  <c r="AH70" i="63"/>
  <c r="AN70" i="63"/>
  <c r="BP70" i="63" s="1"/>
  <c r="AE70" i="63"/>
  <c r="AO70" i="63"/>
  <c r="AJ70" i="63"/>
  <c r="AN67" i="63"/>
  <c r="AI67" i="63"/>
  <c r="AE67" i="63"/>
  <c r="BG67" i="63" s="1"/>
  <c r="AO67" i="63"/>
  <c r="AJ67" i="63"/>
  <c r="AP67" i="63"/>
  <c r="AK67" i="63"/>
  <c r="AF67" i="63"/>
  <c r="AL67" i="63"/>
  <c r="AT64" i="63"/>
  <c r="BD64" i="63"/>
  <c r="AY64" i="63"/>
  <c r="BE64" i="63"/>
  <c r="AZ64" i="63"/>
  <c r="AU64" i="63"/>
  <c r="BH64" i="63" s="1"/>
  <c r="BB64" i="63"/>
  <c r="BA64" i="63"/>
  <c r="AV64" i="63"/>
  <c r="AP29" i="63"/>
  <c r="BR29" i="63" s="1"/>
  <c r="AK29" i="63"/>
  <c r="BM29" i="63" s="1"/>
  <c r="AF29" i="63"/>
  <c r="AL29" i="63"/>
  <c r="AG29" i="63"/>
  <c r="AM29" i="63"/>
  <c r="BO29" i="63" s="1"/>
  <c r="AH29" i="63"/>
  <c r="AN29" i="63"/>
  <c r="AI29" i="63"/>
  <c r="BK29" i="63" s="1"/>
  <c r="AH25" i="63"/>
  <c r="BJ25" i="63" s="1"/>
  <c r="AN25" i="63"/>
  <c r="AI25" i="63"/>
  <c r="AO25" i="63"/>
  <c r="AJ25" i="63"/>
  <c r="AP25" i="63"/>
  <c r="BR25" i="63" s="1"/>
  <c r="AK25" i="63"/>
  <c r="AF25" i="63"/>
  <c r="BH25" i="63" s="1"/>
  <c r="AE25" i="63"/>
  <c r="AP21" i="63"/>
  <c r="BR21" i="63" s="1"/>
  <c r="AK21" i="63"/>
  <c r="AF21" i="63"/>
  <c r="AL21" i="63"/>
  <c r="AG21" i="63"/>
  <c r="BI21" i="63" s="1"/>
  <c r="AM21" i="63"/>
  <c r="AE21" i="63"/>
  <c r="AH21" i="63"/>
  <c r="AN21" i="63"/>
  <c r="BP21" i="63" s="1"/>
  <c r="AI21" i="63"/>
  <c r="AH17" i="63"/>
  <c r="BJ17" i="63" s="1"/>
  <c r="AN17" i="63"/>
  <c r="BP17" i="63" s="1"/>
  <c r="AI17" i="63"/>
  <c r="AE17" i="63"/>
  <c r="BG17" i="63" s="1"/>
  <c r="AO17" i="63"/>
  <c r="BQ17" i="63" s="1"/>
  <c r="AJ17" i="63"/>
  <c r="AP17" i="63"/>
  <c r="AK17" i="63"/>
  <c r="AF17" i="63"/>
  <c r="BH17" i="63" s="1"/>
  <c r="AP13" i="63"/>
  <c r="AK13" i="63"/>
  <c r="AF13" i="63"/>
  <c r="AL13" i="63"/>
  <c r="BN13" i="63" s="1"/>
  <c r="AG13" i="63"/>
  <c r="AM13" i="63"/>
  <c r="AH13" i="63"/>
  <c r="AN13" i="63"/>
  <c r="AI13" i="63"/>
  <c r="AV8" i="63"/>
  <c r="AZ8" i="63"/>
  <c r="BE8" i="63"/>
  <c r="BC8" i="63"/>
  <c r="AW8" i="63"/>
  <c r="AU8" i="63"/>
  <c r="AZ6" i="63"/>
  <c r="BB6" i="63"/>
  <c r="BD6" i="63"/>
  <c r="AT6" i="63"/>
  <c r="AV6" i="63"/>
  <c r="BI6" i="63" s="1"/>
  <c r="BA6" i="63"/>
  <c r="AZ4" i="63"/>
  <c r="AV4" i="63"/>
  <c r="BA4" i="63"/>
  <c r="BN4" i="63" s="1"/>
  <c r="AY4" i="63"/>
  <c r="BB4" i="63"/>
  <c r="AX157" i="63"/>
  <c r="BK157" i="63" s="1"/>
  <c r="BA157" i="63"/>
  <c r="BB157" i="63"/>
  <c r="AF144" i="63"/>
  <c r="AO144" i="63"/>
  <c r="AK144" i="63"/>
  <c r="AP144" i="63"/>
  <c r="AG144" i="63"/>
  <c r="AI144" i="63"/>
  <c r="AN144" i="63"/>
  <c r="AL144" i="63"/>
  <c r="AM144" i="63"/>
  <c r="BE126" i="63"/>
  <c r="AZ126" i="63"/>
  <c r="BD126" i="63"/>
  <c r="BC126" i="63"/>
  <c r="BA126" i="63"/>
  <c r="AY126" i="63"/>
  <c r="AW126" i="63"/>
  <c r="AT126" i="63"/>
  <c r="BE135" i="63"/>
  <c r="AZ135" i="63"/>
  <c r="AU135" i="63"/>
  <c r="BH135" i="63" s="1"/>
  <c r="BB135" i="63"/>
  <c r="BA135" i="63"/>
  <c r="AV135" i="63"/>
  <c r="AX135" i="63"/>
  <c r="AW135" i="63"/>
  <c r="BC135" i="63"/>
  <c r="AP178" i="63"/>
  <c r="BR178" i="63" s="1"/>
  <c r="AK178" i="63"/>
  <c r="BM178" i="63" s="1"/>
  <c r="AF178" i="63"/>
  <c r="BH178" i="63" s="1"/>
  <c r="AL178" i="63"/>
  <c r="BN178" i="63" s="1"/>
  <c r="AG178" i="63"/>
  <c r="BI178" i="63" s="1"/>
  <c r="AM178" i="63"/>
  <c r="BO178" i="63" s="1"/>
  <c r="AH178" i="63"/>
  <c r="BJ178" i="63" s="1"/>
  <c r="AN178" i="63"/>
  <c r="BP178" i="63" s="1"/>
  <c r="AI178" i="63"/>
  <c r="BK178" i="63" s="1"/>
  <c r="AE178" i="63"/>
  <c r="BG178" i="63" s="1"/>
  <c r="AJ161" i="63"/>
  <c r="BL161" i="63" s="1"/>
  <c r="AH161" i="63"/>
  <c r="BJ161" i="63" s="1"/>
  <c r="AG161" i="63"/>
  <c r="BI161" i="63" s="1"/>
  <c r="AE161" i="63"/>
  <c r="BG161" i="63" s="1"/>
  <c r="AF161" i="63"/>
  <c r="BH161" i="63" s="1"/>
  <c r="AK161" i="63"/>
  <c r="BM161" i="63" s="1"/>
  <c r="AP161" i="63"/>
  <c r="BR161" i="63" s="1"/>
  <c r="AI161" i="63"/>
  <c r="BK161" i="63" s="1"/>
  <c r="AM161" i="63"/>
  <c r="BO161" i="63" s="1"/>
  <c r="AF148" i="63"/>
  <c r="BH148" i="63" s="1"/>
  <c r="AE148" i="63"/>
  <c r="AJ148" i="63"/>
  <c r="BL148" i="63" s="1"/>
  <c r="AU140" i="63"/>
  <c r="BA140" i="63"/>
  <c r="AV140" i="63"/>
  <c r="BB140" i="63"/>
  <c r="AW140" i="63"/>
  <c r="AX140" i="63"/>
  <c r="AP54" i="63"/>
  <c r="AG54" i="63"/>
  <c r="AL135" i="63"/>
  <c r="AP135" i="63"/>
  <c r="BR135" i="63" s="1"/>
  <c r="AK135" i="63"/>
  <c r="BM135" i="63" s="1"/>
  <c r="AJ144" i="63"/>
  <c r="AH148" i="63"/>
  <c r="BJ148" i="63" s="1"/>
  <c r="AY135" i="63"/>
  <c r="AX126" i="63"/>
  <c r="AN169" i="63"/>
  <c r="BP169" i="63" s="1"/>
  <c r="AL169" i="63"/>
  <c r="BN169" i="63" s="1"/>
  <c r="AM169" i="63"/>
  <c r="AJ169" i="63"/>
  <c r="BL169" i="63" s="1"/>
  <c r="AH169" i="63"/>
  <c r="BJ169" i="63" s="1"/>
  <c r="AE169" i="63"/>
  <c r="BG169" i="63" s="1"/>
  <c r="AF169" i="63"/>
  <c r="BH169" i="63" s="1"/>
  <c r="AO169" i="63"/>
  <c r="AK169" i="63"/>
  <c r="BM169" i="63" s="1"/>
  <c r="BD56" i="63"/>
  <c r="AJ126" i="63"/>
  <c r="AO126" i="63"/>
  <c r="AM114" i="63"/>
  <c r="BO114" i="63" s="1"/>
  <c r="AL114" i="63"/>
  <c r="AG114" i="63"/>
  <c r="AI114" i="63"/>
  <c r="AP114" i="63"/>
  <c r="BR114" i="63" s="1"/>
  <c r="AK114" i="63"/>
  <c r="BM114" i="63" s="1"/>
  <c r="AF114" i="63"/>
  <c r="BE133" i="63"/>
  <c r="BR133" i="63" s="1"/>
  <c r="AZ133" i="63"/>
  <c r="AU133" i="63"/>
  <c r="AT133" i="63"/>
  <c r="AI80" i="63"/>
  <c r="AH80" i="63"/>
  <c r="AN80" i="63"/>
  <c r="AE80" i="63"/>
  <c r="AO80" i="63"/>
  <c r="AJ80" i="63"/>
  <c r="AM80" i="63"/>
  <c r="AL80" i="63"/>
  <c r="BN80" i="63" s="1"/>
  <c r="AG80" i="63"/>
  <c r="BI80" i="63" s="1"/>
  <c r="AP72" i="63"/>
  <c r="AK72" i="63"/>
  <c r="AF72" i="63"/>
  <c r="AM72" i="63"/>
  <c r="BO72" i="63" s="1"/>
  <c r="AL72" i="63"/>
  <c r="BN72" i="63" s="1"/>
  <c r="AG72" i="63"/>
  <c r="BI72" i="63" s="1"/>
  <c r="AE72" i="63"/>
  <c r="BG72" i="63" s="1"/>
  <c r="AO72" i="63"/>
  <c r="BQ72" i="63" s="1"/>
  <c r="AJ72" i="63"/>
  <c r="BL72" i="63" s="1"/>
  <c r="AI64" i="63"/>
  <c r="BK64" i="63" s="1"/>
  <c r="AH64" i="63"/>
  <c r="AN64" i="63"/>
  <c r="BP64" i="63" s="1"/>
  <c r="AE64" i="63"/>
  <c r="AO64" i="63"/>
  <c r="AJ64" i="63"/>
  <c r="AM64" i="63"/>
  <c r="AL64" i="63"/>
  <c r="AG64" i="63"/>
  <c r="BD19" i="63"/>
  <c r="AY19" i="63"/>
  <c r="BL19" i="63" s="1"/>
  <c r="BE19" i="63"/>
  <c r="AZ19" i="63"/>
  <c r="AU19" i="63"/>
  <c r="AT19" i="63"/>
  <c r="AW19" i="63"/>
  <c r="BC19" i="63"/>
  <c r="AX19" i="63"/>
  <c r="AN8" i="63"/>
  <c r="AI8" i="63"/>
  <c r="BK8" i="63" s="1"/>
  <c r="AO8" i="63"/>
  <c r="AJ8" i="63"/>
  <c r="AP8" i="63"/>
  <c r="BR8" i="63" s="1"/>
  <c r="AG8" i="63"/>
  <c r="AM8" i="63"/>
  <c r="AH8" i="63"/>
  <c r="AM173" i="63"/>
  <c r="AL173" i="63"/>
  <c r="BN173" i="63" s="1"/>
  <c r="AN173" i="63"/>
  <c r="AW167" i="63"/>
  <c r="AG157" i="63"/>
  <c r="AJ157" i="63"/>
  <c r="BA146" i="63"/>
  <c r="BN146" i="63" s="1"/>
  <c r="BC146" i="63"/>
  <c r="AI173" i="63"/>
  <c r="AG173" i="63"/>
  <c r="BI173" i="63" s="1"/>
  <c r="AP173" i="63"/>
  <c r="AX167" i="63"/>
  <c r="AO157" i="63"/>
  <c r="AL157" i="63"/>
  <c r="AN157" i="63"/>
  <c r="BP157" i="63" s="1"/>
  <c r="AV146" i="63"/>
  <c r="BI146" i="63" s="1"/>
  <c r="BE146" i="63"/>
  <c r="BR146" i="63" s="1"/>
  <c r="AU131" i="63"/>
  <c r="BD131" i="63"/>
  <c r="AY133" i="63"/>
  <c r="AW133" i="63"/>
  <c r="AN114" i="63"/>
  <c r="AH86" i="63"/>
  <c r="AP80" i="63"/>
  <c r="AI72" i="63"/>
  <c r="BK72" i="63" s="1"/>
  <c r="BC66" i="63"/>
  <c r="AY140" i="63"/>
  <c r="AT140" i="63"/>
  <c r="BG140" i="63" s="1"/>
  <c r="AZ140" i="63"/>
  <c r="BA56" i="63"/>
  <c r="BC56" i="63"/>
  <c r="BB56" i="63"/>
  <c r="AW56" i="63"/>
  <c r="AY56" i="63"/>
  <c r="AT56" i="63"/>
  <c r="AV56" i="63"/>
  <c r="AM54" i="63"/>
  <c r="BO54" i="63" s="1"/>
  <c r="AH54" i="63"/>
  <c r="BJ54" i="63" s="1"/>
  <c r="AF54" i="63"/>
  <c r="BH54" i="63" s="1"/>
  <c r="AI54" i="63"/>
  <c r="BK54" i="63" s="1"/>
  <c r="AK54" i="63"/>
  <c r="AL54" i="63"/>
  <c r="BN54" i="63" s="1"/>
  <c r="AN54" i="63"/>
  <c r="AO51" i="63"/>
  <c r="AF51" i="63"/>
  <c r="AK51" i="63"/>
  <c r="AI51" i="63"/>
  <c r="AJ51" i="63"/>
  <c r="AL51" i="63"/>
  <c r="AJ47" i="63"/>
  <c r="BL47" i="63" s="1"/>
  <c r="AH47" i="63"/>
  <c r="AI47" i="63"/>
  <c r="AN47" i="63"/>
  <c r="AJ43" i="63"/>
  <c r="BL43" i="63" s="1"/>
  <c r="AE43" i="63"/>
  <c r="AH43" i="63"/>
  <c r="AI43" i="63"/>
  <c r="AN43" i="63"/>
  <c r="AJ39" i="63"/>
  <c r="BL39" i="63" s="1"/>
  <c r="AH39" i="63"/>
  <c r="AI39" i="63"/>
  <c r="AN39" i="63"/>
  <c r="AJ35" i="63"/>
  <c r="BL35" i="63" s="1"/>
  <c r="AH35" i="63"/>
  <c r="AI35" i="63"/>
  <c r="AN35" i="63"/>
  <c r="AE35" i="63"/>
  <c r="BG35" i="63" s="1"/>
  <c r="AP86" i="63"/>
  <c r="AL86" i="63"/>
  <c r="AO86" i="63"/>
  <c r="AJ86" i="63"/>
  <c r="AK86" i="63"/>
  <c r="AF86" i="63"/>
  <c r="AN86" i="63"/>
  <c r="AI86" i="63"/>
  <c r="AE86" i="63"/>
  <c r="BG86" i="63" s="1"/>
  <c r="AN77" i="63"/>
  <c r="AI77" i="63"/>
  <c r="AE77" i="63"/>
  <c r="AO77" i="63"/>
  <c r="AJ77" i="63"/>
  <c r="AP77" i="63"/>
  <c r="AG77" i="63"/>
  <c r="AM77" i="63"/>
  <c r="AH77" i="63"/>
  <c r="AK69" i="63"/>
  <c r="AF69" i="63"/>
  <c r="AL69" i="63"/>
  <c r="AE69" i="63"/>
  <c r="AG69" i="63"/>
  <c r="AM69" i="63"/>
  <c r="AH69" i="63"/>
  <c r="AO69" i="63"/>
  <c r="AJ69" i="63"/>
  <c r="AP69" i="63"/>
  <c r="BD23" i="63"/>
  <c r="AY23" i="63"/>
  <c r="BE23" i="63"/>
  <c r="AZ23" i="63"/>
  <c r="AU23" i="63"/>
  <c r="AW23" i="63"/>
  <c r="BC23" i="63"/>
  <c r="AX23" i="63"/>
  <c r="AT23" i="63"/>
  <c r="AO10" i="63"/>
  <c r="AJ10" i="63"/>
  <c r="AM10" i="63"/>
  <c r="AK10" i="63"/>
  <c r="AF10" i="63"/>
  <c r="AL10" i="63"/>
  <c r="AG10" i="63"/>
  <c r="AH10" i="63"/>
  <c r="AE10" i="63"/>
  <c r="BG10" i="63" s="1"/>
  <c r="AO6" i="63"/>
  <c r="AJ6" i="63"/>
  <c r="BL6" i="63" s="1"/>
  <c r="AP6" i="63"/>
  <c r="AK6" i="63"/>
  <c r="BM6" i="63" s="1"/>
  <c r="AF6" i="63"/>
  <c r="AL6" i="63"/>
  <c r="AE6" i="63"/>
  <c r="AN6" i="63"/>
  <c r="AI6" i="63"/>
  <c r="AE173" i="63"/>
  <c r="AH173" i="63"/>
  <c r="AK157" i="63"/>
  <c r="AF157" i="63"/>
  <c r="AT146" i="63"/>
  <c r="BG146" i="63" s="1"/>
  <c r="AW146" i="63"/>
  <c r="BJ146" i="63" s="1"/>
  <c r="AY146" i="63"/>
  <c r="BL146" i="63" s="1"/>
  <c r="BK146" i="63"/>
  <c r="AV131" i="63"/>
  <c r="AX133" i="63"/>
  <c r="AV133" i="63"/>
  <c r="AH114" i="63"/>
  <c r="BJ114" i="63" s="1"/>
  <c r="AL126" i="63"/>
  <c r="AF80" i="63"/>
  <c r="BH80" i="63" s="1"/>
  <c r="AK77" i="63"/>
  <c r="AN72" i="63"/>
  <c r="AK64" i="63"/>
  <c r="BM64" i="63" s="1"/>
  <c r="AV23" i="63"/>
  <c r="AV19" i="63"/>
  <c r="BI19" i="63" s="1"/>
  <c r="AN10" i="63"/>
  <c r="AF8" i="63"/>
  <c r="AH6" i="63"/>
  <c r="AO59" i="63"/>
  <c r="AJ59" i="63"/>
  <c r="AP59" i="63"/>
  <c r="AE59" i="63"/>
  <c r="BG59" i="63" s="1"/>
  <c r="AK59" i="63"/>
  <c r="AF59" i="63"/>
  <c r="AL59" i="63"/>
  <c r="AN59" i="63"/>
  <c r="AI59" i="63"/>
  <c r="AT131" i="63"/>
  <c r="AW131" i="63"/>
  <c r="BC131" i="63"/>
  <c r="BA112" i="63"/>
  <c r="AV112" i="63"/>
  <c r="AX112" i="63"/>
  <c r="AT112" i="63"/>
  <c r="AW112" i="63"/>
  <c r="BC112" i="63"/>
  <c r="BB112" i="63"/>
  <c r="BE112" i="63"/>
  <c r="AZ112" i="63"/>
  <c r="AU112" i="63"/>
  <c r="BE82" i="63"/>
  <c r="AZ82" i="63"/>
  <c r="AU82" i="63"/>
  <c r="BB82" i="63"/>
  <c r="BA82" i="63"/>
  <c r="AV82" i="63"/>
  <c r="AT82" i="63"/>
  <c r="BG82" i="63" s="1"/>
  <c r="BD82" i="63"/>
  <c r="AY82" i="63"/>
  <c r="AX74" i="63"/>
  <c r="AW74" i="63"/>
  <c r="BC74" i="63"/>
  <c r="AT74" i="63"/>
  <c r="BD74" i="63"/>
  <c r="AY74" i="63"/>
  <c r="BB74" i="63"/>
  <c r="BA74" i="63"/>
  <c r="AV74" i="63"/>
  <c r="BE66" i="63"/>
  <c r="AZ66" i="63"/>
  <c r="AU66" i="63"/>
  <c r="BB66" i="63"/>
  <c r="BA66" i="63"/>
  <c r="AV66" i="63"/>
  <c r="AT66" i="63"/>
  <c r="BG66" i="63" s="1"/>
  <c r="BD66" i="63"/>
  <c r="AY66" i="63"/>
  <c r="BL66" i="63" s="1"/>
  <c r="BD27" i="63"/>
  <c r="AY27" i="63"/>
  <c r="BL27" i="63" s="1"/>
  <c r="BE27" i="63"/>
  <c r="AZ27" i="63"/>
  <c r="AU27" i="63"/>
  <c r="AT27" i="63"/>
  <c r="AW27" i="63"/>
  <c r="BC27" i="63"/>
  <c r="AX27" i="63"/>
  <c r="BD15" i="63"/>
  <c r="AY15" i="63"/>
  <c r="BE15" i="63"/>
  <c r="BR15" i="63" s="1"/>
  <c r="AZ15" i="63"/>
  <c r="AU15" i="63"/>
  <c r="AW15" i="63"/>
  <c r="BC15" i="63"/>
  <c r="BP15" i="63" s="1"/>
  <c r="AX15" i="63"/>
  <c r="BK15" i="63" s="1"/>
  <c r="AT15" i="63"/>
  <c r="AN4" i="63"/>
  <c r="AI4" i="63"/>
  <c r="AE4" i="63"/>
  <c r="BG4" i="63" s="1"/>
  <c r="AO4" i="63"/>
  <c r="BQ4" i="63" s="1"/>
  <c r="AJ4" i="63"/>
  <c r="AP4" i="63"/>
  <c r="AG4" i="63"/>
  <c r="AM4" i="63"/>
  <c r="AH4" i="63"/>
  <c r="AE157" i="63"/>
  <c r="AH157" i="63"/>
  <c r="BB131" i="63"/>
  <c r="BB146" i="63"/>
  <c r="BO146" i="63" s="1"/>
  <c r="AX131" i="63"/>
  <c r="AZ131" i="63"/>
  <c r="BD133" i="63"/>
  <c r="AJ114" i="63"/>
  <c r="AY112" i="63"/>
  <c r="AM86" i="63"/>
  <c r="AX82" i="63"/>
  <c r="AK80" i="63"/>
  <c r="BM80" i="63" s="1"/>
  <c r="BE74" i="63"/>
  <c r="AH72" i="63"/>
  <c r="AP64" i="63"/>
  <c r="BA27" i="63"/>
  <c r="BA23" i="63"/>
  <c r="BN23" i="63" s="1"/>
  <c r="BA19" i="63"/>
  <c r="BA15" i="63"/>
  <c r="AP10" i="63"/>
  <c r="AK8" i="63"/>
  <c r="AM6" i="63"/>
  <c r="AK4" i="63"/>
  <c r="AW159" i="63"/>
  <c r="AY159" i="63"/>
  <c r="BL159" i="63" s="1"/>
  <c r="BD171" i="63"/>
  <c r="AU171" i="63"/>
  <c r="BH171" i="63" s="1"/>
  <c r="AZ159" i="63"/>
  <c r="BM159" i="63" s="1"/>
  <c r="BA159" i="63"/>
  <c r="BC159" i="63"/>
  <c r="AT171" i="63"/>
  <c r="BG171" i="63" s="1"/>
  <c r="AW171" i="63"/>
  <c r="AY171" i="63"/>
  <c r="BL171" i="63" s="1"/>
  <c r="AV159" i="63"/>
  <c r="BI159" i="63" s="1"/>
  <c r="AY166" i="63"/>
  <c r="BD166" i="63"/>
  <c r="BQ166" i="63" s="1"/>
  <c r="AZ142" i="63"/>
  <c r="BD142" i="63"/>
  <c r="AU142" i="63"/>
  <c r="AT130" i="63"/>
  <c r="BA154" i="63"/>
  <c r="BB154" i="63"/>
  <c r="AZ130" i="63"/>
  <c r="AX130" i="63"/>
  <c r="BB130" i="63"/>
  <c r="BB100" i="63"/>
  <c r="AT124" i="63"/>
  <c r="BC124" i="63"/>
  <c r="BE124" i="63"/>
  <c r="BD100" i="63"/>
  <c r="AU84" i="63"/>
  <c r="AZ84" i="63"/>
  <c r="BM84" i="63" s="1"/>
  <c r="BE84" i="63"/>
  <c r="AY76" i="63"/>
  <c r="BL76" i="63" s="1"/>
  <c r="BD76" i="63"/>
  <c r="BQ76" i="63" s="1"/>
  <c r="AT76" i="63"/>
  <c r="BG76" i="63" s="1"/>
  <c r="BC68" i="63"/>
  <c r="BP68" i="63" s="1"/>
  <c r="AW68" i="63"/>
  <c r="AX68" i="63"/>
  <c r="AY50" i="63"/>
  <c r="BD50" i="63"/>
  <c r="AT37" i="63"/>
  <c r="BG37" i="63" s="1"/>
  <c r="AX45" i="63"/>
  <c r="BC45" i="63"/>
  <c r="AW45" i="63"/>
  <c r="AX41" i="63"/>
  <c r="BC41" i="63"/>
  <c r="AW41" i="63"/>
  <c r="AX37" i="63"/>
  <c r="BC37" i="63"/>
  <c r="AW37" i="63"/>
  <c r="AX33" i="63"/>
  <c r="BC33" i="63"/>
  <c r="BP33" i="63" s="1"/>
  <c r="AW33" i="63"/>
  <c r="BJ33" i="63" s="1"/>
  <c r="AV5" i="63"/>
  <c r="BI5" i="63" s="1"/>
  <c r="BA5" i="63"/>
  <c r="BN5" i="63" s="1"/>
  <c r="BB5" i="63"/>
  <c r="AV9" i="63"/>
  <c r="BA9" i="63"/>
  <c r="BB9" i="63"/>
  <c r="AT8" i="63"/>
  <c r="BG8" i="63" s="1"/>
  <c r="AY8" i="63"/>
  <c r="BD8" i="63"/>
  <c r="AW6" i="63"/>
  <c r="AX6" i="63"/>
  <c r="BC6" i="63"/>
  <c r="AW4" i="63"/>
  <c r="AX4" i="63"/>
  <c r="BC4" i="63"/>
  <c r="AU3" i="63"/>
  <c r="AZ3" i="63"/>
  <c r="BE3" i="63"/>
  <c r="AU7" i="63"/>
  <c r="AZ7" i="63"/>
  <c r="BM7" i="63" s="1"/>
  <c r="BE7" i="63"/>
  <c r="AX159" i="63"/>
  <c r="AU159" i="63"/>
  <c r="BH159" i="63" s="1"/>
  <c r="AV171" i="63"/>
  <c r="BI171" i="63" s="1"/>
  <c r="BE171" i="63"/>
  <c r="AT166" i="63"/>
  <c r="AV166" i="63"/>
  <c r="BI166" i="63" s="1"/>
  <c r="BA166" i="63"/>
  <c r="BB142" i="63"/>
  <c r="BO142" i="63" s="1"/>
  <c r="BA142" i="63"/>
  <c r="BC142" i="63"/>
  <c r="BP142" i="63" s="1"/>
  <c r="AV154" i="63"/>
  <c r="AT154" i="63"/>
  <c r="BG154" i="63" s="1"/>
  <c r="AY154" i="63"/>
  <c r="BA130" i="63"/>
  <c r="BN130" i="63" s="1"/>
  <c r="AY130" i="63"/>
  <c r="BL130" i="63" s="1"/>
  <c r="AU124" i="63"/>
  <c r="BD124" i="63"/>
  <c r="BQ124" i="63" s="1"/>
  <c r="AV100" i="63"/>
  <c r="BA100" i="63"/>
  <c r="BC84" i="63"/>
  <c r="AW84" i="63"/>
  <c r="AX84" i="63"/>
  <c r="AV76" i="63"/>
  <c r="BA76" i="63"/>
  <c r="BB76" i="63"/>
  <c r="AU68" i="63"/>
  <c r="AZ68" i="63"/>
  <c r="BE68" i="63"/>
  <c r="AX50" i="63"/>
  <c r="AV50" i="63"/>
  <c r="BA50" i="63"/>
  <c r="AT33" i="63"/>
  <c r="BG33" i="63" s="1"/>
  <c r="AU45" i="63"/>
  <c r="AZ45" i="63"/>
  <c r="BE45" i="63"/>
  <c r="AU41" i="63"/>
  <c r="AZ41" i="63"/>
  <c r="BE41" i="63"/>
  <c r="AU37" i="63"/>
  <c r="AZ37" i="63"/>
  <c r="BM37" i="63" s="1"/>
  <c r="BE37" i="63"/>
  <c r="BR37" i="63" s="1"/>
  <c r="AU33" i="63"/>
  <c r="AZ33" i="63"/>
  <c r="BE33" i="63"/>
  <c r="BO7" i="63"/>
  <c r="AY5" i="63"/>
  <c r="BD5" i="63"/>
  <c r="AT5" i="63"/>
  <c r="AY9" i="63"/>
  <c r="BL9" i="63" s="1"/>
  <c r="BD9" i="63"/>
  <c r="AT9" i="63"/>
  <c r="BA8" i="63"/>
  <c r="BN8" i="63" s="1"/>
  <c r="BB8" i="63"/>
  <c r="BE6" i="63"/>
  <c r="AU6" i="63"/>
  <c r="BE4" i="63"/>
  <c r="AU4" i="63"/>
  <c r="BH4" i="63" s="1"/>
  <c r="BC3" i="63"/>
  <c r="BP3" i="63" s="1"/>
  <c r="AW3" i="63"/>
  <c r="AX3" i="63"/>
  <c r="BK3" i="63" s="1"/>
  <c r="BC7" i="63"/>
  <c r="AW7" i="63"/>
  <c r="AX7" i="63"/>
  <c r="AZ171" i="63"/>
  <c r="BN161" i="63"/>
  <c r="BP161" i="63"/>
  <c r="AU166" i="63"/>
  <c r="AZ166" i="63"/>
  <c r="BE166" i="63"/>
  <c r="AV142" i="63"/>
  <c r="BE142" i="63"/>
  <c r="BD130" i="63"/>
  <c r="BQ130" i="63" s="1"/>
  <c r="AW154" i="63"/>
  <c r="AX154" i="63"/>
  <c r="BC154" i="63"/>
  <c r="BE130" i="63"/>
  <c r="AY124" i="63"/>
  <c r="BL124" i="63" s="1"/>
  <c r="AZ100" i="63"/>
  <c r="BB50" i="63"/>
  <c r="AV84" i="63"/>
  <c r="BA84" i="63"/>
  <c r="AU76" i="63"/>
  <c r="AZ76" i="63"/>
  <c r="BM76" i="63" s="1"/>
  <c r="AY68" i="63"/>
  <c r="BD68" i="63"/>
  <c r="BQ68" i="63" s="1"/>
  <c r="AU50" i="63"/>
  <c r="AZ50" i="63"/>
  <c r="BE50" i="63"/>
  <c r="AT41" i="63"/>
  <c r="BG41" i="63" s="1"/>
  <c r="AY45" i="63"/>
  <c r="AY41" i="63"/>
  <c r="AY37" i="63"/>
  <c r="AY33" i="63"/>
  <c r="BL33" i="63" s="1"/>
  <c r="BC5" i="63"/>
  <c r="AW5" i="63"/>
  <c r="BC9" i="63"/>
  <c r="AW9" i="63"/>
  <c r="AV3" i="63"/>
  <c r="BA3" i="63"/>
  <c r="AV7" i="63"/>
  <c r="BA7" i="63"/>
  <c r="AM155" i="63"/>
  <c r="AE166" i="63"/>
  <c r="AI166" i="63"/>
  <c r="BK166" i="63" s="1"/>
  <c r="AN166" i="63"/>
  <c r="BP166" i="63" s="1"/>
  <c r="AH166" i="63"/>
  <c r="AE155" i="63"/>
  <c r="AN155" i="63"/>
  <c r="AH155" i="63"/>
  <c r="AF166" i="63"/>
  <c r="AK166" i="63"/>
  <c r="AP166" i="63"/>
  <c r="AF155" i="63"/>
  <c r="AK155" i="63"/>
  <c r="AP155" i="63"/>
  <c r="AJ166" i="63"/>
  <c r="AJ155" i="63"/>
  <c r="AO155" i="63"/>
  <c r="AM135" i="63"/>
  <c r="AI135" i="63"/>
  <c r="AM148" i="63"/>
  <c r="AL148" i="63"/>
  <c r="BN148" i="63" s="1"/>
  <c r="AN148" i="63"/>
  <c r="BP148" i="63" s="1"/>
  <c r="AJ135" i="63"/>
  <c r="AO135" i="63"/>
  <c r="AE126" i="63"/>
  <c r="AI126" i="63"/>
  <c r="AP126" i="63"/>
  <c r="AI148" i="63"/>
  <c r="BK148" i="63" s="1"/>
  <c r="AG148" i="63"/>
  <c r="BI148" i="63" s="1"/>
  <c r="AP148" i="63"/>
  <c r="BR148" i="63" s="1"/>
  <c r="AE135" i="63"/>
  <c r="BG135" i="63" s="1"/>
  <c r="AN135" i="63"/>
  <c r="BP135" i="63" s="1"/>
  <c r="AH135" i="63"/>
  <c r="AM126" i="63"/>
  <c r="AK126" i="63"/>
  <c r="AF126" i="63"/>
  <c r="BH126" i="63" s="1"/>
  <c r="AK148" i="63"/>
  <c r="BM148" i="63" s="1"/>
  <c r="AO148" i="63"/>
  <c r="AG135" i="63"/>
  <c r="AG126" i="63"/>
  <c r="BI126" i="63" s="1"/>
  <c r="AH126" i="63"/>
  <c r="AN126" i="63"/>
  <c r="AF82" i="63"/>
  <c r="AK82" i="63"/>
  <c r="BM82" i="63" s="1"/>
  <c r="AP82" i="63"/>
  <c r="AL79" i="63"/>
  <c r="AF79" i="63"/>
  <c r="AK79" i="63"/>
  <c r="AF74" i="63"/>
  <c r="BH74" i="63" s="1"/>
  <c r="AK74" i="63"/>
  <c r="BM74" i="63" s="1"/>
  <c r="AP74" i="63"/>
  <c r="AL71" i="63"/>
  <c r="AF71" i="63"/>
  <c r="AK71" i="63"/>
  <c r="AF66" i="63"/>
  <c r="AK66" i="63"/>
  <c r="AP66" i="63"/>
  <c r="AL63" i="63"/>
  <c r="AF63" i="63"/>
  <c r="AK63" i="63"/>
  <c r="AN82" i="63"/>
  <c r="BP82" i="63" s="1"/>
  <c r="AH82" i="63"/>
  <c r="BJ82" i="63" s="1"/>
  <c r="AI82" i="63"/>
  <c r="AI79" i="63"/>
  <c r="AN79" i="63"/>
  <c r="AN74" i="63"/>
  <c r="AH74" i="63"/>
  <c r="AI74" i="63"/>
  <c r="BK74" i="63" s="1"/>
  <c r="AI71" i="63"/>
  <c r="AN71" i="63"/>
  <c r="AN66" i="63"/>
  <c r="AH66" i="63"/>
  <c r="BJ66" i="63" s="1"/>
  <c r="AI66" i="63"/>
  <c r="AI63" i="63"/>
  <c r="AN63" i="63"/>
  <c r="AG82" i="63"/>
  <c r="AL82" i="63"/>
  <c r="AH79" i="63"/>
  <c r="AM79" i="63"/>
  <c r="AG74" i="63"/>
  <c r="BI74" i="63" s="1"/>
  <c r="AL74" i="63"/>
  <c r="AH71" i="63"/>
  <c r="AM71" i="63"/>
  <c r="AG66" i="63"/>
  <c r="AL66" i="63"/>
  <c r="AH63" i="63"/>
  <c r="AM63" i="63"/>
  <c r="BO157" i="63"/>
  <c r="BO3" i="63"/>
  <c r="BK5" i="63"/>
  <c r="BG87" i="63"/>
  <c r="BG159" i="63"/>
  <c r="BD144" i="63"/>
  <c r="BB144" i="63"/>
  <c r="BA167" i="63"/>
  <c r="BB167" i="63"/>
  <c r="AV157" i="63"/>
  <c r="BE157" i="63"/>
  <c r="BR157" i="63" s="1"/>
  <c r="AX144" i="63"/>
  <c r="AU144" i="63"/>
  <c r="BH114" i="63"/>
  <c r="BD148" i="63"/>
  <c r="BB148" i="63"/>
  <c r="AT148" i="63"/>
  <c r="AN57" i="63"/>
  <c r="AI57" i="63"/>
  <c r="AT54" i="63"/>
  <c r="BD54" i="63"/>
  <c r="AY54" i="63"/>
  <c r="AE52" i="63"/>
  <c r="BG52" i="63" s="1"/>
  <c r="AO52" i="63"/>
  <c r="AJ52" i="63"/>
  <c r="BA47" i="63"/>
  <c r="AV47" i="63"/>
  <c r="BB47" i="63"/>
  <c r="AW47" i="63"/>
  <c r="BC47" i="63"/>
  <c r="AX47" i="63"/>
  <c r="BA43" i="63"/>
  <c r="AV43" i="63"/>
  <c r="BB43" i="63"/>
  <c r="AW43" i="63"/>
  <c r="BC43" i="63"/>
  <c r="AX43" i="63"/>
  <c r="BA39" i="63"/>
  <c r="AV39" i="63"/>
  <c r="BB39" i="63"/>
  <c r="AW39" i="63"/>
  <c r="BC39" i="63"/>
  <c r="AX39" i="63"/>
  <c r="BA35" i="63"/>
  <c r="AV35" i="63"/>
  <c r="BB35" i="63"/>
  <c r="AW35" i="63"/>
  <c r="BC35" i="63"/>
  <c r="AX35" i="63"/>
  <c r="BD173" i="63"/>
  <c r="BQ173" i="63" s="1"/>
  <c r="BB173" i="63"/>
  <c r="AW144" i="63"/>
  <c r="BJ144" i="63" s="1"/>
  <c r="AY144" i="63"/>
  <c r="BM146" i="63"/>
  <c r="BH146" i="63"/>
  <c r="BG11" i="63"/>
  <c r="BE56" i="63"/>
  <c r="AZ56" i="63"/>
  <c r="BM56" i="63" s="1"/>
  <c r="AU56" i="63"/>
  <c r="AE54" i="63"/>
  <c r="AO54" i="63"/>
  <c r="AJ54" i="63"/>
  <c r="AG51" i="63"/>
  <c r="AM51" i="63"/>
  <c r="AH51" i="63"/>
  <c r="AE51" i="63"/>
  <c r="BG51" i="63" s="1"/>
  <c r="AP47" i="63"/>
  <c r="AK47" i="63"/>
  <c r="BM47" i="63" s="1"/>
  <c r="AF47" i="63"/>
  <c r="BH47" i="63" s="1"/>
  <c r="AL47" i="63"/>
  <c r="AG47" i="63"/>
  <c r="AM47" i="63"/>
  <c r="AE47" i="63"/>
  <c r="AP43" i="63"/>
  <c r="BR43" i="63" s="1"/>
  <c r="AK43" i="63"/>
  <c r="BM43" i="63" s="1"/>
  <c r="AF43" i="63"/>
  <c r="AL43" i="63"/>
  <c r="AG43" i="63"/>
  <c r="AM43" i="63"/>
  <c r="AP39" i="63"/>
  <c r="BR39" i="63" s="1"/>
  <c r="AK39" i="63"/>
  <c r="BM39" i="63" s="1"/>
  <c r="AF39" i="63"/>
  <c r="BH39" i="63" s="1"/>
  <c r="AL39" i="63"/>
  <c r="AG39" i="63"/>
  <c r="AM39" i="63"/>
  <c r="AE39" i="63"/>
  <c r="BG39" i="63" s="1"/>
  <c r="AP35" i="63"/>
  <c r="BR35" i="63" s="1"/>
  <c r="AK35" i="63"/>
  <c r="AF35" i="63"/>
  <c r="BH35" i="63" s="1"/>
  <c r="AL35" i="63"/>
  <c r="AG35" i="63"/>
  <c r="AM35" i="63"/>
  <c r="AZ173" i="63"/>
  <c r="BM173" i="63" s="1"/>
  <c r="BE173" i="63"/>
  <c r="BD167" i="63"/>
  <c r="AX173" i="63"/>
  <c r="AU173" i="63"/>
  <c r="BH173" i="63" s="1"/>
  <c r="BE167" i="63"/>
  <c r="AU167" i="63"/>
  <c r="BO171" i="63"/>
  <c r="AZ157" i="63"/>
  <c r="BD157" i="63"/>
  <c r="AU157" i="63"/>
  <c r="AW173" i="63"/>
  <c r="AY173" i="63"/>
  <c r="BL173" i="63" s="1"/>
  <c r="AZ167" i="63"/>
  <c r="AT167" i="63"/>
  <c r="BG167" i="63" s="1"/>
  <c r="AY167" i="63"/>
  <c r="BK169" i="63"/>
  <c r="BI169" i="63"/>
  <c r="BR169" i="63"/>
  <c r="AT157" i="63"/>
  <c r="AW157" i="63"/>
  <c r="AY157" i="63"/>
  <c r="BA144" i="63"/>
  <c r="BC144" i="63"/>
  <c r="AV144" i="63"/>
  <c r="BG105" i="63"/>
  <c r="BG103" i="63"/>
  <c r="AP58" i="63"/>
  <c r="BR58" i="63" s="1"/>
  <c r="AK58" i="63"/>
  <c r="AF58" i="63"/>
  <c r="BH58" i="63" s="1"/>
  <c r="AT173" i="63"/>
  <c r="AT144" i="63"/>
  <c r="BG144" i="63" s="1"/>
  <c r="BA124" i="63"/>
  <c r="AV124" i="63"/>
  <c r="BB124" i="63"/>
  <c r="BC100" i="63"/>
  <c r="AU100" i="63"/>
  <c r="BD159" i="63"/>
  <c r="BQ159" i="63" s="1"/>
  <c r="BB159" i="63"/>
  <c r="BO159" i="63" s="1"/>
  <c r="BD169" i="63"/>
  <c r="BB169" i="63"/>
  <c r="BG40" i="63"/>
  <c r="BG49" i="63"/>
  <c r="BG42" i="63"/>
  <c r="BG34" i="63"/>
  <c r="D75" i="62"/>
  <c r="E46" i="62"/>
  <c r="BC177" i="63"/>
  <c r="AY177" i="63"/>
  <c r="AU177" i="63"/>
  <c r="BB177" i="63"/>
  <c r="AX177" i="63"/>
  <c r="AT177" i="63"/>
  <c r="BG177" i="63" s="1"/>
  <c r="BE177" i="63"/>
  <c r="BA177" i="63"/>
  <c r="AW177" i="63"/>
  <c r="AZ177" i="63"/>
  <c r="AV177" i="63"/>
  <c r="BD177" i="63"/>
  <c r="BE172" i="63"/>
  <c r="BA172" i="63"/>
  <c r="AW172" i="63"/>
  <c r="BC172" i="63"/>
  <c r="AY172" i="63"/>
  <c r="AU172" i="63"/>
  <c r="AX172" i="63"/>
  <c r="BD172" i="63"/>
  <c r="AV172" i="63"/>
  <c r="BB172" i="63"/>
  <c r="AT172" i="63"/>
  <c r="AZ172" i="63"/>
  <c r="AP172" i="63"/>
  <c r="BR172" i="63" s="1"/>
  <c r="AL172" i="63"/>
  <c r="AH172" i="63"/>
  <c r="AN172" i="63"/>
  <c r="AJ172" i="63"/>
  <c r="AF172" i="63"/>
  <c r="AM172" i="63"/>
  <c r="AK172" i="63"/>
  <c r="BM172" i="63" s="1"/>
  <c r="AI172" i="63"/>
  <c r="AO172" i="63"/>
  <c r="AG172" i="63"/>
  <c r="AP168" i="63"/>
  <c r="AL168" i="63"/>
  <c r="AH168" i="63"/>
  <c r="AN168" i="63"/>
  <c r="AJ168" i="63"/>
  <c r="AF168" i="63"/>
  <c r="AM168" i="63"/>
  <c r="AK168" i="63"/>
  <c r="AI168" i="63"/>
  <c r="AG168" i="63"/>
  <c r="AO168" i="63"/>
  <c r="BE176" i="63"/>
  <c r="BA176" i="63"/>
  <c r="AW176" i="63"/>
  <c r="BD176" i="63"/>
  <c r="AZ176" i="63"/>
  <c r="AV176" i="63"/>
  <c r="BC176" i="63"/>
  <c r="AY176" i="63"/>
  <c r="AU176" i="63"/>
  <c r="BB176" i="63"/>
  <c r="AX176" i="63"/>
  <c r="AT176" i="63"/>
  <c r="BE170" i="63"/>
  <c r="BA170" i="63"/>
  <c r="AW170" i="63"/>
  <c r="BC170" i="63"/>
  <c r="AY170" i="63"/>
  <c r="AU170" i="63"/>
  <c r="BB170" i="63"/>
  <c r="AT170" i="63"/>
  <c r="BG170" i="63" s="1"/>
  <c r="AZ170" i="63"/>
  <c r="AX170" i="63"/>
  <c r="BD170" i="63"/>
  <c r="AV170" i="63"/>
  <c r="AN163" i="63"/>
  <c r="AJ163" i="63"/>
  <c r="AF163" i="63"/>
  <c r="BH163" i="63" s="1"/>
  <c r="AM163" i="63"/>
  <c r="BO163" i="63" s="1"/>
  <c r="AI163" i="63"/>
  <c r="AP163" i="63"/>
  <c r="AL163" i="63"/>
  <c r="BN163" i="63" s="1"/>
  <c r="AH163" i="63"/>
  <c r="BJ163" i="63" s="1"/>
  <c r="AO163" i="63"/>
  <c r="AK163" i="63"/>
  <c r="AG163" i="63"/>
  <c r="BE158" i="63"/>
  <c r="BA158" i="63"/>
  <c r="AW158" i="63"/>
  <c r="BC158" i="63"/>
  <c r="AY158" i="63"/>
  <c r="AU158" i="63"/>
  <c r="AX158" i="63"/>
  <c r="BD158" i="63"/>
  <c r="AV158" i="63"/>
  <c r="BB158" i="63"/>
  <c r="AT158" i="63"/>
  <c r="AZ158" i="63"/>
  <c r="BQ178" i="63"/>
  <c r="AE172" i="63"/>
  <c r="AN167" i="63"/>
  <c r="BP167" i="63" s="1"/>
  <c r="AJ167" i="63"/>
  <c r="AF167" i="63"/>
  <c r="AM167" i="63"/>
  <c r="AI167" i="63"/>
  <c r="AP167" i="63"/>
  <c r="AL167" i="63"/>
  <c r="AH167" i="63"/>
  <c r="AK167" i="63"/>
  <c r="AG167" i="63"/>
  <c r="BI167" i="63" s="1"/>
  <c r="AO167" i="63"/>
  <c r="BE160" i="63"/>
  <c r="BA160" i="63"/>
  <c r="AW160" i="63"/>
  <c r="BC160" i="63"/>
  <c r="AY160" i="63"/>
  <c r="AU160" i="63"/>
  <c r="BB160" i="63"/>
  <c r="AT160" i="63"/>
  <c r="BG160" i="63" s="1"/>
  <c r="AZ160" i="63"/>
  <c r="AX160" i="63"/>
  <c r="AV160" i="63"/>
  <c r="BD160" i="63"/>
  <c r="BE141" i="63"/>
  <c r="BR141" i="63" s="1"/>
  <c r="BA141" i="63"/>
  <c r="BN141" i="63" s="1"/>
  <c r="AW141" i="63"/>
  <c r="BJ141" i="63" s="1"/>
  <c r="BC141" i="63"/>
  <c r="BP141" i="63" s="1"/>
  <c r="AY141" i="63"/>
  <c r="AU141" i="63"/>
  <c r="BB141" i="63"/>
  <c r="BO141" i="63" s="1"/>
  <c r="AZ141" i="63"/>
  <c r="AX141" i="63"/>
  <c r="BD141" i="63"/>
  <c r="AV141" i="63"/>
  <c r="BI141" i="63" s="1"/>
  <c r="AP170" i="63"/>
  <c r="AL170" i="63"/>
  <c r="AH170" i="63"/>
  <c r="AN170" i="63"/>
  <c r="AJ170" i="63"/>
  <c r="AF170" i="63"/>
  <c r="AI170" i="63"/>
  <c r="AO170" i="63"/>
  <c r="AG170" i="63"/>
  <c r="AM170" i="63"/>
  <c r="AK170" i="63"/>
  <c r="AP160" i="63"/>
  <c r="AL160" i="63"/>
  <c r="AH160" i="63"/>
  <c r="AN160" i="63"/>
  <c r="AJ160" i="63"/>
  <c r="AF160" i="63"/>
  <c r="AI160" i="63"/>
  <c r="AO160" i="63"/>
  <c r="AG160" i="63"/>
  <c r="AM160" i="63"/>
  <c r="AK160" i="63"/>
  <c r="AN132" i="63"/>
  <c r="BP132" i="63" s="1"/>
  <c r="AJ132" i="63"/>
  <c r="AF132" i="63"/>
  <c r="AM132" i="63"/>
  <c r="AI132" i="63"/>
  <c r="BK132" i="63" s="1"/>
  <c r="AP132" i="63"/>
  <c r="BR132" i="63" s="1"/>
  <c r="AL132" i="63"/>
  <c r="BN132" i="63" s="1"/>
  <c r="AH132" i="63"/>
  <c r="BJ132" i="63" s="1"/>
  <c r="AO132" i="63"/>
  <c r="AK132" i="63"/>
  <c r="BM132" i="63" s="1"/>
  <c r="AG132" i="63"/>
  <c r="BE127" i="63"/>
  <c r="BA127" i="63"/>
  <c r="AW127" i="63"/>
  <c r="BC127" i="63"/>
  <c r="AY127" i="63"/>
  <c r="AU127" i="63"/>
  <c r="AX127" i="63"/>
  <c r="BD127" i="63"/>
  <c r="AV127" i="63"/>
  <c r="BB127" i="63"/>
  <c r="AT127" i="63"/>
  <c r="AZ127" i="63"/>
  <c r="AN134" i="63"/>
  <c r="AJ134" i="63"/>
  <c r="AF134" i="63"/>
  <c r="AM134" i="63"/>
  <c r="AI134" i="63"/>
  <c r="AP134" i="63"/>
  <c r="AL134" i="63"/>
  <c r="AH134" i="63"/>
  <c r="AG134" i="63"/>
  <c r="AO134" i="63"/>
  <c r="AK134" i="63"/>
  <c r="AP145" i="63"/>
  <c r="AL145" i="63"/>
  <c r="AH145" i="63"/>
  <c r="AN145" i="63"/>
  <c r="AJ145" i="63"/>
  <c r="AF145" i="63"/>
  <c r="AI145" i="63"/>
  <c r="AO145" i="63"/>
  <c r="AG145" i="63"/>
  <c r="AM145" i="63"/>
  <c r="AK145" i="63"/>
  <c r="BE125" i="63"/>
  <c r="BA125" i="63"/>
  <c r="AW125" i="63"/>
  <c r="BC125" i="63"/>
  <c r="AY125" i="63"/>
  <c r="AU125" i="63"/>
  <c r="BB125" i="63"/>
  <c r="AT125" i="63"/>
  <c r="BG125" i="63" s="1"/>
  <c r="AZ125" i="63"/>
  <c r="AX125" i="63"/>
  <c r="BD125" i="63"/>
  <c r="AV125" i="63"/>
  <c r="BC115" i="63"/>
  <c r="AY115" i="63"/>
  <c r="AU115" i="63"/>
  <c r="BB115" i="63"/>
  <c r="AX115" i="63"/>
  <c r="BE115" i="63"/>
  <c r="BA115" i="63"/>
  <c r="AW115" i="63"/>
  <c r="BD115" i="63"/>
  <c r="AZ115" i="63"/>
  <c r="AV115" i="63"/>
  <c r="BC107" i="63"/>
  <c r="AY107" i="63"/>
  <c r="AU107" i="63"/>
  <c r="BB107" i="63"/>
  <c r="AX107" i="63"/>
  <c r="BE107" i="63"/>
  <c r="BA107" i="63"/>
  <c r="AW107" i="63"/>
  <c r="BD107" i="63"/>
  <c r="AZ107" i="63"/>
  <c r="AV107" i="63"/>
  <c r="AP149" i="63"/>
  <c r="AL149" i="63"/>
  <c r="AH149" i="63"/>
  <c r="AN149" i="63"/>
  <c r="AJ149" i="63"/>
  <c r="AF149" i="63"/>
  <c r="AI149" i="63"/>
  <c r="AO149" i="63"/>
  <c r="AG149" i="63"/>
  <c r="AM149" i="63"/>
  <c r="AK149" i="63"/>
  <c r="AN109" i="63"/>
  <c r="AJ109" i="63"/>
  <c r="AF109" i="63"/>
  <c r="AM109" i="63"/>
  <c r="AI109" i="63"/>
  <c r="AP109" i="63"/>
  <c r="AL109" i="63"/>
  <c r="AH109" i="63"/>
  <c r="AO109" i="63"/>
  <c r="AK109" i="63"/>
  <c r="AG109" i="63"/>
  <c r="BI106" i="63"/>
  <c r="BC97" i="63"/>
  <c r="AY97" i="63"/>
  <c r="AU97" i="63"/>
  <c r="BB97" i="63"/>
  <c r="AX97" i="63"/>
  <c r="BE97" i="63"/>
  <c r="AW97" i="63"/>
  <c r="BD97" i="63"/>
  <c r="AV97" i="63"/>
  <c r="BA97" i="63"/>
  <c r="AZ97" i="63"/>
  <c r="AN119" i="63"/>
  <c r="AJ119" i="63"/>
  <c r="AF119" i="63"/>
  <c r="AM119" i="63"/>
  <c r="AI119" i="63"/>
  <c r="AP119" i="63"/>
  <c r="AL119" i="63"/>
  <c r="AH119" i="63"/>
  <c r="AG119" i="63"/>
  <c r="AO119" i="63"/>
  <c r="AK119" i="63"/>
  <c r="BE102" i="63"/>
  <c r="BA102" i="63"/>
  <c r="AW102" i="63"/>
  <c r="BD102" i="63"/>
  <c r="AZ102" i="63"/>
  <c r="AV102" i="63"/>
  <c r="AY102" i="63"/>
  <c r="AX102" i="63"/>
  <c r="BC102" i="63"/>
  <c r="AU102" i="63"/>
  <c r="BB102" i="63"/>
  <c r="AT102" i="63"/>
  <c r="AN97" i="63"/>
  <c r="AJ97" i="63"/>
  <c r="AF97" i="63"/>
  <c r="AM97" i="63"/>
  <c r="AI97" i="63"/>
  <c r="AL97" i="63"/>
  <c r="AK97" i="63"/>
  <c r="AP97" i="63"/>
  <c r="AH97" i="63"/>
  <c r="BJ97" i="63" s="1"/>
  <c r="AO97" i="63"/>
  <c r="AG97" i="63"/>
  <c r="AT115" i="63"/>
  <c r="BG115" i="63" s="1"/>
  <c r="BE110" i="63"/>
  <c r="BA110" i="63"/>
  <c r="AW110" i="63"/>
  <c r="BD110" i="63"/>
  <c r="AZ110" i="63"/>
  <c r="AV110" i="63"/>
  <c r="BC110" i="63"/>
  <c r="AY110" i="63"/>
  <c r="AU110" i="63"/>
  <c r="BB110" i="63"/>
  <c r="AX110" i="63"/>
  <c r="AT110" i="63"/>
  <c r="BC99" i="63"/>
  <c r="AY99" i="63"/>
  <c r="AU99" i="63"/>
  <c r="BB99" i="63"/>
  <c r="AX99" i="63"/>
  <c r="BA99" i="63"/>
  <c r="AZ99" i="63"/>
  <c r="BE99" i="63"/>
  <c r="AW99" i="63"/>
  <c r="BD99" i="63"/>
  <c r="AV99" i="63"/>
  <c r="BB93" i="63"/>
  <c r="AX93" i="63"/>
  <c r="BE93" i="63"/>
  <c r="BA93" i="63"/>
  <c r="AW93" i="63"/>
  <c r="BD93" i="63"/>
  <c r="AZ93" i="63"/>
  <c r="AV93" i="63"/>
  <c r="BC93" i="63"/>
  <c r="AY93" i="63"/>
  <c r="AU93" i="63"/>
  <c r="AP100" i="63"/>
  <c r="BR100" i="63" s="1"/>
  <c r="AL100" i="63"/>
  <c r="AH100" i="63"/>
  <c r="AO100" i="63"/>
  <c r="AK100" i="63"/>
  <c r="AG100" i="63"/>
  <c r="AJ100" i="63"/>
  <c r="BL100" i="63" s="1"/>
  <c r="AI100" i="63"/>
  <c r="BK100" i="63" s="1"/>
  <c r="AN100" i="63"/>
  <c r="AF100" i="63"/>
  <c r="AM100" i="63"/>
  <c r="AE100" i="63"/>
  <c r="AP96" i="63"/>
  <c r="AL96" i="63"/>
  <c r="AH96" i="63"/>
  <c r="AO96" i="63"/>
  <c r="AK96" i="63"/>
  <c r="AG96" i="63"/>
  <c r="AJ96" i="63"/>
  <c r="AI96" i="63"/>
  <c r="AN96" i="63"/>
  <c r="AF96" i="63"/>
  <c r="AM96" i="63"/>
  <c r="AE96" i="63"/>
  <c r="AM93" i="63"/>
  <c r="AI93" i="63"/>
  <c r="AP93" i="63"/>
  <c r="AL93" i="63"/>
  <c r="AH93" i="63"/>
  <c r="AO93" i="63"/>
  <c r="AK93" i="63"/>
  <c r="AG93" i="63"/>
  <c r="AN93" i="63"/>
  <c r="AJ93" i="63"/>
  <c r="AF93" i="63"/>
  <c r="BD86" i="63"/>
  <c r="AZ86" i="63"/>
  <c r="AV86" i="63"/>
  <c r="BI86" i="63" s="1"/>
  <c r="BC86" i="63"/>
  <c r="AY86" i="63"/>
  <c r="AU86" i="63"/>
  <c r="BB86" i="63"/>
  <c r="AX86" i="63"/>
  <c r="BE86" i="63"/>
  <c r="BA86" i="63"/>
  <c r="AW86" i="63"/>
  <c r="BD79" i="63"/>
  <c r="BQ79" i="63" s="1"/>
  <c r="AZ79" i="63"/>
  <c r="AV79" i="63"/>
  <c r="BC79" i="63"/>
  <c r="AY79" i="63"/>
  <c r="AU79" i="63"/>
  <c r="BB79" i="63"/>
  <c r="AX79" i="63"/>
  <c r="BE79" i="63"/>
  <c r="BA79" i="63"/>
  <c r="AW79" i="63"/>
  <c r="BD71" i="63"/>
  <c r="AZ71" i="63"/>
  <c r="AV71" i="63"/>
  <c r="BC71" i="63"/>
  <c r="AY71" i="63"/>
  <c r="BL71" i="63" s="1"/>
  <c r="AU71" i="63"/>
  <c r="BB71" i="63"/>
  <c r="AX71" i="63"/>
  <c r="BE71" i="63"/>
  <c r="BR71" i="63" s="1"/>
  <c r="BA71" i="63"/>
  <c r="AW71" i="63"/>
  <c r="BD63" i="63"/>
  <c r="AZ63" i="63"/>
  <c r="AV63" i="63"/>
  <c r="BC63" i="63"/>
  <c r="AY63" i="63"/>
  <c r="AU63" i="63"/>
  <c r="BB63" i="63"/>
  <c r="AX63" i="63"/>
  <c r="BE63" i="63"/>
  <c r="BA63" i="63"/>
  <c r="AW63" i="63"/>
  <c r="BD53" i="63"/>
  <c r="AZ53" i="63"/>
  <c r="AV53" i="63"/>
  <c r="BI53" i="63" s="1"/>
  <c r="BC53" i="63"/>
  <c r="AY53" i="63"/>
  <c r="AU53" i="63"/>
  <c r="BB53" i="63"/>
  <c r="BO53" i="63" s="1"/>
  <c r="AX53" i="63"/>
  <c r="BE53" i="63"/>
  <c r="BA53" i="63"/>
  <c r="AW53" i="63"/>
  <c r="BL58" i="63"/>
  <c r="BO84" i="63"/>
  <c r="BC46" i="63"/>
  <c r="AY46" i="63"/>
  <c r="AU46" i="63"/>
  <c r="BB46" i="63"/>
  <c r="AX46" i="63"/>
  <c r="BE46" i="63"/>
  <c r="BA46" i="63"/>
  <c r="AW46" i="63"/>
  <c r="BD46" i="63"/>
  <c r="AZ46" i="63"/>
  <c r="AV46" i="63"/>
  <c r="BC38" i="63"/>
  <c r="AY38" i="63"/>
  <c r="AU38" i="63"/>
  <c r="BB38" i="63"/>
  <c r="AX38" i="63"/>
  <c r="BE38" i="63"/>
  <c r="BA38" i="63"/>
  <c r="AW38" i="63"/>
  <c r="BD38" i="63"/>
  <c r="AZ38" i="63"/>
  <c r="AV38" i="63"/>
  <c r="BC26" i="63"/>
  <c r="AY26" i="63"/>
  <c r="AU26" i="63"/>
  <c r="BB26" i="63"/>
  <c r="AX26" i="63"/>
  <c r="BE26" i="63"/>
  <c r="BA26" i="63"/>
  <c r="AW26" i="63"/>
  <c r="BD26" i="63"/>
  <c r="AZ26" i="63"/>
  <c r="AV26" i="63"/>
  <c r="BC18" i="63"/>
  <c r="AY18" i="63"/>
  <c r="AU18" i="63"/>
  <c r="BB18" i="63"/>
  <c r="AX18" i="63"/>
  <c r="BE18" i="63"/>
  <c r="BA18" i="63"/>
  <c r="AW18" i="63"/>
  <c r="BD18" i="63"/>
  <c r="AZ18" i="63"/>
  <c r="AV18" i="63"/>
  <c r="AN44" i="63"/>
  <c r="AJ44" i="63"/>
  <c r="AF44" i="63"/>
  <c r="AM44" i="63"/>
  <c r="AI44" i="63"/>
  <c r="AP44" i="63"/>
  <c r="AL44" i="63"/>
  <c r="AH44" i="63"/>
  <c r="AO44" i="63"/>
  <c r="AK44" i="63"/>
  <c r="AG44" i="63"/>
  <c r="AN36" i="63"/>
  <c r="AJ36" i="63"/>
  <c r="AF36" i="63"/>
  <c r="AM36" i="63"/>
  <c r="AI36" i="63"/>
  <c r="AP36" i="63"/>
  <c r="AL36" i="63"/>
  <c r="AH36" i="63"/>
  <c r="AO36" i="63"/>
  <c r="AK36" i="63"/>
  <c r="AG36" i="63"/>
  <c r="AN28" i="63"/>
  <c r="AJ28" i="63"/>
  <c r="AF28" i="63"/>
  <c r="AM28" i="63"/>
  <c r="AI28" i="63"/>
  <c r="AP28" i="63"/>
  <c r="AL28" i="63"/>
  <c r="AH28" i="63"/>
  <c r="AO28" i="63"/>
  <c r="AK28" i="63"/>
  <c r="AG28" i="63"/>
  <c r="AN20" i="63"/>
  <c r="AJ20" i="63"/>
  <c r="AF20" i="63"/>
  <c r="AM20" i="63"/>
  <c r="AI20" i="63"/>
  <c r="AP20" i="63"/>
  <c r="AL20" i="63"/>
  <c r="AH20" i="63"/>
  <c r="AO20" i="63"/>
  <c r="AK20" i="63"/>
  <c r="AG20" i="63"/>
  <c r="AN12" i="63"/>
  <c r="AJ12" i="63"/>
  <c r="AF12" i="63"/>
  <c r="AM12" i="63"/>
  <c r="AI12" i="63"/>
  <c r="AP12" i="63"/>
  <c r="AL12" i="63"/>
  <c r="AH12" i="63"/>
  <c r="AO12" i="63"/>
  <c r="AK12" i="63"/>
  <c r="AG12" i="63"/>
  <c r="AT46" i="63"/>
  <c r="BQ43" i="63"/>
  <c r="AT38" i="63"/>
  <c r="F144" i="62"/>
  <c r="F142" i="62"/>
  <c r="F140" i="62"/>
  <c r="F138" i="62"/>
  <c r="F136" i="62"/>
  <c r="F134" i="62"/>
  <c r="F143" i="62"/>
  <c r="F141" i="62"/>
  <c r="F139" i="62"/>
  <c r="F137" i="62"/>
  <c r="F135" i="62"/>
  <c r="F133" i="62"/>
  <c r="G115" i="62"/>
  <c r="G113" i="62"/>
  <c r="G111" i="62"/>
  <c r="G109" i="62"/>
  <c r="G107" i="62"/>
  <c r="G105" i="62"/>
  <c r="G114" i="62"/>
  <c r="G112" i="62"/>
  <c r="G110" i="62"/>
  <c r="G108" i="62"/>
  <c r="G106" i="62"/>
  <c r="G104" i="62"/>
  <c r="E27" i="62"/>
  <c r="E19" i="62"/>
  <c r="E25" i="62"/>
  <c r="E23" i="62"/>
  <c r="E28" i="62"/>
  <c r="E26" i="62"/>
  <c r="E24" i="62"/>
  <c r="E22" i="62"/>
  <c r="E20" i="62"/>
  <c r="E18" i="62"/>
  <c r="E21" i="62"/>
  <c r="BK9" i="63"/>
  <c r="BO5" i="63"/>
  <c r="BE179" i="63"/>
  <c r="BA179" i="63"/>
  <c r="AW179" i="63"/>
  <c r="BC179" i="63"/>
  <c r="AY179" i="63"/>
  <c r="AU179" i="63"/>
  <c r="AX179" i="63"/>
  <c r="BD179" i="63"/>
  <c r="AV179" i="63"/>
  <c r="BB179" i="63"/>
  <c r="AT179" i="63"/>
  <c r="BG179" i="63" s="1"/>
  <c r="AZ179" i="63"/>
  <c r="AN175" i="63"/>
  <c r="BP175" i="63" s="1"/>
  <c r="AJ175" i="63"/>
  <c r="AF175" i="63"/>
  <c r="AM175" i="63"/>
  <c r="BO175" i="63" s="1"/>
  <c r="AI175" i="63"/>
  <c r="BK175" i="63" s="1"/>
  <c r="AP175" i="63"/>
  <c r="AL175" i="63"/>
  <c r="BN175" i="63" s="1"/>
  <c r="AH175" i="63"/>
  <c r="BJ175" i="63" s="1"/>
  <c r="AO175" i="63"/>
  <c r="AK175" i="63"/>
  <c r="AG175" i="63"/>
  <c r="AP176" i="63"/>
  <c r="AL176" i="63"/>
  <c r="AH176" i="63"/>
  <c r="AO176" i="63"/>
  <c r="AK176" i="63"/>
  <c r="AG176" i="63"/>
  <c r="AN176" i="63"/>
  <c r="AJ176" i="63"/>
  <c r="AF176" i="63"/>
  <c r="AM176" i="63"/>
  <c r="AI176" i="63"/>
  <c r="AE176" i="63"/>
  <c r="BG168" i="63"/>
  <c r="AP162" i="63"/>
  <c r="AL162" i="63"/>
  <c r="AH162" i="63"/>
  <c r="AN162" i="63"/>
  <c r="AJ162" i="63"/>
  <c r="AF162" i="63"/>
  <c r="AM162" i="63"/>
  <c r="AK162" i="63"/>
  <c r="AI162" i="63"/>
  <c r="AG162" i="63"/>
  <c r="AO162" i="63"/>
  <c r="AP158" i="63"/>
  <c r="AL158" i="63"/>
  <c r="AH158" i="63"/>
  <c r="AN158" i="63"/>
  <c r="AJ158" i="63"/>
  <c r="AF158" i="63"/>
  <c r="AM158" i="63"/>
  <c r="AK158" i="63"/>
  <c r="AI158" i="63"/>
  <c r="AO158" i="63"/>
  <c r="AG158" i="63"/>
  <c r="AN154" i="63"/>
  <c r="AJ154" i="63"/>
  <c r="AF154" i="63"/>
  <c r="BH154" i="63" s="1"/>
  <c r="AM154" i="63"/>
  <c r="AI154" i="63"/>
  <c r="AP154" i="63"/>
  <c r="AL154" i="63"/>
  <c r="AH154" i="63"/>
  <c r="AO154" i="63"/>
  <c r="AK154" i="63"/>
  <c r="BM154" i="63" s="1"/>
  <c r="AG154" i="63"/>
  <c r="BE147" i="63"/>
  <c r="BA147" i="63"/>
  <c r="AW147" i="63"/>
  <c r="BC147" i="63"/>
  <c r="AY147" i="63"/>
  <c r="AU147" i="63"/>
  <c r="AX147" i="63"/>
  <c r="BD147" i="63"/>
  <c r="AV147" i="63"/>
  <c r="BB147" i="63"/>
  <c r="AT147" i="63"/>
  <c r="BG147" i="63" s="1"/>
  <c r="AZ147" i="63"/>
  <c r="BE149" i="63"/>
  <c r="BA149" i="63"/>
  <c r="AW149" i="63"/>
  <c r="BC149" i="63"/>
  <c r="AY149" i="63"/>
  <c r="AU149" i="63"/>
  <c r="BB149" i="63"/>
  <c r="AT149" i="63"/>
  <c r="BG149" i="63" s="1"/>
  <c r="AZ149" i="63"/>
  <c r="AX149" i="63"/>
  <c r="BD149" i="63"/>
  <c r="AV149" i="63"/>
  <c r="BC134" i="63"/>
  <c r="AY134" i="63"/>
  <c r="AU134" i="63"/>
  <c r="BB134" i="63"/>
  <c r="AX134" i="63"/>
  <c r="AT134" i="63"/>
  <c r="BG134" i="63" s="1"/>
  <c r="BE134" i="63"/>
  <c r="BA134" i="63"/>
  <c r="AW134" i="63"/>
  <c r="AZ134" i="63"/>
  <c r="AV134" i="63"/>
  <c r="BD134" i="63"/>
  <c r="BQ146" i="63"/>
  <c r="BP146" i="63"/>
  <c r="AP139" i="63"/>
  <c r="BR139" i="63" s="1"/>
  <c r="AL139" i="63"/>
  <c r="BN139" i="63" s="1"/>
  <c r="AH139" i="63"/>
  <c r="BJ139" i="63" s="1"/>
  <c r="AO139" i="63"/>
  <c r="BQ139" i="63" s="1"/>
  <c r="AK139" i="63"/>
  <c r="BM139" i="63" s="1"/>
  <c r="AG139" i="63"/>
  <c r="BI139" i="63" s="1"/>
  <c r="AN139" i="63"/>
  <c r="BP139" i="63" s="1"/>
  <c r="AJ139" i="63"/>
  <c r="BL139" i="63" s="1"/>
  <c r="AF139" i="63"/>
  <c r="BH139" i="63" s="1"/>
  <c r="AI139" i="63"/>
  <c r="BK139" i="63" s="1"/>
  <c r="AE139" i="63"/>
  <c r="BG139" i="63" s="1"/>
  <c r="AM139" i="63"/>
  <c r="BO139" i="63" s="1"/>
  <c r="BC128" i="63"/>
  <c r="AY128" i="63"/>
  <c r="AU128" i="63"/>
  <c r="BE128" i="63"/>
  <c r="BA128" i="63"/>
  <c r="AW128" i="63"/>
  <c r="AZ128" i="63"/>
  <c r="AX128" i="63"/>
  <c r="BD128" i="63"/>
  <c r="AV128" i="63"/>
  <c r="BB128" i="63"/>
  <c r="AT128" i="63"/>
  <c r="BG128" i="63" s="1"/>
  <c r="BE129" i="63"/>
  <c r="BA129" i="63"/>
  <c r="AW129" i="63"/>
  <c r="BC129" i="63"/>
  <c r="AY129" i="63"/>
  <c r="AU129" i="63"/>
  <c r="BB129" i="63"/>
  <c r="AT129" i="63"/>
  <c r="BG129" i="63" s="1"/>
  <c r="AZ129" i="63"/>
  <c r="AX129" i="63"/>
  <c r="BD129" i="63"/>
  <c r="AV129" i="63"/>
  <c r="BC123" i="63"/>
  <c r="AY123" i="63"/>
  <c r="AU123" i="63"/>
  <c r="BB123" i="63"/>
  <c r="AX123" i="63"/>
  <c r="BE123" i="63"/>
  <c r="BA123" i="63"/>
  <c r="AW123" i="63"/>
  <c r="BD123" i="63"/>
  <c r="AZ123" i="63"/>
  <c r="AV123" i="63"/>
  <c r="BC113" i="63"/>
  <c r="AY113" i="63"/>
  <c r="AU113" i="63"/>
  <c r="BB113" i="63"/>
  <c r="AX113" i="63"/>
  <c r="BE113" i="63"/>
  <c r="BA113" i="63"/>
  <c r="AW113" i="63"/>
  <c r="BD113" i="63"/>
  <c r="AZ113" i="63"/>
  <c r="AV113" i="63"/>
  <c r="BC105" i="63"/>
  <c r="AY105" i="63"/>
  <c r="AU105" i="63"/>
  <c r="BB105" i="63"/>
  <c r="AX105" i="63"/>
  <c r="BE105" i="63"/>
  <c r="BA105" i="63"/>
  <c r="AW105" i="63"/>
  <c r="BD105" i="63"/>
  <c r="AZ105" i="63"/>
  <c r="AV105" i="63"/>
  <c r="AN138" i="63"/>
  <c r="AJ138" i="63"/>
  <c r="AF138" i="63"/>
  <c r="AM138" i="63"/>
  <c r="AI138" i="63"/>
  <c r="AP138" i="63"/>
  <c r="AL138" i="63"/>
  <c r="AH138" i="63"/>
  <c r="AO138" i="63"/>
  <c r="AK138" i="63"/>
  <c r="AG138" i="63"/>
  <c r="AP129" i="63"/>
  <c r="AL129" i="63"/>
  <c r="AH129" i="63"/>
  <c r="AN129" i="63"/>
  <c r="AJ129" i="63"/>
  <c r="AF129" i="63"/>
  <c r="AI129" i="63"/>
  <c r="AO129" i="63"/>
  <c r="AG129" i="63"/>
  <c r="AM129" i="63"/>
  <c r="AK129" i="63"/>
  <c r="AP125" i="63"/>
  <c r="AL125" i="63"/>
  <c r="AH125" i="63"/>
  <c r="AN125" i="63"/>
  <c r="AJ125" i="63"/>
  <c r="AF125" i="63"/>
  <c r="AI125" i="63"/>
  <c r="AO125" i="63"/>
  <c r="AG125" i="63"/>
  <c r="AM125" i="63"/>
  <c r="AK125" i="63"/>
  <c r="AN117" i="63"/>
  <c r="AJ117" i="63"/>
  <c r="AF117" i="63"/>
  <c r="AM117" i="63"/>
  <c r="AI117" i="63"/>
  <c r="AP117" i="63"/>
  <c r="AL117" i="63"/>
  <c r="AH117" i="63"/>
  <c r="AO117" i="63"/>
  <c r="AK117" i="63"/>
  <c r="AG117" i="63"/>
  <c r="BG109" i="63"/>
  <c r="BG119" i="63"/>
  <c r="AT113" i="63"/>
  <c r="BG113" i="63" s="1"/>
  <c r="BE108" i="63"/>
  <c r="BR108" i="63" s="1"/>
  <c r="BA108" i="63"/>
  <c r="AW108" i="63"/>
  <c r="BD108" i="63"/>
  <c r="AZ108" i="63"/>
  <c r="AV108" i="63"/>
  <c r="BC108" i="63"/>
  <c r="AY108" i="63"/>
  <c r="AU108" i="63"/>
  <c r="BB108" i="63"/>
  <c r="AX108" i="63"/>
  <c r="AT108" i="63"/>
  <c r="AP102" i="63"/>
  <c r="AL102" i="63"/>
  <c r="AH102" i="63"/>
  <c r="AO102" i="63"/>
  <c r="AK102" i="63"/>
  <c r="AG102" i="63"/>
  <c r="AN102" i="63"/>
  <c r="AF102" i="63"/>
  <c r="AM102" i="63"/>
  <c r="AE102" i="63"/>
  <c r="AJ102" i="63"/>
  <c r="AI102" i="63"/>
  <c r="BG97" i="63"/>
  <c r="AN113" i="63"/>
  <c r="AJ113" i="63"/>
  <c r="AF113" i="63"/>
  <c r="AM113" i="63"/>
  <c r="AI113" i="63"/>
  <c r="AP113" i="63"/>
  <c r="AL113" i="63"/>
  <c r="AH113" i="63"/>
  <c r="AK113" i="63"/>
  <c r="AG113" i="63"/>
  <c r="AO113" i="63"/>
  <c r="AP110" i="63"/>
  <c r="AL110" i="63"/>
  <c r="AH110" i="63"/>
  <c r="AO110" i="63"/>
  <c r="AK110" i="63"/>
  <c r="AG110" i="63"/>
  <c r="AN110" i="63"/>
  <c r="AJ110" i="63"/>
  <c r="AF110" i="63"/>
  <c r="AM110" i="63"/>
  <c r="AI110" i="63"/>
  <c r="AE110" i="63"/>
  <c r="BC103" i="63"/>
  <c r="AY103" i="63"/>
  <c r="AU103" i="63"/>
  <c r="BB103" i="63"/>
  <c r="AX103" i="63"/>
  <c r="BA103" i="63"/>
  <c r="AZ103" i="63"/>
  <c r="BE103" i="63"/>
  <c r="AW103" i="63"/>
  <c r="BD103" i="63"/>
  <c r="AV103" i="63"/>
  <c r="BB89" i="63"/>
  <c r="AX89" i="63"/>
  <c r="BE89" i="63"/>
  <c r="BA89" i="63"/>
  <c r="AW89" i="63"/>
  <c r="BD89" i="63"/>
  <c r="AZ89" i="63"/>
  <c r="AV89" i="63"/>
  <c r="BC89" i="63"/>
  <c r="AY89" i="63"/>
  <c r="AU89" i="63"/>
  <c r="AN115" i="63"/>
  <c r="AJ115" i="63"/>
  <c r="AF115" i="63"/>
  <c r="AM115" i="63"/>
  <c r="AI115" i="63"/>
  <c r="AP115" i="63"/>
  <c r="AL115" i="63"/>
  <c r="AH115" i="63"/>
  <c r="AO115" i="63"/>
  <c r="AK115" i="63"/>
  <c r="AG115" i="63"/>
  <c r="AN107" i="63"/>
  <c r="AJ107" i="63"/>
  <c r="AF107" i="63"/>
  <c r="AM107" i="63"/>
  <c r="AI107" i="63"/>
  <c r="AP107" i="63"/>
  <c r="AL107" i="63"/>
  <c r="AH107" i="63"/>
  <c r="AO107" i="63"/>
  <c r="AK107" i="63"/>
  <c r="AG107" i="63"/>
  <c r="BE104" i="63"/>
  <c r="BA104" i="63"/>
  <c r="AW104" i="63"/>
  <c r="BD104" i="63"/>
  <c r="AZ104" i="63"/>
  <c r="AV104" i="63"/>
  <c r="BC104" i="63"/>
  <c r="AU104" i="63"/>
  <c r="BB104" i="63"/>
  <c r="AT104" i="63"/>
  <c r="AY104" i="63"/>
  <c r="AX104" i="63"/>
  <c r="AN99" i="63"/>
  <c r="AJ99" i="63"/>
  <c r="AF99" i="63"/>
  <c r="AM99" i="63"/>
  <c r="AI99" i="63"/>
  <c r="AP99" i="63"/>
  <c r="AH99" i="63"/>
  <c r="AO99" i="63"/>
  <c r="AG99" i="63"/>
  <c r="AL99" i="63"/>
  <c r="AK99" i="63"/>
  <c r="AN95" i="63"/>
  <c r="AJ95" i="63"/>
  <c r="AF95" i="63"/>
  <c r="AM95" i="63"/>
  <c r="AI95" i="63"/>
  <c r="AO95" i="63"/>
  <c r="AG95" i="63"/>
  <c r="AL95" i="63"/>
  <c r="AK95" i="63"/>
  <c r="AP95" i="63"/>
  <c r="AH95" i="63"/>
  <c r="AM89" i="63"/>
  <c r="AI89" i="63"/>
  <c r="AP89" i="63"/>
  <c r="AL89" i="63"/>
  <c r="AH89" i="63"/>
  <c r="AO89" i="63"/>
  <c r="AK89" i="63"/>
  <c r="AG89" i="63"/>
  <c r="AJ89" i="63"/>
  <c r="AF89" i="63"/>
  <c r="AN89" i="63"/>
  <c r="AM85" i="63"/>
  <c r="AI85" i="63"/>
  <c r="AP85" i="63"/>
  <c r="AL85" i="63"/>
  <c r="AH85" i="63"/>
  <c r="AO85" i="63"/>
  <c r="AK85" i="63"/>
  <c r="AG85" i="63"/>
  <c r="AN85" i="63"/>
  <c r="AJ85" i="63"/>
  <c r="AF85" i="63"/>
  <c r="AO94" i="63"/>
  <c r="AK94" i="63"/>
  <c r="AG94" i="63"/>
  <c r="AN94" i="63"/>
  <c r="AJ94" i="63"/>
  <c r="AF94" i="63"/>
  <c r="AM94" i="63"/>
  <c r="AI94" i="63"/>
  <c r="AH94" i="63"/>
  <c r="AP94" i="63"/>
  <c r="AL94" i="63"/>
  <c r="AT93" i="63"/>
  <c r="BG93" i="63" s="1"/>
  <c r="AE85" i="63"/>
  <c r="BG85" i="63" s="1"/>
  <c r="BD77" i="63"/>
  <c r="AZ77" i="63"/>
  <c r="AV77" i="63"/>
  <c r="BC77" i="63"/>
  <c r="AY77" i="63"/>
  <c r="AU77" i="63"/>
  <c r="BH77" i="63" s="1"/>
  <c r="BB77" i="63"/>
  <c r="AX77" i="63"/>
  <c r="BE77" i="63"/>
  <c r="BA77" i="63"/>
  <c r="BN77" i="63" s="1"/>
  <c r="AW77" i="63"/>
  <c r="BD69" i="63"/>
  <c r="AZ69" i="63"/>
  <c r="AV69" i="63"/>
  <c r="BC69" i="63"/>
  <c r="BP69" i="63" s="1"/>
  <c r="AY69" i="63"/>
  <c r="AU69" i="63"/>
  <c r="BB69" i="63"/>
  <c r="AX69" i="63"/>
  <c r="BK69" i="63" s="1"/>
  <c r="BE69" i="63"/>
  <c r="BA69" i="63"/>
  <c r="AW69" i="63"/>
  <c r="BJ69" i="63" s="1"/>
  <c r="BD59" i="63"/>
  <c r="AZ59" i="63"/>
  <c r="AV59" i="63"/>
  <c r="BI59" i="63" s="1"/>
  <c r="BC59" i="63"/>
  <c r="AY59" i="63"/>
  <c r="AU59" i="63"/>
  <c r="BB59" i="63"/>
  <c r="BO59" i="63" s="1"/>
  <c r="AX59" i="63"/>
  <c r="BE59" i="63"/>
  <c r="BA59" i="63"/>
  <c r="AW59" i="63"/>
  <c r="BJ59" i="63" s="1"/>
  <c r="BD51" i="63"/>
  <c r="AZ51" i="63"/>
  <c r="AV51" i="63"/>
  <c r="BC51" i="63"/>
  <c r="BP51" i="63" s="1"/>
  <c r="AY51" i="63"/>
  <c r="BL51" i="63" s="1"/>
  <c r="AU51" i="63"/>
  <c r="BB51" i="63"/>
  <c r="AX51" i="63"/>
  <c r="BE51" i="63"/>
  <c r="BA51" i="63"/>
  <c r="AW51" i="63"/>
  <c r="BR84" i="63"/>
  <c r="AT79" i="63"/>
  <c r="AT77" i="63"/>
  <c r="BR76" i="63"/>
  <c r="AT71" i="63"/>
  <c r="BH70" i="63"/>
  <c r="BM70" i="63"/>
  <c r="BR70" i="63"/>
  <c r="AT69" i="63"/>
  <c r="AT63" i="63"/>
  <c r="BG63" i="63" s="1"/>
  <c r="BC44" i="63"/>
  <c r="AY44" i="63"/>
  <c r="AU44" i="63"/>
  <c r="BB44" i="63"/>
  <c r="AX44" i="63"/>
  <c r="BE44" i="63"/>
  <c r="BA44" i="63"/>
  <c r="AW44" i="63"/>
  <c r="BD44" i="63"/>
  <c r="AZ44" i="63"/>
  <c r="AV44" i="63"/>
  <c r="BC36" i="63"/>
  <c r="AY36" i="63"/>
  <c r="AU36" i="63"/>
  <c r="BB36" i="63"/>
  <c r="AX36" i="63"/>
  <c r="BE36" i="63"/>
  <c r="BA36" i="63"/>
  <c r="AW36" i="63"/>
  <c r="BD36" i="63"/>
  <c r="AZ36" i="63"/>
  <c r="AV36" i="63"/>
  <c r="BC24" i="63"/>
  <c r="AY24" i="63"/>
  <c r="AU24" i="63"/>
  <c r="BB24" i="63"/>
  <c r="AX24" i="63"/>
  <c r="BE24" i="63"/>
  <c r="BA24" i="63"/>
  <c r="AW24" i="63"/>
  <c r="BD24" i="63"/>
  <c r="AZ24" i="63"/>
  <c r="AV24" i="63"/>
  <c r="BC16" i="63"/>
  <c r="AY16" i="63"/>
  <c r="AU16" i="63"/>
  <c r="BB16" i="63"/>
  <c r="AX16" i="63"/>
  <c r="BE16" i="63"/>
  <c r="BA16" i="63"/>
  <c r="AW16" i="63"/>
  <c r="BD16" i="63"/>
  <c r="AZ16" i="63"/>
  <c r="AV16" i="63"/>
  <c r="AN46" i="63"/>
  <c r="AJ46" i="63"/>
  <c r="AF46" i="63"/>
  <c r="AM46" i="63"/>
  <c r="AI46" i="63"/>
  <c r="AP46" i="63"/>
  <c r="AL46" i="63"/>
  <c r="AH46" i="63"/>
  <c r="AO46" i="63"/>
  <c r="AK46" i="63"/>
  <c r="AG46" i="63"/>
  <c r="AN38" i="63"/>
  <c r="AJ38" i="63"/>
  <c r="AF38" i="63"/>
  <c r="AM38" i="63"/>
  <c r="AI38" i="63"/>
  <c r="AP38" i="63"/>
  <c r="AL38" i="63"/>
  <c r="AH38" i="63"/>
  <c r="AO38" i="63"/>
  <c r="AK38" i="63"/>
  <c r="AG38" i="63"/>
  <c r="AN22" i="63"/>
  <c r="AJ22" i="63"/>
  <c r="AF22" i="63"/>
  <c r="AM22" i="63"/>
  <c r="AI22" i="63"/>
  <c r="AP22" i="63"/>
  <c r="AL22" i="63"/>
  <c r="AH22" i="63"/>
  <c r="AO22" i="63"/>
  <c r="AK22" i="63"/>
  <c r="AG22" i="63"/>
  <c r="AN14" i="63"/>
  <c r="AJ14" i="63"/>
  <c r="AF14" i="63"/>
  <c r="AM14" i="63"/>
  <c r="AI14" i="63"/>
  <c r="AP14" i="63"/>
  <c r="AL14" i="63"/>
  <c r="AH14" i="63"/>
  <c r="AO14" i="63"/>
  <c r="AK14" i="63"/>
  <c r="AG14" i="63"/>
  <c r="AE46" i="63"/>
  <c r="AE44" i="63"/>
  <c r="BG44" i="63" s="1"/>
  <c r="AE38" i="63"/>
  <c r="AE36" i="63"/>
  <c r="BG36" i="63" s="1"/>
  <c r="BE11" i="63"/>
  <c r="BA11" i="63"/>
  <c r="AW11" i="63"/>
  <c r="BD11" i="63"/>
  <c r="AZ11" i="63"/>
  <c r="AV11" i="63"/>
  <c r="BC11" i="63"/>
  <c r="AY11" i="63"/>
  <c r="AU11" i="63"/>
  <c r="BB11" i="63"/>
  <c r="AX11" i="63"/>
  <c r="BL29" i="63"/>
  <c r="AT26" i="63"/>
  <c r="BG26" i="63" s="1"/>
  <c r="AT24" i="63"/>
  <c r="AT18" i="63"/>
  <c r="BG18" i="63" s="1"/>
  <c r="BL17" i="63"/>
  <c r="AT16" i="63"/>
  <c r="G143" i="62"/>
  <c r="G141" i="62"/>
  <c r="G139" i="62"/>
  <c r="G137" i="62"/>
  <c r="G135" i="62"/>
  <c r="G133" i="62"/>
  <c r="G144" i="62"/>
  <c r="G142" i="62"/>
  <c r="G140" i="62"/>
  <c r="G138" i="62"/>
  <c r="G136" i="62"/>
  <c r="G134" i="62"/>
  <c r="D114" i="62"/>
  <c r="D112" i="62"/>
  <c r="D110" i="62"/>
  <c r="D108" i="62"/>
  <c r="D106" i="62"/>
  <c r="D104" i="62"/>
  <c r="D115" i="62"/>
  <c r="D113" i="62"/>
  <c r="D111" i="62"/>
  <c r="D109" i="62"/>
  <c r="D107" i="62"/>
  <c r="D105" i="62"/>
  <c r="F28" i="62"/>
  <c r="F26" i="62"/>
  <c r="F24" i="62"/>
  <c r="F22" i="62"/>
  <c r="F20" i="62"/>
  <c r="F18" i="62"/>
  <c r="F27" i="62"/>
  <c r="F25" i="62"/>
  <c r="F23" i="62"/>
  <c r="F21" i="62"/>
  <c r="F19" i="62"/>
  <c r="BE168" i="63"/>
  <c r="BA168" i="63"/>
  <c r="AW168" i="63"/>
  <c r="BC168" i="63"/>
  <c r="AY168" i="63"/>
  <c r="AU168" i="63"/>
  <c r="AX168" i="63"/>
  <c r="BD168" i="63"/>
  <c r="AV168" i="63"/>
  <c r="BB168" i="63"/>
  <c r="AZ168" i="63"/>
  <c r="BE174" i="63"/>
  <c r="BA174" i="63"/>
  <c r="AW174" i="63"/>
  <c r="BD174" i="63"/>
  <c r="BC174" i="63"/>
  <c r="AY174" i="63"/>
  <c r="AU174" i="63"/>
  <c r="BB174" i="63"/>
  <c r="AT174" i="63"/>
  <c r="BG174" i="63" s="1"/>
  <c r="AZ174" i="63"/>
  <c r="AX174" i="63"/>
  <c r="AV174" i="63"/>
  <c r="AP174" i="63"/>
  <c r="AL174" i="63"/>
  <c r="AH174" i="63"/>
  <c r="AN174" i="63"/>
  <c r="AJ174" i="63"/>
  <c r="AF174" i="63"/>
  <c r="AI174" i="63"/>
  <c r="BK174" i="63" s="1"/>
  <c r="AO174" i="63"/>
  <c r="BQ174" i="63" s="1"/>
  <c r="AG174" i="63"/>
  <c r="AM174" i="63"/>
  <c r="AK174" i="63"/>
  <c r="BE162" i="63"/>
  <c r="BA162" i="63"/>
  <c r="AW162" i="63"/>
  <c r="BD162" i="63"/>
  <c r="AZ162" i="63"/>
  <c r="AV162" i="63"/>
  <c r="BC162" i="63"/>
  <c r="AY162" i="63"/>
  <c r="AU162" i="63"/>
  <c r="BB162" i="63"/>
  <c r="AX162" i="63"/>
  <c r="AT162" i="63"/>
  <c r="BG162" i="63" s="1"/>
  <c r="BE164" i="63"/>
  <c r="BA164" i="63"/>
  <c r="AW164" i="63"/>
  <c r="BD164" i="63"/>
  <c r="AZ164" i="63"/>
  <c r="AV164" i="63"/>
  <c r="BC164" i="63"/>
  <c r="AY164" i="63"/>
  <c r="AU164" i="63"/>
  <c r="BB164" i="63"/>
  <c r="AX164" i="63"/>
  <c r="AT164" i="63"/>
  <c r="BE156" i="63"/>
  <c r="BA156" i="63"/>
  <c r="AW156" i="63"/>
  <c r="BC156" i="63"/>
  <c r="AY156" i="63"/>
  <c r="AU156" i="63"/>
  <c r="BB156" i="63"/>
  <c r="AT156" i="63"/>
  <c r="BG156" i="63" s="1"/>
  <c r="AZ156" i="63"/>
  <c r="AX156" i="63"/>
  <c r="BD156" i="63"/>
  <c r="AV156" i="63"/>
  <c r="AP147" i="63"/>
  <c r="AL147" i="63"/>
  <c r="AH147" i="63"/>
  <c r="AN147" i="63"/>
  <c r="AJ147" i="63"/>
  <c r="AF147" i="63"/>
  <c r="AM147" i="63"/>
  <c r="AK147" i="63"/>
  <c r="AI147" i="63"/>
  <c r="AG147" i="63"/>
  <c r="AO147" i="63"/>
  <c r="AP143" i="63"/>
  <c r="AL143" i="63"/>
  <c r="AH143" i="63"/>
  <c r="AN143" i="63"/>
  <c r="AJ143" i="63"/>
  <c r="AF143" i="63"/>
  <c r="AM143" i="63"/>
  <c r="AK143" i="63"/>
  <c r="AI143" i="63"/>
  <c r="AO143" i="63"/>
  <c r="AG143" i="63"/>
  <c r="BE137" i="63"/>
  <c r="BA137" i="63"/>
  <c r="AW137" i="63"/>
  <c r="BD137" i="63"/>
  <c r="AZ137" i="63"/>
  <c r="AV137" i="63"/>
  <c r="BC137" i="63"/>
  <c r="AY137" i="63"/>
  <c r="AU137" i="63"/>
  <c r="AX137" i="63"/>
  <c r="AT137" i="63"/>
  <c r="BB137" i="63"/>
  <c r="BC136" i="63"/>
  <c r="AY136" i="63"/>
  <c r="AU136" i="63"/>
  <c r="BB136" i="63"/>
  <c r="AX136" i="63"/>
  <c r="AT136" i="63"/>
  <c r="BG136" i="63" s="1"/>
  <c r="BE136" i="63"/>
  <c r="BA136" i="63"/>
  <c r="AW136" i="63"/>
  <c r="BD136" i="63"/>
  <c r="AZ136" i="63"/>
  <c r="AV136" i="63"/>
  <c r="AP131" i="63"/>
  <c r="BR131" i="63" s="1"/>
  <c r="AL131" i="63"/>
  <c r="BN131" i="63" s="1"/>
  <c r="AH131" i="63"/>
  <c r="AO131" i="63"/>
  <c r="AK131" i="63"/>
  <c r="AG131" i="63"/>
  <c r="AN131" i="63"/>
  <c r="AJ131" i="63"/>
  <c r="BL131" i="63" s="1"/>
  <c r="AF131" i="63"/>
  <c r="AI131" i="63"/>
  <c r="AE131" i="63"/>
  <c r="AM131" i="63"/>
  <c r="AP127" i="63"/>
  <c r="AL127" i="63"/>
  <c r="AH127" i="63"/>
  <c r="AN127" i="63"/>
  <c r="AJ127" i="63"/>
  <c r="AF127" i="63"/>
  <c r="AM127" i="63"/>
  <c r="AK127" i="63"/>
  <c r="AI127" i="63"/>
  <c r="AO127" i="63"/>
  <c r="AG127" i="63"/>
  <c r="BC138" i="63"/>
  <c r="AY138" i="63"/>
  <c r="AU138" i="63"/>
  <c r="BB138" i="63"/>
  <c r="AX138" i="63"/>
  <c r="AT138" i="63"/>
  <c r="BG138" i="63" s="1"/>
  <c r="BE138" i="63"/>
  <c r="BA138" i="63"/>
  <c r="AW138" i="63"/>
  <c r="BD138" i="63"/>
  <c r="AZ138" i="63"/>
  <c r="AV138" i="63"/>
  <c r="AN128" i="63"/>
  <c r="AJ128" i="63"/>
  <c r="AF128" i="63"/>
  <c r="AP128" i="63"/>
  <c r="AL128" i="63"/>
  <c r="AH128" i="63"/>
  <c r="AO128" i="63"/>
  <c r="AG128" i="63"/>
  <c r="AM128" i="63"/>
  <c r="BO128" i="63" s="1"/>
  <c r="AK128" i="63"/>
  <c r="AI128" i="63"/>
  <c r="BC119" i="63"/>
  <c r="AY119" i="63"/>
  <c r="AU119" i="63"/>
  <c r="BB119" i="63"/>
  <c r="AX119" i="63"/>
  <c r="BE119" i="63"/>
  <c r="BA119" i="63"/>
  <c r="AW119" i="63"/>
  <c r="AZ119" i="63"/>
  <c r="AV119" i="63"/>
  <c r="BD119" i="63"/>
  <c r="BC111" i="63"/>
  <c r="AY111" i="63"/>
  <c r="AU111" i="63"/>
  <c r="BB111" i="63"/>
  <c r="AX111" i="63"/>
  <c r="BE111" i="63"/>
  <c r="BA111" i="63"/>
  <c r="AW111" i="63"/>
  <c r="AZ111" i="63"/>
  <c r="AV111" i="63"/>
  <c r="BD111" i="63"/>
  <c r="AE143" i="63"/>
  <c r="BG117" i="63"/>
  <c r="BC101" i="63"/>
  <c r="AY101" i="63"/>
  <c r="AU101" i="63"/>
  <c r="BB101" i="63"/>
  <c r="AX101" i="63"/>
  <c r="BE101" i="63"/>
  <c r="AW101" i="63"/>
  <c r="BD101" i="63"/>
  <c r="AV101" i="63"/>
  <c r="BA101" i="63"/>
  <c r="AZ101" i="63"/>
  <c r="AN123" i="63"/>
  <c r="AJ123" i="63"/>
  <c r="AF123" i="63"/>
  <c r="AM123" i="63"/>
  <c r="AI123" i="63"/>
  <c r="AP123" i="63"/>
  <c r="AL123" i="63"/>
  <c r="AH123" i="63"/>
  <c r="AO123" i="63"/>
  <c r="AK123" i="63"/>
  <c r="AG123" i="63"/>
  <c r="AN111" i="63"/>
  <c r="AJ111" i="63"/>
  <c r="AF111" i="63"/>
  <c r="AM111" i="63"/>
  <c r="AI111" i="63"/>
  <c r="AP111" i="63"/>
  <c r="AL111" i="63"/>
  <c r="AH111" i="63"/>
  <c r="AG111" i="63"/>
  <c r="AO111" i="63"/>
  <c r="AK111" i="63"/>
  <c r="AN101" i="63"/>
  <c r="AJ101" i="63"/>
  <c r="AF101" i="63"/>
  <c r="AM101" i="63"/>
  <c r="AI101" i="63"/>
  <c r="AL101" i="63"/>
  <c r="AK101" i="63"/>
  <c r="AP101" i="63"/>
  <c r="AH101" i="63"/>
  <c r="AO101" i="63"/>
  <c r="AG101" i="63"/>
  <c r="BE98" i="63"/>
  <c r="BA98" i="63"/>
  <c r="AW98" i="63"/>
  <c r="BD98" i="63"/>
  <c r="AZ98" i="63"/>
  <c r="AV98" i="63"/>
  <c r="AY98" i="63"/>
  <c r="AX98" i="63"/>
  <c r="BC98" i="63"/>
  <c r="AU98" i="63"/>
  <c r="BB98" i="63"/>
  <c r="AT98" i="63"/>
  <c r="BE118" i="63"/>
  <c r="BA118" i="63"/>
  <c r="AW118" i="63"/>
  <c r="BD118" i="63"/>
  <c r="AZ118" i="63"/>
  <c r="AV118" i="63"/>
  <c r="BC118" i="63"/>
  <c r="AY118" i="63"/>
  <c r="AU118" i="63"/>
  <c r="BB118" i="63"/>
  <c r="AX118" i="63"/>
  <c r="AT118" i="63"/>
  <c r="AT107" i="63"/>
  <c r="BG107" i="63" s="1"/>
  <c r="BC95" i="63"/>
  <c r="AY95" i="63"/>
  <c r="AU95" i="63"/>
  <c r="BB95" i="63"/>
  <c r="AX95" i="63"/>
  <c r="AZ95" i="63"/>
  <c r="BE95" i="63"/>
  <c r="AW95" i="63"/>
  <c r="BD95" i="63"/>
  <c r="AV95" i="63"/>
  <c r="BA95" i="63"/>
  <c r="BB87" i="63"/>
  <c r="AX87" i="63"/>
  <c r="BE87" i="63"/>
  <c r="BA87" i="63"/>
  <c r="AW87" i="63"/>
  <c r="BD87" i="63"/>
  <c r="AZ87" i="63"/>
  <c r="AV87" i="63"/>
  <c r="AY87" i="63"/>
  <c r="AU87" i="63"/>
  <c r="BC87" i="63"/>
  <c r="BJ130" i="63"/>
  <c r="AE127" i="63"/>
  <c r="AP104" i="63"/>
  <c r="AL104" i="63"/>
  <c r="AH104" i="63"/>
  <c r="AO104" i="63"/>
  <c r="AK104" i="63"/>
  <c r="AG104" i="63"/>
  <c r="AJ104" i="63"/>
  <c r="AI104" i="63"/>
  <c r="AN104" i="63"/>
  <c r="AF104" i="63"/>
  <c r="AM104" i="63"/>
  <c r="AE104" i="63"/>
  <c r="BG99" i="63"/>
  <c r="BG95" i="63"/>
  <c r="AT89" i="63"/>
  <c r="BG89" i="63" s="1"/>
  <c r="BG57" i="63"/>
  <c r="BD88" i="63"/>
  <c r="AZ88" i="63"/>
  <c r="BM88" i="63" s="1"/>
  <c r="AV88" i="63"/>
  <c r="BC88" i="63"/>
  <c r="AY88" i="63"/>
  <c r="AU88" i="63"/>
  <c r="BH88" i="63" s="1"/>
  <c r="BB88" i="63"/>
  <c r="AX88" i="63"/>
  <c r="BE88" i="63"/>
  <c r="BA88" i="63"/>
  <c r="AW88" i="63"/>
  <c r="BD83" i="63"/>
  <c r="BQ83" i="63" s="1"/>
  <c r="AZ83" i="63"/>
  <c r="AV83" i="63"/>
  <c r="BC83" i="63"/>
  <c r="AY83" i="63"/>
  <c r="BL83" i="63" s="1"/>
  <c r="AU83" i="63"/>
  <c r="BB83" i="63"/>
  <c r="AX83" i="63"/>
  <c r="BE83" i="63"/>
  <c r="BR83" i="63" s="1"/>
  <c r="BA83" i="63"/>
  <c r="AW83" i="63"/>
  <c r="BD75" i="63"/>
  <c r="AZ75" i="63"/>
  <c r="BM75" i="63" s="1"/>
  <c r="AV75" i="63"/>
  <c r="BC75" i="63"/>
  <c r="AY75" i="63"/>
  <c r="AU75" i="63"/>
  <c r="BH75" i="63" s="1"/>
  <c r="BB75" i="63"/>
  <c r="AX75" i="63"/>
  <c r="BE75" i="63"/>
  <c r="BA75" i="63"/>
  <c r="BN75" i="63" s="1"/>
  <c r="AW75" i="63"/>
  <c r="BD67" i="63"/>
  <c r="AZ67" i="63"/>
  <c r="AV67" i="63"/>
  <c r="BI67" i="63" s="1"/>
  <c r="BC67" i="63"/>
  <c r="AY67" i="63"/>
  <c r="AU67" i="63"/>
  <c r="BB67" i="63"/>
  <c r="BO67" i="63" s="1"/>
  <c r="AX67" i="63"/>
  <c r="BE67" i="63"/>
  <c r="BA67" i="63"/>
  <c r="AW67" i="63"/>
  <c r="BD57" i="63"/>
  <c r="BQ57" i="63" s="1"/>
  <c r="AZ57" i="63"/>
  <c r="BM57" i="63" s="1"/>
  <c r="AV57" i="63"/>
  <c r="BI57" i="63" s="1"/>
  <c r="BC57" i="63"/>
  <c r="AY57" i="63"/>
  <c r="BL57" i="63" s="1"/>
  <c r="AU57" i="63"/>
  <c r="BH57" i="63" s="1"/>
  <c r="BB57" i="63"/>
  <c r="AX57" i="63"/>
  <c r="BE57" i="63"/>
  <c r="BR57" i="63" s="1"/>
  <c r="BA57" i="63"/>
  <c r="BN57" i="63" s="1"/>
  <c r="AW57" i="63"/>
  <c r="BC49" i="63"/>
  <c r="AY49" i="63"/>
  <c r="AU49" i="63"/>
  <c r="BB49" i="63"/>
  <c r="AX49" i="63"/>
  <c r="BE49" i="63"/>
  <c r="BA49" i="63"/>
  <c r="AW49" i="63"/>
  <c r="AV49" i="63"/>
  <c r="BD49" i="63"/>
  <c r="AZ49" i="63"/>
  <c r="BN52" i="63"/>
  <c r="BQ78" i="63"/>
  <c r="BG78" i="63"/>
  <c r="BG68" i="63"/>
  <c r="BC42" i="63"/>
  <c r="AY42" i="63"/>
  <c r="AU42" i="63"/>
  <c r="BB42" i="63"/>
  <c r="AX42" i="63"/>
  <c r="BE42" i="63"/>
  <c r="BA42" i="63"/>
  <c r="AW42" i="63"/>
  <c r="BD42" i="63"/>
  <c r="AZ42" i="63"/>
  <c r="AV42" i="63"/>
  <c r="BC34" i="63"/>
  <c r="AY34" i="63"/>
  <c r="AU34" i="63"/>
  <c r="BB34" i="63"/>
  <c r="AX34" i="63"/>
  <c r="BE34" i="63"/>
  <c r="BA34" i="63"/>
  <c r="AW34" i="63"/>
  <c r="BD34" i="63"/>
  <c r="AZ34" i="63"/>
  <c r="AV34" i="63"/>
  <c r="BC22" i="63"/>
  <c r="AY22" i="63"/>
  <c r="AU22" i="63"/>
  <c r="BB22" i="63"/>
  <c r="AX22" i="63"/>
  <c r="BE22" i="63"/>
  <c r="BA22" i="63"/>
  <c r="AW22" i="63"/>
  <c r="BD22" i="63"/>
  <c r="AZ22" i="63"/>
  <c r="AV22" i="63"/>
  <c r="BC14" i="63"/>
  <c r="AY14" i="63"/>
  <c r="AU14" i="63"/>
  <c r="BB14" i="63"/>
  <c r="AX14" i="63"/>
  <c r="BE14" i="63"/>
  <c r="BA14" i="63"/>
  <c r="AW14" i="63"/>
  <c r="BD14" i="63"/>
  <c r="AZ14" i="63"/>
  <c r="AV14" i="63"/>
  <c r="AP48" i="63"/>
  <c r="BR48" i="63" s="1"/>
  <c r="AN48" i="63"/>
  <c r="AO48" i="63"/>
  <c r="AJ48" i="63"/>
  <c r="AF48" i="63"/>
  <c r="BH48" i="63" s="1"/>
  <c r="AM48" i="63"/>
  <c r="AI48" i="63"/>
  <c r="AL48" i="63"/>
  <c r="BN48" i="63" s="1"/>
  <c r="AH48" i="63"/>
  <c r="BJ48" i="63" s="1"/>
  <c r="AK48" i="63"/>
  <c r="BM48" i="63" s="1"/>
  <c r="AG48" i="63"/>
  <c r="AN40" i="63"/>
  <c r="AJ40" i="63"/>
  <c r="AF40" i="63"/>
  <c r="AM40" i="63"/>
  <c r="AI40" i="63"/>
  <c r="AP40" i="63"/>
  <c r="AL40" i="63"/>
  <c r="AH40" i="63"/>
  <c r="AO40" i="63"/>
  <c r="AK40" i="63"/>
  <c r="AG40" i="63"/>
  <c r="AN24" i="63"/>
  <c r="AJ24" i="63"/>
  <c r="AF24" i="63"/>
  <c r="AM24" i="63"/>
  <c r="AI24" i="63"/>
  <c r="AP24" i="63"/>
  <c r="AL24" i="63"/>
  <c r="AH24" i="63"/>
  <c r="AO24" i="63"/>
  <c r="AK24" i="63"/>
  <c r="AG24" i="63"/>
  <c r="AN16" i="63"/>
  <c r="AJ16" i="63"/>
  <c r="AF16" i="63"/>
  <c r="AM16" i="63"/>
  <c r="AI16" i="63"/>
  <c r="AP16" i="63"/>
  <c r="AL16" i="63"/>
  <c r="AH16" i="63"/>
  <c r="AO16" i="63"/>
  <c r="AK16" i="63"/>
  <c r="AG16" i="63"/>
  <c r="BN45" i="63"/>
  <c r="AE28" i="63"/>
  <c r="BG28" i="63" s="1"/>
  <c r="AE24" i="63"/>
  <c r="AE22" i="63"/>
  <c r="BG22" i="63" s="1"/>
  <c r="AE20" i="63"/>
  <c r="BG20" i="63" s="1"/>
  <c r="AE16" i="63"/>
  <c r="AE14" i="63"/>
  <c r="BG14" i="63" s="1"/>
  <c r="AE12" i="63"/>
  <c r="BG12" i="63" s="1"/>
  <c r="D143" i="62"/>
  <c r="D141" i="62"/>
  <c r="D139" i="62"/>
  <c r="D137" i="62"/>
  <c r="D135" i="62"/>
  <c r="D133" i="62"/>
  <c r="D144" i="62"/>
  <c r="D142" i="62"/>
  <c r="D140" i="62"/>
  <c r="D138" i="62"/>
  <c r="D136" i="62"/>
  <c r="D134" i="62"/>
  <c r="BB10" i="63"/>
  <c r="AX10" i="63"/>
  <c r="BK10" i="63" s="1"/>
  <c r="BE10" i="63"/>
  <c r="BA10" i="63"/>
  <c r="AW10" i="63"/>
  <c r="BD10" i="63"/>
  <c r="AZ10" i="63"/>
  <c r="AV10" i="63"/>
  <c r="BC10" i="63"/>
  <c r="AY10" i="63"/>
  <c r="AU10" i="63"/>
  <c r="E114" i="62"/>
  <c r="E112" i="62"/>
  <c r="E110" i="62"/>
  <c r="E108" i="62"/>
  <c r="E106" i="62"/>
  <c r="E104" i="62"/>
  <c r="E115" i="62"/>
  <c r="E113" i="62"/>
  <c r="E111" i="62"/>
  <c r="E109" i="62"/>
  <c r="E107" i="62"/>
  <c r="E105" i="62"/>
  <c r="G22" i="62"/>
  <c r="G27" i="62"/>
  <c r="G25" i="62"/>
  <c r="G23" i="62"/>
  <c r="G21" i="62"/>
  <c r="G19" i="62"/>
  <c r="G26" i="62"/>
  <c r="G20" i="62"/>
  <c r="G28" i="62"/>
  <c r="G24" i="62"/>
  <c r="G18" i="62"/>
  <c r="D27" i="62"/>
  <c r="D25" i="62"/>
  <c r="D23" i="62"/>
  <c r="D21" i="62"/>
  <c r="D19" i="62"/>
  <c r="D28" i="62"/>
  <c r="D26" i="62"/>
  <c r="D24" i="62"/>
  <c r="D22" i="62"/>
  <c r="D20" i="62"/>
  <c r="D18" i="62"/>
  <c r="AP179" i="63"/>
  <c r="AL179" i="63"/>
  <c r="AH179" i="63"/>
  <c r="AN179" i="63"/>
  <c r="AJ179" i="63"/>
  <c r="AF179" i="63"/>
  <c r="AM179" i="63"/>
  <c r="AK179" i="63"/>
  <c r="AI179" i="63"/>
  <c r="AO179" i="63"/>
  <c r="AG179" i="63"/>
  <c r="AN177" i="63"/>
  <c r="AJ177" i="63"/>
  <c r="AF177" i="63"/>
  <c r="AM177" i="63"/>
  <c r="AI177" i="63"/>
  <c r="AP177" i="63"/>
  <c r="AL177" i="63"/>
  <c r="AH177" i="63"/>
  <c r="AG177" i="63"/>
  <c r="AO177" i="63"/>
  <c r="AK177" i="63"/>
  <c r="BC165" i="63"/>
  <c r="AY165" i="63"/>
  <c r="AU165" i="63"/>
  <c r="BB165" i="63"/>
  <c r="AX165" i="63"/>
  <c r="AT165" i="63"/>
  <c r="BG165" i="63" s="1"/>
  <c r="BE165" i="63"/>
  <c r="BA165" i="63"/>
  <c r="AW165" i="63"/>
  <c r="AZ165" i="63"/>
  <c r="AV165" i="63"/>
  <c r="BD165" i="63"/>
  <c r="AN165" i="63"/>
  <c r="BP165" i="63" s="1"/>
  <c r="AJ165" i="63"/>
  <c r="AF165" i="63"/>
  <c r="BH165" i="63" s="1"/>
  <c r="AM165" i="63"/>
  <c r="AI165" i="63"/>
  <c r="AP165" i="63"/>
  <c r="AL165" i="63"/>
  <c r="AH165" i="63"/>
  <c r="AG165" i="63"/>
  <c r="AO165" i="63"/>
  <c r="AK165" i="63"/>
  <c r="AP164" i="63"/>
  <c r="AL164" i="63"/>
  <c r="AH164" i="63"/>
  <c r="AO164" i="63"/>
  <c r="AK164" i="63"/>
  <c r="AG164" i="63"/>
  <c r="AN164" i="63"/>
  <c r="AJ164" i="63"/>
  <c r="AF164" i="63"/>
  <c r="AM164" i="63"/>
  <c r="AI164" i="63"/>
  <c r="AE164" i="63"/>
  <c r="BE143" i="63"/>
  <c r="BA143" i="63"/>
  <c r="AW143" i="63"/>
  <c r="BC143" i="63"/>
  <c r="AY143" i="63"/>
  <c r="AU143" i="63"/>
  <c r="AX143" i="63"/>
  <c r="BD143" i="63"/>
  <c r="AV143" i="63"/>
  <c r="BB143" i="63"/>
  <c r="AT143" i="63"/>
  <c r="AZ143" i="63"/>
  <c r="AP156" i="63"/>
  <c r="AL156" i="63"/>
  <c r="AH156" i="63"/>
  <c r="AN156" i="63"/>
  <c r="AJ156" i="63"/>
  <c r="AF156" i="63"/>
  <c r="AI156" i="63"/>
  <c r="AO156" i="63"/>
  <c r="AG156" i="63"/>
  <c r="AM156" i="63"/>
  <c r="AK156" i="63"/>
  <c r="BE155" i="63"/>
  <c r="BA155" i="63"/>
  <c r="AW155" i="63"/>
  <c r="BD155" i="63"/>
  <c r="BQ155" i="63" s="1"/>
  <c r="AZ155" i="63"/>
  <c r="AV155" i="63"/>
  <c r="BC155" i="63"/>
  <c r="AY155" i="63"/>
  <c r="AU155" i="63"/>
  <c r="BB155" i="63"/>
  <c r="AX155" i="63"/>
  <c r="BK155" i="63" s="1"/>
  <c r="AT155" i="63"/>
  <c r="BE145" i="63"/>
  <c r="BA145" i="63"/>
  <c r="AW145" i="63"/>
  <c r="BC145" i="63"/>
  <c r="AY145" i="63"/>
  <c r="AU145" i="63"/>
  <c r="BB145" i="63"/>
  <c r="AT145" i="63"/>
  <c r="BG145" i="63" s="1"/>
  <c r="AZ145" i="63"/>
  <c r="AX145" i="63"/>
  <c r="AV145" i="63"/>
  <c r="BD145" i="63"/>
  <c r="AN140" i="63"/>
  <c r="BP140" i="63" s="1"/>
  <c r="AJ140" i="63"/>
  <c r="AF140" i="63"/>
  <c r="AM140" i="63"/>
  <c r="AI140" i="63"/>
  <c r="AP140" i="63"/>
  <c r="AL140" i="63"/>
  <c r="BN140" i="63" s="1"/>
  <c r="AH140" i="63"/>
  <c r="AO140" i="63"/>
  <c r="BQ140" i="63" s="1"/>
  <c r="AK140" i="63"/>
  <c r="AG140" i="63"/>
  <c r="AP137" i="63"/>
  <c r="AL137" i="63"/>
  <c r="AH137" i="63"/>
  <c r="AO137" i="63"/>
  <c r="AK137" i="63"/>
  <c r="AG137" i="63"/>
  <c r="AN137" i="63"/>
  <c r="AJ137" i="63"/>
  <c r="AF137" i="63"/>
  <c r="AE137" i="63"/>
  <c r="AM137" i="63"/>
  <c r="AI137" i="63"/>
  <c r="AE158" i="63"/>
  <c r="BM144" i="63"/>
  <c r="AN136" i="63"/>
  <c r="AJ136" i="63"/>
  <c r="AF136" i="63"/>
  <c r="AM136" i="63"/>
  <c r="AI136" i="63"/>
  <c r="AP136" i="63"/>
  <c r="AL136" i="63"/>
  <c r="AH136" i="63"/>
  <c r="AK136" i="63"/>
  <c r="AG136" i="63"/>
  <c r="AO136" i="63"/>
  <c r="BC117" i="63"/>
  <c r="AY117" i="63"/>
  <c r="AU117" i="63"/>
  <c r="BB117" i="63"/>
  <c r="AX117" i="63"/>
  <c r="BE117" i="63"/>
  <c r="BA117" i="63"/>
  <c r="AW117" i="63"/>
  <c r="AV117" i="63"/>
  <c r="BD117" i="63"/>
  <c r="AZ117" i="63"/>
  <c r="BC109" i="63"/>
  <c r="AY109" i="63"/>
  <c r="AU109" i="63"/>
  <c r="BB109" i="63"/>
  <c r="AX109" i="63"/>
  <c r="BE109" i="63"/>
  <c r="BA109" i="63"/>
  <c r="AW109" i="63"/>
  <c r="AV109" i="63"/>
  <c r="BD109" i="63"/>
  <c r="AZ109" i="63"/>
  <c r="BG123" i="63"/>
  <c r="BE116" i="63"/>
  <c r="BA116" i="63"/>
  <c r="AW116" i="63"/>
  <c r="BD116" i="63"/>
  <c r="BQ116" i="63" s="1"/>
  <c r="AZ116" i="63"/>
  <c r="AV116" i="63"/>
  <c r="BC116" i="63"/>
  <c r="AY116" i="63"/>
  <c r="AU116" i="63"/>
  <c r="BH116" i="63" s="1"/>
  <c r="BB116" i="63"/>
  <c r="AX116" i="63"/>
  <c r="AT116" i="63"/>
  <c r="BG111" i="63"/>
  <c r="BG101" i="63"/>
  <c r="AP98" i="63"/>
  <c r="AL98" i="63"/>
  <c r="AH98" i="63"/>
  <c r="AO98" i="63"/>
  <c r="AK98" i="63"/>
  <c r="AG98" i="63"/>
  <c r="AN98" i="63"/>
  <c r="AF98" i="63"/>
  <c r="AM98" i="63"/>
  <c r="AE98" i="63"/>
  <c r="BG98" i="63" s="1"/>
  <c r="AJ98" i="63"/>
  <c r="AI98" i="63"/>
  <c r="AP118" i="63"/>
  <c r="AL118" i="63"/>
  <c r="AH118" i="63"/>
  <c r="AO118" i="63"/>
  <c r="AK118" i="63"/>
  <c r="AG118" i="63"/>
  <c r="AN118" i="63"/>
  <c r="AJ118" i="63"/>
  <c r="AF118" i="63"/>
  <c r="AM118" i="63"/>
  <c r="AI118" i="63"/>
  <c r="AE118" i="63"/>
  <c r="AN105" i="63"/>
  <c r="AJ105" i="63"/>
  <c r="AF105" i="63"/>
  <c r="AM105" i="63"/>
  <c r="AI105" i="63"/>
  <c r="AP105" i="63"/>
  <c r="AL105" i="63"/>
  <c r="AH105" i="63"/>
  <c r="AK105" i="63"/>
  <c r="AG105" i="63"/>
  <c r="BI105" i="63" s="1"/>
  <c r="AO105" i="63"/>
  <c r="BB85" i="63"/>
  <c r="AX85" i="63"/>
  <c r="BE85" i="63"/>
  <c r="BA85" i="63"/>
  <c r="AW85" i="63"/>
  <c r="BD85" i="63"/>
  <c r="AZ85" i="63"/>
  <c r="AV85" i="63"/>
  <c r="AU85" i="63"/>
  <c r="BC85" i="63"/>
  <c r="AY85" i="63"/>
  <c r="AP112" i="63"/>
  <c r="AL112" i="63"/>
  <c r="AH112" i="63"/>
  <c r="AO112" i="63"/>
  <c r="BQ112" i="63" s="1"/>
  <c r="AK112" i="63"/>
  <c r="AG112" i="63"/>
  <c r="BI112" i="63" s="1"/>
  <c r="AN112" i="63"/>
  <c r="BP112" i="63" s="1"/>
  <c r="AJ112" i="63"/>
  <c r="AF112" i="63"/>
  <c r="AM112" i="63"/>
  <c r="AI112" i="63"/>
  <c r="AE112" i="63"/>
  <c r="BG112" i="63" s="1"/>
  <c r="AN103" i="63"/>
  <c r="AJ103" i="63"/>
  <c r="AF103" i="63"/>
  <c r="BH103" i="63" s="1"/>
  <c r="AM103" i="63"/>
  <c r="AI103" i="63"/>
  <c r="AP103" i="63"/>
  <c r="AH103" i="63"/>
  <c r="AO103" i="63"/>
  <c r="AG103" i="63"/>
  <c r="AL103" i="63"/>
  <c r="AK103" i="63"/>
  <c r="BE96" i="63"/>
  <c r="BA96" i="63"/>
  <c r="AW96" i="63"/>
  <c r="BD96" i="63"/>
  <c r="AZ96" i="63"/>
  <c r="AV96" i="63"/>
  <c r="BC96" i="63"/>
  <c r="AU96" i="63"/>
  <c r="BB96" i="63"/>
  <c r="AT96" i="63"/>
  <c r="AY96" i="63"/>
  <c r="AX96" i="63"/>
  <c r="BG94" i="63"/>
  <c r="AM87" i="63"/>
  <c r="AI87" i="63"/>
  <c r="AP87" i="63"/>
  <c r="AL87" i="63"/>
  <c r="AH87" i="63"/>
  <c r="AO87" i="63"/>
  <c r="AK87" i="63"/>
  <c r="AG87" i="63"/>
  <c r="AF87" i="63"/>
  <c r="AN87" i="63"/>
  <c r="AJ87" i="63"/>
  <c r="BD94" i="63"/>
  <c r="AZ94" i="63"/>
  <c r="AV94" i="63"/>
  <c r="BC94" i="63"/>
  <c r="AY94" i="63"/>
  <c r="AU94" i="63"/>
  <c r="BB94" i="63"/>
  <c r="AX94" i="63"/>
  <c r="BA94" i="63"/>
  <c r="AW94" i="63"/>
  <c r="BE94" i="63"/>
  <c r="BD81" i="63"/>
  <c r="AZ81" i="63"/>
  <c r="AV81" i="63"/>
  <c r="BI81" i="63" s="1"/>
  <c r="BC81" i="63"/>
  <c r="AY81" i="63"/>
  <c r="AU81" i="63"/>
  <c r="BH81" i="63" s="1"/>
  <c r="BB81" i="63"/>
  <c r="BO81" i="63" s="1"/>
  <c r="AX81" i="63"/>
  <c r="BE81" i="63"/>
  <c r="BA81" i="63"/>
  <c r="AW81" i="63"/>
  <c r="BD73" i="63"/>
  <c r="AZ73" i="63"/>
  <c r="BM73" i="63" s="1"/>
  <c r="AV73" i="63"/>
  <c r="BC73" i="63"/>
  <c r="AY73" i="63"/>
  <c r="BL73" i="63" s="1"/>
  <c r="AU73" i="63"/>
  <c r="BH73" i="63" s="1"/>
  <c r="BB73" i="63"/>
  <c r="AX73" i="63"/>
  <c r="BE73" i="63"/>
  <c r="BR73" i="63" s="1"/>
  <c r="BA73" i="63"/>
  <c r="AW73" i="63"/>
  <c r="BD65" i="63"/>
  <c r="BQ65" i="63" s="1"/>
  <c r="AZ65" i="63"/>
  <c r="AV65" i="63"/>
  <c r="BC65" i="63"/>
  <c r="BP65" i="63" s="1"/>
  <c r="AY65" i="63"/>
  <c r="AU65" i="63"/>
  <c r="BB65" i="63"/>
  <c r="AX65" i="63"/>
  <c r="BE65" i="63"/>
  <c r="BR65" i="63" s="1"/>
  <c r="BA65" i="63"/>
  <c r="AW65" i="63"/>
  <c r="BD55" i="63"/>
  <c r="AZ55" i="63"/>
  <c r="AV55" i="63"/>
  <c r="BI55" i="63" s="1"/>
  <c r="BC55" i="63"/>
  <c r="BP55" i="63" s="1"/>
  <c r="AY55" i="63"/>
  <c r="AU55" i="63"/>
  <c r="BB55" i="63"/>
  <c r="BO55" i="63" s="1"/>
  <c r="AX55" i="63"/>
  <c r="BK55" i="63" s="1"/>
  <c r="BE55" i="63"/>
  <c r="BA55" i="63"/>
  <c r="BN55" i="63" s="1"/>
  <c r="AW55" i="63"/>
  <c r="BJ55" i="63" s="1"/>
  <c r="AT55" i="63"/>
  <c r="BP53" i="63"/>
  <c r="AN49" i="63"/>
  <c r="AJ49" i="63"/>
  <c r="AF49" i="63"/>
  <c r="AM49" i="63"/>
  <c r="AI49" i="63"/>
  <c r="AP49" i="63"/>
  <c r="AL49" i="63"/>
  <c r="AH49" i="63"/>
  <c r="AO49" i="63"/>
  <c r="AK49" i="63"/>
  <c r="AG49" i="63"/>
  <c r="BK66" i="63"/>
  <c r="BJ64" i="63"/>
  <c r="AP50" i="63"/>
  <c r="AL50" i="63"/>
  <c r="AH50" i="63"/>
  <c r="AO50" i="63"/>
  <c r="AK50" i="63"/>
  <c r="AG50" i="63"/>
  <c r="AN50" i="63"/>
  <c r="BP50" i="63" s="1"/>
  <c r="AJ50" i="63"/>
  <c r="AF50" i="63"/>
  <c r="AM50" i="63"/>
  <c r="AI50" i="63"/>
  <c r="AE50" i="63"/>
  <c r="BG50" i="63" s="1"/>
  <c r="BC40" i="63"/>
  <c r="AY40" i="63"/>
  <c r="AU40" i="63"/>
  <c r="BB40" i="63"/>
  <c r="AX40" i="63"/>
  <c r="BE40" i="63"/>
  <c r="BA40" i="63"/>
  <c r="AW40" i="63"/>
  <c r="BD40" i="63"/>
  <c r="AZ40" i="63"/>
  <c r="AV40" i="63"/>
  <c r="BC28" i="63"/>
  <c r="AY28" i="63"/>
  <c r="AU28" i="63"/>
  <c r="BB28" i="63"/>
  <c r="AX28" i="63"/>
  <c r="BE28" i="63"/>
  <c r="BA28" i="63"/>
  <c r="AW28" i="63"/>
  <c r="BD28" i="63"/>
  <c r="AZ28" i="63"/>
  <c r="AV28" i="63"/>
  <c r="BC20" i="63"/>
  <c r="AY20" i="63"/>
  <c r="AU20" i="63"/>
  <c r="BB20" i="63"/>
  <c r="AX20" i="63"/>
  <c r="BE20" i="63"/>
  <c r="BA20" i="63"/>
  <c r="AW20" i="63"/>
  <c r="BD20" i="63"/>
  <c r="AZ20" i="63"/>
  <c r="AV20" i="63"/>
  <c r="BC12" i="63"/>
  <c r="AY12" i="63"/>
  <c r="AU12" i="63"/>
  <c r="BB12" i="63"/>
  <c r="AX12" i="63"/>
  <c r="BE12" i="63"/>
  <c r="BA12" i="63"/>
  <c r="AW12" i="63"/>
  <c r="BD12" i="63"/>
  <c r="AZ12" i="63"/>
  <c r="AV12" i="63"/>
  <c r="AN42" i="63"/>
  <c r="AJ42" i="63"/>
  <c r="AF42" i="63"/>
  <c r="AM42" i="63"/>
  <c r="AI42" i="63"/>
  <c r="AP42" i="63"/>
  <c r="AL42" i="63"/>
  <c r="AH42" i="63"/>
  <c r="AO42" i="63"/>
  <c r="AK42" i="63"/>
  <c r="AG42" i="63"/>
  <c r="AN34" i="63"/>
  <c r="AJ34" i="63"/>
  <c r="AF34" i="63"/>
  <c r="AM34" i="63"/>
  <c r="AI34" i="63"/>
  <c r="AP34" i="63"/>
  <c r="AL34" i="63"/>
  <c r="AH34" i="63"/>
  <c r="AO34" i="63"/>
  <c r="AK34" i="63"/>
  <c r="AG34" i="63"/>
  <c r="AN26" i="63"/>
  <c r="AJ26" i="63"/>
  <c r="AF26" i="63"/>
  <c r="AM26" i="63"/>
  <c r="AI26" i="63"/>
  <c r="AP26" i="63"/>
  <c r="AL26" i="63"/>
  <c r="AH26" i="63"/>
  <c r="AO26" i="63"/>
  <c r="AK26" i="63"/>
  <c r="AG26" i="63"/>
  <c r="AN18" i="63"/>
  <c r="AJ18" i="63"/>
  <c r="AF18" i="63"/>
  <c r="AM18" i="63"/>
  <c r="AI18" i="63"/>
  <c r="AP18" i="63"/>
  <c r="AL18" i="63"/>
  <c r="AH18" i="63"/>
  <c r="AO18" i="63"/>
  <c r="AK18" i="63"/>
  <c r="AG18" i="63"/>
  <c r="AP11" i="63"/>
  <c r="AO11" i="63"/>
  <c r="AK11" i="63"/>
  <c r="AG11" i="63"/>
  <c r="AN11" i="63"/>
  <c r="AJ11" i="63"/>
  <c r="AF11" i="63"/>
  <c r="AM11" i="63"/>
  <c r="AI11" i="63"/>
  <c r="AH11" i="63"/>
  <c r="AL11" i="63"/>
  <c r="E144" i="62"/>
  <c r="E142" i="62"/>
  <c r="E140" i="62"/>
  <c r="E138" i="62"/>
  <c r="E136" i="62"/>
  <c r="E134" i="62"/>
  <c r="E143" i="62"/>
  <c r="E141" i="62"/>
  <c r="E139" i="62"/>
  <c r="E137" i="62"/>
  <c r="E135" i="62"/>
  <c r="E133" i="62"/>
  <c r="F115" i="62"/>
  <c r="F113" i="62"/>
  <c r="F111" i="62"/>
  <c r="F109" i="62"/>
  <c r="F107" i="62"/>
  <c r="F105" i="62"/>
  <c r="F114" i="62"/>
  <c r="F112" i="62"/>
  <c r="F110" i="62"/>
  <c r="F108" i="62"/>
  <c r="F106" i="62"/>
  <c r="F104" i="62"/>
  <c r="G77" i="62"/>
  <c r="G76" i="62"/>
  <c r="T77" i="62"/>
  <c r="BJ100" i="63" l="1"/>
  <c r="BI163" i="63"/>
  <c r="BN84" i="63"/>
  <c r="BP45" i="63"/>
  <c r="BM25" i="63"/>
  <c r="G84" i="62"/>
  <c r="T84" i="62"/>
  <c r="BJ78" i="63"/>
  <c r="T88" i="73" s="1"/>
  <c r="E445" i="73" s="1"/>
  <c r="BM142" i="63"/>
  <c r="BN41" i="63"/>
  <c r="BQ13" i="63"/>
  <c r="BL165" i="63"/>
  <c r="BQ16" i="63"/>
  <c r="BP16" i="63"/>
  <c r="BO24" i="63"/>
  <c r="BJ67" i="63"/>
  <c r="T77" i="73" s="1"/>
  <c r="E434" i="73" s="1"/>
  <c r="BR97" i="63"/>
  <c r="BP9" i="63"/>
  <c r="BP54" i="63"/>
  <c r="BN114" i="63"/>
  <c r="BM13" i="63"/>
  <c r="BN70" i="63"/>
  <c r="BM131" i="63"/>
  <c r="BH172" i="63"/>
  <c r="R194" i="73" s="1"/>
  <c r="C692" i="73" s="1"/>
  <c r="BI157" i="63"/>
  <c r="BN159" i="63"/>
  <c r="BH21" i="63"/>
  <c r="BQ25" i="63"/>
  <c r="BP73" i="63"/>
  <c r="BN112" i="63"/>
  <c r="BI58" i="63"/>
  <c r="BH141" i="63"/>
  <c r="R159" i="73" s="1"/>
  <c r="C610" i="73" s="1"/>
  <c r="BM35" i="63"/>
  <c r="BL37" i="63"/>
  <c r="BL141" i="63"/>
  <c r="BQ171" i="63"/>
  <c r="BI54" i="63"/>
  <c r="BJ21" i="63"/>
  <c r="BG25" i="63"/>
  <c r="T43" i="62"/>
  <c r="R49" i="62" s="1"/>
  <c r="X43" i="62"/>
  <c r="U72" i="62"/>
  <c r="G80" i="62"/>
  <c r="BR177" i="63"/>
  <c r="BJ174" i="63"/>
  <c r="BL172" i="63"/>
  <c r="BQ142" i="63"/>
  <c r="BR144" i="63"/>
  <c r="AB162" i="73" s="1"/>
  <c r="E80" i="62"/>
  <c r="G85" i="62"/>
  <c r="AB43" i="62"/>
  <c r="V72" i="62"/>
  <c r="BN174" i="63"/>
  <c r="BK167" i="63"/>
  <c r="BR163" i="63"/>
  <c r="BP172" i="63"/>
  <c r="Z194" i="73" s="1"/>
  <c r="K692" i="73" s="1"/>
  <c r="BQ70" i="63"/>
  <c r="R43" i="62"/>
  <c r="W52" i="62"/>
  <c r="Z72" i="62"/>
  <c r="BG29" i="63"/>
  <c r="T75" i="62"/>
  <c r="BK165" i="63"/>
  <c r="BK16" i="63"/>
  <c r="U18" i="73" s="1"/>
  <c r="F281" i="73" s="1"/>
  <c r="BJ24" i="63"/>
  <c r="BR174" i="63"/>
  <c r="BQ51" i="63"/>
  <c r="T57" i="62"/>
  <c r="BK163" i="63"/>
  <c r="BJ172" i="63"/>
  <c r="BR80" i="63"/>
  <c r="BK21" i="63"/>
  <c r="U23" i="73" s="1"/>
  <c r="F286" i="73" s="1"/>
  <c r="V43" i="62"/>
  <c r="BI37" i="63"/>
  <c r="BO25" i="63"/>
  <c r="BM103" i="63"/>
  <c r="BO165" i="63"/>
  <c r="BQ97" i="63"/>
  <c r="BN172" i="63"/>
  <c r="BH84" i="63"/>
  <c r="C94" i="73" s="1"/>
  <c r="C478" i="73" s="1"/>
  <c r="BG43" i="63"/>
  <c r="BR17" i="63"/>
  <c r="Z43" i="62"/>
  <c r="BG7" i="63"/>
  <c r="BI45" i="63"/>
  <c r="BL8" i="63"/>
  <c r="BJ68" i="63"/>
  <c r="BL65" i="63"/>
  <c r="V75" i="73" s="1"/>
  <c r="G432" i="73" s="1"/>
  <c r="BJ81" i="63"/>
  <c r="BL48" i="63"/>
  <c r="BM81" i="63"/>
  <c r="BL163" i="63"/>
  <c r="BI82" i="63"/>
  <c r="E43" i="62"/>
  <c r="V55" i="62"/>
  <c r="W83" i="62"/>
  <c r="BI52" i="63"/>
  <c r="BN81" i="63"/>
  <c r="BI131" i="63"/>
  <c r="BM17" i="63"/>
  <c r="W19" i="73" s="1"/>
  <c r="H282" i="73" s="1"/>
  <c r="BL179" i="63"/>
  <c r="BR179" i="63"/>
  <c r="BR59" i="63"/>
  <c r="BP154" i="63"/>
  <c r="K176" i="73" s="1"/>
  <c r="K701" i="73" s="1"/>
  <c r="BJ45" i="63"/>
  <c r="BI29" i="63"/>
  <c r="BJ23" i="63"/>
  <c r="BI114" i="63"/>
  <c r="S128" i="73" s="1"/>
  <c r="D532" i="73" s="1"/>
  <c r="BH142" i="63"/>
  <c r="BQ21" i="63"/>
  <c r="BR11" i="63"/>
  <c r="BR50" i="63"/>
  <c r="AB56" i="73" s="1"/>
  <c r="BK65" i="63"/>
  <c r="U75" i="73" s="1"/>
  <c r="F432" i="73" s="1"/>
  <c r="BL104" i="63"/>
  <c r="BJ104" i="63"/>
  <c r="BK147" i="63"/>
  <c r="U165" i="73" s="1"/>
  <c r="F616" i="73" s="1"/>
  <c r="BQ34" i="63"/>
  <c r="L40" i="73" s="1"/>
  <c r="L377" i="73" s="1"/>
  <c r="BK34" i="63"/>
  <c r="BP34" i="63"/>
  <c r="BJ42" i="63"/>
  <c r="T48" i="73" s="1"/>
  <c r="E358" i="73" s="1"/>
  <c r="BO42" i="63"/>
  <c r="J48" i="73" s="1"/>
  <c r="J385" i="73" s="1"/>
  <c r="BQ50" i="63"/>
  <c r="BK177" i="63"/>
  <c r="BP177" i="63"/>
  <c r="Z199" i="73" s="1"/>
  <c r="K697" i="73" s="1"/>
  <c r="BO57" i="63"/>
  <c r="BM67" i="63"/>
  <c r="BK83" i="63"/>
  <c r="BO88" i="63"/>
  <c r="Y98" i="73" s="1"/>
  <c r="J455" i="73" s="1"/>
  <c r="BI104" i="63"/>
  <c r="BN104" i="63"/>
  <c r="BQ69" i="63"/>
  <c r="BP77" i="63"/>
  <c r="Z87" i="73" s="1"/>
  <c r="K444" i="73" s="1"/>
  <c r="BH108" i="63"/>
  <c r="R122" i="73" s="1"/>
  <c r="C526" i="73" s="1"/>
  <c r="BM108" i="63"/>
  <c r="BN154" i="63"/>
  <c r="BL132" i="63"/>
  <c r="V150" i="73" s="1"/>
  <c r="G601" i="73" s="1"/>
  <c r="BO167" i="63"/>
  <c r="BI35" i="63"/>
  <c r="BR47" i="63"/>
  <c r="BR41" i="63"/>
  <c r="AB47" i="73" s="1"/>
  <c r="BR171" i="63"/>
  <c r="BR7" i="63"/>
  <c r="BK45" i="63"/>
  <c r="BG124" i="63"/>
  <c r="Q142" i="73" s="1"/>
  <c r="B593" i="73" s="1"/>
  <c r="BK82" i="63"/>
  <c r="BQ133" i="63"/>
  <c r="BO13" i="63"/>
  <c r="BO78" i="63"/>
  <c r="BQ88" i="63"/>
  <c r="BQ106" i="63"/>
  <c r="BK106" i="63"/>
  <c r="BK84" i="63"/>
  <c r="F94" i="73" s="1"/>
  <c r="F478" i="73" s="1"/>
  <c r="BQ153" i="63"/>
  <c r="BL7" i="63"/>
  <c r="BJ142" i="63"/>
  <c r="BP58" i="63"/>
  <c r="Z64" i="73" s="1"/>
  <c r="K374" i="73" s="1"/>
  <c r="BO166" i="63"/>
  <c r="Y188" i="73" s="1"/>
  <c r="J686" i="73" s="1"/>
  <c r="BK68" i="63"/>
  <c r="BP52" i="63"/>
  <c r="BG13" i="63"/>
  <c r="Q15" i="73" s="1"/>
  <c r="B278" i="73" s="1"/>
  <c r="BI130" i="63"/>
  <c r="D148" i="73" s="1"/>
  <c r="D626" i="73" s="1"/>
  <c r="BR52" i="63"/>
  <c r="BJ38" i="63"/>
  <c r="BO38" i="63"/>
  <c r="J44" i="73" s="1"/>
  <c r="J381" i="73" s="1"/>
  <c r="BI46" i="63"/>
  <c r="D52" i="73" s="1"/>
  <c r="D389" i="73" s="1"/>
  <c r="BN46" i="63"/>
  <c r="BH46" i="63"/>
  <c r="BK141" i="63"/>
  <c r="U159" i="73" s="1"/>
  <c r="F610" i="73" s="1"/>
  <c r="BM163" i="63"/>
  <c r="H185" i="73" s="1"/>
  <c r="H710" i="73" s="1"/>
  <c r="BP144" i="63"/>
  <c r="BK173" i="63"/>
  <c r="BH43" i="63"/>
  <c r="C49" i="73" s="1"/>
  <c r="C386" i="73" s="1"/>
  <c r="BG148" i="63"/>
  <c r="BP74" i="63"/>
  <c r="BK126" i="63"/>
  <c r="BJ3" i="63"/>
  <c r="E5" i="73" s="1"/>
  <c r="BG9" i="63"/>
  <c r="B11" i="73" s="1"/>
  <c r="B301" i="73" s="1"/>
  <c r="BH37" i="63"/>
  <c r="BN142" i="63"/>
  <c r="BK33" i="63"/>
  <c r="F39" i="73" s="1"/>
  <c r="BG130" i="63"/>
  <c r="Q148" i="73" s="1"/>
  <c r="B599" i="73" s="1"/>
  <c r="BJ159" i="63"/>
  <c r="BL114" i="63"/>
  <c r="BJ13" i="63"/>
  <c r="T15" i="73" s="1"/>
  <c r="E278" i="73" s="1"/>
  <c r="BH13" i="63"/>
  <c r="R15" i="73" s="1"/>
  <c r="C278" i="73" s="1"/>
  <c r="BO21" i="63"/>
  <c r="BN29" i="63"/>
  <c r="BG70" i="63"/>
  <c r="Q80" i="73" s="1"/>
  <c r="B437" i="73" s="1"/>
  <c r="BI70" i="63"/>
  <c r="S80" i="73" s="1"/>
  <c r="D437" i="73" s="1"/>
  <c r="BN78" i="63"/>
  <c r="BL106" i="63"/>
  <c r="BJ106" i="63"/>
  <c r="E120" i="73" s="1"/>
  <c r="E551" i="73" s="1"/>
  <c r="BM9" i="63"/>
  <c r="W11" i="73" s="1"/>
  <c r="H274" i="73" s="1"/>
  <c r="BK76" i="63"/>
  <c r="BI50" i="63"/>
  <c r="BN73" i="63"/>
  <c r="I83" i="73" s="1"/>
  <c r="I467" i="73" s="1"/>
  <c r="BK112" i="63"/>
  <c r="BH140" i="63"/>
  <c r="C158" i="73" s="1"/>
  <c r="C636" i="73" s="1"/>
  <c r="BJ57" i="63"/>
  <c r="BM141" i="63"/>
  <c r="H159" i="73" s="1"/>
  <c r="H637" i="73" s="1"/>
  <c r="BQ163" i="63"/>
  <c r="BP163" i="63"/>
  <c r="K185" i="73" s="1"/>
  <c r="K710" i="73" s="1"/>
  <c r="BM41" i="63"/>
  <c r="BN166" i="63"/>
  <c r="I188" i="73" s="1"/>
  <c r="I713" i="73" s="1"/>
  <c r="BP159" i="63"/>
  <c r="BQ73" i="63"/>
  <c r="L83" i="73" s="1"/>
  <c r="L467" i="73" s="1"/>
  <c r="BK81" i="63"/>
  <c r="BO112" i="63"/>
  <c r="J126" i="73" s="1"/>
  <c r="J557" i="73" s="1"/>
  <c r="BO155" i="63"/>
  <c r="BI48" i="63"/>
  <c r="D54" i="73" s="1"/>
  <c r="D391" i="73" s="1"/>
  <c r="BK48" i="63"/>
  <c r="BQ48" i="63"/>
  <c r="L54" i="73" s="1"/>
  <c r="L391" i="73" s="1"/>
  <c r="BQ154" i="63"/>
  <c r="BI100" i="63"/>
  <c r="D114" i="73" s="1"/>
  <c r="D545" i="73" s="1"/>
  <c r="BO132" i="63"/>
  <c r="BH66" i="63"/>
  <c r="C76" i="73" s="1"/>
  <c r="C460" i="73" s="1"/>
  <c r="BL68" i="63"/>
  <c r="BM171" i="63"/>
  <c r="H193" i="73" s="1"/>
  <c r="H718" i="73" s="1"/>
  <c r="BJ18" i="63"/>
  <c r="BO18" i="63"/>
  <c r="J20" i="73" s="1"/>
  <c r="J310" i="73" s="1"/>
  <c r="BI26" i="63"/>
  <c r="BN26" i="63"/>
  <c r="I28" i="73" s="1"/>
  <c r="I318" i="73" s="1"/>
  <c r="BH26" i="63"/>
  <c r="BM55" i="63"/>
  <c r="W61" i="73" s="1"/>
  <c r="H371" i="73" s="1"/>
  <c r="BK73" i="63"/>
  <c r="U83" i="73" s="1"/>
  <c r="F440" i="73" s="1"/>
  <c r="BM116" i="63"/>
  <c r="W130" i="73" s="1"/>
  <c r="H534" i="73" s="1"/>
  <c r="BR116" i="63"/>
  <c r="BO48" i="63"/>
  <c r="Y54" i="73" s="1"/>
  <c r="J364" i="73" s="1"/>
  <c r="BJ131" i="63"/>
  <c r="E149" i="73" s="1"/>
  <c r="E627" i="73" s="1"/>
  <c r="BN59" i="63"/>
  <c r="X65" i="73" s="1"/>
  <c r="I375" i="73" s="1"/>
  <c r="BK71" i="63"/>
  <c r="BI132" i="63"/>
  <c r="S150" i="73" s="1"/>
  <c r="D601" i="73" s="1"/>
  <c r="BH132" i="63"/>
  <c r="R150" i="73" s="1"/>
  <c r="C601" i="73" s="1"/>
  <c r="BQ141" i="63"/>
  <c r="AA159" i="73" s="1"/>
  <c r="L610" i="73" s="1"/>
  <c r="BG47" i="63"/>
  <c r="BJ5" i="63"/>
  <c r="T7" i="73" s="1"/>
  <c r="E270" i="73" s="1"/>
  <c r="AA40" i="73"/>
  <c r="L350" i="73" s="1"/>
  <c r="U40" i="73"/>
  <c r="F350" i="73" s="1"/>
  <c r="F40" i="73"/>
  <c r="F377" i="73" s="1"/>
  <c r="Z40" i="73"/>
  <c r="K350" i="73" s="1"/>
  <c r="K40" i="73"/>
  <c r="K377" i="73" s="1"/>
  <c r="Y48" i="73"/>
  <c r="J358" i="73" s="1"/>
  <c r="Q56" i="73"/>
  <c r="B366" i="73" s="1"/>
  <c r="B56" i="73"/>
  <c r="B393" i="73" s="1"/>
  <c r="AA56" i="73"/>
  <c r="L366" i="73" s="1"/>
  <c r="L56" i="73"/>
  <c r="L393" i="73" s="1"/>
  <c r="T74" i="73"/>
  <c r="E431" i="73" s="1"/>
  <c r="E74" i="73"/>
  <c r="E458" i="73" s="1"/>
  <c r="Z80" i="73"/>
  <c r="K437" i="73" s="1"/>
  <c r="K80" i="73"/>
  <c r="K464" i="73" s="1"/>
  <c r="AB58" i="73"/>
  <c r="M58" i="73"/>
  <c r="X61" i="73"/>
  <c r="I371" i="73" s="1"/>
  <c r="I61" i="73"/>
  <c r="I398" i="73" s="1"/>
  <c r="AB75" i="73"/>
  <c r="M75" i="73"/>
  <c r="AA75" i="73"/>
  <c r="L432" i="73" s="1"/>
  <c r="L75" i="73"/>
  <c r="L459" i="73" s="1"/>
  <c r="Z83" i="73"/>
  <c r="K440" i="73" s="1"/>
  <c r="K83" i="73"/>
  <c r="K467" i="73" s="1"/>
  <c r="T91" i="73"/>
  <c r="E448" i="73" s="1"/>
  <c r="E91" i="73"/>
  <c r="E475" i="73" s="1"/>
  <c r="Y91" i="73"/>
  <c r="J448" i="73" s="1"/>
  <c r="J91" i="73"/>
  <c r="J475" i="73" s="1"/>
  <c r="S91" i="73"/>
  <c r="D448" i="73" s="1"/>
  <c r="D91" i="73"/>
  <c r="D475" i="73" s="1"/>
  <c r="Q75" i="73"/>
  <c r="B432" i="73" s="1"/>
  <c r="B75" i="73"/>
  <c r="B459" i="73" s="1"/>
  <c r="Q125" i="73"/>
  <c r="B529" i="73" s="1"/>
  <c r="B125" i="73"/>
  <c r="B556" i="73" s="1"/>
  <c r="R130" i="73"/>
  <c r="C534" i="73" s="1"/>
  <c r="C130" i="73"/>
  <c r="C561" i="73" s="1"/>
  <c r="H130" i="73"/>
  <c r="H561" i="73" s="1"/>
  <c r="AB130" i="73"/>
  <c r="M130" i="73"/>
  <c r="W162" i="73"/>
  <c r="H613" i="73" s="1"/>
  <c r="H162" i="73"/>
  <c r="H640" i="73" s="1"/>
  <c r="AA158" i="73"/>
  <c r="L609" i="73" s="1"/>
  <c r="L158" i="73"/>
  <c r="L636" i="73" s="1"/>
  <c r="Z158" i="73"/>
  <c r="K609" i="73" s="1"/>
  <c r="K158" i="73"/>
  <c r="K636" i="73" s="1"/>
  <c r="Y187" i="73"/>
  <c r="J685" i="73" s="1"/>
  <c r="J187" i="73"/>
  <c r="J712" i="73" s="1"/>
  <c r="U12" i="73"/>
  <c r="F275" i="73" s="1"/>
  <c r="F12" i="73"/>
  <c r="F302" i="73" s="1"/>
  <c r="X51" i="73"/>
  <c r="I361" i="73" s="1"/>
  <c r="I51" i="73"/>
  <c r="I388" i="73" s="1"/>
  <c r="AA18" i="73"/>
  <c r="L281" i="73" s="1"/>
  <c r="L18" i="73"/>
  <c r="L308" i="73" s="1"/>
  <c r="Z18" i="73"/>
  <c r="K281" i="73" s="1"/>
  <c r="K18" i="73"/>
  <c r="K308" i="73" s="1"/>
  <c r="T26" i="73"/>
  <c r="E289" i="73" s="1"/>
  <c r="E26" i="73"/>
  <c r="E316" i="73" s="1"/>
  <c r="Y26" i="73"/>
  <c r="J289" i="73" s="1"/>
  <c r="J26" i="73"/>
  <c r="J316" i="73" s="1"/>
  <c r="W54" i="73"/>
  <c r="H364" i="73" s="1"/>
  <c r="H54" i="73"/>
  <c r="H391" i="73" s="1"/>
  <c r="AA78" i="73"/>
  <c r="L435" i="73" s="1"/>
  <c r="L78" i="73"/>
  <c r="L462" i="73" s="1"/>
  <c r="X58" i="73"/>
  <c r="I368" i="73" s="1"/>
  <c r="I58" i="73"/>
  <c r="I395" i="73" s="1"/>
  <c r="AB63" i="73"/>
  <c r="M63" i="73"/>
  <c r="V63" i="73"/>
  <c r="G373" i="73" s="1"/>
  <c r="G63" i="73"/>
  <c r="G400" i="73" s="1"/>
  <c r="AA63" i="73"/>
  <c r="L373" i="73" s="1"/>
  <c r="L63" i="73"/>
  <c r="L400" i="73" s="1"/>
  <c r="Q107" i="73"/>
  <c r="B107" i="73"/>
  <c r="Q113" i="73"/>
  <c r="B517" i="73" s="1"/>
  <c r="B113" i="73"/>
  <c r="B544" i="73" s="1"/>
  <c r="S148" i="73"/>
  <c r="D599" i="73" s="1"/>
  <c r="Q131" i="73"/>
  <c r="B535" i="73" s="1"/>
  <c r="B131" i="73"/>
  <c r="B562" i="73" s="1"/>
  <c r="T149" i="73"/>
  <c r="E600" i="73" s="1"/>
  <c r="U196" i="73"/>
  <c r="F694" i="73" s="1"/>
  <c r="F196" i="73"/>
  <c r="F721" i="73" s="1"/>
  <c r="T196" i="73"/>
  <c r="E694" i="73" s="1"/>
  <c r="E196" i="73"/>
  <c r="E721" i="73" s="1"/>
  <c r="V23" i="73"/>
  <c r="G286" i="73" s="1"/>
  <c r="G23" i="73"/>
  <c r="G313" i="73" s="1"/>
  <c r="AA31" i="73"/>
  <c r="L294" i="73" s="1"/>
  <c r="L31" i="73"/>
  <c r="L321" i="73" s="1"/>
  <c r="Q50" i="73"/>
  <c r="B360" i="73" s="1"/>
  <c r="B50" i="73"/>
  <c r="B387" i="73" s="1"/>
  <c r="Q73" i="73"/>
  <c r="B73" i="73"/>
  <c r="AB80" i="73"/>
  <c r="M80" i="73"/>
  <c r="AB86" i="73"/>
  <c r="M86" i="73"/>
  <c r="U58" i="73"/>
  <c r="F368" i="73" s="1"/>
  <c r="F58" i="73"/>
  <c r="F395" i="73" s="1"/>
  <c r="I65" i="73"/>
  <c r="I402" i="73" s="1"/>
  <c r="AA79" i="73"/>
  <c r="L436" i="73" s="1"/>
  <c r="L79" i="73"/>
  <c r="L463" i="73" s="1"/>
  <c r="Q95" i="73"/>
  <c r="B452" i="73" s="1"/>
  <c r="B95" i="73"/>
  <c r="B479" i="73" s="1"/>
  <c r="Q111" i="73"/>
  <c r="B515" i="73" s="1"/>
  <c r="B111" i="73"/>
  <c r="B542" i="73" s="1"/>
  <c r="C122" i="73"/>
  <c r="C553" i="73" s="1"/>
  <c r="W122" i="73"/>
  <c r="H526" i="73" s="1"/>
  <c r="H122" i="73"/>
  <c r="H553" i="73" s="1"/>
  <c r="AB122" i="73"/>
  <c r="M122" i="73"/>
  <c r="X166" i="73"/>
  <c r="I617" i="73" s="1"/>
  <c r="I166" i="73"/>
  <c r="I644" i="73" s="1"/>
  <c r="U157" i="73"/>
  <c r="F608" i="73" s="1"/>
  <c r="F157" i="73"/>
  <c r="F635" i="73" s="1"/>
  <c r="S157" i="73"/>
  <c r="D608" i="73" s="1"/>
  <c r="D157" i="73"/>
  <c r="D635" i="73" s="1"/>
  <c r="X157" i="73"/>
  <c r="I608" i="73" s="1"/>
  <c r="I157" i="73"/>
  <c r="I635" i="73" s="1"/>
  <c r="Y175" i="73"/>
  <c r="J175" i="73"/>
  <c r="X197" i="73"/>
  <c r="I695" i="73" s="1"/>
  <c r="I197" i="73"/>
  <c r="I722" i="73" s="1"/>
  <c r="Q201" i="73"/>
  <c r="B699" i="73" s="1"/>
  <c r="B201" i="73"/>
  <c r="B726" i="73" s="1"/>
  <c r="U11" i="73"/>
  <c r="F274" i="73" s="1"/>
  <c r="F11" i="73"/>
  <c r="F301" i="73" s="1"/>
  <c r="AA41" i="73"/>
  <c r="L351" i="73" s="1"/>
  <c r="L41" i="73"/>
  <c r="L378" i="73" s="1"/>
  <c r="AA49" i="73"/>
  <c r="L359" i="73" s="1"/>
  <c r="L49" i="73"/>
  <c r="L386" i="73" s="1"/>
  <c r="Q58" i="73"/>
  <c r="B368" i="73" s="1"/>
  <c r="B58" i="73"/>
  <c r="B395" i="73" s="1"/>
  <c r="U81" i="73"/>
  <c r="F438" i="73" s="1"/>
  <c r="F81" i="73"/>
  <c r="F465" i="73" s="1"/>
  <c r="AB114" i="73"/>
  <c r="M114" i="73"/>
  <c r="X150" i="73"/>
  <c r="I601" i="73" s="1"/>
  <c r="I150" i="73"/>
  <c r="I628" i="73" s="1"/>
  <c r="AB175" i="73"/>
  <c r="M175" i="73"/>
  <c r="L159" i="73"/>
  <c r="L637" i="73" s="1"/>
  <c r="X159" i="73"/>
  <c r="I610" i="73" s="1"/>
  <c r="I159" i="73"/>
  <c r="I637" i="73" s="1"/>
  <c r="S189" i="73"/>
  <c r="D687" i="73" s="1"/>
  <c r="D189" i="73"/>
  <c r="D714" i="73" s="1"/>
  <c r="S185" i="73"/>
  <c r="D683" i="73" s="1"/>
  <c r="D185" i="73"/>
  <c r="D710" i="73" s="1"/>
  <c r="X185" i="73"/>
  <c r="I683" i="73" s="1"/>
  <c r="I185" i="73"/>
  <c r="I710" i="73" s="1"/>
  <c r="R185" i="73"/>
  <c r="C683" i="73" s="1"/>
  <c r="C185" i="73"/>
  <c r="C710" i="73" s="1"/>
  <c r="V194" i="73"/>
  <c r="G692" i="73" s="1"/>
  <c r="G194" i="73"/>
  <c r="G719" i="73" s="1"/>
  <c r="AB194" i="73"/>
  <c r="M194" i="73"/>
  <c r="Q48" i="73"/>
  <c r="B358" i="73" s="1"/>
  <c r="B48" i="73"/>
  <c r="B385" i="73" s="1"/>
  <c r="AA181" i="73"/>
  <c r="L679" i="73" s="1"/>
  <c r="L181" i="73"/>
  <c r="L706" i="73" s="1"/>
  <c r="Q51" i="73"/>
  <c r="B361" i="73" s="1"/>
  <c r="B51" i="73"/>
  <c r="B388" i="73" s="1"/>
  <c r="U191" i="73"/>
  <c r="F689" i="73" s="1"/>
  <c r="F191" i="73"/>
  <c r="F716" i="73" s="1"/>
  <c r="R195" i="73"/>
  <c r="C693" i="73" s="1"/>
  <c r="C195" i="73"/>
  <c r="C720" i="73" s="1"/>
  <c r="W195" i="73"/>
  <c r="H693" i="73" s="1"/>
  <c r="H195" i="73"/>
  <c r="H720" i="73" s="1"/>
  <c r="R41" i="73"/>
  <c r="C351" i="73" s="1"/>
  <c r="C41" i="73"/>
  <c r="C378" i="73" s="1"/>
  <c r="W45" i="73"/>
  <c r="H355" i="73" s="1"/>
  <c r="H45" i="73"/>
  <c r="H382" i="73" s="1"/>
  <c r="Q53" i="73"/>
  <c r="B363" i="73" s="1"/>
  <c r="B53" i="73"/>
  <c r="B390" i="73" s="1"/>
  <c r="R53" i="73"/>
  <c r="C363" i="73" s="1"/>
  <c r="C53" i="73"/>
  <c r="C390" i="73" s="1"/>
  <c r="R164" i="73"/>
  <c r="C615" i="73" s="1"/>
  <c r="C164" i="73"/>
  <c r="C642" i="73" s="1"/>
  <c r="AB179" i="73"/>
  <c r="M179" i="73"/>
  <c r="AA6" i="73"/>
  <c r="L269" i="73" s="1"/>
  <c r="L6" i="73"/>
  <c r="L296" i="73" s="1"/>
  <c r="D128" i="73"/>
  <c r="D559" i="73" s="1"/>
  <c r="Z84" i="73"/>
  <c r="K441" i="73" s="1"/>
  <c r="K84" i="73"/>
  <c r="K468" i="73" s="1"/>
  <c r="T92" i="73"/>
  <c r="E449" i="73" s="1"/>
  <c r="E92" i="73"/>
  <c r="E476" i="73" s="1"/>
  <c r="W84" i="73"/>
  <c r="H441" i="73" s="1"/>
  <c r="H84" i="73"/>
  <c r="H468" i="73" s="1"/>
  <c r="AB166" i="73"/>
  <c r="M166" i="73"/>
  <c r="U144" i="73"/>
  <c r="F595" i="73" s="1"/>
  <c r="F144" i="73"/>
  <c r="F622" i="73" s="1"/>
  <c r="Z166" i="73"/>
  <c r="K617" i="73" s="1"/>
  <c r="K166" i="73"/>
  <c r="K644" i="73" s="1"/>
  <c r="W86" i="73"/>
  <c r="H443" i="73" s="1"/>
  <c r="H86" i="73"/>
  <c r="H470" i="73" s="1"/>
  <c r="R43" i="73"/>
  <c r="C353" i="73" s="1"/>
  <c r="C43" i="73"/>
  <c r="C380" i="73" s="1"/>
  <c r="X160" i="73"/>
  <c r="I611" i="73" s="1"/>
  <c r="I160" i="73"/>
  <c r="I638" i="73" s="1"/>
  <c r="X7" i="73"/>
  <c r="I270" i="73" s="1"/>
  <c r="I7" i="73"/>
  <c r="I297" i="73" s="1"/>
  <c r="Q86" i="73"/>
  <c r="B443" i="73" s="1"/>
  <c r="B86" i="73"/>
  <c r="B470" i="73" s="1"/>
  <c r="W94" i="73"/>
  <c r="H451" i="73" s="1"/>
  <c r="H94" i="73"/>
  <c r="H478" i="73" s="1"/>
  <c r="AA188" i="73"/>
  <c r="L686" i="73" s="1"/>
  <c r="L188" i="73"/>
  <c r="L713" i="73" s="1"/>
  <c r="W181" i="73"/>
  <c r="H679" i="73" s="1"/>
  <c r="H181" i="73"/>
  <c r="H706" i="73" s="1"/>
  <c r="T181" i="73"/>
  <c r="E679" i="73" s="1"/>
  <c r="E181" i="73"/>
  <c r="E706" i="73" s="1"/>
  <c r="W90" i="73"/>
  <c r="H447" i="73" s="1"/>
  <c r="H90" i="73"/>
  <c r="H474" i="73" s="1"/>
  <c r="V128" i="73"/>
  <c r="G532" i="73" s="1"/>
  <c r="G128" i="73"/>
  <c r="G559" i="73" s="1"/>
  <c r="Y164" i="73"/>
  <c r="J615" i="73" s="1"/>
  <c r="J164" i="73"/>
  <c r="J642" i="73" s="1"/>
  <c r="Q65" i="73"/>
  <c r="B375" i="73" s="1"/>
  <c r="B65" i="73"/>
  <c r="B402" i="73" s="1"/>
  <c r="R90" i="73"/>
  <c r="C447" i="73" s="1"/>
  <c r="C90" i="73"/>
  <c r="C474" i="73" s="1"/>
  <c r="T164" i="73"/>
  <c r="E615" i="73" s="1"/>
  <c r="E164" i="73"/>
  <c r="E642" i="73" s="1"/>
  <c r="Q96" i="73"/>
  <c r="B453" i="73" s="1"/>
  <c r="B96" i="73"/>
  <c r="B480" i="73" s="1"/>
  <c r="U60" i="73"/>
  <c r="F370" i="73" s="1"/>
  <c r="F60" i="73"/>
  <c r="F397" i="73" s="1"/>
  <c r="Q158" i="73"/>
  <c r="B609" i="73" s="1"/>
  <c r="B158" i="73"/>
  <c r="B636" i="73" s="1"/>
  <c r="AB90" i="73"/>
  <c r="M90" i="73"/>
  <c r="S164" i="73"/>
  <c r="D615" i="73" s="1"/>
  <c r="D164" i="73"/>
  <c r="D642" i="73" s="1"/>
  <c r="Q82" i="73"/>
  <c r="B439" i="73" s="1"/>
  <c r="B82" i="73"/>
  <c r="B466" i="73" s="1"/>
  <c r="X90" i="73"/>
  <c r="I447" i="73" s="1"/>
  <c r="I90" i="73"/>
  <c r="I474" i="73" s="1"/>
  <c r="R191" i="73"/>
  <c r="C689" i="73" s="1"/>
  <c r="C191" i="73"/>
  <c r="C716" i="73" s="1"/>
  <c r="AB153" i="73"/>
  <c r="M153" i="73"/>
  <c r="R166" i="73"/>
  <c r="C617" i="73" s="1"/>
  <c r="C166" i="73"/>
  <c r="C644" i="73" s="1"/>
  <c r="W183" i="73"/>
  <c r="H681" i="73" s="1"/>
  <c r="H183" i="73"/>
  <c r="H708" i="73" s="1"/>
  <c r="T183" i="73"/>
  <c r="E681" i="73" s="1"/>
  <c r="E183" i="73"/>
  <c r="E708" i="73" s="1"/>
  <c r="Z200" i="73"/>
  <c r="K698" i="73" s="1"/>
  <c r="K200" i="73"/>
  <c r="K725" i="73" s="1"/>
  <c r="X200" i="73"/>
  <c r="I698" i="73" s="1"/>
  <c r="I200" i="73"/>
  <c r="I725" i="73" s="1"/>
  <c r="U179" i="73"/>
  <c r="F677" i="73" s="1"/>
  <c r="F179" i="73"/>
  <c r="F704" i="73" s="1"/>
  <c r="C15" i="73"/>
  <c r="C305" i="73" s="1"/>
  <c r="Q19" i="73"/>
  <c r="B282" i="73" s="1"/>
  <c r="B19" i="73"/>
  <c r="B309" i="73" s="1"/>
  <c r="Y23" i="73"/>
  <c r="J286" i="73" s="1"/>
  <c r="J23" i="73"/>
  <c r="J313" i="73" s="1"/>
  <c r="W27" i="73"/>
  <c r="H290" i="73" s="1"/>
  <c r="H27" i="73"/>
  <c r="H317" i="73" s="1"/>
  <c r="X31" i="73"/>
  <c r="I294" i="73" s="1"/>
  <c r="I31" i="73"/>
  <c r="I321" i="73" s="1"/>
  <c r="D80" i="73"/>
  <c r="D464" i="73" s="1"/>
  <c r="X88" i="73"/>
  <c r="I445" i="73" s="1"/>
  <c r="I88" i="73"/>
  <c r="I472" i="73" s="1"/>
  <c r="V120" i="73"/>
  <c r="G524" i="73" s="1"/>
  <c r="G120" i="73"/>
  <c r="G551" i="73" s="1"/>
  <c r="V200" i="73"/>
  <c r="G698" i="73" s="1"/>
  <c r="G200" i="73"/>
  <c r="G725" i="73" s="1"/>
  <c r="X19" i="73"/>
  <c r="I282" i="73" s="1"/>
  <c r="I19" i="73"/>
  <c r="I309" i="73" s="1"/>
  <c r="Y17" i="73"/>
  <c r="J280" i="73" s="1"/>
  <c r="J17" i="73"/>
  <c r="J307" i="73" s="1"/>
  <c r="AB7" i="73"/>
  <c r="M7" i="73"/>
  <c r="H11" i="73"/>
  <c r="H301" i="73" s="1"/>
  <c r="U86" i="73"/>
  <c r="F443" i="73" s="1"/>
  <c r="F86" i="73"/>
  <c r="F470" i="73" s="1"/>
  <c r="S43" i="73"/>
  <c r="D353" i="73" s="1"/>
  <c r="D43" i="73"/>
  <c r="D380" i="73" s="1"/>
  <c r="Q59" i="73"/>
  <c r="B369" i="73" s="1"/>
  <c r="B59" i="73"/>
  <c r="B396" i="73" s="1"/>
  <c r="S17" i="73"/>
  <c r="D280" i="73" s="1"/>
  <c r="D17" i="73"/>
  <c r="D307" i="73" s="1"/>
  <c r="S64" i="73"/>
  <c r="D374" i="73" s="1"/>
  <c r="D64" i="73"/>
  <c r="D401" i="73" s="1"/>
  <c r="AA9" i="73"/>
  <c r="L272" i="73" s="1"/>
  <c r="L9" i="73"/>
  <c r="L299" i="73" s="1"/>
  <c r="X64" i="73"/>
  <c r="I374" i="73" s="1"/>
  <c r="I64" i="73"/>
  <c r="I401" i="73" s="1"/>
  <c r="Y27" i="73"/>
  <c r="J290" i="73" s="1"/>
  <c r="J27" i="73"/>
  <c r="J317" i="73" s="1"/>
  <c r="U193" i="73"/>
  <c r="F691" i="73" s="1"/>
  <c r="F193" i="73"/>
  <c r="F718" i="73" s="1"/>
  <c r="Q150" i="73"/>
  <c r="B601" i="73" s="1"/>
  <c r="B150" i="73"/>
  <c r="B628" i="73" s="1"/>
  <c r="T142" i="73"/>
  <c r="E593" i="73" s="1"/>
  <c r="E142" i="73"/>
  <c r="E620" i="73" s="1"/>
  <c r="Q128" i="73"/>
  <c r="B532" i="73" s="1"/>
  <c r="B128" i="73"/>
  <c r="B559" i="73" s="1"/>
  <c r="Z56" i="73"/>
  <c r="K366" i="73" s="1"/>
  <c r="K56" i="73"/>
  <c r="K393" i="73" s="1"/>
  <c r="U76" i="73"/>
  <c r="F433" i="73" s="1"/>
  <c r="F76" i="73"/>
  <c r="F460" i="73" s="1"/>
  <c r="E88" i="73"/>
  <c r="E472" i="73" s="1"/>
  <c r="W58" i="73"/>
  <c r="H368" i="73" s="1"/>
  <c r="H58" i="73"/>
  <c r="H395" i="73" s="1"/>
  <c r="W62" i="73"/>
  <c r="H372" i="73" s="1"/>
  <c r="H62" i="73"/>
  <c r="H399" i="73" s="1"/>
  <c r="F75" i="73"/>
  <c r="F459" i="73" s="1"/>
  <c r="Z75" i="73"/>
  <c r="K432" i="73" s="1"/>
  <c r="K75" i="73"/>
  <c r="K459" i="73" s="1"/>
  <c r="X91" i="73"/>
  <c r="I448" i="73" s="1"/>
  <c r="I91" i="73"/>
  <c r="I475" i="73" s="1"/>
  <c r="R91" i="73"/>
  <c r="C448" i="73" s="1"/>
  <c r="C91" i="73"/>
  <c r="C475" i="73" s="1"/>
  <c r="W91" i="73"/>
  <c r="H448" i="73" s="1"/>
  <c r="H91" i="73"/>
  <c r="H475" i="73" s="1"/>
  <c r="Q83" i="73"/>
  <c r="B440" i="73" s="1"/>
  <c r="B83" i="73"/>
  <c r="B467" i="73" s="1"/>
  <c r="Q108" i="73"/>
  <c r="B512" i="73" s="1"/>
  <c r="B108" i="73"/>
  <c r="B539" i="73" s="1"/>
  <c r="Q126" i="73"/>
  <c r="B530" i="73" s="1"/>
  <c r="B126" i="73"/>
  <c r="B557" i="73" s="1"/>
  <c r="AA126" i="73"/>
  <c r="L530" i="73" s="1"/>
  <c r="L126" i="73"/>
  <c r="L557" i="73" s="1"/>
  <c r="S119" i="73"/>
  <c r="D523" i="73" s="1"/>
  <c r="D119" i="73"/>
  <c r="D550" i="73" s="1"/>
  <c r="Q112" i="73"/>
  <c r="B516" i="73" s="1"/>
  <c r="B112" i="73"/>
  <c r="B543" i="73" s="1"/>
  <c r="AA130" i="73"/>
  <c r="L534" i="73" s="1"/>
  <c r="L130" i="73"/>
  <c r="L561" i="73" s="1"/>
  <c r="Q141" i="73"/>
  <c r="B141" i="73"/>
  <c r="Q163" i="73"/>
  <c r="B614" i="73" s="1"/>
  <c r="B163" i="73"/>
  <c r="B641" i="73" s="1"/>
  <c r="AA177" i="73"/>
  <c r="L675" i="73" s="1"/>
  <c r="L177" i="73"/>
  <c r="L702" i="73" s="1"/>
  <c r="R181" i="73"/>
  <c r="C679" i="73" s="1"/>
  <c r="C181" i="73"/>
  <c r="C706" i="73" s="1"/>
  <c r="R187" i="73"/>
  <c r="C685" i="73" s="1"/>
  <c r="C187" i="73"/>
  <c r="C712" i="73" s="1"/>
  <c r="AB199" i="73"/>
  <c r="M199" i="73"/>
  <c r="V201" i="73"/>
  <c r="G699" i="73" s="1"/>
  <c r="G201" i="73"/>
  <c r="G726" i="73" s="1"/>
  <c r="AB201" i="73"/>
  <c r="M201" i="73"/>
  <c r="Q22" i="73"/>
  <c r="B285" i="73" s="1"/>
  <c r="B22" i="73"/>
  <c r="B312" i="73" s="1"/>
  <c r="Q30" i="73"/>
  <c r="B293" i="73" s="1"/>
  <c r="B30" i="73"/>
  <c r="B320" i="73" s="1"/>
  <c r="S51" i="73"/>
  <c r="D361" i="73" s="1"/>
  <c r="D51" i="73"/>
  <c r="D388" i="73" s="1"/>
  <c r="T54" i="73"/>
  <c r="E364" i="73" s="1"/>
  <c r="E54" i="73"/>
  <c r="E391" i="73" s="1"/>
  <c r="R54" i="73"/>
  <c r="C364" i="73" s="1"/>
  <c r="C54" i="73"/>
  <c r="C391" i="73" s="1"/>
  <c r="AB54" i="73"/>
  <c r="M54" i="73"/>
  <c r="Q88" i="73"/>
  <c r="B445" i="73" s="1"/>
  <c r="B88" i="73"/>
  <c r="B472" i="73" s="1"/>
  <c r="S58" i="73"/>
  <c r="D368" i="73" s="1"/>
  <c r="D58" i="73"/>
  <c r="D395" i="73" s="1"/>
  <c r="Y77" i="73"/>
  <c r="J434" i="73" s="1"/>
  <c r="J77" i="73"/>
  <c r="J461" i="73" s="1"/>
  <c r="S77" i="73"/>
  <c r="D434" i="73" s="1"/>
  <c r="D77" i="73"/>
  <c r="D461" i="73" s="1"/>
  <c r="X85" i="73"/>
  <c r="I442" i="73" s="1"/>
  <c r="I85" i="73"/>
  <c r="I469" i="73" s="1"/>
  <c r="R85" i="73"/>
  <c r="C442" i="73" s="1"/>
  <c r="C85" i="73"/>
  <c r="C469" i="73" s="1"/>
  <c r="W85" i="73"/>
  <c r="H442" i="73" s="1"/>
  <c r="H85" i="73"/>
  <c r="H469" i="73" s="1"/>
  <c r="AB93" i="73"/>
  <c r="M93" i="73"/>
  <c r="V93" i="73"/>
  <c r="G450" i="73" s="1"/>
  <c r="G93" i="73"/>
  <c r="G477" i="73" s="1"/>
  <c r="AA93" i="73"/>
  <c r="L450" i="73" s="1"/>
  <c r="L93" i="73"/>
  <c r="L477" i="73" s="1"/>
  <c r="Q63" i="73"/>
  <c r="B373" i="73" s="1"/>
  <c r="B63" i="73"/>
  <c r="B400" i="73" s="1"/>
  <c r="Q156" i="73"/>
  <c r="B607" i="73" s="1"/>
  <c r="B156" i="73"/>
  <c r="B634" i="73" s="1"/>
  <c r="S149" i="73"/>
  <c r="D600" i="73" s="1"/>
  <c r="D149" i="73"/>
  <c r="D627" i="73" s="1"/>
  <c r="X149" i="73"/>
  <c r="I600" i="73" s="1"/>
  <c r="I149" i="73"/>
  <c r="I627" i="73" s="1"/>
  <c r="Q154" i="73"/>
  <c r="B605" i="73" s="1"/>
  <c r="B154" i="73"/>
  <c r="B632" i="73" s="1"/>
  <c r="X196" i="73"/>
  <c r="I694" i="73" s="1"/>
  <c r="I196" i="73"/>
  <c r="I721" i="73" s="1"/>
  <c r="V19" i="73"/>
  <c r="G282" i="73" s="1"/>
  <c r="G19" i="73"/>
  <c r="G309" i="73" s="1"/>
  <c r="V31" i="73"/>
  <c r="G294" i="73" s="1"/>
  <c r="G31" i="73"/>
  <c r="G321" i="73" s="1"/>
  <c r="Z39" i="73"/>
  <c r="K39" i="73"/>
  <c r="T51" i="73"/>
  <c r="E361" i="73" s="1"/>
  <c r="E51" i="73"/>
  <c r="E388" i="73" s="1"/>
  <c r="T44" i="73"/>
  <c r="E354" i="73" s="1"/>
  <c r="E44" i="73"/>
  <c r="E381" i="73" s="1"/>
  <c r="Y44" i="73"/>
  <c r="J354" i="73" s="1"/>
  <c r="S52" i="73"/>
  <c r="D362" i="73" s="1"/>
  <c r="X52" i="73"/>
  <c r="I362" i="73" s="1"/>
  <c r="I52" i="73"/>
  <c r="I389" i="73" s="1"/>
  <c r="R52" i="73"/>
  <c r="C362" i="73" s="1"/>
  <c r="C52" i="73"/>
  <c r="C389" i="73" s="1"/>
  <c r="W74" i="73"/>
  <c r="H431" i="73" s="1"/>
  <c r="H74" i="73"/>
  <c r="H458" i="73" s="1"/>
  <c r="W80" i="73"/>
  <c r="H437" i="73" s="1"/>
  <c r="H80" i="73"/>
  <c r="H464" i="73" s="1"/>
  <c r="T58" i="73"/>
  <c r="E368" i="73" s="1"/>
  <c r="E58" i="73"/>
  <c r="E395" i="73" s="1"/>
  <c r="AB65" i="73"/>
  <c r="M65" i="73"/>
  <c r="U79" i="73"/>
  <c r="F436" i="73" s="1"/>
  <c r="F79" i="73"/>
  <c r="F463" i="73" s="1"/>
  <c r="Z79" i="73"/>
  <c r="K436" i="73" s="1"/>
  <c r="K79" i="73"/>
  <c r="K463" i="73" s="1"/>
  <c r="Q127" i="73"/>
  <c r="B531" i="73" s="1"/>
  <c r="B127" i="73"/>
  <c r="B558" i="73" s="1"/>
  <c r="R157" i="73"/>
  <c r="C608" i="73" s="1"/>
  <c r="C157" i="73"/>
  <c r="C635" i="73" s="1"/>
  <c r="W157" i="73"/>
  <c r="H608" i="73" s="1"/>
  <c r="H157" i="73"/>
  <c r="H635" i="73" s="1"/>
  <c r="AB157" i="73"/>
  <c r="M157" i="73"/>
  <c r="Q167" i="73"/>
  <c r="B618" i="73" s="1"/>
  <c r="B167" i="73"/>
  <c r="B645" i="73" s="1"/>
  <c r="X176" i="73"/>
  <c r="I674" i="73" s="1"/>
  <c r="I176" i="73"/>
  <c r="I701" i="73" s="1"/>
  <c r="R176" i="73"/>
  <c r="C674" i="73" s="1"/>
  <c r="C176" i="73"/>
  <c r="C701" i="73" s="1"/>
  <c r="R23" i="73"/>
  <c r="C286" i="73" s="1"/>
  <c r="C23" i="73"/>
  <c r="C313" i="73" s="1"/>
  <c r="AA43" i="73"/>
  <c r="L353" i="73" s="1"/>
  <c r="L43" i="73"/>
  <c r="L380" i="73" s="1"/>
  <c r="Q64" i="73"/>
  <c r="B374" i="73" s="1"/>
  <c r="B64" i="73"/>
  <c r="B401" i="73" s="1"/>
  <c r="U114" i="73"/>
  <c r="F518" i="73" s="1"/>
  <c r="F114" i="73"/>
  <c r="F545" i="73" s="1"/>
  <c r="AA111" i="73"/>
  <c r="L515" i="73" s="1"/>
  <c r="L111" i="73"/>
  <c r="L542" i="73" s="1"/>
  <c r="S120" i="73"/>
  <c r="D524" i="73" s="1"/>
  <c r="D120" i="73"/>
  <c r="D551" i="73" s="1"/>
  <c r="W150" i="73"/>
  <c r="H601" i="73" s="1"/>
  <c r="H150" i="73"/>
  <c r="H628" i="73" s="1"/>
  <c r="AB150" i="73"/>
  <c r="M150" i="73"/>
  <c r="V159" i="73"/>
  <c r="G610" i="73" s="1"/>
  <c r="G159" i="73"/>
  <c r="G637" i="73" s="1"/>
  <c r="AB159" i="73"/>
  <c r="M159" i="73"/>
  <c r="U189" i="73"/>
  <c r="F687" i="73" s="1"/>
  <c r="F189" i="73"/>
  <c r="F714" i="73" s="1"/>
  <c r="Z189" i="73"/>
  <c r="K687" i="73" s="1"/>
  <c r="K189" i="73"/>
  <c r="K714" i="73" s="1"/>
  <c r="W185" i="73"/>
  <c r="H683" i="73" s="1"/>
  <c r="AB185" i="73"/>
  <c r="M185" i="73"/>
  <c r="V185" i="73"/>
  <c r="G683" i="73" s="1"/>
  <c r="G185" i="73"/>
  <c r="G710" i="73" s="1"/>
  <c r="W194" i="73"/>
  <c r="H692" i="73" s="1"/>
  <c r="H194" i="73"/>
  <c r="H719" i="73" s="1"/>
  <c r="Q55" i="73"/>
  <c r="B365" i="73" s="1"/>
  <c r="B55" i="73"/>
  <c r="B392" i="73" s="1"/>
  <c r="S29" i="73"/>
  <c r="D292" i="73" s="1"/>
  <c r="D29" i="73"/>
  <c r="D319" i="73" s="1"/>
  <c r="R64" i="73"/>
  <c r="C374" i="73" s="1"/>
  <c r="C64" i="73"/>
  <c r="C401" i="73" s="1"/>
  <c r="Q54" i="73"/>
  <c r="B364" i="73" s="1"/>
  <c r="B54" i="73"/>
  <c r="B391" i="73" s="1"/>
  <c r="Z162" i="73"/>
  <c r="K613" i="73" s="1"/>
  <c r="K162" i="73"/>
  <c r="K640" i="73" s="1"/>
  <c r="Y193" i="73"/>
  <c r="J691" i="73" s="1"/>
  <c r="J193" i="73"/>
  <c r="J718" i="73" s="1"/>
  <c r="U195" i="73"/>
  <c r="F693" i="73" s="1"/>
  <c r="F195" i="73"/>
  <c r="F720" i="73" s="1"/>
  <c r="W41" i="73"/>
  <c r="H351" i="73" s="1"/>
  <c r="H41" i="73"/>
  <c r="H378" i="73" s="1"/>
  <c r="AB45" i="73"/>
  <c r="M45" i="73"/>
  <c r="R49" i="73"/>
  <c r="C359" i="73" s="1"/>
  <c r="W53" i="73"/>
  <c r="H363" i="73" s="1"/>
  <c r="H53" i="73"/>
  <c r="H390" i="73" s="1"/>
  <c r="Q13" i="73"/>
  <c r="B276" i="73" s="1"/>
  <c r="B13" i="73"/>
  <c r="B303" i="73" s="1"/>
  <c r="W164" i="73"/>
  <c r="H615" i="73" s="1"/>
  <c r="H164" i="73"/>
  <c r="H642" i="73" s="1"/>
  <c r="AA195" i="73"/>
  <c r="L693" i="73" s="1"/>
  <c r="L195" i="73"/>
  <c r="L720" i="73" s="1"/>
  <c r="R128" i="73"/>
  <c r="C532" i="73" s="1"/>
  <c r="C128" i="73"/>
  <c r="C559" i="73" s="1"/>
  <c r="S179" i="73"/>
  <c r="D677" i="73" s="1"/>
  <c r="D179" i="73"/>
  <c r="D704" i="73" s="1"/>
  <c r="U7" i="73"/>
  <c r="F270" i="73" s="1"/>
  <c r="F7" i="73"/>
  <c r="F297" i="73" s="1"/>
  <c r="S175" i="73"/>
  <c r="D175" i="73"/>
  <c r="R84" i="73"/>
  <c r="C441" i="73" s="1"/>
  <c r="C84" i="73"/>
  <c r="C468" i="73" s="1"/>
  <c r="S166" i="73"/>
  <c r="D617" i="73" s="1"/>
  <c r="D166" i="73"/>
  <c r="D644" i="73" s="1"/>
  <c r="Z183" i="73"/>
  <c r="K681" i="73" s="1"/>
  <c r="K183" i="73"/>
  <c r="K708" i="73" s="1"/>
  <c r="X148" i="73"/>
  <c r="I599" i="73" s="1"/>
  <c r="I148" i="73"/>
  <c r="I626" i="73" s="1"/>
  <c r="R160" i="73"/>
  <c r="C611" i="73" s="1"/>
  <c r="C160" i="73"/>
  <c r="C638" i="73" s="1"/>
  <c r="Y160" i="73"/>
  <c r="J611" i="73" s="1"/>
  <c r="J160" i="73"/>
  <c r="J638" i="73" s="1"/>
  <c r="AB193" i="73"/>
  <c r="M193" i="73"/>
  <c r="AB9" i="73"/>
  <c r="M9" i="73"/>
  <c r="S7" i="73"/>
  <c r="D270" i="73" s="1"/>
  <c r="D7" i="73"/>
  <c r="D297" i="73" s="1"/>
  <c r="U51" i="73"/>
  <c r="F361" i="73" s="1"/>
  <c r="F51" i="73"/>
  <c r="F388" i="73" s="1"/>
  <c r="AA86" i="73"/>
  <c r="L443" i="73" s="1"/>
  <c r="L86" i="73"/>
  <c r="L470" i="73" s="1"/>
  <c r="R94" i="73"/>
  <c r="C451" i="73" s="1"/>
  <c r="Q193" i="73"/>
  <c r="B691" i="73" s="1"/>
  <c r="B193" i="73"/>
  <c r="B718" i="73" s="1"/>
  <c r="R193" i="73"/>
  <c r="C691" i="73" s="1"/>
  <c r="C193" i="73"/>
  <c r="C718" i="73" s="1"/>
  <c r="AA151" i="73"/>
  <c r="L602" i="73" s="1"/>
  <c r="L151" i="73"/>
  <c r="L629" i="73" s="1"/>
  <c r="BN82" i="63"/>
  <c r="Q164" i="73"/>
  <c r="B615" i="73" s="1"/>
  <c r="B164" i="73"/>
  <c r="B642" i="73" s="1"/>
  <c r="V8" i="73"/>
  <c r="G271" i="73" s="1"/>
  <c r="G8" i="73"/>
  <c r="G298" i="73" s="1"/>
  <c r="Q41" i="73"/>
  <c r="B351" i="73" s="1"/>
  <c r="B41" i="73"/>
  <c r="B378" i="73" s="1"/>
  <c r="V41" i="73"/>
  <c r="G351" i="73" s="1"/>
  <c r="G41" i="73"/>
  <c r="G378" i="73" s="1"/>
  <c r="V45" i="73"/>
  <c r="G355" i="73" s="1"/>
  <c r="G45" i="73"/>
  <c r="G382" i="73" s="1"/>
  <c r="Q49" i="73"/>
  <c r="B359" i="73" s="1"/>
  <c r="B49" i="73"/>
  <c r="B386" i="73" s="1"/>
  <c r="Z60" i="73"/>
  <c r="K370" i="73" s="1"/>
  <c r="K60" i="73"/>
  <c r="K397" i="73" s="1"/>
  <c r="R60" i="73"/>
  <c r="C370" i="73" s="1"/>
  <c r="C60" i="73"/>
  <c r="C397" i="73" s="1"/>
  <c r="Z179" i="73"/>
  <c r="K677" i="73" s="1"/>
  <c r="K179" i="73"/>
  <c r="K704" i="73" s="1"/>
  <c r="X164" i="73"/>
  <c r="I615" i="73" s="1"/>
  <c r="I164" i="73"/>
  <c r="I642" i="73" s="1"/>
  <c r="U74" i="73"/>
  <c r="F431" i="73" s="1"/>
  <c r="F74" i="73"/>
  <c r="F458" i="73" s="1"/>
  <c r="S82" i="73"/>
  <c r="D439" i="73" s="1"/>
  <c r="D82" i="73"/>
  <c r="D466" i="73" s="1"/>
  <c r="W128" i="73"/>
  <c r="H532" i="73" s="1"/>
  <c r="H128" i="73"/>
  <c r="H559" i="73" s="1"/>
  <c r="X128" i="73"/>
  <c r="I532" i="73" s="1"/>
  <c r="I128" i="73"/>
  <c r="I559" i="73" s="1"/>
  <c r="Q191" i="73"/>
  <c r="B689" i="73" s="1"/>
  <c r="B191" i="73"/>
  <c r="B716" i="73" s="1"/>
  <c r="X191" i="73"/>
  <c r="I689" i="73" s="1"/>
  <c r="I191" i="73"/>
  <c r="I716" i="73" s="1"/>
  <c r="T166" i="73"/>
  <c r="E617" i="73" s="1"/>
  <c r="E166" i="73"/>
  <c r="E644" i="73" s="1"/>
  <c r="Y183" i="73"/>
  <c r="J681" i="73" s="1"/>
  <c r="J183" i="73"/>
  <c r="J708" i="73" s="1"/>
  <c r="R183" i="73"/>
  <c r="C681" i="73" s="1"/>
  <c r="C183" i="73"/>
  <c r="C708" i="73" s="1"/>
  <c r="V183" i="73"/>
  <c r="G681" i="73" s="1"/>
  <c r="G183" i="73"/>
  <c r="G708" i="73" s="1"/>
  <c r="T200" i="73"/>
  <c r="E698" i="73" s="1"/>
  <c r="E200" i="73"/>
  <c r="E725" i="73" s="1"/>
  <c r="R200" i="73"/>
  <c r="C698" i="73" s="1"/>
  <c r="C200" i="73"/>
  <c r="C725" i="73" s="1"/>
  <c r="Y15" i="73"/>
  <c r="J278" i="73" s="1"/>
  <c r="J15" i="73"/>
  <c r="J305" i="73" s="1"/>
  <c r="W15" i="73"/>
  <c r="H278" i="73" s="1"/>
  <c r="H15" i="73"/>
  <c r="H305" i="73" s="1"/>
  <c r="AB19" i="73"/>
  <c r="M19" i="73"/>
  <c r="Z23" i="73"/>
  <c r="K286" i="73" s="1"/>
  <c r="K23" i="73"/>
  <c r="K313" i="73" s="1"/>
  <c r="S23" i="73"/>
  <c r="D286" i="73" s="1"/>
  <c r="D23" i="73"/>
  <c r="D313" i="73" s="1"/>
  <c r="AB23" i="73"/>
  <c r="M23" i="73"/>
  <c r="AB27" i="73"/>
  <c r="M27" i="73"/>
  <c r="X80" i="73"/>
  <c r="I437" i="73" s="1"/>
  <c r="I80" i="73"/>
  <c r="I464" i="73" s="1"/>
  <c r="Y88" i="73"/>
  <c r="J445" i="73" s="1"/>
  <c r="J88" i="73"/>
  <c r="J472" i="73" s="1"/>
  <c r="R120" i="73"/>
  <c r="C524" i="73" s="1"/>
  <c r="C120" i="73"/>
  <c r="C551" i="73" s="1"/>
  <c r="AA120" i="73"/>
  <c r="L524" i="73" s="1"/>
  <c r="L120" i="73"/>
  <c r="L551" i="73" s="1"/>
  <c r="U120" i="73"/>
  <c r="F524" i="73" s="1"/>
  <c r="F120" i="73"/>
  <c r="F551" i="73" s="1"/>
  <c r="S19" i="73"/>
  <c r="D282" i="73" s="1"/>
  <c r="D19" i="73"/>
  <c r="D309" i="73" s="1"/>
  <c r="X43" i="73"/>
  <c r="I353" i="73" s="1"/>
  <c r="I43" i="73"/>
  <c r="I380" i="73" s="1"/>
  <c r="AA47" i="73"/>
  <c r="L357" i="73" s="1"/>
  <c r="L47" i="73"/>
  <c r="L384" i="73" s="1"/>
  <c r="U62" i="73"/>
  <c r="F372" i="73" s="1"/>
  <c r="F62" i="73"/>
  <c r="F399" i="73" s="1"/>
  <c r="AA64" i="73"/>
  <c r="L374" i="73" s="1"/>
  <c r="L64" i="73"/>
  <c r="L401" i="73" s="1"/>
  <c r="AA175" i="73"/>
  <c r="L175" i="73"/>
  <c r="S47" i="73"/>
  <c r="D357" i="73" s="1"/>
  <c r="D47" i="73"/>
  <c r="D384" i="73" s="1"/>
  <c r="V9" i="73"/>
  <c r="G272" i="73" s="1"/>
  <c r="G9" i="73"/>
  <c r="G299" i="73" s="1"/>
  <c r="T160" i="73"/>
  <c r="E611" i="73" s="1"/>
  <c r="E160" i="73"/>
  <c r="E638" i="73" s="1"/>
  <c r="Z148" i="73"/>
  <c r="K599" i="73" s="1"/>
  <c r="K148" i="73"/>
  <c r="K626" i="73" s="1"/>
  <c r="AA128" i="73"/>
  <c r="L532" i="73" s="1"/>
  <c r="L128" i="73"/>
  <c r="L559" i="73" s="1"/>
  <c r="S56" i="73"/>
  <c r="D366" i="73" s="1"/>
  <c r="D56" i="73"/>
  <c r="D393" i="73" s="1"/>
  <c r="U78" i="73"/>
  <c r="F435" i="73" s="1"/>
  <c r="F78" i="73"/>
  <c r="F462" i="73" s="1"/>
  <c r="U92" i="73"/>
  <c r="F449" i="73" s="1"/>
  <c r="F92" i="73"/>
  <c r="F476" i="73" s="1"/>
  <c r="R58" i="73"/>
  <c r="C368" i="73" s="1"/>
  <c r="C58" i="73"/>
  <c r="C395" i="73" s="1"/>
  <c r="AB64" i="73"/>
  <c r="M64" i="73"/>
  <c r="U61" i="73"/>
  <c r="F371" i="73" s="1"/>
  <c r="F61" i="73"/>
  <c r="F398" i="73" s="1"/>
  <c r="Z61" i="73"/>
  <c r="K371" i="73" s="1"/>
  <c r="K61" i="73"/>
  <c r="K398" i="73" s="1"/>
  <c r="R83" i="73"/>
  <c r="C440" i="73" s="1"/>
  <c r="C83" i="73"/>
  <c r="C467" i="73" s="1"/>
  <c r="W83" i="73"/>
  <c r="H440" i="73" s="1"/>
  <c r="H83" i="73"/>
  <c r="H467" i="73" s="1"/>
  <c r="Q99" i="73"/>
  <c r="B456" i="73" s="1"/>
  <c r="B99" i="73"/>
  <c r="B483" i="73" s="1"/>
  <c r="W117" i="73"/>
  <c r="H521" i="73" s="1"/>
  <c r="H117" i="73"/>
  <c r="H548" i="73" s="1"/>
  <c r="R117" i="73"/>
  <c r="C521" i="73" s="1"/>
  <c r="C117" i="73"/>
  <c r="C548" i="73" s="1"/>
  <c r="U126" i="73"/>
  <c r="F530" i="73" s="1"/>
  <c r="F126" i="73"/>
  <c r="F557" i="73" s="1"/>
  <c r="Z126" i="73"/>
  <c r="K530" i="73" s="1"/>
  <c r="K126" i="73"/>
  <c r="K557" i="73" s="1"/>
  <c r="W166" i="73"/>
  <c r="H617" i="73" s="1"/>
  <c r="H166" i="73"/>
  <c r="H644" i="73" s="1"/>
  <c r="X158" i="73"/>
  <c r="I609" i="73" s="1"/>
  <c r="I158" i="73"/>
  <c r="I636" i="73" s="1"/>
  <c r="R158" i="73"/>
  <c r="C609" i="73" s="1"/>
  <c r="U177" i="73"/>
  <c r="F675" i="73" s="1"/>
  <c r="F177" i="73"/>
  <c r="F702" i="73" s="1"/>
  <c r="V187" i="73"/>
  <c r="G685" i="73" s="1"/>
  <c r="G187" i="73"/>
  <c r="G712" i="73" s="1"/>
  <c r="Q187" i="73"/>
  <c r="B685" i="73" s="1"/>
  <c r="B187" i="73"/>
  <c r="B712" i="73" s="1"/>
  <c r="U199" i="73"/>
  <c r="F697" i="73" s="1"/>
  <c r="F199" i="73"/>
  <c r="F724" i="73" s="1"/>
  <c r="S8" i="73"/>
  <c r="D271" i="73" s="1"/>
  <c r="D8" i="73"/>
  <c r="D298" i="73" s="1"/>
  <c r="Q14" i="73"/>
  <c r="B277" i="73" s="1"/>
  <c r="B14" i="73"/>
  <c r="B304" i="73" s="1"/>
  <c r="Q24" i="73"/>
  <c r="B287" i="73" s="1"/>
  <c r="B24" i="73"/>
  <c r="B314" i="73" s="1"/>
  <c r="X47" i="73"/>
  <c r="I357" i="73" s="1"/>
  <c r="I47" i="73"/>
  <c r="I384" i="73" s="1"/>
  <c r="X54" i="73"/>
  <c r="I364" i="73" s="1"/>
  <c r="I54" i="73"/>
  <c r="I391" i="73" s="1"/>
  <c r="V54" i="73"/>
  <c r="G364" i="73" s="1"/>
  <c r="G54" i="73"/>
  <c r="G391" i="73" s="1"/>
  <c r="Q76" i="73"/>
  <c r="B433" i="73" s="1"/>
  <c r="B76" i="73"/>
  <c r="B460" i="73" s="1"/>
  <c r="AA88" i="73"/>
  <c r="L445" i="73" s="1"/>
  <c r="L88" i="73"/>
  <c r="L472" i="73" s="1"/>
  <c r="Y64" i="73"/>
  <c r="J374" i="73" s="1"/>
  <c r="J64" i="73"/>
  <c r="J401" i="73" s="1"/>
  <c r="T63" i="73"/>
  <c r="E373" i="73" s="1"/>
  <c r="E63" i="73"/>
  <c r="E400" i="73" s="1"/>
  <c r="Y63" i="73"/>
  <c r="J373" i="73" s="1"/>
  <c r="J63" i="73"/>
  <c r="J400" i="73" s="1"/>
  <c r="S63" i="73"/>
  <c r="D373" i="73" s="1"/>
  <c r="D63" i="73"/>
  <c r="D400" i="73" s="1"/>
  <c r="W77" i="73"/>
  <c r="H434" i="73" s="1"/>
  <c r="H77" i="73"/>
  <c r="H461" i="73" s="1"/>
  <c r="U93" i="73"/>
  <c r="F450" i="73" s="1"/>
  <c r="F93" i="73"/>
  <c r="F477" i="73" s="1"/>
  <c r="Q77" i="73"/>
  <c r="B434" i="73" s="1"/>
  <c r="B77" i="73"/>
  <c r="B461" i="73" s="1"/>
  <c r="Q98" i="73"/>
  <c r="B455" i="73" s="1"/>
  <c r="B98" i="73"/>
  <c r="B482" i="73" s="1"/>
  <c r="V118" i="73"/>
  <c r="G522" i="73" s="1"/>
  <c r="G118" i="73"/>
  <c r="G549" i="73" s="1"/>
  <c r="T118" i="73"/>
  <c r="E522" i="73" s="1"/>
  <c r="E118" i="73"/>
  <c r="E549" i="73" s="1"/>
  <c r="V148" i="73"/>
  <c r="G599" i="73" s="1"/>
  <c r="G148" i="73"/>
  <c r="G626" i="73" s="1"/>
  <c r="Y146" i="73"/>
  <c r="J597" i="73" s="1"/>
  <c r="J146" i="73"/>
  <c r="J624" i="73" s="1"/>
  <c r="W149" i="73"/>
  <c r="H600" i="73" s="1"/>
  <c r="H149" i="73"/>
  <c r="H627" i="73" s="1"/>
  <c r="AB149" i="73"/>
  <c r="M149" i="73"/>
  <c r="AB196" i="73"/>
  <c r="M196" i="73"/>
  <c r="Q196" i="73"/>
  <c r="B694" i="73" s="1"/>
  <c r="B196" i="73"/>
  <c r="B721" i="73" s="1"/>
  <c r="Z5" i="73"/>
  <c r="K5" i="73"/>
  <c r="AA15" i="73"/>
  <c r="L278" i="73" s="1"/>
  <c r="L15" i="73"/>
  <c r="L305" i="73" s="1"/>
  <c r="Q20" i="73"/>
  <c r="B283" i="73" s="1"/>
  <c r="B20" i="73"/>
  <c r="B310" i="73" s="1"/>
  <c r="Q28" i="73"/>
  <c r="B291" i="73" s="1"/>
  <c r="B28" i="73"/>
  <c r="B318" i="73" s="1"/>
  <c r="Q42" i="73"/>
  <c r="B352" i="73" s="1"/>
  <c r="B42" i="73"/>
  <c r="B379" i="73" s="1"/>
  <c r="Z51" i="73"/>
  <c r="K361" i="73" s="1"/>
  <c r="K51" i="73"/>
  <c r="K388" i="73" s="1"/>
  <c r="R74" i="73"/>
  <c r="C431" i="73" s="1"/>
  <c r="C74" i="73"/>
  <c r="C458" i="73" s="1"/>
  <c r="R80" i="73"/>
  <c r="C437" i="73" s="1"/>
  <c r="C80" i="73"/>
  <c r="C464" i="73" s="1"/>
  <c r="Z58" i="73"/>
  <c r="K368" i="73" s="1"/>
  <c r="K58" i="73"/>
  <c r="K395" i="73" s="1"/>
  <c r="V57" i="73"/>
  <c r="G367" i="73" s="1"/>
  <c r="G57" i="73"/>
  <c r="G394" i="73" s="1"/>
  <c r="AA57" i="73"/>
  <c r="L367" i="73" s="1"/>
  <c r="L57" i="73"/>
  <c r="L394" i="73" s="1"/>
  <c r="T79" i="73"/>
  <c r="E436" i="73" s="1"/>
  <c r="E79" i="73"/>
  <c r="E463" i="73" s="1"/>
  <c r="X87" i="73"/>
  <c r="I444" i="73" s="1"/>
  <c r="I87" i="73"/>
  <c r="I471" i="73" s="1"/>
  <c r="R87" i="73"/>
  <c r="C444" i="73" s="1"/>
  <c r="C87" i="73"/>
  <c r="C471" i="73" s="1"/>
  <c r="Q133" i="73"/>
  <c r="B537" i="73" s="1"/>
  <c r="B133" i="73"/>
  <c r="B564" i="73" s="1"/>
  <c r="Q147" i="73"/>
  <c r="B598" i="73" s="1"/>
  <c r="B147" i="73"/>
  <c r="B625" i="73" s="1"/>
  <c r="Q146" i="73"/>
  <c r="B597" i="73" s="1"/>
  <c r="B146" i="73"/>
  <c r="B624" i="73" s="1"/>
  <c r="Y157" i="73"/>
  <c r="J608" i="73" s="1"/>
  <c r="J157" i="73"/>
  <c r="J635" i="73" s="1"/>
  <c r="V157" i="73"/>
  <c r="G608" i="73" s="1"/>
  <c r="G157" i="73"/>
  <c r="G635" i="73" s="1"/>
  <c r="AA157" i="73"/>
  <c r="L608" i="73" s="1"/>
  <c r="L157" i="73"/>
  <c r="L635" i="73" s="1"/>
  <c r="Z164" i="73"/>
  <c r="K615" i="73" s="1"/>
  <c r="K164" i="73"/>
  <c r="K642" i="73" s="1"/>
  <c r="Q152" i="73"/>
  <c r="B603" i="73" s="1"/>
  <c r="B152" i="73"/>
  <c r="B630" i="73" s="1"/>
  <c r="Q165" i="73"/>
  <c r="B616" i="73" s="1"/>
  <c r="B165" i="73"/>
  <c r="B643" i="73" s="1"/>
  <c r="W176" i="73"/>
  <c r="H674" i="73" s="1"/>
  <c r="H176" i="73"/>
  <c r="H701" i="73" s="1"/>
  <c r="Q185" i="73"/>
  <c r="B683" i="73" s="1"/>
  <c r="B185" i="73"/>
  <c r="B710" i="73" s="1"/>
  <c r="U197" i="73"/>
  <c r="F695" i="73" s="1"/>
  <c r="F197" i="73"/>
  <c r="F722" i="73" s="1"/>
  <c r="Z197" i="73"/>
  <c r="K695" i="73" s="1"/>
  <c r="K197" i="73"/>
  <c r="K722" i="73" s="1"/>
  <c r="AA53" i="73"/>
  <c r="L363" i="73" s="1"/>
  <c r="L53" i="73"/>
  <c r="L390" i="73" s="1"/>
  <c r="Y94" i="73"/>
  <c r="J451" i="73" s="1"/>
  <c r="J94" i="73"/>
  <c r="J478" i="73" s="1"/>
  <c r="V64" i="73"/>
  <c r="G374" i="73" s="1"/>
  <c r="G64" i="73"/>
  <c r="G401" i="73" s="1"/>
  <c r="AA89" i="73"/>
  <c r="L446" i="73" s="1"/>
  <c r="L89" i="73"/>
  <c r="L473" i="73" s="1"/>
  <c r="V114" i="73"/>
  <c r="G518" i="73" s="1"/>
  <c r="G114" i="73"/>
  <c r="G545" i="73" s="1"/>
  <c r="T114" i="73"/>
  <c r="E518" i="73" s="1"/>
  <c r="E114" i="73"/>
  <c r="E545" i="73" s="1"/>
  <c r="T111" i="73"/>
  <c r="E515" i="73" s="1"/>
  <c r="E111" i="73"/>
  <c r="E542" i="73" s="1"/>
  <c r="Q143" i="73"/>
  <c r="B594" i="73" s="1"/>
  <c r="B143" i="73"/>
  <c r="B621" i="73" s="1"/>
  <c r="U150" i="73"/>
  <c r="F601" i="73" s="1"/>
  <c r="F150" i="73"/>
  <c r="F628" i="73" s="1"/>
  <c r="Z150" i="73"/>
  <c r="K601" i="73" s="1"/>
  <c r="K150" i="73"/>
  <c r="K628" i="73" s="1"/>
  <c r="Z159" i="73"/>
  <c r="K610" i="73" s="1"/>
  <c r="K159" i="73"/>
  <c r="K637" i="73" s="1"/>
  <c r="W191" i="73"/>
  <c r="H689" i="73" s="1"/>
  <c r="H191" i="73"/>
  <c r="H716" i="73" s="1"/>
  <c r="Y189" i="73"/>
  <c r="J687" i="73" s="1"/>
  <c r="J189" i="73"/>
  <c r="J714" i="73" s="1"/>
  <c r="AA185" i="73"/>
  <c r="L683" i="73" s="1"/>
  <c r="L185" i="73"/>
  <c r="L710" i="73" s="1"/>
  <c r="U185" i="73"/>
  <c r="F683" i="73" s="1"/>
  <c r="F185" i="73"/>
  <c r="F710" i="73" s="1"/>
  <c r="Z185" i="73"/>
  <c r="K683" i="73" s="1"/>
  <c r="T194" i="73"/>
  <c r="E692" i="73" s="1"/>
  <c r="E194" i="73"/>
  <c r="E719" i="73" s="1"/>
  <c r="Q46" i="73"/>
  <c r="B356" i="73" s="1"/>
  <c r="B46" i="73"/>
  <c r="B383" i="73" s="1"/>
  <c r="Y29" i="73"/>
  <c r="J292" i="73" s="1"/>
  <c r="J29" i="73"/>
  <c r="J319" i="73" s="1"/>
  <c r="Q117" i="73"/>
  <c r="B521" i="73" s="1"/>
  <c r="B117" i="73"/>
  <c r="B548" i="73" s="1"/>
  <c r="AB191" i="73"/>
  <c r="M191" i="73"/>
  <c r="Q189" i="73"/>
  <c r="B687" i="73" s="1"/>
  <c r="B189" i="73"/>
  <c r="B714" i="73" s="1"/>
  <c r="S41" i="73"/>
  <c r="D351" i="73" s="1"/>
  <c r="D41" i="73"/>
  <c r="D378" i="73" s="1"/>
  <c r="AB41" i="73"/>
  <c r="M41" i="73"/>
  <c r="W49" i="73"/>
  <c r="H359" i="73" s="1"/>
  <c r="H49" i="73"/>
  <c r="H386" i="73" s="1"/>
  <c r="AB53" i="73"/>
  <c r="M53" i="73"/>
  <c r="Q166" i="73"/>
  <c r="B617" i="73" s="1"/>
  <c r="B166" i="73"/>
  <c r="B644" i="73" s="1"/>
  <c r="Q181" i="73"/>
  <c r="B679" i="73" s="1"/>
  <c r="B181" i="73"/>
  <c r="B706" i="73" s="1"/>
  <c r="Y5" i="73"/>
  <c r="J5" i="73"/>
  <c r="Y179" i="73"/>
  <c r="J677" i="73" s="1"/>
  <c r="J179" i="73"/>
  <c r="J704" i="73" s="1"/>
  <c r="S84" i="73"/>
  <c r="D441" i="73" s="1"/>
  <c r="D84" i="73"/>
  <c r="D468" i="73" s="1"/>
  <c r="S92" i="73"/>
  <c r="D449" i="73" s="1"/>
  <c r="D92" i="73"/>
  <c r="D476" i="73" s="1"/>
  <c r="T76" i="73"/>
  <c r="E433" i="73" s="1"/>
  <c r="E76" i="73"/>
  <c r="E460" i="73" s="1"/>
  <c r="U84" i="73"/>
  <c r="F441" i="73" s="1"/>
  <c r="F84" i="73"/>
  <c r="F468" i="73" s="1"/>
  <c r="W92" i="73"/>
  <c r="H449" i="73" s="1"/>
  <c r="H92" i="73"/>
  <c r="H476" i="73" s="1"/>
  <c r="S144" i="73"/>
  <c r="D595" i="73" s="1"/>
  <c r="D144" i="73"/>
  <c r="D622" i="73" s="1"/>
  <c r="R144" i="73"/>
  <c r="C595" i="73" s="1"/>
  <c r="C144" i="73"/>
  <c r="C622" i="73" s="1"/>
  <c r="Z153" i="73"/>
  <c r="K604" i="73" s="1"/>
  <c r="K153" i="73"/>
  <c r="K631" i="73" s="1"/>
  <c r="U166" i="73"/>
  <c r="F617" i="73" s="1"/>
  <c r="F166" i="73"/>
  <c r="F644" i="73" s="1"/>
  <c r="Z188" i="73"/>
  <c r="K686" i="73" s="1"/>
  <c r="K188" i="73"/>
  <c r="K713" i="73" s="1"/>
  <c r="V39" i="73"/>
  <c r="G39" i="73"/>
  <c r="Q47" i="73"/>
  <c r="B357" i="73" s="1"/>
  <c r="B47" i="73"/>
  <c r="B384" i="73" s="1"/>
  <c r="V142" i="73"/>
  <c r="G593" i="73" s="1"/>
  <c r="G142" i="73"/>
  <c r="G620" i="73" s="1"/>
  <c r="X183" i="73"/>
  <c r="I681" i="73" s="1"/>
  <c r="I183" i="73"/>
  <c r="I708" i="73" s="1"/>
  <c r="R6" i="73"/>
  <c r="C269" i="73" s="1"/>
  <c r="C6" i="73"/>
  <c r="C296" i="73" s="1"/>
  <c r="V11" i="73"/>
  <c r="G274" i="73" s="1"/>
  <c r="G11" i="73"/>
  <c r="G301" i="73" s="1"/>
  <c r="Y9" i="73"/>
  <c r="J272" i="73" s="1"/>
  <c r="J9" i="73"/>
  <c r="J299" i="73" s="1"/>
  <c r="AB43" i="73"/>
  <c r="M43" i="73"/>
  <c r="W47" i="73"/>
  <c r="H357" i="73" s="1"/>
  <c r="H47" i="73"/>
  <c r="H384" i="73" s="1"/>
  <c r="AA142" i="73"/>
  <c r="L593" i="73" s="1"/>
  <c r="L142" i="73"/>
  <c r="L620" i="73" s="1"/>
  <c r="W160" i="73"/>
  <c r="H611" i="73" s="1"/>
  <c r="H160" i="73"/>
  <c r="H638" i="73" s="1"/>
  <c r="S193" i="73"/>
  <c r="D691" i="73" s="1"/>
  <c r="D193" i="73"/>
  <c r="D718" i="73" s="1"/>
  <c r="W9" i="73"/>
  <c r="H272" i="73" s="1"/>
  <c r="H9" i="73"/>
  <c r="H299" i="73" s="1"/>
  <c r="V10" i="73"/>
  <c r="G273" i="73" s="1"/>
  <c r="G10" i="73"/>
  <c r="G300" i="73" s="1"/>
  <c r="T39" i="73"/>
  <c r="E39" i="73"/>
  <c r="Q43" i="73"/>
  <c r="B353" i="73" s="1"/>
  <c r="B43" i="73"/>
  <c r="B380" i="73" s="1"/>
  <c r="T78" i="73"/>
  <c r="E435" i="73" s="1"/>
  <c r="E78" i="73"/>
  <c r="E462" i="73" s="1"/>
  <c r="V86" i="73"/>
  <c r="G443" i="73" s="1"/>
  <c r="G86" i="73"/>
  <c r="G470" i="73" s="1"/>
  <c r="AA160" i="73"/>
  <c r="L611" i="73" s="1"/>
  <c r="L160" i="73"/>
  <c r="L638" i="73" s="1"/>
  <c r="S181" i="73"/>
  <c r="D679" i="73" s="1"/>
  <c r="D181" i="73"/>
  <c r="D706" i="73" s="1"/>
  <c r="Z181" i="73"/>
  <c r="K679" i="73" s="1"/>
  <c r="K181" i="73"/>
  <c r="K706" i="73" s="1"/>
  <c r="AA193" i="73"/>
  <c r="L691" i="73" s="1"/>
  <c r="L193" i="73"/>
  <c r="L718" i="73" s="1"/>
  <c r="Q6" i="73"/>
  <c r="B269" i="73" s="1"/>
  <c r="B6" i="73"/>
  <c r="B296" i="73" s="1"/>
  <c r="U17" i="73"/>
  <c r="F280" i="73" s="1"/>
  <c r="F17" i="73"/>
  <c r="F307" i="73" s="1"/>
  <c r="T128" i="73"/>
  <c r="E532" i="73" s="1"/>
  <c r="E128" i="73"/>
  <c r="E559" i="73" s="1"/>
  <c r="U164" i="73"/>
  <c r="F615" i="73" s="1"/>
  <c r="F164" i="73"/>
  <c r="F642" i="73" s="1"/>
  <c r="V49" i="73"/>
  <c r="G359" i="73" s="1"/>
  <c r="G49" i="73"/>
  <c r="G386" i="73" s="1"/>
  <c r="V53" i="73"/>
  <c r="G363" i="73" s="1"/>
  <c r="G53" i="73"/>
  <c r="G390" i="73" s="1"/>
  <c r="X60" i="73"/>
  <c r="I370" i="73" s="1"/>
  <c r="I60" i="73"/>
  <c r="I397" i="73" s="1"/>
  <c r="T60" i="73"/>
  <c r="E370" i="73" s="1"/>
  <c r="E60" i="73"/>
  <c r="E397" i="73" s="1"/>
  <c r="S195" i="73"/>
  <c r="D693" i="73" s="1"/>
  <c r="D195" i="73"/>
  <c r="D720" i="73" s="1"/>
  <c r="X195" i="73"/>
  <c r="I693" i="73" s="1"/>
  <c r="I195" i="73"/>
  <c r="I720" i="73" s="1"/>
  <c r="U10" i="73"/>
  <c r="F273" i="73" s="1"/>
  <c r="F10" i="73"/>
  <c r="F300" i="73" s="1"/>
  <c r="V82" i="73"/>
  <c r="G439" i="73" s="1"/>
  <c r="G82" i="73"/>
  <c r="G466" i="73" s="1"/>
  <c r="X82" i="73"/>
  <c r="I439" i="73" s="1"/>
  <c r="I82" i="73"/>
  <c r="I466" i="73" s="1"/>
  <c r="AB128" i="73"/>
  <c r="M128" i="73"/>
  <c r="Y128" i="73"/>
  <c r="J532" i="73" s="1"/>
  <c r="J128" i="73"/>
  <c r="J559" i="73" s="1"/>
  <c r="T191" i="73"/>
  <c r="E689" i="73" s="1"/>
  <c r="E191" i="73"/>
  <c r="E716" i="73" s="1"/>
  <c r="Z191" i="73"/>
  <c r="K689" i="73" s="1"/>
  <c r="K191" i="73"/>
  <c r="K716" i="73" s="1"/>
  <c r="S60" i="73"/>
  <c r="D370" i="73" s="1"/>
  <c r="D60" i="73"/>
  <c r="D397" i="73" s="1"/>
  <c r="V166" i="73"/>
  <c r="G617" i="73" s="1"/>
  <c r="G166" i="73"/>
  <c r="G644" i="73" s="1"/>
  <c r="U183" i="73"/>
  <c r="F681" i="73" s="1"/>
  <c r="F183" i="73"/>
  <c r="F708" i="73" s="1"/>
  <c r="Q183" i="73"/>
  <c r="B681" i="73" s="1"/>
  <c r="B183" i="73"/>
  <c r="B708" i="73" s="1"/>
  <c r="Q200" i="73"/>
  <c r="B698" i="73" s="1"/>
  <c r="B200" i="73"/>
  <c r="B725" i="73" s="1"/>
  <c r="Y200" i="73"/>
  <c r="J698" i="73" s="1"/>
  <c r="J200" i="73"/>
  <c r="J725" i="73" s="1"/>
  <c r="W200" i="73"/>
  <c r="H698" i="73" s="1"/>
  <c r="H200" i="73"/>
  <c r="H725" i="73" s="1"/>
  <c r="R153" i="73"/>
  <c r="C604" i="73" s="1"/>
  <c r="C153" i="73"/>
  <c r="C631" i="73" s="1"/>
  <c r="Z19" i="73"/>
  <c r="K282" i="73" s="1"/>
  <c r="K19" i="73"/>
  <c r="K309" i="73" s="1"/>
  <c r="T23" i="73"/>
  <c r="E286" i="73" s="1"/>
  <c r="E23" i="73"/>
  <c r="E313" i="73" s="1"/>
  <c r="Q27" i="73"/>
  <c r="B290" i="73" s="1"/>
  <c r="B27" i="73"/>
  <c r="B317" i="73" s="1"/>
  <c r="T27" i="73"/>
  <c r="E290" i="73" s="1"/>
  <c r="E27" i="73"/>
  <c r="E317" i="73" s="1"/>
  <c r="Y31" i="73"/>
  <c r="J294" i="73" s="1"/>
  <c r="J31" i="73"/>
  <c r="J321" i="73" s="1"/>
  <c r="W31" i="73"/>
  <c r="H294" i="73" s="1"/>
  <c r="H31" i="73"/>
  <c r="H321" i="73" s="1"/>
  <c r="U88" i="73"/>
  <c r="F445" i="73" s="1"/>
  <c r="F88" i="73"/>
  <c r="F472" i="73" s="1"/>
  <c r="R88" i="73"/>
  <c r="C445" i="73" s="1"/>
  <c r="C88" i="73"/>
  <c r="C472" i="73" s="1"/>
  <c r="Q93" i="73"/>
  <c r="B450" i="73" s="1"/>
  <c r="B93" i="73"/>
  <c r="B477" i="73" s="1"/>
  <c r="Q120" i="73"/>
  <c r="B524" i="73" s="1"/>
  <c r="B120" i="73"/>
  <c r="B551" i="73" s="1"/>
  <c r="Y120" i="73"/>
  <c r="J524" i="73" s="1"/>
  <c r="J120" i="73"/>
  <c r="J551" i="73" s="1"/>
  <c r="Y19" i="73"/>
  <c r="J282" i="73" s="1"/>
  <c r="J19" i="73"/>
  <c r="J309" i="73" s="1"/>
  <c r="X151" i="73"/>
  <c r="I602" i="73" s="1"/>
  <c r="I151" i="73"/>
  <c r="I629" i="73" s="1"/>
  <c r="R7" i="73"/>
  <c r="C270" i="73" s="1"/>
  <c r="C7" i="73"/>
  <c r="C297" i="73" s="1"/>
  <c r="Y21" i="73"/>
  <c r="J284" i="73" s="1"/>
  <c r="J21" i="73"/>
  <c r="J311" i="73" s="1"/>
  <c r="Z151" i="73"/>
  <c r="K602" i="73" s="1"/>
  <c r="K151" i="73"/>
  <c r="K629" i="73" s="1"/>
  <c r="Y25" i="73"/>
  <c r="J288" i="73" s="1"/>
  <c r="J25" i="73"/>
  <c r="J315" i="73" s="1"/>
  <c r="W175" i="73"/>
  <c r="H175" i="73"/>
  <c r="T64" i="73"/>
  <c r="E374" i="73" s="1"/>
  <c r="E64" i="73"/>
  <c r="E401" i="73" s="1"/>
  <c r="V175" i="73"/>
  <c r="G175" i="73"/>
  <c r="Y151" i="73"/>
  <c r="J602" i="73" s="1"/>
  <c r="J151" i="73"/>
  <c r="J629" i="73" s="1"/>
  <c r="U160" i="73"/>
  <c r="F611" i="73" s="1"/>
  <c r="F160" i="73"/>
  <c r="F638" i="73" s="1"/>
  <c r="AB13" i="73"/>
  <c r="M13" i="73"/>
  <c r="T20" i="73"/>
  <c r="E283" i="73" s="1"/>
  <c r="E20" i="73"/>
  <c r="E310" i="73" s="1"/>
  <c r="Y20" i="73"/>
  <c r="J283" i="73" s="1"/>
  <c r="S28" i="73"/>
  <c r="D291" i="73" s="1"/>
  <c r="D28" i="73"/>
  <c r="D318" i="73" s="1"/>
  <c r="X28" i="73"/>
  <c r="I291" i="73" s="1"/>
  <c r="R28" i="73"/>
  <c r="C291" i="73" s="1"/>
  <c r="C28" i="73"/>
  <c r="C318" i="73" s="1"/>
  <c r="Z78" i="73"/>
  <c r="K435" i="73" s="1"/>
  <c r="K78" i="73"/>
  <c r="K462" i="73" s="1"/>
  <c r="Z92" i="73"/>
  <c r="K449" i="73" s="1"/>
  <c r="K92" i="73"/>
  <c r="K476" i="73" s="1"/>
  <c r="Z59" i="73"/>
  <c r="K369" i="73" s="1"/>
  <c r="K59" i="73"/>
  <c r="K396" i="73" s="1"/>
  <c r="T61" i="73"/>
  <c r="E371" i="73" s="1"/>
  <c r="E61" i="73"/>
  <c r="E398" i="73" s="1"/>
  <c r="Y61" i="73"/>
  <c r="J371" i="73" s="1"/>
  <c r="J61" i="73"/>
  <c r="J398" i="73" s="1"/>
  <c r="S61" i="73"/>
  <c r="D371" i="73" s="1"/>
  <c r="D61" i="73"/>
  <c r="D398" i="73" s="1"/>
  <c r="AB83" i="73"/>
  <c r="M83" i="73"/>
  <c r="V83" i="73"/>
  <c r="G440" i="73" s="1"/>
  <c r="G83" i="73"/>
  <c r="G467" i="73" s="1"/>
  <c r="AA83" i="73"/>
  <c r="L440" i="73" s="1"/>
  <c r="U91" i="73"/>
  <c r="F448" i="73" s="1"/>
  <c r="F91" i="73"/>
  <c r="F475" i="73" s="1"/>
  <c r="AA98" i="73"/>
  <c r="L455" i="73" s="1"/>
  <c r="L98" i="73"/>
  <c r="L482" i="73" s="1"/>
  <c r="S126" i="73"/>
  <c r="D530" i="73" s="1"/>
  <c r="D126" i="73"/>
  <c r="D557" i="73" s="1"/>
  <c r="X126" i="73"/>
  <c r="I530" i="73" s="1"/>
  <c r="I126" i="73"/>
  <c r="I557" i="73" s="1"/>
  <c r="Q115" i="73"/>
  <c r="B519" i="73" s="1"/>
  <c r="B115" i="73"/>
  <c r="B546" i="73" s="1"/>
  <c r="Y177" i="73"/>
  <c r="J675" i="73" s="1"/>
  <c r="J177" i="73"/>
  <c r="J702" i="73" s="1"/>
  <c r="U187" i="73"/>
  <c r="F685" i="73" s="1"/>
  <c r="F187" i="73"/>
  <c r="F712" i="73" s="1"/>
  <c r="Z187" i="73"/>
  <c r="K685" i="73" s="1"/>
  <c r="K187" i="73"/>
  <c r="K712" i="73" s="1"/>
  <c r="Q9" i="73"/>
  <c r="B272" i="73" s="1"/>
  <c r="B9" i="73"/>
  <c r="B299" i="73" s="1"/>
  <c r="Q16" i="73"/>
  <c r="B279" i="73" s="1"/>
  <c r="B16" i="73"/>
  <c r="B306" i="73" s="1"/>
  <c r="T25" i="73"/>
  <c r="E288" i="73" s="1"/>
  <c r="E25" i="73"/>
  <c r="E315" i="73" s="1"/>
  <c r="Y47" i="73"/>
  <c r="J357" i="73" s="1"/>
  <c r="J47" i="73"/>
  <c r="J384" i="73" s="1"/>
  <c r="S54" i="73"/>
  <c r="D364" i="73" s="1"/>
  <c r="U54" i="73"/>
  <c r="F364" i="73" s="1"/>
  <c r="F54" i="73"/>
  <c r="F391" i="73" s="1"/>
  <c r="Q78" i="73"/>
  <c r="B435" i="73" s="1"/>
  <c r="B78" i="73"/>
  <c r="B462" i="73" s="1"/>
  <c r="Y58" i="73"/>
  <c r="J368" i="73" s="1"/>
  <c r="J58" i="73"/>
  <c r="J395" i="73" s="1"/>
  <c r="X63" i="73"/>
  <c r="I373" i="73" s="1"/>
  <c r="I63" i="73"/>
  <c r="I400" i="73" s="1"/>
  <c r="R63" i="73"/>
  <c r="C373" i="73" s="1"/>
  <c r="C63" i="73"/>
  <c r="C400" i="73" s="1"/>
  <c r="W63" i="73"/>
  <c r="H373" i="73" s="1"/>
  <c r="H63" i="73"/>
  <c r="H400" i="73" s="1"/>
  <c r="R98" i="73"/>
  <c r="C455" i="73" s="1"/>
  <c r="C98" i="73"/>
  <c r="C482" i="73" s="1"/>
  <c r="W98" i="73"/>
  <c r="H455" i="73" s="1"/>
  <c r="H98" i="73"/>
  <c r="H482" i="73" s="1"/>
  <c r="Q85" i="73"/>
  <c r="B442" i="73" s="1"/>
  <c r="B85" i="73"/>
  <c r="B469" i="73" s="1"/>
  <c r="Q109" i="73"/>
  <c r="B513" i="73" s="1"/>
  <c r="B109" i="73"/>
  <c r="B540" i="73" s="1"/>
  <c r="S118" i="73"/>
  <c r="D522" i="73" s="1"/>
  <c r="D118" i="73"/>
  <c r="D549" i="73" s="1"/>
  <c r="X118" i="73"/>
  <c r="I522" i="73" s="1"/>
  <c r="I118" i="73"/>
  <c r="I549" i="73" s="1"/>
  <c r="T148" i="73"/>
  <c r="E599" i="73" s="1"/>
  <c r="E148" i="73"/>
  <c r="E626" i="73" s="1"/>
  <c r="Q121" i="73"/>
  <c r="B525" i="73" s="1"/>
  <c r="B121" i="73"/>
  <c r="B552" i="73" s="1"/>
  <c r="Q159" i="73"/>
  <c r="B610" i="73" s="1"/>
  <c r="B159" i="73"/>
  <c r="B637" i="73" s="1"/>
  <c r="V149" i="73"/>
  <c r="G600" i="73" s="1"/>
  <c r="G149" i="73"/>
  <c r="G627" i="73" s="1"/>
  <c r="AB181" i="73"/>
  <c r="M181" i="73"/>
  <c r="Q178" i="73"/>
  <c r="B676" i="73" s="1"/>
  <c r="B178" i="73"/>
  <c r="B703" i="73" s="1"/>
  <c r="Q184" i="73"/>
  <c r="B682" i="73" s="1"/>
  <c r="B184" i="73"/>
  <c r="B709" i="73" s="1"/>
  <c r="V195" i="73"/>
  <c r="G693" i="73" s="1"/>
  <c r="G195" i="73"/>
  <c r="G720" i="73" s="1"/>
  <c r="AA196" i="73"/>
  <c r="L694" i="73" s="1"/>
  <c r="L196" i="73"/>
  <c r="L721" i="73" s="1"/>
  <c r="V15" i="73"/>
  <c r="G278" i="73" s="1"/>
  <c r="G15" i="73"/>
  <c r="G305" i="73" s="1"/>
  <c r="AA23" i="73"/>
  <c r="L286" i="73" s="1"/>
  <c r="L23" i="73"/>
  <c r="L313" i="73" s="1"/>
  <c r="V29" i="73"/>
  <c r="G292" i="73" s="1"/>
  <c r="G29" i="73"/>
  <c r="G319" i="73" s="1"/>
  <c r="AB94" i="73"/>
  <c r="M94" i="73"/>
  <c r="U64" i="73"/>
  <c r="F374" i="73" s="1"/>
  <c r="F64" i="73"/>
  <c r="F401" i="73" s="1"/>
  <c r="Z57" i="73"/>
  <c r="K367" i="73" s="1"/>
  <c r="K57" i="73"/>
  <c r="K394" i="73" s="1"/>
  <c r="T65" i="73"/>
  <c r="E375" i="73" s="1"/>
  <c r="E65" i="73"/>
  <c r="E402" i="73" s="1"/>
  <c r="Y65" i="73"/>
  <c r="J375" i="73" s="1"/>
  <c r="J65" i="73"/>
  <c r="J402" i="73" s="1"/>
  <c r="S65" i="73"/>
  <c r="D375" i="73" s="1"/>
  <c r="D65" i="73"/>
  <c r="D402" i="73" s="1"/>
  <c r="Q123" i="73"/>
  <c r="B527" i="73" s="1"/>
  <c r="B123" i="73"/>
  <c r="B554" i="73" s="1"/>
  <c r="Q157" i="73"/>
  <c r="B608" i="73" s="1"/>
  <c r="B157" i="73"/>
  <c r="B635" i="73" s="1"/>
  <c r="Z157" i="73"/>
  <c r="K608" i="73" s="1"/>
  <c r="K157" i="73"/>
  <c r="K635" i="73" s="1"/>
  <c r="T157" i="73"/>
  <c r="E608" i="73" s="1"/>
  <c r="E157" i="73"/>
  <c r="E635" i="73" s="1"/>
  <c r="AA164" i="73"/>
  <c r="L615" i="73" s="1"/>
  <c r="L164" i="73"/>
  <c r="L642" i="73" s="1"/>
  <c r="AA176" i="73"/>
  <c r="L674" i="73" s="1"/>
  <c r="L176" i="73"/>
  <c r="L701" i="73" s="1"/>
  <c r="Q190" i="73"/>
  <c r="B688" i="73" s="1"/>
  <c r="B190" i="73"/>
  <c r="B715" i="73" s="1"/>
  <c r="T197" i="73"/>
  <c r="E695" i="73" s="1"/>
  <c r="E197" i="73"/>
  <c r="E722" i="73" s="1"/>
  <c r="Y197" i="73"/>
  <c r="J695" i="73" s="1"/>
  <c r="J197" i="73"/>
  <c r="J722" i="73" s="1"/>
  <c r="Y7" i="73"/>
  <c r="J270" i="73" s="1"/>
  <c r="J7" i="73"/>
  <c r="J297" i="73" s="1"/>
  <c r="AA39" i="73"/>
  <c r="L39" i="73"/>
  <c r="AA45" i="73"/>
  <c r="L355" i="73" s="1"/>
  <c r="L45" i="73"/>
  <c r="L382" i="73" s="1"/>
  <c r="X94" i="73"/>
  <c r="I451" i="73" s="1"/>
  <c r="I94" i="73"/>
  <c r="I478" i="73" s="1"/>
  <c r="Y59" i="73"/>
  <c r="J369" i="73" s="1"/>
  <c r="J59" i="73"/>
  <c r="J396" i="73" s="1"/>
  <c r="S59" i="73"/>
  <c r="D369" i="73" s="1"/>
  <c r="D59" i="73"/>
  <c r="D396" i="73" s="1"/>
  <c r="AB81" i="73"/>
  <c r="M81" i="73"/>
  <c r="V81" i="73"/>
  <c r="G438" i="73" s="1"/>
  <c r="G81" i="73"/>
  <c r="G465" i="73" s="1"/>
  <c r="S96" i="73"/>
  <c r="D453" i="73" s="1"/>
  <c r="D96" i="73"/>
  <c r="D480" i="73" s="1"/>
  <c r="S114" i="73"/>
  <c r="D518" i="73" s="1"/>
  <c r="Q129" i="73"/>
  <c r="B533" i="73" s="1"/>
  <c r="B129" i="73"/>
  <c r="B560" i="73" s="1"/>
  <c r="AB111" i="73"/>
  <c r="M111" i="73"/>
  <c r="T150" i="73"/>
  <c r="E601" i="73" s="1"/>
  <c r="E150" i="73"/>
  <c r="E628" i="73" s="1"/>
  <c r="Y150" i="73"/>
  <c r="J601" i="73" s="1"/>
  <c r="J150" i="73"/>
  <c r="J628" i="73" s="1"/>
  <c r="Z160" i="73"/>
  <c r="K611" i="73" s="1"/>
  <c r="K160" i="73"/>
  <c r="K638" i="73" s="1"/>
  <c r="S159" i="73"/>
  <c r="D610" i="73" s="1"/>
  <c r="D159" i="73"/>
  <c r="D637" i="73" s="1"/>
  <c r="Y159" i="73"/>
  <c r="J610" i="73" s="1"/>
  <c r="J159" i="73"/>
  <c r="J637" i="73" s="1"/>
  <c r="T159" i="73"/>
  <c r="E610" i="73" s="1"/>
  <c r="E159" i="73"/>
  <c r="E637" i="73" s="1"/>
  <c r="Q182" i="73"/>
  <c r="B680" i="73" s="1"/>
  <c r="B182" i="73"/>
  <c r="B707" i="73" s="1"/>
  <c r="AA200" i="73"/>
  <c r="L698" i="73" s="1"/>
  <c r="L200" i="73"/>
  <c r="L725" i="73" s="1"/>
  <c r="T185" i="73"/>
  <c r="E683" i="73" s="1"/>
  <c r="E185" i="73"/>
  <c r="E710" i="73" s="1"/>
  <c r="Y185" i="73"/>
  <c r="J683" i="73" s="1"/>
  <c r="J185" i="73"/>
  <c r="J710" i="73" s="1"/>
  <c r="Q192" i="73"/>
  <c r="B690" i="73" s="1"/>
  <c r="B192" i="73"/>
  <c r="B717" i="73" s="1"/>
  <c r="X194" i="73"/>
  <c r="I692" i="73" s="1"/>
  <c r="I194" i="73"/>
  <c r="I719" i="73" s="1"/>
  <c r="Q199" i="73"/>
  <c r="B697" i="73" s="1"/>
  <c r="B199" i="73"/>
  <c r="B724" i="73" s="1"/>
  <c r="Q40" i="73"/>
  <c r="B350" i="73" s="1"/>
  <c r="B40" i="73"/>
  <c r="B377" i="73" s="1"/>
  <c r="Y181" i="73"/>
  <c r="J679" i="73" s="1"/>
  <c r="J181" i="73"/>
  <c r="J706" i="73" s="1"/>
  <c r="AA5" i="73"/>
  <c r="L5" i="73"/>
  <c r="Q162" i="73"/>
  <c r="B613" i="73" s="1"/>
  <c r="B162" i="73"/>
  <c r="B640" i="73" s="1"/>
  <c r="Q119" i="73"/>
  <c r="B523" i="73" s="1"/>
  <c r="B119" i="73"/>
  <c r="B550" i="73" s="1"/>
  <c r="S191" i="73"/>
  <c r="D689" i="73" s="1"/>
  <c r="D191" i="73"/>
  <c r="D716" i="73" s="1"/>
  <c r="Q45" i="73"/>
  <c r="B355" i="73" s="1"/>
  <c r="B45" i="73"/>
  <c r="B382" i="73" s="1"/>
  <c r="R45" i="73"/>
  <c r="C355" i="73" s="1"/>
  <c r="C45" i="73"/>
  <c r="C382" i="73" s="1"/>
  <c r="AB49" i="73"/>
  <c r="M49" i="73"/>
  <c r="Q57" i="73"/>
  <c r="B367" i="73" s="1"/>
  <c r="B57" i="73"/>
  <c r="B394" i="73" s="1"/>
  <c r="Q31" i="73"/>
  <c r="B294" i="73" s="1"/>
  <c r="B31" i="73"/>
  <c r="B321" i="73" s="1"/>
  <c r="T162" i="73"/>
  <c r="E613" i="73" s="1"/>
  <c r="E162" i="73"/>
  <c r="E640" i="73" s="1"/>
  <c r="Q97" i="73"/>
  <c r="B454" i="73" s="1"/>
  <c r="B97" i="73"/>
  <c r="B481" i="73" s="1"/>
  <c r="Q153" i="73"/>
  <c r="B604" i="73" s="1"/>
  <c r="B153" i="73"/>
  <c r="B631" i="73" s="1"/>
  <c r="U188" i="73"/>
  <c r="F686" i="73" s="1"/>
  <c r="F188" i="73"/>
  <c r="F713" i="73" s="1"/>
  <c r="Z11" i="73"/>
  <c r="K274" i="73" s="1"/>
  <c r="K11" i="73"/>
  <c r="K301" i="73" s="1"/>
  <c r="V43" i="73"/>
  <c r="G353" i="73" s="1"/>
  <c r="G43" i="73"/>
  <c r="G380" i="73" s="1"/>
  <c r="V78" i="73"/>
  <c r="G435" i="73" s="1"/>
  <c r="G78" i="73"/>
  <c r="G462" i="73" s="1"/>
  <c r="AA148" i="73"/>
  <c r="L599" i="73" s="1"/>
  <c r="L148" i="73"/>
  <c r="L626" i="73" s="1"/>
  <c r="W193" i="73"/>
  <c r="H691" i="73" s="1"/>
  <c r="U5" i="73"/>
  <c r="F5" i="73"/>
  <c r="X10" i="73"/>
  <c r="I273" i="73" s="1"/>
  <c r="I10" i="73"/>
  <c r="I300" i="73" s="1"/>
  <c r="W43" i="73"/>
  <c r="H353" i="73" s="1"/>
  <c r="H43" i="73"/>
  <c r="H380" i="73" s="1"/>
  <c r="Q39" i="73"/>
  <c r="B39" i="73"/>
  <c r="Q176" i="73"/>
  <c r="B674" i="73" s="1"/>
  <c r="B176" i="73"/>
  <c r="B701" i="73" s="1"/>
  <c r="S188" i="73"/>
  <c r="D686" i="73" s="1"/>
  <c r="D188" i="73"/>
  <c r="D713" i="73" s="1"/>
  <c r="Q10" i="73"/>
  <c r="B273" i="73" s="1"/>
  <c r="B10" i="73"/>
  <c r="B300" i="73" s="1"/>
  <c r="V193" i="73"/>
  <c r="G691" i="73" s="1"/>
  <c r="G193" i="73"/>
  <c r="G718" i="73" s="1"/>
  <c r="X181" i="73"/>
  <c r="I679" i="73" s="1"/>
  <c r="I181" i="73"/>
  <c r="I706" i="73" s="1"/>
  <c r="V181" i="73"/>
  <c r="G679" i="73" s="1"/>
  <c r="G181" i="73"/>
  <c r="G706" i="73" s="1"/>
  <c r="X25" i="73"/>
  <c r="I288" i="73" s="1"/>
  <c r="I25" i="73"/>
  <c r="I315" i="73" s="1"/>
  <c r="Z17" i="73"/>
  <c r="K280" i="73" s="1"/>
  <c r="K17" i="73"/>
  <c r="K307" i="73" s="1"/>
  <c r="AB17" i="73"/>
  <c r="M17" i="73"/>
  <c r="V76" i="73"/>
  <c r="G433" i="73" s="1"/>
  <c r="G76" i="73"/>
  <c r="G460" i="73" s="1"/>
  <c r="Q92" i="73"/>
  <c r="B449" i="73" s="1"/>
  <c r="B92" i="73"/>
  <c r="B476" i="73" s="1"/>
  <c r="S21" i="73"/>
  <c r="D284" i="73" s="1"/>
  <c r="D21" i="73"/>
  <c r="D311" i="73" s="1"/>
  <c r="V164" i="73"/>
  <c r="G615" i="73" s="1"/>
  <c r="G164" i="73"/>
  <c r="G642" i="73" s="1"/>
  <c r="W8" i="73"/>
  <c r="H271" i="73" s="1"/>
  <c r="H8" i="73"/>
  <c r="H298" i="73" s="1"/>
  <c r="Q12" i="73"/>
  <c r="B275" i="73" s="1"/>
  <c r="B12" i="73"/>
  <c r="B302" i="73" s="1"/>
  <c r="Y60" i="73"/>
  <c r="J370" i="73" s="1"/>
  <c r="J60" i="73"/>
  <c r="J397" i="73" s="1"/>
  <c r="U82" i="73"/>
  <c r="F439" i="73" s="1"/>
  <c r="F82" i="73"/>
  <c r="F466" i="73" s="1"/>
  <c r="AB164" i="73"/>
  <c r="M164" i="73"/>
  <c r="AB10" i="73"/>
  <c r="M10" i="73"/>
  <c r="V21" i="73"/>
  <c r="G284" i="73" s="1"/>
  <c r="G21" i="73"/>
  <c r="G311" i="73" s="1"/>
  <c r="Z74" i="73"/>
  <c r="K431" i="73" s="1"/>
  <c r="K74" i="73"/>
  <c r="K458" i="73" s="1"/>
  <c r="AA82" i="73"/>
  <c r="L439" i="73" s="1"/>
  <c r="L82" i="73"/>
  <c r="L466" i="73" s="1"/>
  <c r="Y82" i="73"/>
  <c r="J439" i="73" s="1"/>
  <c r="J82" i="73"/>
  <c r="J466" i="73" s="1"/>
  <c r="S90" i="73"/>
  <c r="D447" i="73" s="1"/>
  <c r="D90" i="73"/>
  <c r="D474" i="73" s="1"/>
  <c r="AB151" i="73"/>
  <c r="M151" i="73"/>
  <c r="V191" i="73"/>
  <c r="G689" i="73" s="1"/>
  <c r="G191" i="73"/>
  <c r="G716" i="73" s="1"/>
  <c r="W153" i="73"/>
  <c r="H604" i="73" s="1"/>
  <c r="H153" i="73"/>
  <c r="H631" i="73" s="1"/>
  <c r="AB183" i="73"/>
  <c r="M183" i="73"/>
  <c r="S183" i="73"/>
  <c r="D681" i="73" s="1"/>
  <c r="D183" i="73"/>
  <c r="D708" i="73" s="1"/>
  <c r="U200" i="73"/>
  <c r="F698" i="73" s="1"/>
  <c r="F200" i="73"/>
  <c r="F725" i="73" s="1"/>
  <c r="S200" i="73"/>
  <c r="D698" i="73" s="1"/>
  <c r="D200" i="73"/>
  <c r="D725" i="73" s="1"/>
  <c r="AB200" i="73"/>
  <c r="M200" i="73"/>
  <c r="X6" i="73"/>
  <c r="I269" i="73" s="1"/>
  <c r="I6" i="73"/>
  <c r="I296" i="73" s="1"/>
  <c r="X15" i="73"/>
  <c r="I278" i="73" s="1"/>
  <c r="I15" i="73"/>
  <c r="I305" i="73" s="1"/>
  <c r="R19" i="73"/>
  <c r="C282" i="73" s="1"/>
  <c r="C19" i="73"/>
  <c r="C309" i="73" s="1"/>
  <c r="AA19" i="73"/>
  <c r="L282" i="73" s="1"/>
  <c r="L19" i="73"/>
  <c r="L309" i="73" s="1"/>
  <c r="T19" i="73"/>
  <c r="E282" i="73" s="1"/>
  <c r="E19" i="73"/>
  <c r="E309" i="73" s="1"/>
  <c r="R27" i="73"/>
  <c r="C290" i="73" s="1"/>
  <c r="C27" i="73"/>
  <c r="C317" i="73" s="1"/>
  <c r="AA27" i="73"/>
  <c r="L290" i="73" s="1"/>
  <c r="L27" i="73"/>
  <c r="L317" i="73" s="1"/>
  <c r="U31" i="73"/>
  <c r="F294" i="73" s="1"/>
  <c r="F31" i="73"/>
  <c r="F321" i="73" s="1"/>
  <c r="S31" i="73"/>
  <c r="D294" i="73" s="1"/>
  <c r="D31" i="73"/>
  <c r="D321" i="73" s="1"/>
  <c r="AB31" i="73"/>
  <c r="M31" i="73"/>
  <c r="AA80" i="73"/>
  <c r="L437" i="73" s="1"/>
  <c r="L80" i="73"/>
  <c r="L464" i="73" s="1"/>
  <c r="U80" i="73"/>
  <c r="F437" i="73" s="1"/>
  <c r="F80" i="73"/>
  <c r="F464" i="73" s="1"/>
  <c r="S88" i="73"/>
  <c r="D445" i="73" s="1"/>
  <c r="D88" i="73"/>
  <c r="D472" i="73" s="1"/>
  <c r="W88" i="73"/>
  <c r="H445" i="73" s="1"/>
  <c r="H88" i="73"/>
  <c r="H472" i="73" s="1"/>
  <c r="AB120" i="73"/>
  <c r="M120" i="73"/>
  <c r="Q197" i="73"/>
  <c r="B695" i="73" s="1"/>
  <c r="B197" i="73"/>
  <c r="B722" i="73" s="1"/>
  <c r="AA183" i="73"/>
  <c r="L681" i="73" s="1"/>
  <c r="L183" i="73"/>
  <c r="L708" i="73" s="1"/>
  <c r="X27" i="73"/>
  <c r="I290" i="73" s="1"/>
  <c r="I27" i="73"/>
  <c r="I317" i="73" s="1"/>
  <c r="R11" i="73"/>
  <c r="C274" i="73" s="1"/>
  <c r="C11" i="73"/>
  <c r="C301" i="73" s="1"/>
  <c r="Q91" i="73"/>
  <c r="B448" i="73" s="1"/>
  <c r="B91" i="73"/>
  <c r="B475" i="73" s="1"/>
  <c r="Y43" i="73"/>
  <c r="J353" i="73" s="1"/>
  <c r="J43" i="73"/>
  <c r="J380" i="73" s="1"/>
  <c r="AA51" i="73"/>
  <c r="L361" i="73" s="1"/>
  <c r="L51" i="73"/>
  <c r="L388" i="73" s="1"/>
  <c r="W142" i="73"/>
  <c r="H593" i="73" s="1"/>
  <c r="H142" i="73"/>
  <c r="H620" i="73" s="1"/>
  <c r="R175" i="73"/>
  <c r="C175" i="73"/>
  <c r="V160" i="73"/>
  <c r="G611" i="73" s="1"/>
  <c r="G160" i="73"/>
  <c r="G638" i="73" s="1"/>
  <c r="Q175" i="73"/>
  <c r="B175" i="73"/>
  <c r="S27" i="73"/>
  <c r="D290" i="73" s="1"/>
  <c r="D27" i="73"/>
  <c r="D317" i="73" s="1"/>
  <c r="BJ11" i="63"/>
  <c r="BQ103" i="63"/>
  <c r="BR105" i="63"/>
  <c r="BL105" i="63"/>
  <c r="BK57" i="63"/>
  <c r="BO99" i="63"/>
  <c r="BG110" i="63"/>
  <c r="BL110" i="63"/>
  <c r="BQ110" i="63"/>
  <c r="BK102" i="63"/>
  <c r="BQ102" i="63"/>
  <c r="BJ154" i="63"/>
  <c r="BR56" i="63"/>
  <c r="BP35" i="63"/>
  <c r="BJ9" i="63"/>
  <c r="BI142" i="63"/>
  <c r="BQ9" i="63"/>
  <c r="BJ171" i="63"/>
  <c r="BM21" i="63"/>
  <c r="BK25" i="63"/>
  <c r="BP29" i="63"/>
  <c r="BP78" i="63"/>
  <c r="BR78" i="63"/>
  <c r="BN68" i="63"/>
  <c r="BK153" i="63"/>
  <c r="BG142" i="63"/>
  <c r="BL78" i="63"/>
  <c r="BN106" i="63"/>
  <c r="BO158" i="63"/>
  <c r="BK13" i="63"/>
  <c r="BI13" i="63"/>
  <c r="BR13" i="63"/>
  <c r="BL25" i="63"/>
  <c r="BL70" i="63"/>
  <c r="BO70" i="63"/>
  <c r="BN153" i="63"/>
  <c r="BK124" i="63"/>
  <c r="BP153" i="63"/>
  <c r="BN171" i="63"/>
  <c r="BL3" i="63"/>
  <c r="BH112" i="63"/>
  <c r="BP98" i="63"/>
  <c r="BL156" i="63"/>
  <c r="BR156" i="63"/>
  <c r="BH164" i="63"/>
  <c r="BM164" i="63"/>
  <c r="BR164" i="63"/>
  <c r="BO179" i="63"/>
  <c r="BI51" i="63"/>
  <c r="BK99" i="63"/>
  <c r="BP99" i="63"/>
  <c r="BI129" i="63"/>
  <c r="BL52" i="63"/>
  <c r="BN74" i="63"/>
  <c r="BG126" i="63"/>
  <c r="BR142" i="63"/>
  <c r="BM54" i="63"/>
  <c r="BQ80" i="63"/>
  <c r="BK80" i="63"/>
  <c r="BK114" i="63"/>
  <c r="BR54" i="63"/>
  <c r="BG21" i="63"/>
  <c r="BN15" i="63"/>
  <c r="BP84" i="63"/>
  <c r="BJ41" i="63"/>
  <c r="BJ133" i="63"/>
  <c r="BQ53" i="63"/>
  <c r="BR55" i="63"/>
  <c r="BO73" i="63"/>
  <c r="BH137" i="63"/>
  <c r="BM137" i="63"/>
  <c r="BR137" i="63"/>
  <c r="BJ177" i="63"/>
  <c r="BG24" i="63"/>
  <c r="BK75" i="63"/>
  <c r="BI83" i="63"/>
  <c r="BN88" i="63"/>
  <c r="BM38" i="63"/>
  <c r="BR38" i="63"/>
  <c r="BL38" i="63"/>
  <c r="BQ46" i="63"/>
  <c r="BK46" i="63"/>
  <c r="BP46" i="63"/>
  <c r="BI107" i="63"/>
  <c r="BN107" i="63"/>
  <c r="BH107" i="63"/>
  <c r="BM115" i="63"/>
  <c r="BR115" i="63"/>
  <c r="BL115" i="63"/>
  <c r="BQ158" i="63"/>
  <c r="BN124" i="63"/>
  <c r="BI3" i="63"/>
  <c r="BR33" i="63"/>
  <c r="BN9" i="63"/>
  <c r="BJ27" i="63"/>
  <c r="BQ66" i="63"/>
  <c r="BH23" i="63"/>
  <c r="BI56" i="63"/>
  <c r="BH19" i="63"/>
  <c r="BH72" i="63"/>
  <c r="BG80" i="63"/>
  <c r="BL126" i="63"/>
  <c r="BK50" i="63"/>
  <c r="BI65" i="63"/>
  <c r="BO116" i="63"/>
  <c r="BN116" i="63"/>
  <c r="BI140" i="63"/>
  <c r="BI75" i="63"/>
  <c r="BJ147" i="63"/>
  <c r="BG79" i="63"/>
  <c r="BK108" i="63"/>
  <c r="BP108" i="63"/>
  <c r="BQ169" i="63"/>
  <c r="BQ157" i="63"/>
  <c r="BQ135" i="63"/>
  <c r="BI76" i="63"/>
  <c r="BP37" i="63"/>
  <c r="BG15" i="63"/>
  <c r="BP56" i="63"/>
  <c r="BQ64" i="63"/>
  <c r="BQ56" i="63"/>
  <c r="BH65" i="63"/>
  <c r="BM140" i="63"/>
  <c r="BH127" i="63"/>
  <c r="BN127" i="63"/>
  <c r="BI154" i="63"/>
  <c r="BQ175" i="63"/>
  <c r="BM157" i="63"/>
  <c r="BP47" i="63"/>
  <c r="BI135" i="63"/>
  <c r="BM126" i="63"/>
  <c r="BL5" i="63"/>
  <c r="BQ27" i="63"/>
  <c r="BP23" i="63"/>
  <c r="BN157" i="63"/>
  <c r="BO45" i="63"/>
  <c r="BR6" i="63"/>
  <c r="BN126" i="63"/>
  <c r="BH8" i="63"/>
  <c r="BN83" i="63"/>
  <c r="BQ126" i="63"/>
  <c r="BQ84" i="63"/>
  <c r="BK159" i="63"/>
  <c r="BP13" i="63"/>
  <c r="BP171" i="63"/>
  <c r="BH7" i="63"/>
  <c r="BJ49" i="63"/>
  <c r="BO49" i="63"/>
  <c r="BR112" i="63"/>
  <c r="BG158" i="63"/>
  <c r="BO177" i="63"/>
  <c r="BJ10" i="63"/>
  <c r="BP131" i="63"/>
  <c r="BO77" i="63"/>
  <c r="BH89" i="63"/>
  <c r="BR154" i="63"/>
  <c r="BQ132" i="63"/>
  <c r="BN35" i="63"/>
  <c r="BJ35" i="63"/>
  <c r="BJ43" i="63"/>
  <c r="BK47" i="63"/>
  <c r="BP5" i="63"/>
  <c r="BI84" i="63"/>
  <c r="BH41" i="63"/>
  <c r="BM8" i="63"/>
  <c r="BP106" i="63"/>
  <c r="BG6" i="63"/>
  <c r="BN11" i="63"/>
  <c r="BR140" i="63"/>
  <c r="BJ101" i="63"/>
  <c r="BQ77" i="63"/>
  <c r="BO102" i="63"/>
  <c r="BJ167" i="63"/>
  <c r="BM58" i="63"/>
  <c r="BJ39" i="63"/>
  <c r="BR126" i="63"/>
  <c r="BL135" i="63"/>
  <c r="BH76" i="63"/>
  <c r="BM19" i="63"/>
  <c r="BH133" i="63"/>
  <c r="BK17" i="63"/>
  <c r="BP25" i="63"/>
  <c r="BJ29" i="63"/>
  <c r="BH29" i="63"/>
  <c r="BG3" i="63"/>
  <c r="BJ153" i="63"/>
  <c r="BO50" i="63"/>
  <c r="BP87" i="63"/>
  <c r="BN103" i="63"/>
  <c r="BL103" i="63"/>
  <c r="BK140" i="63"/>
  <c r="BP48" i="63"/>
  <c r="BO147" i="63"/>
  <c r="BM89" i="63"/>
  <c r="BR89" i="63"/>
  <c r="BK158" i="63"/>
  <c r="BR175" i="63"/>
  <c r="BL175" i="63"/>
  <c r="BR86" i="63"/>
  <c r="BO39" i="63"/>
  <c r="BN43" i="63"/>
  <c r="BQ52" i="63"/>
  <c r="BP124" i="63"/>
  <c r="BI4" i="63"/>
  <c r="BH6" i="63"/>
  <c r="BP114" i="63"/>
  <c r="BG64" i="63"/>
  <c r="BL4" i="63"/>
  <c r="BO6" i="63"/>
  <c r="BN21" i="63"/>
  <c r="BL64" i="63"/>
  <c r="BJ70" i="63"/>
  <c r="BM106" i="63"/>
  <c r="BN3" i="63"/>
  <c r="BH3" i="63"/>
  <c r="BK19" i="63"/>
  <c r="BL84" i="63"/>
  <c r="BH130" i="63"/>
  <c r="BJ76" i="63"/>
  <c r="BI68" i="63"/>
  <c r="BK11" i="63"/>
  <c r="BP11" i="63"/>
  <c r="BM50" i="63"/>
  <c r="BO140" i="63"/>
  <c r="BH155" i="63"/>
  <c r="BQ127" i="63"/>
  <c r="BI125" i="63"/>
  <c r="BO154" i="63"/>
  <c r="BH158" i="63"/>
  <c r="BN158" i="63"/>
  <c r="BQ54" i="63"/>
  <c r="BR74" i="63"/>
  <c r="BK135" i="63"/>
  <c r="BR166" i="63"/>
  <c r="BP8" i="63"/>
  <c r="BO64" i="63"/>
  <c r="BG55" i="63"/>
  <c r="BL112" i="63"/>
  <c r="BJ105" i="63"/>
  <c r="BO105" i="63"/>
  <c r="BM136" i="63"/>
  <c r="BL137" i="63"/>
  <c r="BQ137" i="63"/>
  <c r="BI156" i="63"/>
  <c r="BI179" i="63"/>
  <c r="BH128" i="63"/>
  <c r="BM99" i="63"/>
  <c r="BH99" i="63"/>
  <c r="BI175" i="63"/>
  <c r="BL53" i="63"/>
  <c r="BM170" i="63"/>
  <c r="BL144" i="63"/>
  <c r="BG84" i="63"/>
  <c r="BO75" i="63"/>
  <c r="BM83" i="63"/>
  <c r="BR88" i="63"/>
  <c r="BM128" i="63"/>
  <c r="BM127" i="63"/>
  <c r="BP127" i="63"/>
  <c r="BQ107" i="63"/>
  <c r="BK107" i="63"/>
  <c r="BP107" i="63"/>
  <c r="BJ115" i="63"/>
  <c r="BO115" i="63"/>
  <c r="BJ126" i="63"/>
  <c r="BJ72" i="63"/>
  <c r="BH27" i="63"/>
  <c r="BN6" i="63"/>
  <c r="BI64" i="63"/>
  <c r="BM72" i="63"/>
  <c r="BP80" i="63"/>
  <c r="BN135" i="63"/>
  <c r="BH144" i="63"/>
  <c r="BM4" i="63"/>
  <c r="BJ8" i="63"/>
  <c r="BR64" i="63"/>
  <c r="BJ19" i="63"/>
  <c r="BR27" i="63"/>
  <c r="BR9" i="63"/>
  <c r="BO68" i="63"/>
  <c r="BO76" i="63"/>
  <c r="BH33" i="63"/>
  <c r="BI33" i="63"/>
  <c r="BM45" i="63"/>
  <c r="BQ19" i="63"/>
  <c r="BL15" i="63"/>
  <c r="BL23" i="63"/>
  <c r="BG133" i="63"/>
  <c r="BJ135" i="63"/>
  <c r="BI144" i="63"/>
  <c r="BH83" i="63"/>
  <c r="BM130" i="63"/>
  <c r="BK27" i="63"/>
  <c r="BO82" i="63"/>
  <c r="BP19" i="63"/>
  <c r="BM18" i="63"/>
  <c r="BK26" i="63"/>
  <c r="BK49" i="63"/>
  <c r="BP49" i="63"/>
  <c r="BJ136" i="63"/>
  <c r="BH102" i="63"/>
  <c r="BQ129" i="63"/>
  <c r="BG176" i="63"/>
  <c r="BL176" i="63"/>
  <c r="BQ176" i="63"/>
  <c r="BR167" i="63"/>
  <c r="BI66" i="63"/>
  <c r="BM66" i="63"/>
  <c r="BK4" i="63"/>
  <c r="BN66" i="63"/>
  <c r="BR66" i="63"/>
  <c r="BK59" i="63"/>
  <c r="BQ59" i="63"/>
  <c r="BH157" i="63"/>
  <c r="BK6" i="63"/>
  <c r="BQ6" i="63"/>
  <c r="BN10" i="63"/>
  <c r="BL10" i="63"/>
  <c r="BP86" i="63"/>
  <c r="BQ86" i="63"/>
  <c r="BP43" i="63"/>
  <c r="BI8" i="63"/>
  <c r="BN64" i="63"/>
  <c r="BR72" i="63"/>
  <c r="BL80" i="63"/>
  <c r="BJ80" i="63"/>
  <c r="BM133" i="63"/>
  <c r="BN144" i="63"/>
  <c r="BO56" i="63"/>
  <c r="BN65" i="63"/>
  <c r="BR68" i="63"/>
  <c r="BP76" i="63"/>
  <c r="BK37" i="63"/>
  <c r="BH124" i="63"/>
  <c r="BI124" i="63"/>
  <c r="BI23" i="63"/>
  <c r="BQ23" i="63"/>
  <c r="BO74" i="63"/>
  <c r="BL133" i="63"/>
  <c r="BM53" i="63"/>
  <c r="BR18" i="63"/>
  <c r="BQ26" i="63"/>
  <c r="BQ11" i="63"/>
  <c r="BG131" i="63"/>
  <c r="BK129" i="63"/>
  <c r="BH71" i="63"/>
  <c r="BJ160" i="63"/>
  <c r="BM167" i="63"/>
  <c r="BO47" i="63"/>
  <c r="BG54" i="63"/>
  <c r="BP57" i="63"/>
  <c r="BO63" i="63"/>
  <c r="BP63" i="63"/>
  <c r="BH63" i="63"/>
  <c r="BL166" i="63"/>
  <c r="BP4" i="63"/>
  <c r="BJ6" i="63"/>
  <c r="BJ77" i="63"/>
  <c r="BK35" i="63"/>
  <c r="BL18" i="63"/>
  <c r="BP26" i="63"/>
  <c r="BL11" i="63"/>
  <c r="BM34" i="63"/>
  <c r="BR34" i="63"/>
  <c r="BL34" i="63"/>
  <c r="BQ42" i="63"/>
  <c r="BK42" i="63"/>
  <c r="BP42" i="63"/>
  <c r="BI49" i="63"/>
  <c r="BM155" i="63"/>
  <c r="BH156" i="63"/>
  <c r="BN156" i="63"/>
  <c r="BJ107" i="63"/>
  <c r="BO107" i="63"/>
  <c r="BI115" i="63"/>
  <c r="BN115" i="63"/>
  <c r="BH115" i="63"/>
  <c r="BP79" i="63"/>
  <c r="BO33" i="63"/>
  <c r="BJ73" i="63"/>
  <c r="BI155" i="63"/>
  <c r="BH10" i="63"/>
  <c r="BN51" i="63"/>
  <c r="BH51" i="63"/>
  <c r="BJ63" i="63"/>
  <c r="BI63" i="63"/>
  <c r="BH56" i="63"/>
  <c r="BK43" i="63"/>
  <c r="BJ4" i="63"/>
  <c r="BP41" i="63"/>
  <c r="BQ15" i="63"/>
  <c r="BG27" i="63"/>
  <c r="BL82" i="63"/>
  <c r="BO65" i="63"/>
  <c r="BQ81" i="63"/>
  <c r="BK116" i="63"/>
  <c r="BJ116" i="63"/>
  <c r="BQ10" i="63"/>
  <c r="BH67" i="63"/>
  <c r="BQ75" i="63"/>
  <c r="BJ88" i="63"/>
  <c r="BG69" i="63"/>
  <c r="BG71" i="63"/>
  <c r="BR51" i="63"/>
  <c r="BP59" i="63"/>
  <c r="BN7" i="63"/>
  <c r="BK7" i="63"/>
  <c r="BM33" i="63"/>
  <c r="BR45" i="63"/>
  <c r="BP6" i="63"/>
  <c r="BI9" i="63"/>
  <c r="BP81" i="63"/>
  <c r="BI116" i="63"/>
  <c r="BG155" i="63"/>
  <c r="BQ67" i="63"/>
  <c r="BO83" i="63"/>
  <c r="BL77" i="63"/>
  <c r="BG108" i="63"/>
  <c r="BL108" i="63"/>
  <c r="BI79" i="63"/>
  <c r="BN86" i="63"/>
  <c r="BH86" i="63"/>
  <c r="BO173" i="63"/>
  <c r="BK39" i="63"/>
  <c r="BL45" i="63"/>
  <c r="BP27" i="63"/>
  <c r="BL56" i="63"/>
  <c r="BN56" i="63"/>
  <c r="BP126" i="63"/>
  <c r="BN33" i="63"/>
  <c r="BJ166" i="63"/>
  <c r="BM5" i="63"/>
  <c r="BQ18" i="63"/>
  <c r="BK18" i="63"/>
  <c r="BP18" i="63"/>
  <c r="BJ26" i="63"/>
  <c r="BO26" i="63"/>
  <c r="BM87" i="63"/>
  <c r="BR87" i="63"/>
  <c r="BJ112" i="63"/>
  <c r="BJ140" i="63"/>
  <c r="BI69" i="63"/>
  <c r="BM77" i="63"/>
  <c r="BH175" i="63"/>
  <c r="BP66" i="63"/>
  <c r="BJ74" i="63"/>
  <c r="BH82" i="63"/>
  <c r="BI7" i="63"/>
  <c r="BL74" i="63"/>
  <c r="BR19" i="63"/>
  <c r="BR23" i="63"/>
  <c r="BQ55" i="63"/>
  <c r="BI103" i="63"/>
  <c r="BM112" i="63"/>
  <c r="BQ71" i="63"/>
  <c r="BM3" i="63"/>
  <c r="BH11" i="63"/>
  <c r="BM11" i="63"/>
  <c r="BJ50" i="63"/>
  <c r="BJ65" i="63"/>
  <c r="BL81" i="63"/>
  <c r="BO98" i="63"/>
  <c r="BP116" i="63"/>
  <c r="BN155" i="63"/>
  <c r="BL67" i="63"/>
  <c r="BJ83" i="63"/>
  <c r="BH131" i="63"/>
  <c r="BM68" i="63"/>
  <c r="BH177" i="63"/>
  <c r="BR10" i="63"/>
  <c r="BN67" i="63"/>
  <c r="BL75" i="63"/>
  <c r="BM104" i="63"/>
  <c r="BR104" i="63"/>
  <c r="BM123" i="63"/>
  <c r="BR123" i="63"/>
  <c r="BL123" i="63"/>
  <c r="BK131" i="63"/>
  <c r="BM51" i="63"/>
  <c r="BI89" i="63"/>
  <c r="BN89" i="63"/>
  <c r="BK53" i="63"/>
  <c r="BR79" i="63"/>
  <c r="BN167" i="63"/>
  <c r="BG157" i="63"/>
  <c r="BN71" i="63"/>
  <c r="BM79" i="63"/>
  <c r="BG5" i="63"/>
  <c r="BP72" i="63"/>
  <c r="BO69" i="63"/>
  <c r="BI77" i="63"/>
  <c r="BK86" i="63"/>
  <c r="BJ47" i="63"/>
  <c r="BR173" i="63"/>
  <c r="BP173" i="63"/>
  <c r="BO80" i="63"/>
  <c r="BK144" i="63"/>
  <c r="BL88" i="63"/>
  <c r="BR3" i="63"/>
  <c r="BK23" i="63"/>
  <c r="BG19" i="63"/>
  <c r="BQ74" i="63"/>
  <c r="BQ5" i="63"/>
  <c r="BO9" i="63"/>
  <c r="BH68" i="63"/>
  <c r="BJ84" i="63"/>
  <c r="BH45" i="63"/>
  <c r="BR124" i="63"/>
  <c r="BO130" i="63"/>
  <c r="BK130" i="63"/>
  <c r="BM15" i="63"/>
  <c r="BJ15" i="63"/>
  <c r="BM23" i="63"/>
  <c r="BN27" i="63"/>
  <c r="BO66" i="63"/>
  <c r="BI71" i="63"/>
  <c r="BQ82" i="63"/>
  <c r="BK133" i="63"/>
  <c r="BJ56" i="63"/>
  <c r="BG56" i="63"/>
  <c r="BM27" i="63"/>
  <c r="BI133" i="63"/>
  <c r="BG164" i="63"/>
  <c r="BL164" i="63"/>
  <c r="BQ164" i="63"/>
  <c r="BI177" i="63"/>
  <c r="BM16" i="63"/>
  <c r="BR16" i="63"/>
  <c r="BL16" i="63"/>
  <c r="BQ24" i="63"/>
  <c r="BK24" i="63"/>
  <c r="BP24" i="63"/>
  <c r="BP67" i="63"/>
  <c r="BJ75" i="63"/>
  <c r="BK101" i="63"/>
  <c r="BP101" i="63"/>
  <c r="BR128" i="63"/>
  <c r="BM69" i="63"/>
  <c r="BR77" i="63"/>
  <c r="BO108" i="63"/>
  <c r="BN108" i="63"/>
  <c r="BM125" i="63"/>
  <c r="BM175" i="63"/>
  <c r="BH53" i="63"/>
  <c r="BL63" i="63"/>
  <c r="BO160" i="63"/>
  <c r="BO124" i="63"/>
  <c r="BI47" i="63"/>
  <c r="BO144" i="63"/>
  <c r="BO126" i="63"/>
  <c r="BO135" i="63"/>
  <c r="BG166" i="63"/>
  <c r="BJ7" i="63"/>
  <c r="BK41" i="63"/>
  <c r="BP88" i="63"/>
  <c r="BO51" i="63"/>
  <c r="BM59" i="63"/>
  <c r="BL69" i="63"/>
  <c r="BK77" i="63"/>
  <c r="BM107" i="63"/>
  <c r="BR107" i="63"/>
  <c r="BL107" i="63"/>
  <c r="BQ115" i="63"/>
  <c r="BK115" i="63"/>
  <c r="BP115" i="63"/>
  <c r="BR53" i="63"/>
  <c r="BO71" i="63"/>
  <c r="BH79" i="63"/>
  <c r="BG100" i="63"/>
  <c r="BL170" i="63"/>
  <c r="BR170" i="63"/>
  <c r="BR130" i="63"/>
  <c r="BO4" i="63"/>
  <c r="BH15" i="63"/>
  <c r="BG74" i="63"/>
  <c r="BG23" i="63"/>
  <c r="BL155" i="63"/>
  <c r="BJ37" i="63"/>
  <c r="BK88" i="63"/>
  <c r="BK51" i="63"/>
  <c r="BH69" i="63"/>
  <c r="BJ108" i="63"/>
  <c r="BO169" i="63"/>
  <c r="BR81" i="63"/>
  <c r="BH55" i="63"/>
  <c r="BP155" i="63"/>
  <c r="BI10" i="63"/>
  <c r="BL55" i="63"/>
  <c r="BI73" i="63"/>
  <c r="BK67" i="63"/>
  <c r="BQ108" i="63"/>
  <c r="BN53" i="63"/>
  <c r="BR63" i="63"/>
  <c r="BQ63" i="63"/>
  <c r="BJ79" i="63"/>
  <c r="BJ157" i="63"/>
  <c r="BQ148" i="63"/>
  <c r="BL41" i="63"/>
  <c r="BR4" i="63"/>
  <c r="BN76" i="63"/>
  <c r="BN19" i="63"/>
  <c r="BM65" i="63"/>
  <c r="BG116" i="63"/>
  <c r="BL116" i="63"/>
  <c r="BP10" i="63"/>
  <c r="BO10" i="63"/>
  <c r="BR75" i="63"/>
  <c r="BP83" i="63"/>
  <c r="BI88" i="63"/>
  <c r="BR69" i="63"/>
  <c r="BI108" i="63"/>
  <c r="BL79" i="63"/>
  <c r="BL86" i="63"/>
  <c r="BR67" i="63"/>
  <c r="BP75" i="63"/>
  <c r="BG77" i="63"/>
  <c r="BJ53" i="63"/>
  <c r="BQ144" i="63"/>
  <c r="BP7" i="63"/>
  <c r="BN101" i="63"/>
  <c r="BL101" i="63"/>
  <c r="BM101" i="63"/>
  <c r="BH101" i="63"/>
  <c r="W56" i="62"/>
  <c r="W57" i="62"/>
  <c r="V48" i="62"/>
  <c r="V49" i="62"/>
  <c r="W49" i="62"/>
  <c r="U86" i="62"/>
  <c r="W82" i="62"/>
  <c r="U81" i="62"/>
  <c r="W84" i="62"/>
  <c r="V84" i="62"/>
  <c r="U82" i="62"/>
  <c r="Y72" i="62"/>
  <c r="S72" i="62"/>
  <c r="W75" i="62"/>
  <c r="W78" i="62"/>
  <c r="U75" i="62"/>
  <c r="J43" i="62"/>
  <c r="H43" i="62"/>
  <c r="I43" i="62"/>
  <c r="C43" i="62"/>
  <c r="E81" i="62"/>
  <c r="G83" i="62"/>
  <c r="T79" i="62"/>
  <c r="W76" i="62"/>
  <c r="W80" i="62"/>
  <c r="W85" i="62"/>
  <c r="U77" i="62"/>
  <c r="U85" i="62"/>
  <c r="V79" i="62"/>
  <c r="U84" i="62"/>
  <c r="AC72" i="62"/>
  <c r="T72" i="62"/>
  <c r="W72" i="62"/>
  <c r="X72" i="62"/>
  <c r="W79" i="62"/>
  <c r="V76" i="62"/>
  <c r="T83" i="62"/>
  <c r="W77" i="62"/>
  <c r="W81" i="62"/>
  <c r="U78" i="62"/>
  <c r="R72" i="62"/>
  <c r="AB72" i="62"/>
  <c r="AA72" i="62"/>
  <c r="W53" i="62"/>
  <c r="V53" i="62"/>
  <c r="T48" i="62"/>
  <c r="W48" i="62"/>
  <c r="V46" i="62"/>
  <c r="T49" i="62"/>
  <c r="B72" i="62"/>
  <c r="K72" i="62"/>
  <c r="E72" i="62"/>
  <c r="G81" i="62"/>
  <c r="E84" i="62"/>
  <c r="F72" i="62"/>
  <c r="D72" i="62"/>
  <c r="I72" i="62"/>
  <c r="G78" i="62"/>
  <c r="G82" i="62"/>
  <c r="E77" i="62"/>
  <c r="E85" i="62"/>
  <c r="C72" i="62"/>
  <c r="B85" i="62" s="1"/>
  <c r="H72" i="62"/>
  <c r="M72" i="62"/>
  <c r="E76" i="62"/>
  <c r="G75" i="62"/>
  <c r="G79" i="62"/>
  <c r="G72" i="62"/>
  <c r="L72" i="62"/>
  <c r="J72" i="62"/>
  <c r="F43" i="62"/>
  <c r="M43" i="62"/>
  <c r="D43" i="62"/>
  <c r="G43" i="62"/>
  <c r="B43" i="62"/>
  <c r="L43" i="62"/>
  <c r="K43" i="62"/>
  <c r="V81" i="62"/>
  <c r="G86" i="62"/>
  <c r="BK79" i="63"/>
  <c r="BM63" i="63"/>
  <c r="BH166" i="63"/>
  <c r="BN69" i="63"/>
  <c r="BJ86" i="63"/>
  <c r="BO8" i="63"/>
  <c r="BQ8" i="63"/>
  <c r="BO86" i="63"/>
  <c r="BR82" i="63"/>
  <c r="BL59" i="63"/>
  <c r="W55" i="62"/>
  <c r="V83" i="62"/>
  <c r="T56" i="62"/>
  <c r="V52" i="62"/>
  <c r="BI43" i="63"/>
  <c r="E83" i="62"/>
  <c r="W46" i="62"/>
  <c r="W54" i="62"/>
  <c r="T80" i="62"/>
  <c r="V51" i="62"/>
  <c r="BJ87" i="63"/>
  <c r="BP103" i="63"/>
  <c r="BM105" i="63"/>
  <c r="BP105" i="63"/>
  <c r="BM118" i="63"/>
  <c r="BR98" i="63"/>
  <c r="BO137" i="63"/>
  <c r="BJ137" i="63"/>
  <c r="BJ155" i="63"/>
  <c r="BN177" i="63"/>
  <c r="BN179" i="63"/>
  <c r="E82" i="62"/>
  <c r="W86" i="62"/>
  <c r="BO16" i="63"/>
  <c r="BN24" i="63"/>
  <c r="BG104" i="63"/>
  <c r="BJ123" i="63"/>
  <c r="BO123" i="63"/>
  <c r="U79" i="62"/>
  <c r="U83" i="62"/>
  <c r="BJ51" i="63"/>
  <c r="BH59" i="63"/>
  <c r="BQ89" i="63"/>
  <c r="BK89" i="63"/>
  <c r="BQ99" i="63"/>
  <c r="BP102" i="63"/>
  <c r="BQ125" i="63"/>
  <c r="BP125" i="63"/>
  <c r="BO176" i="63"/>
  <c r="BI176" i="63"/>
  <c r="BN176" i="63"/>
  <c r="V80" i="62"/>
  <c r="T52" i="62"/>
  <c r="BQ100" i="63"/>
  <c r="BK170" i="63"/>
  <c r="W50" i="62"/>
  <c r="T85" i="62"/>
  <c r="V57" i="62"/>
  <c r="BH87" i="63"/>
  <c r="BO87" i="63"/>
  <c r="BK103" i="63"/>
  <c r="BK105" i="63"/>
  <c r="BH118" i="63"/>
  <c r="BR118" i="63"/>
  <c r="BM98" i="63"/>
  <c r="BH136" i="63"/>
  <c r="BP137" i="63"/>
  <c r="BL140" i="63"/>
  <c r="BH179" i="63"/>
  <c r="E78" i="62"/>
  <c r="E86" i="62"/>
  <c r="BJ16" i="63"/>
  <c r="BI24" i="63"/>
  <c r="BH24" i="63"/>
  <c r="W47" i="62"/>
  <c r="W51" i="62"/>
  <c r="T81" i="62"/>
  <c r="V47" i="62"/>
  <c r="BM49" i="63"/>
  <c r="BI87" i="63"/>
  <c r="BN87" i="63"/>
  <c r="BG118" i="63"/>
  <c r="BL118" i="63"/>
  <c r="BQ118" i="63"/>
  <c r="BK98" i="63"/>
  <c r="BH98" i="63"/>
  <c r="BQ98" i="63"/>
  <c r="BR136" i="63"/>
  <c r="BL136" i="63"/>
  <c r="BM156" i="63"/>
  <c r="BJ156" i="63"/>
  <c r="BQ177" i="63"/>
  <c r="E79" i="62"/>
  <c r="BM10" i="63"/>
  <c r="BI16" i="63"/>
  <c r="BN16" i="63"/>
  <c r="BH16" i="63"/>
  <c r="BM24" i="63"/>
  <c r="BR24" i="63"/>
  <c r="BL24" i="63"/>
  <c r="BO104" i="63"/>
  <c r="BQ101" i="63"/>
  <c r="BJ111" i="63"/>
  <c r="BO111" i="63"/>
  <c r="BI123" i="63"/>
  <c r="BN123" i="63"/>
  <c r="BH123" i="63"/>
  <c r="BK128" i="63"/>
  <c r="BQ128" i="63"/>
  <c r="BO131" i="63"/>
  <c r="BQ131" i="63"/>
  <c r="BM174" i="63"/>
  <c r="U76" i="62"/>
  <c r="U80" i="62"/>
  <c r="BG46" i="63"/>
  <c r="BI38" i="63"/>
  <c r="BN38" i="63"/>
  <c r="BH38" i="63"/>
  <c r="BM46" i="63"/>
  <c r="BR46" i="63"/>
  <c r="BL46" i="63"/>
  <c r="BJ99" i="63"/>
  <c r="BK113" i="63"/>
  <c r="BP113" i="63"/>
  <c r="BJ125" i="63"/>
  <c r="BH129" i="63"/>
  <c r="BN129" i="63"/>
  <c r="BL154" i="63"/>
  <c r="BH176" i="63"/>
  <c r="BM176" i="63"/>
  <c r="BR176" i="63"/>
  <c r="V77" i="62"/>
  <c r="T53" i="62"/>
  <c r="BO79" i="63"/>
  <c r="BO100" i="63"/>
  <c r="BM97" i="63"/>
  <c r="BH97" i="63"/>
  <c r="BG172" i="63"/>
  <c r="BG173" i="63"/>
  <c r="BI39" i="63"/>
  <c r="BN111" i="63"/>
  <c r="BH111" i="63"/>
  <c r="BH110" i="63"/>
  <c r="BM110" i="63"/>
  <c r="BR110" i="63"/>
  <c r="BM102" i="63"/>
  <c r="BR102" i="63"/>
  <c r="BO125" i="63"/>
  <c r="V78" i="62"/>
  <c r="BM86" i="63"/>
  <c r="BK172" i="63"/>
  <c r="BL157" i="63"/>
  <c r="BJ173" i="63"/>
  <c r="BP39" i="63"/>
  <c r="BO11" i="63"/>
  <c r="BI11" i="63"/>
  <c r="BI18" i="63"/>
  <c r="BN18" i="63"/>
  <c r="BH18" i="63"/>
  <c r="BM26" i="63"/>
  <c r="BR26" i="63"/>
  <c r="BL26" i="63"/>
  <c r="BL50" i="63"/>
  <c r="BN49" i="63"/>
  <c r="BH49" i="63"/>
  <c r="BR103" i="63"/>
  <c r="BI136" i="63"/>
  <c r="BK156" i="63"/>
  <c r="BL177" i="63"/>
  <c r="BK179" i="63"/>
  <c r="BL127" i="63"/>
  <c r="BR127" i="63"/>
  <c r="BQ147" i="63"/>
  <c r="BJ113" i="63"/>
  <c r="BO113" i="63"/>
  <c r="BQ160" i="63"/>
  <c r="BP160" i="63"/>
  <c r="BO172" i="63"/>
  <c r="BJ71" i="63"/>
  <c r="BK63" i="63"/>
  <c r="BP71" i="63"/>
  <c r="BN63" i="63"/>
  <c r="BM71" i="63"/>
  <c r="BN79" i="63"/>
  <c r="BM166" i="63"/>
  <c r="BI34" i="63"/>
  <c r="BN34" i="63"/>
  <c r="BH34" i="63"/>
  <c r="BM42" i="63"/>
  <c r="BR42" i="63"/>
  <c r="BL42" i="63"/>
  <c r="BN50" i="63"/>
  <c r="BO103" i="63"/>
  <c r="BO136" i="63"/>
  <c r="BO164" i="63"/>
  <c r="BI164" i="63"/>
  <c r="BN164" i="63"/>
  <c r="BJ179" i="63"/>
  <c r="BM111" i="63"/>
  <c r="BI127" i="63"/>
  <c r="BJ89" i="63"/>
  <c r="BO89" i="63"/>
  <c r="BJ129" i="63"/>
  <c r="BH100" i="63"/>
  <c r="BN100" i="63"/>
  <c r="BI170" i="63"/>
  <c r="BH50" i="63"/>
  <c r="BQ105" i="63"/>
  <c r="BN136" i="63"/>
  <c r="BM177" i="63"/>
  <c r="BM147" i="63"/>
  <c r="BP147" i="63"/>
  <c r="BQ38" i="63"/>
  <c r="BK38" i="63"/>
  <c r="BP38" i="63"/>
  <c r="BJ46" i="63"/>
  <c r="BO46" i="63"/>
  <c r="BR99" i="63"/>
  <c r="BG102" i="63"/>
  <c r="BK125" i="63"/>
  <c r="BO129" i="63"/>
  <c r="BK154" i="63"/>
  <c r="BJ158" i="63"/>
  <c r="BP93" i="63"/>
  <c r="BJ93" i="63"/>
  <c r="BO93" i="63"/>
  <c r="BM100" i="63"/>
  <c r="BN97" i="63"/>
  <c r="BL97" i="63"/>
  <c r="BP170" i="63"/>
  <c r="BR155" i="63"/>
  <c r="BO148" i="63"/>
  <c r="BI174" i="63"/>
  <c r="BL174" i="63"/>
  <c r="BQ113" i="63"/>
  <c r="BI160" i="63"/>
  <c r="BL160" i="63"/>
  <c r="BR160" i="63"/>
  <c r="BQ170" i="63"/>
  <c r="V85" i="62"/>
  <c r="T54" i="62"/>
  <c r="BO35" i="63"/>
  <c r="BN39" i="63"/>
  <c r="BO43" i="63"/>
  <c r="BN47" i="63"/>
  <c r="V56" i="62"/>
  <c r="T86" i="62"/>
  <c r="BR165" i="63"/>
  <c r="T78" i="62"/>
  <c r="T82" i="62"/>
  <c r="V50" i="62"/>
  <c r="V54" i="62"/>
  <c r="BJ34" i="63"/>
  <c r="BO34" i="63"/>
  <c r="BI42" i="63"/>
  <c r="BN42" i="63"/>
  <c r="BH42" i="63"/>
  <c r="BQ49" i="63"/>
  <c r="BQ87" i="63"/>
  <c r="BK87" i="63"/>
  <c r="BO118" i="63"/>
  <c r="BI118" i="63"/>
  <c r="BN118" i="63"/>
  <c r="BI98" i="63"/>
  <c r="BN98" i="63"/>
  <c r="BQ136" i="63"/>
  <c r="BK137" i="63"/>
  <c r="BO156" i="63"/>
  <c r="BK164" i="63"/>
  <c r="BP164" i="63"/>
  <c r="BJ164" i="63"/>
  <c r="BM179" i="63"/>
  <c r="BP179" i="63"/>
  <c r="BH104" i="63"/>
  <c r="BM129" i="63"/>
  <c r="E56" i="62"/>
  <c r="BQ165" i="63"/>
  <c r="BI128" i="63"/>
  <c r="BL54" i="63"/>
  <c r="BK127" i="63"/>
  <c r="BP174" i="63"/>
  <c r="BI158" i="63"/>
  <c r="BR49" i="63"/>
  <c r="BL49" i="63"/>
  <c r="BL87" i="63"/>
  <c r="BJ103" i="63"/>
  <c r="BN105" i="63"/>
  <c r="BH105" i="63"/>
  <c r="BK118" i="63"/>
  <c r="BP118" i="63"/>
  <c r="BJ118" i="63"/>
  <c r="BL98" i="63"/>
  <c r="BJ98" i="63"/>
  <c r="BK136" i="63"/>
  <c r="BP136" i="63"/>
  <c r="BG137" i="63"/>
  <c r="BI137" i="63"/>
  <c r="BN137" i="63"/>
  <c r="BQ156" i="63"/>
  <c r="BP156" i="63"/>
  <c r="BI165" i="63"/>
  <c r="BQ179" i="63"/>
  <c r="BK104" i="63"/>
  <c r="BQ104" i="63"/>
  <c r="BG127" i="63"/>
  <c r="BI101" i="63"/>
  <c r="BI111" i="63"/>
  <c r="BK111" i="63"/>
  <c r="BP111" i="63"/>
  <c r="BN128" i="63"/>
  <c r="BP128" i="63"/>
  <c r="BO127" i="63"/>
  <c r="BJ127" i="63"/>
  <c r="BL147" i="63"/>
  <c r="BR147" i="63"/>
  <c r="BP89" i="63"/>
  <c r="BI99" i="63"/>
  <c r="BO110" i="63"/>
  <c r="BI110" i="63"/>
  <c r="BN110" i="63"/>
  <c r="BM113" i="63"/>
  <c r="BI102" i="63"/>
  <c r="BN102" i="63"/>
  <c r="BL125" i="63"/>
  <c r="BR125" i="63"/>
  <c r="BM158" i="63"/>
  <c r="BP158" i="63"/>
  <c r="BK176" i="63"/>
  <c r="BP176" i="63"/>
  <c r="BJ176" i="63"/>
  <c r="V82" i="62"/>
  <c r="V86" i="62"/>
  <c r="T47" i="62"/>
  <c r="T51" i="62"/>
  <c r="T55" i="62"/>
  <c r="BH93" i="63"/>
  <c r="BM93" i="63"/>
  <c r="BR93" i="63"/>
  <c r="BO97" i="63"/>
  <c r="BH160" i="63"/>
  <c r="BN160" i="63"/>
  <c r="BL167" i="63"/>
  <c r="BQ172" i="63"/>
  <c r="BP100" i="63"/>
  <c r="BJ170" i="63"/>
  <c r="BG16" i="63"/>
  <c r="BP104" i="63"/>
  <c r="BQ123" i="63"/>
  <c r="BK123" i="63"/>
  <c r="BP123" i="63"/>
  <c r="BJ128" i="63"/>
  <c r="BL128" i="63"/>
  <c r="BI147" i="63"/>
  <c r="BH147" i="63"/>
  <c r="BN147" i="63"/>
  <c r="BG38" i="63"/>
  <c r="BN99" i="63"/>
  <c r="BL99" i="63"/>
  <c r="BK110" i="63"/>
  <c r="BP110" i="63"/>
  <c r="BJ110" i="63"/>
  <c r="BI113" i="63"/>
  <c r="BR113" i="63"/>
  <c r="BL113" i="63"/>
  <c r="BL102" i="63"/>
  <c r="BJ102" i="63"/>
  <c r="BH125" i="63"/>
  <c r="BN125" i="63"/>
  <c r="BL129" i="63"/>
  <c r="BR129" i="63"/>
  <c r="BL158" i="63"/>
  <c r="BR158" i="63"/>
  <c r="T46" i="62"/>
  <c r="T50" i="62"/>
  <c r="BI93" i="63"/>
  <c r="BN93" i="63"/>
  <c r="BK97" i="63"/>
  <c r="BP97" i="63"/>
  <c r="BM160" i="63"/>
  <c r="BK160" i="63"/>
  <c r="BO170" i="63"/>
  <c r="BH170" i="63"/>
  <c r="BN170" i="63"/>
  <c r="BQ167" i="63"/>
  <c r="BH167" i="63"/>
  <c r="BI172" i="63"/>
  <c r="R50" i="62"/>
  <c r="F17" i="64" s="1"/>
  <c r="R47" i="62"/>
  <c r="C17" i="64" s="1"/>
  <c r="R46" i="62"/>
  <c r="BM165" i="63"/>
  <c r="BN165" i="63"/>
  <c r="B28" i="62"/>
  <c r="B26" i="62"/>
  <c r="B24" i="62"/>
  <c r="B22" i="62"/>
  <c r="B20" i="62"/>
  <c r="B27" i="62"/>
  <c r="B25" i="62"/>
  <c r="B23" i="62"/>
  <c r="B21" i="62"/>
  <c r="B19" i="62"/>
  <c r="BM40" i="63"/>
  <c r="BR40" i="63"/>
  <c r="BL40" i="63"/>
  <c r="BR101" i="63"/>
  <c r="BO101" i="63"/>
  <c r="BQ111" i="63"/>
  <c r="BR111" i="63"/>
  <c r="BL111" i="63"/>
  <c r="BQ143" i="63"/>
  <c r="BH143" i="63"/>
  <c r="BN143" i="63"/>
  <c r="BO174" i="63"/>
  <c r="BH174" i="63"/>
  <c r="G57" i="62"/>
  <c r="G56" i="62"/>
  <c r="G55" i="62"/>
  <c r="G54" i="62"/>
  <c r="G53" i="62"/>
  <c r="G52" i="62"/>
  <c r="G51" i="62"/>
  <c r="G50" i="62"/>
  <c r="G49" i="62"/>
  <c r="G48" i="62"/>
  <c r="G47" i="62"/>
  <c r="G46" i="62"/>
  <c r="BQ14" i="63"/>
  <c r="BK14" i="63"/>
  <c r="BP14" i="63"/>
  <c r="BJ22" i="63"/>
  <c r="BO22" i="63"/>
  <c r="BN94" i="63"/>
  <c r="BO94" i="63"/>
  <c r="BI94" i="63"/>
  <c r="BL85" i="63"/>
  <c r="BQ85" i="63"/>
  <c r="BK85" i="63"/>
  <c r="BL89" i="63"/>
  <c r="BN95" i="63"/>
  <c r="BO95" i="63"/>
  <c r="BN113" i="63"/>
  <c r="BH113" i="63"/>
  <c r="BM117" i="63"/>
  <c r="BR117" i="63"/>
  <c r="BL117" i="63"/>
  <c r="BP129" i="63"/>
  <c r="BI138" i="63"/>
  <c r="BN138" i="63"/>
  <c r="BH138" i="63"/>
  <c r="BQ162" i="63"/>
  <c r="BO162" i="63"/>
  <c r="BJ162" i="63"/>
  <c r="BQ12" i="63"/>
  <c r="BK12" i="63"/>
  <c r="BP12" i="63"/>
  <c r="BQ20" i="63"/>
  <c r="BK20" i="63"/>
  <c r="BP20" i="63"/>
  <c r="BQ28" i="63"/>
  <c r="BK28" i="63"/>
  <c r="BP28" i="63"/>
  <c r="BJ36" i="63"/>
  <c r="BO36" i="63"/>
  <c r="BJ44" i="63"/>
  <c r="BO44" i="63"/>
  <c r="BL93" i="63"/>
  <c r="BQ93" i="63"/>
  <c r="BK93" i="63"/>
  <c r="BH96" i="63"/>
  <c r="BI96" i="63"/>
  <c r="BN96" i="63"/>
  <c r="BI97" i="63"/>
  <c r="BJ119" i="63"/>
  <c r="BO119" i="63"/>
  <c r="BJ109" i="63"/>
  <c r="BO109" i="63"/>
  <c r="BO149" i="63"/>
  <c r="BH149" i="63"/>
  <c r="BN149" i="63"/>
  <c r="BO145" i="63"/>
  <c r="BH145" i="63"/>
  <c r="BN145" i="63"/>
  <c r="BI134" i="63"/>
  <c r="BK134" i="63"/>
  <c r="BP134" i="63"/>
  <c r="BM168" i="63"/>
  <c r="BP168" i="63"/>
  <c r="E49" i="62"/>
  <c r="E53" i="62"/>
  <c r="E57" i="62"/>
  <c r="B75" i="62"/>
  <c r="D78" i="62"/>
  <c r="D82" i="62"/>
  <c r="D86" i="62"/>
  <c r="BQ40" i="63"/>
  <c r="BK40" i="63"/>
  <c r="BP40" i="63"/>
  <c r="BG143" i="63"/>
  <c r="BK143" i="63"/>
  <c r="BL143" i="63"/>
  <c r="BR143" i="63"/>
  <c r="B115" i="62"/>
  <c r="M36" i="64" s="1"/>
  <c r="B113" i="62"/>
  <c r="K36" i="64" s="1"/>
  <c r="B111" i="62"/>
  <c r="I36" i="64" s="1"/>
  <c r="B109" i="62"/>
  <c r="G36" i="64" s="1"/>
  <c r="B107" i="62"/>
  <c r="B105" i="62"/>
  <c r="C36" i="64" s="1"/>
  <c r="B114" i="62"/>
  <c r="L36" i="64" s="1"/>
  <c r="B112" i="62"/>
  <c r="J36" i="64" s="1"/>
  <c r="B110" i="62"/>
  <c r="H36" i="64" s="1"/>
  <c r="B108" i="62"/>
  <c r="F36" i="64" s="1"/>
  <c r="B106" i="62"/>
  <c r="D36" i="64" s="1"/>
  <c r="B104" i="62"/>
  <c r="B36" i="64" s="1"/>
  <c r="Z85" i="64" s="1"/>
  <c r="BJ14" i="63"/>
  <c r="BO14" i="63"/>
  <c r="BI22" i="63"/>
  <c r="BN22" i="63"/>
  <c r="BH22" i="63"/>
  <c r="BR94" i="63"/>
  <c r="BH94" i="63"/>
  <c r="BM94" i="63"/>
  <c r="BP85" i="63"/>
  <c r="BJ85" i="63"/>
  <c r="BO85" i="63"/>
  <c r="BJ95" i="63"/>
  <c r="BI95" i="63"/>
  <c r="BH95" i="63"/>
  <c r="BQ117" i="63"/>
  <c r="BK117" i="63"/>
  <c r="BP117" i="63"/>
  <c r="BM138" i="63"/>
  <c r="BR138" i="63"/>
  <c r="BL138" i="63"/>
  <c r="BI162" i="63"/>
  <c r="BH162" i="63"/>
  <c r="BN162" i="63"/>
  <c r="BJ12" i="63"/>
  <c r="BO12" i="63"/>
  <c r="BJ20" i="63"/>
  <c r="BO20" i="63"/>
  <c r="BJ28" i="63"/>
  <c r="BO28" i="63"/>
  <c r="BI36" i="63"/>
  <c r="BN36" i="63"/>
  <c r="BH36" i="63"/>
  <c r="BI44" i="63"/>
  <c r="BN44" i="63"/>
  <c r="BH44" i="63"/>
  <c r="BP96" i="63"/>
  <c r="BM96" i="63"/>
  <c r="BR96" i="63"/>
  <c r="BM119" i="63"/>
  <c r="BN119" i="63"/>
  <c r="BH119" i="63"/>
  <c r="BI109" i="63"/>
  <c r="BN109" i="63"/>
  <c r="BH109" i="63"/>
  <c r="BI149" i="63"/>
  <c r="BL149" i="63"/>
  <c r="BR149" i="63"/>
  <c r="BI145" i="63"/>
  <c r="BL145" i="63"/>
  <c r="BR145" i="63"/>
  <c r="BJ134" i="63"/>
  <c r="BO134" i="63"/>
  <c r="BQ168" i="63"/>
  <c r="BO168" i="63"/>
  <c r="BJ168" i="63"/>
  <c r="E50" i="62"/>
  <c r="E54" i="62"/>
  <c r="D79" i="62"/>
  <c r="D83" i="62"/>
  <c r="F57" i="62"/>
  <c r="F56" i="62"/>
  <c r="F55" i="62"/>
  <c r="F54" i="62"/>
  <c r="F53" i="62"/>
  <c r="F52" i="62"/>
  <c r="F51" i="62"/>
  <c r="F50" i="62"/>
  <c r="F49" i="62"/>
  <c r="F48" i="62"/>
  <c r="F47" i="62"/>
  <c r="F46" i="62"/>
  <c r="R75" i="62"/>
  <c r="B30" i="64" s="1"/>
  <c r="Z69" i="64" s="1"/>
  <c r="BJ40" i="63"/>
  <c r="BO40" i="63"/>
  <c r="BM143" i="63"/>
  <c r="BP143" i="63"/>
  <c r="BI14" i="63"/>
  <c r="BN14" i="63"/>
  <c r="BH14" i="63"/>
  <c r="BM22" i="63"/>
  <c r="BR22" i="63"/>
  <c r="BL22" i="63"/>
  <c r="BJ94" i="63"/>
  <c r="BL94" i="63"/>
  <c r="BQ94" i="63"/>
  <c r="BI85" i="63"/>
  <c r="BN85" i="63"/>
  <c r="BR95" i="63"/>
  <c r="BQ95" i="63"/>
  <c r="BL95" i="63"/>
  <c r="BJ117" i="63"/>
  <c r="BO117" i="63"/>
  <c r="BQ138" i="63"/>
  <c r="BK138" i="63"/>
  <c r="BP138" i="63"/>
  <c r="BK162" i="63"/>
  <c r="BL162" i="63"/>
  <c r="BR162" i="63"/>
  <c r="F86" i="62"/>
  <c r="F85" i="62"/>
  <c r="F84" i="62"/>
  <c r="F83" i="62"/>
  <c r="F82" i="62"/>
  <c r="F81" i="62"/>
  <c r="F80" i="62"/>
  <c r="F79" i="62"/>
  <c r="F78" i="62"/>
  <c r="F77" i="62"/>
  <c r="F76" i="62"/>
  <c r="F75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BI12" i="63"/>
  <c r="BN12" i="63"/>
  <c r="BH12" i="63"/>
  <c r="BI20" i="63"/>
  <c r="BN20" i="63"/>
  <c r="BH20" i="63"/>
  <c r="BI28" i="63"/>
  <c r="BN28" i="63"/>
  <c r="BH28" i="63"/>
  <c r="BM36" i="63"/>
  <c r="BR36" i="63"/>
  <c r="BL36" i="63"/>
  <c r="BM44" i="63"/>
  <c r="BR44" i="63"/>
  <c r="BL44" i="63"/>
  <c r="BG96" i="63"/>
  <c r="BK96" i="63"/>
  <c r="BQ96" i="63"/>
  <c r="BQ119" i="63"/>
  <c r="BR119" i="63"/>
  <c r="BL119" i="63"/>
  <c r="BM109" i="63"/>
  <c r="BR109" i="63"/>
  <c r="BL109" i="63"/>
  <c r="BQ149" i="63"/>
  <c r="BP149" i="63"/>
  <c r="BQ145" i="63"/>
  <c r="BP145" i="63"/>
  <c r="BM134" i="63"/>
  <c r="BN134" i="63"/>
  <c r="BH134" i="63"/>
  <c r="BI168" i="63"/>
  <c r="BH168" i="63"/>
  <c r="BN168" i="63"/>
  <c r="E47" i="62"/>
  <c r="E51" i="62"/>
  <c r="E55" i="62"/>
  <c r="D76" i="62"/>
  <c r="D80" i="62"/>
  <c r="D84" i="62"/>
  <c r="BJ165" i="63"/>
  <c r="U57" i="62"/>
  <c r="U56" i="62"/>
  <c r="U55" i="62"/>
  <c r="U54" i="62"/>
  <c r="U53" i="62"/>
  <c r="U52" i="62"/>
  <c r="U51" i="62"/>
  <c r="U50" i="62"/>
  <c r="U49" i="62"/>
  <c r="U48" i="62"/>
  <c r="U47" i="62"/>
  <c r="U46" i="62"/>
  <c r="B144" i="62"/>
  <c r="B142" i="62"/>
  <c r="B140" i="62"/>
  <c r="B138" i="62"/>
  <c r="B136" i="62"/>
  <c r="B134" i="62"/>
  <c r="B143" i="62"/>
  <c r="B141" i="62"/>
  <c r="B139" i="62"/>
  <c r="B137" i="62"/>
  <c r="B135" i="62"/>
  <c r="B133" i="62"/>
  <c r="BI40" i="63"/>
  <c r="BN40" i="63"/>
  <c r="BH40" i="63"/>
  <c r="BI143" i="63"/>
  <c r="BO143" i="63"/>
  <c r="BJ143" i="63"/>
  <c r="BM14" i="63"/>
  <c r="BR14" i="63"/>
  <c r="BL14" i="63"/>
  <c r="BQ22" i="63"/>
  <c r="BK22" i="63"/>
  <c r="BP22" i="63"/>
  <c r="BK94" i="63"/>
  <c r="BP94" i="63"/>
  <c r="BH85" i="63"/>
  <c r="BM85" i="63"/>
  <c r="BR85" i="63"/>
  <c r="BM95" i="63"/>
  <c r="BK95" i="63"/>
  <c r="BP95" i="63"/>
  <c r="BI117" i="63"/>
  <c r="BN117" i="63"/>
  <c r="BH117" i="63"/>
  <c r="BJ138" i="63"/>
  <c r="BO138" i="63"/>
  <c r="BM162" i="63"/>
  <c r="BP162" i="63"/>
  <c r="BM12" i="63"/>
  <c r="BR12" i="63"/>
  <c r="BL12" i="63"/>
  <c r="BM20" i="63"/>
  <c r="BR20" i="63"/>
  <c r="BL20" i="63"/>
  <c r="BM28" i="63"/>
  <c r="BR28" i="63"/>
  <c r="BL28" i="63"/>
  <c r="BQ36" i="63"/>
  <c r="BK36" i="63"/>
  <c r="BP36" i="63"/>
  <c r="BQ44" i="63"/>
  <c r="BK44" i="63"/>
  <c r="BP44" i="63"/>
  <c r="BO96" i="63"/>
  <c r="BL96" i="63"/>
  <c r="BJ96" i="63"/>
  <c r="BI119" i="63"/>
  <c r="BK119" i="63"/>
  <c r="BP119" i="63"/>
  <c r="BQ109" i="63"/>
  <c r="BK109" i="63"/>
  <c r="BP109" i="63"/>
  <c r="BM149" i="63"/>
  <c r="BK149" i="63"/>
  <c r="BJ149" i="63"/>
  <c r="BM145" i="63"/>
  <c r="BK145" i="63"/>
  <c r="BJ145" i="63"/>
  <c r="BQ134" i="63"/>
  <c r="BR134" i="63"/>
  <c r="BL134" i="63"/>
  <c r="BK168" i="63"/>
  <c r="BL168" i="63"/>
  <c r="BR168" i="63"/>
  <c r="E48" i="62"/>
  <c r="E52" i="62"/>
  <c r="D77" i="62"/>
  <c r="D81" i="62"/>
  <c r="D85" i="62"/>
  <c r="R51" i="62" l="1"/>
  <c r="G17" i="64" s="1"/>
  <c r="R54" i="62"/>
  <c r="J17" i="64" s="1"/>
  <c r="R52" i="62"/>
  <c r="H17" i="64" s="1"/>
  <c r="K194" i="73"/>
  <c r="K719" i="73" s="1"/>
  <c r="F23" i="73"/>
  <c r="F313" i="73" s="1"/>
  <c r="T5" i="73"/>
  <c r="C159" i="73"/>
  <c r="C637" i="73" s="1"/>
  <c r="Z176" i="73"/>
  <c r="K674" i="73" s="1"/>
  <c r="F159" i="73"/>
  <c r="F637" i="73" s="1"/>
  <c r="E77" i="73"/>
  <c r="E461" i="73" s="1"/>
  <c r="F18" i="73"/>
  <c r="F308" i="73" s="1"/>
  <c r="B76" i="62"/>
  <c r="M162" i="73"/>
  <c r="R48" i="62"/>
  <c r="D17" i="64" s="1"/>
  <c r="C194" i="73"/>
  <c r="C719" i="73" s="1"/>
  <c r="M56" i="73"/>
  <c r="M393" i="73" s="1"/>
  <c r="J98" i="73"/>
  <c r="J482" i="73" s="1"/>
  <c r="B142" i="73"/>
  <c r="B620" i="73" s="1"/>
  <c r="G75" i="73"/>
  <c r="G459" i="73" s="1"/>
  <c r="R76" i="73"/>
  <c r="C433" i="73" s="1"/>
  <c r="E15" i="73"/>
  <c r="E305" i="73" s="1"/>
  <c r="H42" i="64"/>
  <c r="AB107" i="64" s="1"/>
  <c r="H43" i="64"/>
  <c r="M42" i="64"/>
  <c r="AB112" i="64" s="1"/>
  <c r="M43" i="64"/>
  <c r="L24" i="64"/>
  <c r="L23" i="64"/>
  <c r="AB63" i="64" s="1"/>
  <c r="E17" i="64"/>
  <c r="R3" i="62"/>
  <c r="S3" i="62" s="1"/>
  <c r="L42" i="64"/>
  <c r="AB111" i="64" s="1"/>
  <c r="L43" i="64"/>
  <c r="C42" i="64"/>
  <c r="AB102" i="64" s="1"/>
  <c r="C43" i="64"/>
  <c r="J42" i="64"/>
  <c r="AB109" i="64" s="1"/>
  <c r="J43" i="64"/>
  <c r="R7" i="62"/>
  <c r="S7" i="62" s="1"/>
  <c r="E42" i="64"/>
  <c r="AB104" i="64" s="1"/>
  <c r="E43" i="64"/>
  <c r="H18" i="62"/>
  <c r="H19" i="62" s="1"/>
  <c r="B46" i="62"/>
  <c r="G42" i="64"/>
  <c r="AB106" i="64" s="1"/>
  <c r="G43" i="64"/>
  <c r="D42" i="64"/>
  <c r="AB103" i="64" s="1"/>
  <c r="D43" i="64"/>
  <c r="I42" i="64"/>
  <c r="AB108" i="64" s="1"/>
  <c r="I43" i="64"/>
  <c r="B24" i="64"/>
  <c r="Z53" i="64" s="1"/>
  <c r="B23" i="64"/>
  <c r="AB53" i="64" s="1"/>
  <c r="B42" i="64"/>
  <c r="AB101" i="64" s="1"/>
  <c r="B43" i="64"/>
  <c r="Z101" i="64" s="1"/>
  <c r="F42" i="64"/>
  <c r="AB105" i="64" s="1"/>
  <c r="F43" i="64"/>
  <c r="K42" i="64"/>
  <c r="AB110" i="64" s="1"/>
  <c r="K43" i="64"/>
  <c r="E36" i="64"/>
  <c r="R6" i="62"/>
  <c r="S6" i="62" s="1"/>
  <c r="C24" i="64"/>
  <c r="C23" i="64"/>
  <c r="AB54" i="64" s="1"/>
  <c r="R86" i="62"/>
  <c r="M30" i="64" s="1"/>
  <c r="T120" i="73"/>
  <c r="E524" i="73" s="1"/>
  <c r="U39" i="73"/>
  <c r="E7" i="73"/>
  <c r="E297" i="73" s="1"/>
  <c r="U94" i="73"/>
  <c r="F451" i="73" s="1"/>
  <c r="M47" i="73"/>
  <c r="M384" i="73" s="1"/>
  <c r="B15" i="73"/>
  <c r="B305" i="73" s="1"/>
  <c r="F165" i="73"/>
  <c r="F643" i="73" s="1"/>
  <c r="K199" i="73"/>
  <c r="K724" i="73" s="1"/>
  <c r="K64" i="73"/>
  <c r="K401" i="73" s="1"/>
  <c r="G150" i="73"/>
  <c r="G628" i="73" s="1"/>
  <c r="B80" i="73"/>
  <c r="B464" i="73" s="1"/>
  <c r="H19" i="73"/>
  <c r="H309" i="73" s="1"/>
  <c r="D150" i="73"/>
  <c r="D628" i="73" s="1"/>
  <c r="K87" i="73"/>
  <c r="K471" i="73" s="1"/>
  <c r="E48" i="73"/>
  <c r="E385" i="73" s="1"/>
  <c r="AA54" i="73"/>
  <c r="L364" i="73" s="1"/>
  <c r="Y126" i="73"/>
  <c r="J530" i="73" s="1"/>
  <c r="X188" i="73"/>
  <c r="I686" i="73" s="1"/>
  <c r="W159" i="73"/>
  <c r="H610" i="73" s="1"/>
  <c r="X83" i="73"/>
  <c r="I440" i="73" s="1"/>
  <c r="Q11" i="73"/>
  <c r="B274" i="73" s="1"/>
  <c r="J54" i="73"/>
  <c r="J391" i="73" s="1"/>
  <c r="B148" i="73"/>
  <c r="B626" i="73" s="1"/>
  <c r="C150" i="73"/>
  <c r="C628" i="73" s="1"/>
  <c r="J188" i="73"/>
  <c r="J713" i="73" s="1"/>
  <c r="F83" i="73"/>
  <c r="F467" i="73" s="1"/>
  <c r="H61" i="73"/>
  <c r="H398" i="73" s="1"/>
  <c r="U163" i="73"/>
  <c r="F614" i="73" s="1"/>
  <c r="F163" i="73"/>
  <c r="F641" i="73" s="1"/>
  <c r="V110" i="73"/>
  <c r="G514" i="73" s="1"/>
  <c r="G110" i="73"/>
  <c r="G541" i="73" s="1"/>
  <c r="AA50" i="73"/>
  <c r="L360" i="73" s="1"/>
  <c r="L50" i="73"/>
  <c r="L387" i="73" s="1"/>
  <c r="W14" i="73"/>
  <c r="H277" i="73" s="1"/>
  <c r="H14" i="73"/>
  <c r="H304" i="73" s="1"/>
  <c r="Z109" i="73"/>
  <c r="K513" i="73" s="1"/>
  <c r="K109" i="73"/>
  <c r="K540" i="73" s="1"/>
  <c r="AB16" i="73"/>
  <c r="M16" i="73"/>
  <c r="AA167" i="73"/>
  <c r="L618" i="73" s="1"/>
  <c r="L167" i="73"/>
  <c r="L645" i="73" s="1"/>
  <c r="AB190" i="73"/>
  <c r="M190" i="73"/>
  <c r="W163" i="73"/>
  <c r="H614" i="73" s="1"/>
  <c r="H163" i="73"/>
  <c r="H641" i="73" s="1"/>
  <c r="Z123" i="73"/>
  <c r="K527" i="73" s="1"/>
  <c r="K123" i="73"/>
  <c r="K554" i="73" s="1"/>
  <c r="Y110" i="73"/>
  <c r="J514" i="73" s="1"/>
  <c r="J110" i="73"/>
  <c r="J541" i="73" s="1"/>
  <c r="AB30" i="73"/>
  <c r="M30" i="73"/>
  <c r="W22" i="73"/>
  <c r="H285" i="73" s="1"/>
  <c r="H22" i="73"/>
  <c r="H312" i="73" s="1"/>
  <c r="R131" i="73"/>
  <c r="C535" i="73" s="1"/>
  <c r="C131" i="73"/>
  <c r="C562" i="73" s="1"/>
  <c r="U109" i="73"/>
  <c r="F513" i="73" s="1"/>
  <c r="F109" i="73"/>
  <c r="F540" i="73" s="1"/>
  <c r="U24" i="73"/>
  <c r="F287" i="73" s="1"/>
  <c r="F24" i="73"/>
  <c r="F314" i="73" s="1"/>
  <c r="W16" i="73"/>
  <c r="H279" i="73" s="1"/>
  <c r="H16" i="73"/>
  <c r="H306" i="73" s="1"/>
  <c r="S190" i="73"/>
  <c r="D688" i="73" s="1"/>
  <c r="D190" i="73"/>
  <c r="D715" i="73" s="1"/>
  <c r="Z163" i="73"/>
  <c r="K614" i="73" s="1"/>
  <c r="K163" i="73"/>
  <c r="K641" i="73" s="1"/>
  <c r="AB133" i="73"/>
  <c r="M133" i="73"/>
  <c r="Q110" i="73"/>
  <c r="B514" i="73" s="1"/>
  <c r="B110" i="73"/>
  <c r="B541" i="73" s="1"/>
  <c r="V42" i="73"/>
  <c r="G352" i="73" s="1"/>
  <c r="G42" i="73"/>
  <c r="G379" i="73" s="1"/>
  <c r="S22" i="73"/>
  <c r="D285" i="73" s="1"/>
  <c r="D22" i="73"/>
  <c r="D312" i="73" s="1"/>
  <c r="U156" i="73"/>
  <c r="F607" i="73" s="1"/>
  <c r="F156" i="73"/>
  <c r="F634" i="73" s="1"/>
  <c r="V109" i="73"/>
  <c r="G513" i="73" s="1"/>
  <c r="G109" i="73"/>
  <c r="G540" i="73" s="1"/>
  <c r="V24" i="73"/>
  <c r="G287" i="73" s="1"/>
  <c r="G24" i="73"/>
  <c r="G314" i="73" s="1"/>
  <c r="X16" i="73"/>
  <c r="I279" i="73" s="1"/>
  <c r="I16" i="73"/>
  <c r="I306" i="73" s="1"/>
  <c r="Y190" i="73"/>
  <c r="J688" i="73" s="1"/>
  <c r="J190" i="73"/>
  <c r="J715" i="73" s="1"/>
  <c r="AB163" i="73"/>
  <c r="M163" i="73"/>
  <c r="S123" i="73"/>
  <c r="D527" i="73" s="1"/>
  <c r="D123" i="73"/>
  <c r="D554" i="73" s="1"/>
  <c r="X50" i="73"/>
  <c r="I360" i="73" s="1"/>
  <c r="I50" i="73"/>
  <c r="I387" i="73" s="1"/>
  <c r="S42" i="73"/>
  <c r="D352" i="73" s="1"/>
  <c r="D42" i="73"/>
  <c r="D379" i="73" s="1"/>
  <c r="R184" i="73"/>
  <c r="C682" i="73" s="1"/>
  <c r="C184" i="73"/>
  <c r="C709" i="73" s="1"/>
  <c r="R109" i="73"/>
  <c r="C513" i="73" s="1"/>
  <c r="C109" i="73"/>
  <c r="C540" i="73" s="1"/>
  <c r="T95" i="73"/>
  <c r="E452" i="73" s="1"/>
  <c r="E95" i="73"/>
  <c r="E479" i="73" s="1"/>
  <c r="Y16" i="73"/>
  <c r="J279" i="73" s="1"/>
  <c r="J16" i="73"/>
  <c r="J306" i="73" s="1"/>
  <c r="AA46" i="73"/>
  <c r="L356" i="73" s="1"/>
  <c r="L46" i="73"/>
  <c r="L383" i="73" s="1"/>
  <c r="Y50" i="73"/>
  <c r="J360" i="73" s="1"/>
  <c r="J50" i="73"/>
  <c r="J387" i="73" s="1"/>
  <c r="V190" i="73"/>
  <c r="G688" i="73" s="1"/>
  <c r="G190" i="73"/>
  <c r="G715" i="73" s="1"/>
  <c r="AA152" i="73"/>
  <c r="L603" i="73" s="1"/>
  <c r="L152" i="73"/>
  <c r="L630" i="73" s="1"/>
  <c r="T167" i="73"/>
  <c r="E618" i="73" s="1"/>
  <c r="E167" i="73"/>
  <c r="E645" i="73" s="1"/>
  <c r="U123" i="73"/>
  <c r="F527" i="73" s="1"/>
  <c r="F123" i="73"/>
  <c r="F554" i="73" s="1"/>
  <c r="S133" i="73"/>
  <c r="D537" i="73" s="1"/>
  <c r="D133" i="73"/>
  <c r="D564" i="73" s="1"/>
  <c r="Z50" i="73"/>
  <c r="K360" i="73" s="1"/>
  <c r="K50" i="73"/>
  <c r="K387" i="73" s="1"/>
  <c r="U42" i="73"/>
  <c r="F352" i="73" s="1"/>
  <c r="F42" i="73"/>
  <c r="F379" i="73" s="1"/>
  <c r="W30" i="73"/>
  <c r="H293" i="73" s="1"/>
  <c r="H30" i="73"/>
  <c r="H320" i="73" s="1"/>
  <c r="V14" i="73"/>
  <c r="G277" i="73" s="1"/>
  <c r="G14" i="73"/>
  <c r="G304" i="73" s="1"/>
  <c r="W184" i="73"/>
  <c r="H682" i="73" s="1"/>
  <c r="H184" i="73"/>
  <c r="H709" i="73" s="1"/>
  <c r="X131" i="73"/>
  <c r="I535" i="73" s="1"/>
  <c r="I131" i="73"/>
  <c r="I562" i="73" s="1"/>
  <c r="W109" i="73"/>
  <c r="H513" i="73" s="1"/>
  <c r="H109" i="73"/>
  <c r="H540" i="73" s="1"/>
  <c r="Z108" i="73"/>
  <c r="K512" i="73" s="1"/>
  <c r="K108" i="73"/>
  <c r="K539" i="73" s="1"/>
  <c r="AA24" i="73"/>
  <c r="L287" i="73" s="1"/>
  <c r="L24" i="73"/>
  <c r="L314" i="73" s="1"/>
  <c r="T161" i="73"/>
  <c r="E612" i="73" s="1"/>
  <c r="E161" i="73"/>
  <c r="E639" i="73" s="1"/>
  <c r="X46" i="73"/>
  <c r="I356" i="73" s="1"/>
  <c r="I46" i="73"/>
  <c r="I383" i="73" s="1"/>
  <c r="R152" i="73"/>
  <c r="C603" i="73" s="1"/>
  <c r="C152" i="73"/>
  <c r="C630" i="73" s="1"/>
  <c r="AA163" i="73"/>
  <c r="L614" i="73" s="1"/>
  <c r="L163" i="73"/>
  <c r="L641" i="73" s="1"/>
  <c r="AB123" i="73"/>
  <c r="M123" i="73"/>
  <c r="AA133" i="73"/>
  <c r="L537" i="73" s="1"/>
  <c r="L133" i="73"/>
  <c r="L564" i="73" s="1"/>
  <c r="V50" i="73"/>
  <c r="G360" i="73" s="1"/>
  <c r="G50" i="73"/>
  <c r="G387" i="73" s="1"/>
  <c r="AB42" i="73"/>
  <c r="M42" i="73"/>
  <c r="S30" i="73"/>
  <c r="D293" i="73" s="1"/>
  <c r="D30" i="73"/>
  <c r="D320" i="73" s="1"/>
  <c r="R14" i="73"/>
  <c r="C277" i="73" s="1"/>
  <c r="C14" i="73"/>
  <c r="C304" i="73" s="1"/>
  <c r="V184" i="73"/>
  <c r="G682" i="73" s="1"/>
  <c r="G184" i="73"/>
  <c r="G709" i="73" s="1"/>
  <c r="AA156" i="73"/>
  <c r="L607" i="73" s="1"/>
  <c r="L156" i="73"/>
  <c r="L634" i="73" s="1"/>
  <c r="AA109" i="73"/>
  <c r="L513" i="73" s="1"/>
  <c r="L109" i="73"/>
  <c r="L540" i="73" s="1"/>
  <c r="AA108" i="73"/>
  <c r="L512" i="73" s="1"/>
  <c r="L108" i="73"/>
  <c r="L539" i="73" s="1"/>
  <c r="AB24" i="73"/>
  <c r="M24" i="73"/>
  <c r="S16" i="73"/>
  <c r="D279" i="73" s="1"/>
  <c r="D16" i="73"/>
  <c r="D306" i="73" s="1"/>
  <c r="T46" i="73"/>
  <c r="E356" i="73" s="1"/>
  <c r="E46" i="73"/>
  <c r="E383" i="73" s="1"/>
  <c r="AA190" i="73"/>
  <c r="L688" i="73" s="1"/>
  <c r="L190" i="73"/>
  <c r="L715" i="73" s="1"/>
  <c r="V163" i="73"/>
  <c r="G614" i="73" s="1"/>
  <c r="G163" i="73"/>
  <c r="G641" i="73" s="1"/>
  <c r="S167" i="73"/>
  <c r="D618" i="73" s="1"/>
  <c r="D167" i="73"/>
  <c r="D645" i="73" s="1"/>
  <c r="R133" i="73"/>
  <c r="C537" i="73" s="1"/>
  <c r="C133" i="73"/>
  <c r="C564" i="73" s="1"/>
  <c r="W110" i="73"/>
  <c r="H514" i="73" s="1"/>
  <c r="H110" i="73"/>
  <c r="H541" i="73" s="1"/>
  <c r="S50" i="73"/>
  <c r="D360" i="73" s="1"/>
  <c r="D50" i="73"/>
  <c r="D387" i="73" s="1"/>
  <c r="Y30" i="73"/>
  <c r="J293" i="73" s="1"/>
  <c r="J30" i="73"/>
  <c r="J320" i="73" s="1"/>
  <c r="Y14" i="73"/>
  <c r="J277" i="73" s="1"/>
  <c r="J14" i="73"/>
  <c r="J304" i="73" s="1"/>
  <c r="S184" i="73"/>
  <c r="D682" i="73" s="1"/>
  <c r="D184" i="73"/>
  <c r="D709" i="73" s="1"/>
  <c r="Z131" i="73"/>
  <c r="K535" i="73" s="1"/>
  <c r="K131" i="73"/>
  <c r="K562" i="73" s="1"/>
  <c r="S109" i="73"/>
  <c r="D513" i="73" s="1"/>
  <c r="D109" i="73"/>
  <c r="D540" i="73" s="1"/>
  <c r="Z95" i="73"/>
  <c r="K452" i="73" s="1"/>
  <c r="K95" i="73"/>
  <c r="K479" i="73" s="1"/>
  <c r="R24" i="73"/>
  <c r="C287" i="73" s="1"/>
  <c r="C24" i="73"/>
  <c r="C314" i="73" s="1"/>
  <c r="T16" i="73"/>
  <c r="E279" i="73" s="1"/>
  <c r="E16" i="73"/>
  <c r="E306" i="73" s="1"/>
  <c r="Q161" i="73"/>
  <c r="B612" i="73" s="1"/>
  <c r="B161" i="73"/>
  <c r="B639" i="73" s="1"/>
  <c r="U152" i="73"/>
  <c r="F603" i="73" s="1"/>
  <c r="F152" i="73"/>
  <c r="F630" i="73" s="1"/>
  <c r="Y163" i="73"/>
  <c r="J614" i="73" s="1"/>
  <c r="J163" i="73"/>
  <c r="J641" i="73" s="1"/>
  <c r="Y123" i="73"/>
  <c r="J527" i="73" s="1"/>
  <c r="J123" i="73"/>
  <c r="J554" i="73" s="1"/>
  <c r="S111" i="73"/>
  <c r="D515" i="73" s="1"/>
  <c r="D111" i="73"/>
  <c r="D542" i="73" s="1"/>
  <c r="U107" i="73"/>
  <c r="F107" i="73"/>
  <c r="T50" i="73"/>
  <c r="E360" i="73" s="1"/>
  <c r="E50" i="73"/>
  <c r="E387" i="73" s="1"/>
  <c r="U30" i="73"/>
  <c r="F293" i="73" s="1"/>
  <c r="F30" i="73"/>
  <c r="F320" i="73" s="1"/>
  <c r="AA22" i="73"/>
  <c r="L285" i="73" s="1"/>
  <c r="L22" i="73"/>
  <c r="L312" i="73" s="1"/>
  <c r="T184" i="73"/>
  <c r="E682" i="73" s="1"/>
  <c r="E184" i="73"/>
  <c r="E709" i="73" s="1"/>
  <c r="X156" i="73"/>
  <c r="I607" i="73" s="1"/>
  <c r="I156" i="73"/>
  <c r="I634" i="73" s="1"/>
  <c r="AB131" i="73"/>
  <c r="M131" i="73"/>
  <c r="Y109" i="73"/>
  <c r="J513" i="73" s="1"/>
  <c r="J109" i="73"/>
  <c r="J540" i="73" s="1"/>
  <c r="AA95" i="73"/>
  <c r="L452" i="73" s="1"/>
  <c r="L95" i="73"/>
  <c r="L479" i="73" s="1"/>
  <c r="X108" i="73"/>
  <c r="I512" i="73" s="1"/>
  <c r="I108" i="73"/>
  <c r="I539" i="73" s="1"/>
  <c r="U16" i="73"/>
  <c r="F279" i="73" s="1"/>
  <c r="F16" i="73"/>
  <c r="F306" i="73" s="1"/>
  <c r="X161" i="73"/>
  <c r="I612" i="73" s="1"/>
  <c r="I161" i="73"/>
  <c r="I639" i="73" s="1"/>
  <c r="AB125" i="73"/>
  <c r="M125" i="73"/>
  <c r="V46" i="73"/>
  <c r="G356" i="73" s="1"/>
  <c r="G46" i="73"/>
  <c r="G383" i="73" s="1"/>
  <c r="AA189" i="73"/>
  <c r="L687" i="73" s="1"/>
  <c r="L189" i="73"/>
  <c r="L714" i="73" s="1"/>
  <c r="U182" i="73"/>
  <c r="F680" i="73" s="1"/>
  <c r="F182" i="73"/>
  <c r="F707" i="73" s="1"/>
  <c r="X107" i="73"/>
  <c r="I107" i="73"/>
  <c r="V147" i="73"/>
  <c r="G598" i="73" s="1"/>
  <c r="G147" i="73"/>
  <c r="G625" i="73" s="1"/>
  <c r="V116" i="73"/>
  <c r="G520" i="73" s="1"/>
  <c r="G116" i="73"/>
  <c r="G547" i="73" s="1"/>
  <c r="T124" i="73"/>
  <c r="E528" i="73" s="1"/>
  <c r="E124" i="73"/>
  <c r="E555" i="73" s="1"/>
  <c r="X113" i="73"/>
  <c r="I517" i="73" s="1"/>
  <c r="I113" i="73"/>
  <c r="I544" i="73" s="1"/>
  <c r="S165" i="73"/>
  <c r="D616" i="73" s="1"/>
  <c r="D165" i="73"/>
  <c r="D643" i="73" s="1"/>
  <c r="U141" i="73"/>
  <c r="F141" i="73"/>
  <c r="T192" i="73"/>
  <c r="E690" i="73" s="1"/>
  <c r="E192" i="73"/>
  <c r="E717" i="73" s="1"/>
  <c r="X182" i="73"/>
  <c r="I680" i="73" s="1"/>
  <c r="I182" i="73"/>
  <c r="I707" i="73" s="1"/>
  <c r="W107" i="73"/>
  <c r="H107" i="73"/>
  <c r="Z198" i="73"/>
  <c r="K696" i="73" s="1"/>
  <c r="K198" i="73"/>
  <c r="K723" i="73" s="1"/>
  <c r="AB143" i="73"/>
  <c r="M143" i="73"/>
  <c r="W127" i="73"/>
  <c r="H531" i="73" s="1"/>
  <c r="H127" i="73"/>
  <c r="H558" i="73" s="1"/>
  <c r="S113" i="73"/>
  <c r="D517" i="73" s="1"/>
  <c r="D113" i="73"/>
  <c r="D544" i="73" s="1"/>
  <c r="T145" i="73"/>
  <c r="E596" i="73" s="1"/>
  <c r="E145" i="73"/>
  <c r="E623" i="73" s="1"/>
  <c r="Z125" i="73"/>
  <c r="K529" i="73" s="1"/>
  <c r="K125" i="73"/>
  <c r="K556" i="73" s="1"/>
  <c r="Q145" i="73"/>
  <c r="B596" i="73" s="1"/>
  <c r="B145" i="73"/>
  <c r="B623" i="73" s="1"/>
  <c r="S187" i="73"/>
  <c r="D685" i="73" s="1"/>
  <c r="D187" i="73"/>
  <c r="D712" i="73" s="1"/>
  <c r="S155" i="73"/>
  <c r="D606" i="73" s="1"/>
  <c r="D155" i="73"/>
  <c r="D633" i="73" s="1"/>
  <c r="T112" i="73"/>
  <c r="E516" i="73" s="1"/>
  <c r="E112" i="73"/>
  <c r="E543" i="73" s="1"/>
  <c r="U132" i="73"/>
  <c r="F536" i="73" s="1"/>
  <c r="F132" i="73"/>
  <c r="F563" i="73" s="1"/>
  <c r="V97" i="73"/>
  <c r="G454" i="73" s="1"/>
  <c r="G97" i="73"/>
  <c r="G481" i="73" s="1"/>
  <c r="Z196" i="73"/>
  <c r="K694" i="73" s="1"/>
  <c r="K196" i="73"/>
  <c r="K721" i="73" s="1"/>
  <c r="AA187" i="73"/>
  <c r="L685" i="73" s="1"/>
  <c r="L187" i="73"/>
  <c r="L712" i="73" s="1"/>
  <c r="Z201" i="73"/>
  <c r="K699" i="73" s="1"/>
  <c r="K201" i="73"/>
  <c r="K726" i="73" s="1"/>
  <c r="U186" i="73"/>
  <c r="F684" i="73" s="1"/>
  <c r="F186" i="73"/>
  <c r="F711" i="73" s="1"/>
  <c r="X112" i="73"/>
  <c r="I516" i="73" s="1"/>
  <c r="I112" i="73"/>
  <c r="I543" i="73" s="1"/>
  <c r="Y132" i="73"/>
  <c r="J536" i="73" s="1"/>
  <c r="J132" i="73"/>
  <c r="J563" i="73" s="1"/>
  <c r="R48" i="73"/>
  <c r="C358" i="73" s="1"/>
  <c r="C48" i="73"/>
  <c r="C385" i="73" s="1"/>
  <c r="T40" i="73"/>
  <c r="E350" i="73" s="1"/>
  <c r="E40" i="73"/>
  <c r="E377" i="73" s="1"/>
  <c r="X53" i="73"/>
  <c r="I363" i="73" s="1"/>
  <c r="I53" i="73"/>
  <c r="I390" i="73" s="1"/>
  <c r="V182" i="73"/>
  <c r="G680" i="73" s="1"/>
  <c r="G182" i="73"/>
  <c r="G707" i="73" s="1"/>
  <c r="S196" i="73"/>
  <c r="D694" i="73" s="1"/>
  <c r="D196" i="73"/>
  <c r="D721" i="73" s="1"/>
  <c r="V111" i="73"/>
  <c r="G515" i="73" s="1"/>
  <c r="G111" i="73"/>
  <c r="G542" i="73" s="1"/>
  <c r="T107" i="73"/>
  <c r="E107" i="73"/>
  <c r="Y147" i="73"/>
  <c r="J598" i="73" s="1"/>
  <c r="J147" i="73"/>
  <c r="J625" i="73" s="1"/>
  <c r="Y52" i="73"/>
  <c r="J362" i="73" s="1"/>
  <c r="J52" i="73"/>
  <c r="J389" i="73" s="1"/>
  <c r="AA44" i="73"/>
  <c r="L354" i="73" s="1"/>
  <c r="L44" i="73"/>
  <c r="L381" i="73" s="1"/>
  <c r="X154" i="73"/>
  <c r="I605" i="73" s="1"/>
  <c r="I154" i="73"/>
  <c r="I632" i="73" s="1"/>
  <c r="X114" i="73"/>
  <c r="I518" i="73" s="1"/>
  <c r="I114" i="73"/>
  <c r="I545" i="73" s="1"/>
  <c r="T99" i="73"/>
  <c r="E456" i="73" s="1"/>
  <c r="E99" i="73"/>
  <c r="E483" i="73" s="1"/>
  <c r="X186" i="73"/>
  <c r="I684" i="73" s="1"/>
  <c r="I186" i="73"/>
  <c r="I711" i="73" s="1"/>
  <c r="Y117" i="73"/>
  <c r="J521" i="73" s="1"/>
  <c r="J117" i="73"/>
  <c r="J548" i="73" s="1"/>
  <c r="W48" i="73"/>
  <c r="H358" i="73" s="1"/>
  <c r="H48" i="73"/>
  <c r="H385" i="73" s="1"/>
  <c r="W188" i="73"/>
  <c r="H686" i="73" s="1"/>
  <c r="H188" i="73"/>
  <c r="H713" i="73" s="1"/>
  <c r="Z81" i="73"/>
  <c r="K438" i="73" s="1"/>
  <c r="K81" i="73"/>
  <c r="K465" i="73" s="1"/>
  <c r="Z182" i="73"/>
  <c r="K680" i="73" s="1"/>
  <c r="K182" i="73"/>
  <c r="K707" i="73" s="1"/>
  <c r="AA165" i="73"/>
  <c r="L616" i="73" s="1"/>
  <c r="L165" i="73"/>
  <c r="L643" i="73" s="1"/>
  <c r="V199" i="73"/>
  <c r="G697" i="73" s="1"/>
  <c r="G199" i="73"/>
  <c r="G724" i="73" s="1"/>
  <c r="R55" i="73"/>
  <c r="C365" i="73" s="1"/>
  <c r="C55" i="73"/>
  <c r="C392" i="73" s="1"/>
  <c r="AB28" i="73"/>
  <c r="M28" i="73"/>
  <c r="S20" i="73"/>
  <c r="D283" i="73" s="1"/>
  <c r="D20" i="73"/>
  <c r="D310" i="73" s="1"/>
  <c r="T195" i="73"/>
  <c r="E693" i="73" s="1"/>
  <c r="E195" i="73"/>
  <c r="E720" i="73" s="1"/>
  <c r="AB124" i="73"/>
  <c r="M124" i="73"/>
  <c r="X125" i="73"/>
  <c r="I529" i="73" s="1"/>
  <c r="I125" i="73"/>
  <c r="I556" i="73" s="1"/>
  <c r="R111" i="73"/>
  <c r="C515" i="73" s="1"/>
  <c r="C111" i="73"/>
  <c r="C542" i="73" s="1"/>
  <c r="R198" i="73"/>
  <c r="C696" i="73" s="1"/>
  <c r="C198" i="73"/>
  <c r="C723" i="73" s="1"/>
  <c r="T143" i="73"/>
  <c r="E594" i="73" s="1"/>
  <c r="E143" i="73"/>
  <c r="E621" i="73" s="1"/>
  <c r="V52" i="73"/>
  <c r="G362" i="73" s="1"/>
  <c r="G52" i="73"/>
  <c r="G389" i="73" s="1"/>
  <c r="X44" i="73"/>
  <c r="I354" i="73" s="1"/>
  <c r="I44" i="73"/>
  <c r="I381" i="73" s="1"/>
  <c r="AA146" i="73"/>
  <c r="L597" i="73" s="1"/>
  <c r="L146" i="73"/>
  <c r="L624" i="73" s="1"/>
  <c r="S141" i="73"/>
  <c r="D141" i="73"/>
  <c r="Y118" i="73"/>
  <c r="J522" i="73" s="1"/>
  <c r="J118" i="73"/>
  <c r="J549" i="73" s="1"/>
  <c r="R18" i="73"/>
  <c r="C281" i="73" s="1"/>
  <c r="C18" i="73"/>
  <c r="C308" i="73" s="1"/>
  <c r="V154" i="73"/>
  <c r="G605" i="73" s="1"/>
  <c r="G154" i="73"/>
  <c r="G632" i="73" s="1"/>
  <c r="U112" i="73"/>
  <c r="F516" i="73" s="1"/>
  <c r="F112" i="73"/>
  <c r="F543" i="73" s="1"/>
  <c r="X97" i="73"/>
  <c r="I454" i="73" s="1"/>
  <c r="I97" i="73"/>
  <c r="I481" i="73" s="1"/>
  <c r="S26" i="73"/>
  <c r="D289" i="73" s="1"/>
  <c r="D26" i="73"/>
  <c r="D316" i="73" s="1"/>
  <c r="R201" i="73"/>
  <c r="C699" i="73" s="1"/>
  <c r="C201" i="73"/>
  <c r="C726" i="73" s="1"/>
  <c r="W112" i="73"/>
  <c r="H516" i="73" s="1"/>
  <c r="H112" i="73"/>
  <c r="H543" i="73" s="1"/>
  <c r="U117" i="73"/>
  <c r="F521" i="73" s="1"/>
  <c r="F117" i="73"/>
  <c r="F548" i="73" s="1"/>
  <c r="Y198" i="73"/>
  <c r="J696" i="73" s="1"/>
  <c r="J198" i="73"/>
  <c r="J723" i="73" s="1"/>
  <c r="AA113" i="73"/>
  <c r="L517" i="73" s="1"/>
  <c r="L113" i="73"/>
  <c r="L544" i="73" s="1"/>
  <c r="T57" i="73"/>
  <c r="E367" i="73" s="1"/>
  <c r="E57" i="73"/>
  <c r="E394" i="73" s="1"/>
  <c r="T141" i="73"/>
  <c r="E141" i="73"/>
  <c r="T177" i="73"/>
  <c r="E675" i="73" s="1"/>
  <c r="E177" i="73"/>
  <c r="E702" i="73" s="1"/>
  <c r="W132" i="73"/>
  <c r="H536" i="73" s="1"/>
  <c r="H132" i="73"/>
  <c r="H563" i="73" s="1"/>
  <c r="T97" i="73"/>
  <c r="E454" i="73" s="1"/>
  <c r="E97" i="73"/>
  <c r="E481" i="73" s="1"/>
  <c r="AB92" i="73"/>
  <c r="M92" i="73"/>
  <c r="T96" i="73"/>
  <c r="E453" i="73" s="1"/>
  <c r="E96" i="73"/>
  <c r="E480" i="73" s="1"/>
  <c r="U89" i="73"/>
  <c r="F446" i="73" s="1"/>
  <c r="F89" i="73"/>
  <c r="F473" i="73" s="1"/>
  <c r="R115" i="73"/>
  <c r="C519" i="73" s="1"/>
  <c r="C115" i="73"/>
  <c r="C546" i="73" s="1"/>
  <c r="Z9" i="73"/>
  <c r="K272" i="73" s="1"/>
  <c r="K9" i="73"/>
  <c r="K299" i="73" s="1"/>
  <c r="Z85" i="73"/>
  <c r="K442" i="73" s="1"/>
  <c r="K85" i="73"/>
  <c r="K469" i="73" s="1"/>
  <c r="S122" i="73"/>
  <c r="D526" i="73" s="1"/>
  <c r="D122" i="73"/>
  <c r="D553" i="73" s="1"/>
  <c r="AB85" i="73"/>
  <c r="M85" i="73"/>
  <c r="Q130" i="73"/>
  <c r="B534" i="73" s="1"/>
  <c r="B130" i="73"/>
  <c r="B561" i="73" s="1"/>
  <c r="AB6" i="73"/>
  <c r="M6" i="73"/>
  <c r="T89" i="73"/>
  <c r="E446" i="73" s="1"/>
  <c r="E89" i="73"/>
  <c r="E473" i="73" s="1"/>
  <c r="AA122" i="73"/>
  <c r="L526" i="73" s="1"/>
  <c r="L122" i="73"/>
  <c r="L553" i="73" s="1"/>
  <c r="S12" i="73"/>
  <c r="D275" i="73" s="1"/>
  <c r="D12" i="73"/>
  <c r="D302" i="73" s="1"/>
  <c r="Y191" i="73"/>
  <c r="J689" i="73" s="1"/>
  <c r="J191" i="73"/>
  <c r="J716" i="73" s="1"/>
  <c r="U98" i="73"/>
  <c r="F455" i="73" s="1"/>
  <c r="F98" i="73"/>
  <c r="F482" i="73" s="1"/>
  <c r="Q84" i="73"/>
  <c r="B441" i="73" s="1"/>
  <c r="B84" i="73"/>
  <c r="B468" i="73" s="1"/>
  <c r="AB192" i="73"/>
  <c r="M192" i="73"/>
  <c r="Y81" i="73"/>
  <c r="J438" i="73" s="1"/>
  <c r="J81" i="73"/>
  <c r="J465" i="73" s="1"/>
  <c r="AA129" i="73"/>
  <c r="L533" i="73" s="1"/>
  <c r="L129" i="73"/>
  <c r="L560" i="73" s="1"/>
  <c r="U87" i="73"/>
  <c r="F444" i="73" s="1"/>
  <c r="F87" i="73"/>
  <c r="F471" i="73" s="1"/>
  <c r="Z98" i="73"/>
  <c r="K455" i="73" s="1"/>
  <c r="K98" i="73"/>
  <c r="K482" i="73" s="1"/>
  <c r="Y153" i="73"/>
  <c r="J604" i="73" s="1"/>
  <c r="J153" i="73"/>
  <c r="J631" i="73" s="1"/>
  <c r="Y142" i="73"/>
  <c r="J593" i="73" s="1"/>
  <c r="J142" i="73"/>
  <c r="J620" i="73" s="1"/>
  <c r="W197" i="73"/>
  <c r="H695" i="73" s="1"/>
  <c r="H197" i="73"/>
  <c r="H722" i="73" s="1"/>
  <c r="AB87" i="73"/>
  <c r="M87" i="73"/>
  <c r="U115" i="73"/>
  <c r="F519" i="73" s="1"/>
  <c r="F115" i="73"/>
  <c r="F546" i="73" s="1"/>
  <c r="U26" i="73"/>
  <c r="F289" i="73" s="1"/>
  <c r="F26" i="73"/>
  <c r="F316" i="73" s="1"/>
  <c r="W18" i="73"/>
  <c r="H281" i="73" s="1"/>
  <c r="H18" i="73"/>
  <c r="H308" i="73" s="1"/>
  <c r="Q186" i="73"/>
  <c r="B684" i="73" s="1"/>
  <c r="B186" i="73"/>
  <c r="B711" i="73" s="1"/>
  <c r="T62" i="73"/>
  <c r="E372" i="73" s="1"/>
  <c r="E62" i="73"/>
  <c r="E399" i="73" s="1"/>
  <c r="Y76" i="73"/>
  <c r="J433" i="73" s="1"/>
  <c r="J76" i="73"/>
  <c r="J460" i="73" s="1"/>
  <c r="W17" i="73"/>
  <c r="H280" i="73" s="1"/>
  <c r="H17" i="73"/>
  <c r="H307" i="73" s="1"/>
  <c r="R51" i="73"/>
  <c r="C361" i="73" s="1"/>
  <c r="C51" i="73"/>
  <c r="C388" i="73" s="1"/>
  <c r="AA7" i="73"/>
  <c r="L270" i="73" s="1"/>
  <c r="L7" i="73"/>
  <c r="L297" i="73" s="1"/>
  <c r="AB5" i="73"/>
  <c r="M5" i="73"/>
  <c r="Z195" i="73"/>
  <c r="K693" i="73" s="1"/>
  <c r="K195" i="73"/>
  <c r="K720" i="73" s="1"/>
  <c r="S87" i="73"/>
  <c r="D444" i="73" s="1"/>
  <c r="D87" i="73"/>
  <c r="D471" i="73" s="1"/>
  <c r="W89" i="73"/>
  <c r="H446" i="73" s="1"/>
  <c r="H89" i="73"/>
  <c r="H473" i="73" s="1"/>
  <c r="AB89" i="73"/>
  <c r="M89" i="73"/>
  <c r="W57" i="73"/>
  <c r="H367" i="73" s="1"/>
  <c r="H57" i="73"/>
  <c r="H394" i="73" s="1"/>
  <c r="W141" i="73"/>
  <c r="H141" i="73"/>
  <c r="X77" i="73"/>
  <c r="I434" i="73" s="1"/>
  <c r="I77" i="73"/>
  <c r="I461" i="73" s="1"/>
  <c r="R149" i="73"/>
  <c r="C600" i="73" s="1"/>
  <c r="C149" i="73"/>
  <c r="C627" i="73" s="1"/>
  <c r="Z130" i="73"/>
  <c r="K534" i="73" s="1"/>
  <c r="K130" i="73"/>
  <c r="K561" i="73" s="1"/>
  <c r="T56" i="73"/>
  <c r="E366" i="73" s="1"/>
  <c r="E56" i="73"/>
  <c r="E393" i="73" s="1"/>
  <c r="AA81" i="73"/>
  <c r="L438" i="73" s="1"/>
  <c r="L81" i="73"/>
  <c r="L465" i="73" s="1"/>
  <c r="AB25" i="73"/>
  <c r="M25" i="73"/>
  <c r="R92" i="73"/>
  <c r="C449" i="73" s="1"/>
  <c r="C92" i="73"/>
  <c r="C476" i="73" s="1"/>
  <c r="W87" i="73"/>
  <c r="H444" i="73" s="1"/>
  <c r="H87" i="73"/>
  <c r="H471" i="73" s="1"/>
  <c r="AB97" i="73"/>
  <c r="M97" i="73"/>
  <c r="Z20" i="73"/>
  <c r="K283" i="73" s="1"/>
  <c r="K20" i="73"/>
  <c r="K310" i="73" s="1"/>
  <c r="T188" i="73"/>
  <c r="E686" i="73" s="1"/>
  <c r="E188" i="73"/>
  <c r="E713" i="73" s="1"/>
  <c r="V62" i="73"/>
  <c r="G372" i="73" s="1"/>
  <c r="G62" i="73"/>
  <c r="G399" i="73" s="1"/>
  <c r="Y195" i="73"/>
  <c r="J693" i="73" s="1"/>
  <c r="J195" i="73"/>
  <c r="J720" i="73" s="1"/>
  <c r="V122" i="73"/>
  <c r="G526" i="73" s="1"/>
  <c r="G122" i="73"/>
  <c r="G553" i="73" s="1"/>
  <c r="AA77" i="73"/>
  <c r="L434" i="73" s="1"/>
  <c r="L77" i="73"/>
  <c r="L461" i="73" s="1"/>
  <c r="S11" i="73"/>
  <c r="D274" i="73" s="1"/>
  <c r="D11" i="73"/>
  <c r="D301" i="73" s="1"/>
  <c r="U9" i="73"/>
  <c r="F272" i="73" s="1"/>
  <c r="F9" i="73"/>
  <c r="F299" i="73" s="1"/>
  <c r="Q81" i="73"/>
  <c r="B438" i="73" s="1"/>
  <c r="B81" i="73"/>
  <c r="B465" i="73" s="1"/>
  <c r="R77" i="73"/>
  <c r="C434" i="73" s="1"/>
  <c r="C77" i="73"/>
  <c r="C461" i="73" s="1"/>
  <c r="AA91" i="73"/>
  <c r="L448" i="73" s="1"/>
  <c r="L91" i="73"/>
  <c r="L475" i="73" s="1"/>
  <c r="AA17" i="73"/>
  <c r="L280" i="73" s="1"/>
  <c r="L17" i="73"/>
  <c r="L307" i="73" s="1"/>
  <c r="R62" i="73"/>
  <c r="C372" i="73" s="1"/>
  <c r="C62" i="73"/>
  <c r="C399" i="73" s="1"/>
  <c r="X57" i="73"/>
  <c r="I367" i="73" s="1"/>
  <c r="I57" i="73"/>
  <c r="I394" i="73" s="1"/>
  <c r="Y39" i="73"/>
  <c r="J39" i="73"/>
  <c r="S129" i="73"/>
  <c r="D533" i="73" s="1"/>
  <c r="D129" i="73"/>
  <c r="D560" i="73" s="1"/>
  <c r="R178" i="73"/>
  <c r="C676" i="73" s="1"/>
  <c r="C178" i="73"/>
  <c r="C703" i="73" s="1"/>
  <c r="U48" i="73"/>
  <c r="F358" i="73" s="1"/>
  <c r="F48" i="73"/>
  <c r="F385" i="73" s="1"/>
  <c r="W40" i="73"/>
  <c r="H350" i="73" s="1"/>
  <c r="H40" i="73"/>
  <c r="H377" i="73" s="1"/>
  <c r="U41" i="73"/>
  <c r="F351" i="73" s="1"/>
  <c r="F41" i="73"/>
  <c r="F378" i="73" s="1"/>
  <c r="V188" i="73"/>
  <c r="G686" i="73" s="1"/>
  <c r="G188" i="73"/>
  <c r="G713" i="73" s="1"/>
  <c r="Z63" i="73"/>
  <c r="K373" i="73" s="1"/>
  <c r="K63" i="73"/>
  <c r="K400" i="73" s="1"/>
  <c r="T182" i="73"/>
  <c r="E680" i="73" s="1"/>
  <c r="E182" i="73"/>
  <c r="E707" i="73" s="1"/>
  <c r="AA13" i="73"/>
  <c r="L276" i="73" s="1"/>
  <c r="L13" i="73"/>
  <c r="L303" i="73" s="1"/>
  <c r="V151" i="73"/>
  <c r="G602" i="73" s="1"/>
  <c r="G151" i="73"/>
  <c r="G629" i="73" s="1"/>
  <c r="S142" i="73"/>
  <c r="D593" i="73" s="1"/>
  <c r="D142" i="73"/>
  <c r="D620" i="73" s="1"/>
  <c r="AB78" i="73"/>
  <c r="M78" i="73"/>
  <c r="W151" i="73"/>
  <c r="H602" i="73" s="1"/>
  <c r="H151" i="73"/>
  <c r="H629" i="73" s="1"/>
  <c r="X74" i="73"/>
  <c r="I431" i="73" s="1"/>
  <c r="I74" i="73"/>
  <c r="I458" i="73" s="1"/>
  <c r="Z96" i="73"/>
  <c r="K453" i="73" s="1"/>
  <c r="K96" i="73"/>
  <c r="K480" i="73" s="1"/>
  <c r="U8" i="73"/>
  <c r="F271" i="73" s="1"/>
  <c r="F8" i="73"/>
  <c r="F298" i="73" s="1"/>
  <c r="AB76" i="73"/>
  <c r="M76" i="73"/>
  <c r="S76" i="73"/>
  <c r="D433" i="73" s="1"/>
  <c r="D76" i="73"/>
  <c r="D460" i="73" s="1"/>
  <c r="Q198" i="73"/>
  <c r="B696" i="73" s="1"/>
  <c r="B198" i="73"/>
  <c r="B723" i="73" s="1"/>
  <c r="Z55" i="73"/>
  <c r="K365" i="73" s="1"/>
  <c r="K55" i="73"/>
  <c r="K392" i="73" s="1"/>
  <c r="Z21" i="73"/>
  <c r="K284" i="73" s="1"/>
  <c r="K21" i="73"/>
  <c r="K311" i="73" s="1"/>
  <c r="R93" i="73"/>
  <c r="C450" i="73" s="1"/>
  <c r="C93" i="73"/>
  <c r="C477" i="73" s="1"/>
  <c r="V25" i="73"/>
  <c r="G288" i="73" s="1"/>
  <c r="G25" i="73"/>
  <c r="G315" i="73" s="1"/>
  <c r="S39" i="73"/>
  <c r="D39" i="73"/>
  <c r="AB11" i="73"/>
  <c r="M11" i="73"/>
  <c r="T10" i="73"/>
  <c r="E273" i="73" s="1"/>
  <c r="E10" i="73"/>
  <c r="E300" i="73" s="1"/>
  <c r="Z90" i="73"/>
  <c r="K447" i="73" s="1"/>
  <c r="K90" i="73"/>
  <c r="K474" i="73" s="1"/>
  <c r="R29" i="73"/>
  <c r="C292" i="73" s="1"/>
  <c r="C29" i="73"/>
  <c r="C319" i="73" s="1"/>
  <c r="T129" i="73"/>
  <c r="E533" i="73" s="1"/>
  <c r="E129" i="73"/>
  <c r="E560" i="73" s="1"/>
  <c r="Z145" i="73"/>
  <c r="K596" i="73" s="1"/>
  <c r="K145" i="73"/>
  <c r="K623" i="73" s="1"/>
  <c r="W93" i="73"/>
  <c r="H450" i="73" s="1"/>
  <c r="H93" i="73"/>
  <c r="H477" i="73" s="1"/>
  <c r="W192" i="73"/>
  <c r="H690" i="73" s="1"/>
  <c r="H192" i="73"/>
  <c r="H717" i="73" s="1"/>
  <c r="W113" i="73"/>
  <c r="H517" i="73" s="1"/>
  <c r="H113" i="73"/>
  <c r="H544" i="73" s="1"/>
  <c r="AA155" i="73"/>
  <c r="L606" i="73" s="1"/>
  <c r="L155" i="73"/>
  <c r="L633" i="73" s="1"/>
  <c r="T119" i="73"/>
  <c r="E523" i="73" s="1"/>
  <c r="E119" i="73"/>
  <c r="E550" i="73" s="1"/>
  <c r="Z10" i="73"/>
  <c r="K273" i="73" s="1"/>
  <c r="K10" i="73"/>
  <c r="K300" i="73" s="1"/>
  <c r="AA60" i="73"/>
  <c r="L370" i="73" s="1"/>
  <c r="L60" i="73"/>
  <c r="L397" i="73" s="1"/>
  <c r="S143" i="73"/>
  <c r="D594" i="73" s="1"/>
  <c r="D143" i="73"/>
  <c r="D621" i="73" s="1"/>
  <c r="W56" i="73"/>
  <c r="H366" i="73" s="1"/>
  <c r="H56" i="73"/>
  <c r="H393" i="73" s="1"/>
  <c r="T86" i="73"/>
  <c r="E443" i="73" s="1"/>
  <c r="E86" i="73"/>
  <c r="E470" i="73" s="1"/>
  <c r="R5" i="73"/>
  <c r="C5" i="73"/>
  <c r="V74" i="73"/>
  <c r="G431" i="73" s="1"/>
  <c r="G74" i="73"/>
  <c r="G458" i="73" s="1"/>
  <c r="Q74" i="73"/>
  <c r="B431" i="73" s="1"/>
  <c r="B74" i="73"/>
  <c r="B458" i="73" s="1"/>
  <c r="Z142" i="73"/>
  <c r="K593" i="73" s="1"/>
  <c r="K142" i="73"/>
  <c r="K620" i="73" s="1"/>
  <c r="AB96" i="73"/>
  <c r="M96" i="73"/>
  <c r="AB99" i="73"/>
  <c r="M99" i="73"/>
  <c r="U158" i="73"/>
  <c r="F609" i="73" s="1"/>
  <c r="F158" i="73"/>
  <c r="F636" i="73" s="1"/>
  <c r="Y56" i="73"/>
  <c r="J366" i="73" s="1"/>
  <c r="J56" i="73"/>
  <c r="J393" i="73" s="1"/>
  <c r="T31" i="73"/>
  <c r="E294" i="73" s="1"/>
  <c r="E31" i="73"/>
  <c r="E321" i="73" s="1"/>
  <c r="W21" i="73"/>
  <c r="H284" i="73" s="1"/>
  <c r="H21" i="73"/>
  <c r="H311" i="73" s="1"/>
  <c r="T45" i="73"/>
  <c r="E355" i="73" s="1"/>
  <c r="E45" i="73"/>
  <c r="E382" i="73" s="1"/>
  <c r="AA87" i="73"/>
  <c r="L444" i="73" s="1"/>
  <c r="L87" i="73"/>
  <c r="L471" i="73" s="1"/>
  <c r="Q8" i="73"/>
  <c r="B271" i="73" s="1"/>
  <c r="B8" i="73"/>
  <c r="B298" i="73" s="1"/>
  <c r="S94" i="73"/>
  <c r="D451" i="73" s="1"/>
  <c r="D94" i="73"/>
  <c r="D478" i="73" s="1"/>
  <c r="T41" i="73"/>
  <c r="E351" i="73" s="1"/>
  <c r="E41" i="73"/>
  <c r="E378" i="73" s="1"/>
  <c r="R99" i="73"/>
  <c r="C456" i="73" s="1"/>
  <c r="C99" i="73"/>
  <c r="C483" i="73" s="1"/>
  <c r="Y199" i="73"/>
  <c r="J697" i="73" s="1"/>
  <c r="J199" i="73"/>
  <c r="J724" i="73" s="1"/>
  <c r="T55" i="73"/>
  <c r="E365" i="73" s="1"/>
  <c r="E55" i="73"/>
  <c r="E392" i="73" s="1"/>
  <c r="U181" i="73"/>
  <c r="F679" i="73" s="1"/>
  <c r="F181" i="73"/>
  <c r="F706" i="73" s="1"/>
  <c r="R10" i="73"/>
  <c r="C273" i="73" s="1"/>
  <c r="C10" i="73"/>
  <c r="C300" i="73" s="1"/>
  <c r="X179" i="73"/>
  <c r="I677" i="73" s="1"/>
  <c r="I179" i="73"/>
  <c r="I704" i="73" s="1"/>
  <c r="W144" i="73"/>
  <c r="H595" i="73" s="1"/>
  <c r="H144" i="73"/>
  <c r="H622" i="73" s="1"/>
  <c r="AA197" i="73"/>
  <c r="L695" i="73" s="1"/>
  <c r="L197" i="73"/>
  <c r="L722" i="73" s="1"/>
  <c r="W158" i="73"/>
  <c r="H609" i="73" s="1"/>
  <c r="H158" i="73"/>
  <c r="H636" i="73" s="1"/>
  <c r="Z62" i="73"/>
  <c r="K372" i="73" s="1"/>
  <c r="K62" i="73"/>
  <c r="K399" i="73" s="1"/>
  <c r="AA153" i="73"/>
  <c r="L604" i="73" s="1"/>
  <c r="L153" i="73"/>
  <c r="L631" i="73" s="1"/>
  <c r="U122" i="73"/>
  <c r="F526" i="73" s="1"/>
  <c r="F122" i="73"/>
  <c r="F553" i="73" s="1"/>
  <c r="S158" i="73"/>
  <c r="D609" i="73" s="1"/>
  <c r="D158" i="73"/>
  <c r="D636" i="73" s="1"/>
  <c r="U56" i="73"/>
  <c r="F366" i="73" s="1"/>
  <c r="F56" i="73"/>
  <c r="F393" i="73" s="1"/>
  <c r="R21" i="73"/>
  <c r="C284" i="73" s="1"/>
  <c r="C21" i="73"/>
  <c r="C311" i="73" s="1"/>
  <c r="T29" i="73"/>
  <c r="E292" i="73" s="1"/>
  <c r="E29" i="73"/>
  <c r="E319" i="73" s="1"/>
  <c r="X142" i="73"/>
  <c r="I593" i="73" s="1"/>
  <c r="I142" i="73"/>
  <c r="I620" i="73" s="1"/>
  <c r="W129" i="73"/>
  <c r="H533" i="73" s="1"/>
  <c r="H129" i="73"/>
  <c r="H560" i="73" s="1"/>
  <c r="Z52" i="73"/>
  <c r="K362" i="73" s="1"/>
  <c r="K52" i="73"/>
  <c r="K389" i="73" s="1"/>
  <c r="AB44" i="73"/>
  <c r="M44" i="73"/>
  <c r="U85" i="73"/>
  <c r="F442" i="73" s="1"/>
  <c r="F85" i="73"/>
  <c r="F469" i="73" s="1"/>
  <c r="W155" i="73"/>
  <c r="H606" i="73" s="1"/>
  <c r="H155" i="73"/>
  <c r="H633" i="73" s="1"/>
  <c r="AA59" i="73"/>
  <c r="L369" i="73" s="1"/>
  <c r="L59" i="73"/>
  <c r="L396" i="73" s="1"/>
  <c r="X17" i="73"/>
  <c r="I280" i="73" s="1"/>
  <c r="I17" i="73"/>
  <c r="I307" i="73" s="1"/>
  <c r="U90" i="73"/>
  <c r="F447" i="73" s="1"/>
  <c r="F90" i="73"/>
  <c r="F474" i="73" s="1"/>
  <c r="Q144" i="73"/>
  <c r="B595" i="73" s="1"/>
  <c r="B144" i="73"/>
  <c r="B622" i="73" s="1"/>
  <c r="Z113" i="73"/>
  <c r="K517" i="73" s="1"/>
  <c r="K113" i="73"/>
  <c r="K544" i="73" s="1"/>
  <c r="AB186" i="73"/>
  <c r="M186" i="73"/>
  <c r="V178" i="73"/>
  <c r="G676" i="73" s="1"/>
  <c r="G178" i="73"/>
  <c r="G703" i="73" s="1"/>
  <c r="X193" i="73"/>
  <c r="I691" i="73" s="1"/>
  <c r="I193" i="73"/>
  <c r="I718" i="73" s="1"/>
  <c r="Y80" i="73"/>
  <c r="J437" i="73" s="1"/>
  <c r="J80" i="73"/>
  <c r="J464" i="73" s="1"/>
  <c r="S15" i="73"/>
  <c r="D278" i="73" s="1"/>
  <c r="D15" i="73"/>
  <c r="D305" i="73" s="1"/>
  <c r="V88" i="73"/>
  <c r="G445" i="73" s="1"/>
  <c r="G88" i="73"/>
  <c r="G472" i="73" s="1"/>
  <c r="AB88" i="73"/>
  <c r="M88" i="73"/>
  <c r="W23" i="73"/>
  <c r="H286" i="73" s="1"/>
  <c r="H23" i="73"/>
  <c r="H313" i="73" s="1"/>
  <c r="T11" i="73"/>
  <c r="E274" i="73" s="1"/>
  <c r="E11" i="73"/>
  <c r="E301" i="73" s="1"/>
  <c r="AA116" i="73"/>
  <c r="L520" i="73" s="1"/>
  <c r="L116" i="73"/>
  <c r="L547" i="73" s="1"/>
  <c r="Q124" i="73"/>
  <c r="B528" i="73" s="1"/>
  <c r="B124" i="73"/>
  <c r="B555" i="73" s="1"/>
  <c r="AB119" i="73"/>
  <c r="M119" i="73"/>
  <c r="M524" i="73"/>
  <c r="AC120" i="73"/>
  <c r="M602" i="73"/>
  <c r="AC151" i="73"/>
  <c r="AC10" i="73"/>
  <c r="M273" i="73"/>
  <c r="AC17" i="73"/>
  <c r="M280" i="73"/>
  <c r="F268" i="73"/>
  <c r="AC49" i="73"/>
  <c r="M359" i="73"/>
  <c r="L268" i="73"/>
  <c r="AC81" i="73"/>
  <c r="M438" i="73"/>
  <c r="M451" i="73"/>
  <c r="AC94" i="73"/>
  <c r="M679" i="73"/>
  <c r="AC181" i="73"/>
  <c r="AC83" i="73"/>
  <c r="M440" i="73"/>
  <c r="G673" i="73"/>
  <c r="H673" i="73"/>
  <c r="AC162" i="73"/>
  <c r="M613" i="73"/>
  <c r="M532" i="73"/>
  <c r="AC128" i="73"/>
  <c r="G349" i="73"/>
  <c r="J268" i="73"/>
  <c r="AC53" i="73"/>
  <c r="M363" i="73"/>
  <c r="M351" i="73"/>
  <c r="AC41" i="73"/>
  <c r="AC64" i="73"/>
  <c r="M374" i="73"/>
  <c r="AC27" i="73"/>
  <c r="M290" i="73"/>
  <c r="AC19" i="73"/>
  <c r="M282" i="73"/>
  <c r="M718" i="73"/>
  <c r="N193" i="73"/>
  <c r="M382" i="73"/>
  <c r="N45" i="73"/>
  <c r="N185" i="73"/>
  <c r="M710" i="73"/>
  <c r="M637" i="73"/>
  <c r="N159" i="73"/>
  <c r="N150" i="73"/>
  <c r="M628" i="73"/>
  <c r="M477" i="73"/>
  <c r="N93" i="73"/>
  <c r="B619" i="73"/>
  <c r="M631" i="73"/>
  <c r="N153" i="73"/>
  <c r="E295" i="73"/>
  <c r="N175" i="73"/>
  <c r="M700" i="73"/>
  <c r="M545" i="73"/>
  <c r="N114" i="73"/>
  <c r="J700" i="73"/>
  <c r="N86" i="73"/>
  <c r="M470" i="73"/>
  <c r="B457" i="73"/>
  <c r="M400" i="73"/>
  <c r="N63" i="73"/>
  <c r="M561" i="73"/>
  <c r="N130" i="73"/>
  <c r="N75" i="73"/>
  <c r="M459" i="73"/>
  <c r="U190" i="73"/>
  <c r="F688" i="73" s="1"/>
  <c r="F190" i="73"/>
  <c r="F715" i="73" s="1"/>
  <c r="T163" i="73"/>
  <c r="E614" i="73" s="1"/>
  <c r="E163" i="73"/>
  <c r="E641" i="73" s="1"/>
  <c r="U167" i="73"/>
  <c r="F618" i="73" s="1"/>
  <c r="F167" i="73"/>
  <c r="F645" i="73" s="1"/>
  <c r="AA123" i="73"/>
  <c r="L527" i="73" s="1"/>
  <c r="L123" i="73"/>
  <c r="L554" i="73" s="1"/>
  <c r="T110" i="73"/>
  <c r="E514" i="73" s="1"/>
  <c r="E110" i="73"/>
  <c r="E541" i="73" s="1"/>
  <c r="U50" i="73"/>
  <c r="F360" i="73" s="1"/>
  <c r="F50" i="73"/>
  <c r="F387" i="73" s="1"/>
  <c r="AA42" i="73"/>
  <c r="L352" i="73" s="1"/>
  <c r="L42" i="73"/>
  <c r="L379" i="73" s="1"/>
  <c r="V22" i="73"/>
  <c r="G285" i="73" s="1"/>
  <c r="G22" i="73"/>
  <c r="G312" i="73" s="1"/>
  <c r="AB14" i="73"/>
  <c r="M14" i="73"/>
  <c r="Y156" i="73"/>
  <c r="J607" i="73" s="1"/>
  <c r="J156" i="73"/>
  <c r="J634" i="73" s="1"/>
  <c r="S131" i="73"/>
  <c r="D535" i="73" s="1"/>
  <c r="D131" i="73"/>
  <c r="D562" i="73" s="1"/>
  <c r="AB95" i="73"/>
  <c r="M95" i="73"/>
  <c r="U108" i="73"/>
  <c r="F512" i="73" s="1"/>
  <c r="F108" i="73"/>
  <c r="F539" i="73" s="1"/>
  <c r="V16" i="73"/>
  <c r="G279" i="73" s="1"/>
  <c r="G16" i="73"/>
  <c r="G306" i="73" s="1"/>
  <c r="Y161" i="73"/>
  <c r="J612" i="73" s="1"/>
  <c r="J161" i="73"/>
  <c r="J639" i="73" s="1"/>
  <c r="S46" i="73"/>
  <c r="D356" i="73" s="1"/>
  <c r="D46" i="73"/>
  <c r="D383" i="73" s="1"/>
  <c r="X190" i="73"/>
  <c r="I688" i="73" s="1"/>
  <c r="I190" i="73"/>
  <c r="I715" i="73" s="1"/>
  <c r="X152" i="73"/>
  <c r="I603" i="73" s="1"/>
  <c r="I152" i="73"/>
  <c r="I630" i="73" s="1"/>
  <c r="Z167" i="73"/>
  <c r="K618" i="73" s="1"/>
  <c r="K167" i="73"/>
  <c r="K645" i="73" s="1"/>
  <c r="W123" i="73"/>
  <c r="H527" i="73" s="1"/>
  <c r="H123" i="73"/>
  <c r="H554" i="73" s="1"/>
  <c r="AA110" i="73"/>
  <c r="L514" i="73" s="1"/>
  <c r="L110" i="73"/>
  <c r="L541" i="73" s="1"/>
  <c r="AB50" i="73"/>
  <c r="M50" i="73"/>
  <c r="W42" i="73"/>
  <c r="H352" i="73" s="1"/>
  <c r="H42" i="73"/>
  <c r="H379" i="73" s="1"/>
  <c r="R22" i="73"/>
  <c r="C285" i="73" s="1"/>
  <c r="C22" i="73"/>
  <c r="C312" i="73" s="1"/>
  <c r="X14" i="73"/>
  <c r="I277" i="73" s="1"/>
  <c r="I14" i="73"/>
  <c r="I304" i="73" s="1"/>
  <c r="U184" i="73"/>
  <c r="F682" i="73" s="1"/>
  <c r="F184" i="73"/>
  <c r="F709" i="73" s="1"/>
  <c r="Y131" i="73"/>
  <c r="J535" i="73" s="1"/>
  <c r="J131" i="73"/>
  <c r="J562" i="73" s="1"/>
  <c r="AB109" i="73"/>
  <c r="M109" i="73"/>
  <c r="V108" i="73"/>
  <c r="G512" i="73" s="1"/>
  <c r="G108" i="73"/>
  <c r="G539" i="73" s="1"/>
  <c r="W24" i="73"/>
  <c r="H287" i="73" s="1"/>
  <c r="H24" i="73"/>
  <c r="H314" i="73" s="1"/>
  <c r="Z161" i="73"/>
  <c r="K612" i="73" s="1"/>
  <c r="K161" i="73"/>
  <c r="K639" i="73" s="1"/>
  <c r="Y152" i="73"/>
  <c r="J603" i="73" s="1"/>
  <c r="J152" i="73"/>
  <c r="J630" i="73" s="1"/>
  <c r="S163" i="73"/>
  <c r="D614" i="73" s="1"/>
  <c r="D163" i="73"/>
  <c r="D641" i="73" s="1"/>
  <c r="R123" i="73"/>
  <c r="C527" i="73" s="1"/>
  <c r="C123" i="73"/>
  <c r="C554" i="73" s="1"/>
  <c r="X133" i="73"/>
  <c r="I537" i="73" s="1"/>
  <c r="I133" i="73"/>
  <c r="I564" i="73" s="1"/>
  <c r="Z110" i="73"/>
  <c r="K514" i="73" s="1"/>
  <c r="K110" i="73"/>
  <c r="K541" i="73" s="1"/>
  <c r="R42" i="73"/>
  <c r="C352" i="73" s="1"/>
  <c r="C42" i="73"/>
  <c r="C379" i="73" s="1"/>
  <c r="T30" i="73"/>
  <c r="E293" i="73" s="1"/>
  <c r="E30" i="73"/>
  <c r="E320" i="73" s="1"/>
  <c r="T14" i="73"/>
  <c r="E277" i="73" s="1"/>
  <c r="E14" i="73"/>
  <c r="E304" i="73" s="1"/>
  <c r="V156" i="73"/>
  <c r="G607" i="73" s="1"/>
  <c r="G156" i="73"/>
  <c r="G634" i="73" s="1"/>
  <c r="U131" i="73"/>
  <c r="F535" i="73" s="1"/>
  <c r="F131" i="73"/>
  <c r="F562" i="73" s="1"/>
  <c r="T109" i="73"/>
  <c r="E513" i="73" s="1"/>
  <c r="E109" i="73"/>
  <c r="E540" i="73" s="1"/>
  <c r="W108" i="73"/>
  <c r="H512" i="73" s="1"/>
  <c r="H108" i="73"/>
  <c r="H539" i="73" s="1"/>
  <c r="X24" i="73"/>
  <c r="I287" i="73" s="1"/>
  <c r="I24" i="73"/>
  <c r="I314" i="73" s="1"/>
  <c r="AB161" i="73"/>
  <c r="M161" i="73"/>
  <c r="Z46" i="73"/>
  <c r="K356" i="73" s="1"/>
  <c r="K46" i="73"/>
  <c r="K383" i="73" s="1"/>
  <c r="Z190" i="73"/>
  <c r="K688" i="73" s="1"/>
  <c r="K190" i="73"/>
  <c r="K715" i="73" s="1"/>
  <c r="S152" i="73"/>
  <c r="D603" i="73" s="1"/>
  <c r="D152" i="73"/>
  <c r="D630" i="73" s="1"/>
  <c r="X167" i="73"/>
  <c r="I618" i="73" s="1"/>
  <c r="I167" i="73"/>
  <c r="I645" i="73" s="1"/>
  <c r="T123" i="73"/>
  <c r="E527" i="73" s="1"/>
  <c r="E123" i="73"/>
  <c r="E554" i="73" s="1"/>
  <c r="X110" i="73"/>
  <c r="I514" i="73" s="1"/>
  <c r="I110" i="73"/>
  <c r="I541" i="73" s="1"/>
  <c r="AA107" i="73"/>
  <c r="L107" i="73"/>
  <c r="Y42" i="73"/>
  <c r="J352" i="73" s="1"/>
  <c r="J42" i="73"/>
  <c r="J379" i="73" s="1"/>
  <c r="AA30" i="73"/>
  <c r="L293" i="73" s="1"/>
  <c r="L30" i="73"/>
  <c r="L320" i="73" s="1"/>
  <c r="Z14" i="73"/>
  <c r="K277" i="73" s="1"/>
  <c r="K14" i="73"/>
  <c r="K304" i="73" s="1"/>
  <c r="Y184" i="73"/>
  <c r="J682" i="73" s="1"/>
  <c r="J184" i="73"/>
  <c r="J709" i="73" s="1"/>
  <c r="S156" i="73"/>
  <c r="D607" i="73" s="1"/>
  <c r="D156" i="73"/>
  <c r="D634" i="73" s="1"/>
  <c r="W131" i="73"/>
  <c r="H535" i="73" s="1"/>
  <c r="H131" i="73"/>
  <c r="H562" i="73" s="1"/>
  <c r="X109" i="73"/>
  <c r="I513" i="73" s="1"/>
  <c r="I109" i="73"/>
  <c r="I540" i="73" s="1"/>
  <c r="V95" i="73"/>
  <c r="G452" i="73" s="1"/>
  <c r="G95" i="73"/>
  <c r="G479" i="73" s="1"/>
  <c r="Y24" i="73"/>
  <c r="J287" i="73" s="1"/>
  <c r="J24" i="73"/>
  <c r="J314" i="73" s="1"/>
  <c r="AA16" i="73"/>
  <c r="L279" i="73" s="1"/>
  <c r="L16" i="73"/>
  <c r="L306" i="73" s="1"/>
  <c r="R161" i="73"/>
  <c r="C612" i="73" s="1"/>
  <c r="C161" i="73"/>
  <c r="C639" i="73" s="1"/>
  <c r="AA125" i="73"/>
  <c r="L529" i="73" s="1"/>
  <c r="L125" i="73"/>
  <c r="L556" i="73" s="1"/>
  <c r="AB46" i="73"/>
  <c r="M46" i="73"/>
  <c r="X187" i="73"/>
  <c r="I685" i="73" s="1"/>
  <c r="I187" i="73"/>
  <c r="I712" i="73" s="1"/>
  <c r="X192" i="73"/>
  <c r="I690" i="73" s="1"/>
  <c r="I192" i="73"/>
  <c r="I717" i="73" s="1"/>
  <c r="W182" i="73"/>
  <c r="H680" i="73" s="1"/>
  <c r="H182" i="73"/>
  <c r="H707" i="73" s="1"/>
  <c r="S107" i="73"/>
  <c r="D107" i="73"/>
  <c r="AB180" i="73"/>
  <c r="M180" i="73"/>
  <c r="X143" i="73"/>
  <c r="I594" i="73" s="1"/>
  <c r="I143" i="73"/>
  <c r="I621" i="73" s="1"/>
  <c r="V127" i="73"/>
  <c r="G531" i="73" s="1"/>
  <c r="G127" i="73"/>
  <c r="G558" i="73" s="1"/>
  <c r="Z124" i="73"/>
  <c r="K528" i="73" s="1"/>
  <c r="K124" i="73"/>
  <c r="K555" i="73" s="1"/>
  <c r="Q44" i="73"/>
  <c r="B354" i="73" s="1"/>
  <c r="B44" i="73"/>
  <c r="B381" i="73" s="1"/>
  <c r="V146" i="73"/>
  <c r="G597" i="73" s="1"/>
  <c r="G146" i="73"/>
  <c r="G624" i="73" s="1"/>
  <c r="AA141" i="73"/>
  <c r="L141" i="73"/>
  <c r="Z114" i="73"/>
  <c r="K518" i="73" s="1"/>
  <c r="K114" i="73"/>
  <c r="K545" i="73" s="1"/>
  <c r="R182" i="73"/>
  <c r="C680" i="73" s="1"/>
  <c r="C182" i="73"/>
  <c r="C707" i="73" s="1"/>
  <c r="R107" i="73"/>
  <c r="C107" i="73"/>
  <c r="U198" i="73"/>
  <c r="F696" i="73" s="1"/>
  <c r="F198" i="73"/>
  <c r="F723" i="73" s="1"/>
  <c r="V143" i="73"/>
  <c r="G594" i="73" s="1"/>
  <c r="G143" i="73"/>
  <c r="G621" i="73" s="1"/>
  <c r="X124" i="73"/>
  <c r="I528" i="73" s="1"/>
  <c r="I124" i="73"/>
  <c r="I555" i="73" s="1"/>
  <c r="Z99" i="73"/>
  <c r="K456" i="73" s="1"/>
  <c r="K99" i="73"/>
  <c r="K483" i="73" s="1"/>
  <c r="Y145" i="73"/>
  <c r="J596" i="73" s="1"/>
  <c r="J145" i="73"/>
  <c r="J623" i="73" s="1"/>
  <c r="U125" i="73"/>
  <c r="F529" i="73" s="1"/>
  <c r="F125" i="73"/>
  <c r="F556" i="73" s="1"/>
  <c r="AA118" i="73"/>
  <c r="L522" i="73" s="1"/>
  <c r="L118" i="73"/>
  <c r="L549" i="73" s="1"/>
  <c r="Z178" i="73"/>
  <c r="K676" i="73" s="1"/>
  <c r="K178" i="73"/>
  <c r="K703" i="73" s="1"/>
  <c r="Q155" i="73"/>
  <c r="B606" i="73" s="1"/>
  <c r="B155" i="73"/>
  <c r="B633" i="73" s="1"/>
  <c r="V112" i="73"/>
  <c r="G516" i="73" s="1"/>
  <c r="G112" i="73"/>
  <c r="G543" i="73" s="1"/>
  <c r="R119" i="73"/>
  <c r="C523" i="73" s="1"/>
  <c r="C119" i="73"/>
  <c r="C550" i="73" s="1"/>
  <c r="V55" i="73"/>
  <c r="G365" i="73" s="1"/>
  <c r="G55" i="73"/>
  <c r="G392" i="73" s="1"/>
  <c r="U145" i="73"/>
  <c r="F596" i="73" s="1"/>
  <c r="F145" i="73"/>
  <c r="F623" i="73" s="1"/>
  <c r="W201" i="73"/>
  <c r="H699" i="73" s="1"/>
  <c r="H201" i="73"/>
  <c r="H726" i="73" s="1"/>
  <c r="Y178" i="73"/>
  <c r="J676" i="73" s="1"/>
  <c r="J178" i="73"/>
  <c r="J703" i="73" s="1"/>
  <c r="S112" i="73"/>
  <c r="D516" i="73" s="1"/>
  <c r="D112" i="73"/>
  <c r="D543" i="73" s="1"/>
  <c r="U97" i="73"/>
  <c r="F454" i="73" s="1"/>
  <c r="F97" i="73"/>
  <c r="F481" i="73" s="1"/>
  <c r="X48" i="73"/>
  <c r="I358" i="73" s="1"/>
  <c r="I48" i="73"/>
  <c r="I385" i="73" s="1"/>
  <c r="AB187" i="73"/>
  <c r="M187" i="73"/>
  <c r="Y49" i="73"/>
  <c r="J359" i="73" s="1"/>
  <c r="J49" i="73"/>
  <c r="J386" i="73" s="1"/>
  <c r="S182" i="73"/>
  <c r="D680" i="73" s="1"/>
  <c r="D182" i="73"/>
  <c r="D707" i="73" s="1"/>
  <c r="Y166" i="73"/>
  <c r="J617" i="73" s="1"/>
  <c r="J166" i="73"/>
  <c r="J644" i="73" s="1"/>
  <c r="X111" i="73"/>
  <c r="I515" i="73" s="1"/>
  <c r="I111" i="73"/>
  <c r="I542" i="73" s="1"/>
  <c r="Z107" i="73"/>
  <c r="K107" i="73"/>
  <c r="U143" i="73"/>
  <c r="F594" i="73" s="1"/>
  <c r="F143" i="73"/>
  <c r="F621" i="73" s="1"/>
  <c r="T52" i="73"/>
  <c r="E362" i="73" s="1"/>
  <c r="E52" i="73"/>
  <c r="E389" i="73" s="1"/>
  <c r="Z165" i="73"/>
  <c r="K616" i="73" s="1"/>
  <c r="K165" i="73"/>
  <c r="K643" i="73" s="1"/>
  <c r="AA119" i="73"/>
  <c r="L523" i="73" s="1"/>
  <c r="L119" i="73"/>
  <c r="L550" i="73" s="1"/>
  <c r="R114" i="73"/>
  <c r="C518" i="73" s="1"/>
  <c r="C114" i="73"/>
  <c r="C545" i="73" s="1"/>
  <c r="S145" i="73"/>
  <c r="D596" i="73" s="1"/>
  <c r="D145" i="73"/>
  <c r="D623" i="73" s="1"/>
  <c r="S186" i="73"/>
  <c r="D684" i="73" s="1"/>
  <c r="D186" i="73"/>
  <c r="D711" i="73" s="1"/>
  <c r="X56" i="73"/>
  <c r="I366" i="73" s="1"/>
  <c r="I56" i="73"/>
  <c r="I393" i="73" s="1"/>
  <c r="R40" i="73"/>
  <c r="C350" i="73" s="1"/>
  <c r="C40" i="73"/>
  <c r="C377" i="73" s="1"/>
  <c r="X89" i="73"/>
  <c r="I446" i="73" s="1"/>
  <c r="I89" i="73"/>
  <c r="I473" i="73" s="1"/>
  <c r="U73" i="73"/>
  <c r="F73" i="73"/>
  <c r="AA182" i="73"/>
  <c r="L680" i="73" s="1"/>
  <c r="L182" i="73"/>
  <c r="L707" i="73" s="1"/>
  <c r="AB145" i="73"/>
  <c r="M145" i="73"/>
  <c r="U178" i="73"/>
  <c r="F676" i="73" s="1"/>
  <c r="F178" i="73"/>
  <c r="F703" i="73" s="1"/>
  <c r="X55" i="73"/>
  <c r="I365" i="73" s="1"/>
  <c r="I55" i="73"/>
  <c r="I392" i="73" s="1"/>
  <c r="W28" i="73"/>
  <c r="H291" i="73" s="1"/>
  <c r="H28" i="73"/>
  <c r="H318" i="73" s="1"/>
  <c r="S13" i="73"/>
  <c r="D276" i="73" s="1"/>
  <c r="D13" i="73"/>
  <c r="D303" i="73" s="1"/>
  <c r="V179" i="73"/>
  <c r="G677" i="73" s="1"/>
  <c r="G179" i="73"/>
  <c r="G704" i="73" s="1"/>
  <c r="Y143" i="73"/>
  <c r="J594" i="73" s="1"/>
  <c r="J143" i="73"/>
  <c r="J621" i="73" s="1"/>
  <c r="W124" i="73"/>
  <c r="H528" i="73" s="1"/>
  <c r="H124" i="73"/>
  <c r="H555" i="73" s="1"/>
  <c r="S45" i="73"/>
  <c r="D355" i="73" s="1"/>
  <c r="D45" i="73"/>
  <c r="D382" i="73" s="1"/>
  <c r="W111" i="73"/>
  <c r="H515" i="73" s="1"/>
  <c r="H111" i="73"/>
  <c r="H542" i="73" s="1"/>
  <c r="V176" i="73"/>
  <c r="G674" i="73" s="1"/>
  <c r="G176" i="73"/>
  <c r="G701" i="73" s="1"/>
  <c r="Z127" i="73"/>
  <c r="K531" i="73" s="1"/>
  <c r="K127" i="73"/>
  <c r="K558" i="73" s="1"/>
  <c r="AB52" i="73"/>
  <c r="M52" i="73"/>
  <c r="S44" i="73"/>
  <c r="D354" i="73" s="1"/>
  <c r="D44" i="73"/>
  <c r="D381" i="73" s="1"/>
  <c r="W196" i="73"/>
  <c r="H694" i="73" s="1"/>
  <c r="H196" i="73"/>
  <c r="H721" i="73" s="1"/>
  <c r="U146" i="73"/>
  <c r="F597" i="73" s="1"/>
  <c r="F146" i="73"/>
  <c r="F624" i="73" s="1"/>
  <c r="Y125" i="73"/>
  <c r="J529" i="73" s="1"/>
  <c r="J125" i="73"/>
  <c r="J556" i="73" s="1"/>
  <c r="V26" i="73"/>
  <c r="G289" i="73" s="1"/>
  <c r="G26" i="73"/>
  <c r="G316" i="73" s="1"/>
  <c r="X18" i="73"/>
  <c r="I281" i="73" s="1"/>
  <c r="I18" i="73"/>
  <c r="I308" i="73" s="1"/>
  <c r="AA199" i="73"/>
  <c r="L697" i="73" s="1"/>
  <c r="L199" i="73"/>
  <c r="L724" i="73" s="1"/>
  <c r="AB154" i="73"/>
  <c r="M154" i="73"/>
  <c r="AA132" i="73"/>
  <c r="L536" i="73" s="1"/>
  <c r="L132" i="73"/>
  <c r="L563" i="73" s="1"/>
  <c r="S97" i="73"/>
  <c r="D454" i="73" s="1"/>
  <c r="D97" i="73"/>
  <c r="D481" i="73" s="1"/>
  <c r="T18" i="73"/>
  <c r="E281" i="73" s="1"/>
  <c r="E18" i="73"/>
  <c r="E308" i="73" s="1"/>
  <c r="V158" i="73"/>
  <c r="G609" i="73" s="1"/>
  <c r="G158" i="73"/>
  <c r="G636" i="73" s="1"/>
  <c r="AB132" i="73"/>
  <c r="M132" i="73"/>
  <c r="Y97" i="73"/>
  <c r="J454" i="73" s="1"/>
  <c r="J97" i="73"/>
  <c r="J481" i="73" s="1"/>
  <c r="Z143" i="73"/>
  <c r="K594" i="73" s="1"/>
  <c r="K143" i="73"/>
  <c r="K621" i="73" s="1"/>
  <c r="U99" i="73"/>
  <c r="F456" i="73" s="1"/>
  <c r="F99" i="73"/>
  <c r="F483" i="73" s="1"/>
  <c r="Q118" i="73"/>
  <c r="B522" i="73" s="1"/>
  <c r="B118" i="73"/>
  <c r="B549" i="73" s="1"/>
  <c r="T155" i="73"/>
  <c r="E606" i="73" s="1"/>
  <c r="E155" i="73"/>
  <c r="E633" i="73" s="1"/>
  <c r="Z119" i="73"/>
  <c r="K523" i="73" s="1"/>
  <c r="K119" i="73"/>
  <c r="K550" i="73" s="1"/>
  <c r="Y96" i="73"/>
  <c r="J453" i="73" s="1"/>
  <c r="J96" i="73"/>
  <c r="J480" i="73" s="1"/>
  <c r="X79" i="73"/>
  <c r="I436" i="73" s="1"/>
  <c r="I79" i="73"/>
  <c r="I463" i="73" s="1"/>
  <c r="W115" i="73"/>
  <c r="H519" i="73" s="1"/>
  <c r="H115" i="73"/>
  <c r="H546" i="73" s="1"/>
  <c r="AA162" i="73"/>
  <c r="L613" i="73" s="1"/>
  <c r="L162" i="73"/>
  <c r="L640" i="73" s="1"/>
  <c r="AB77" i="73"/>
  <c r="M77" i="73"/>
  <c r="AB79" i="73"/>
  <c r="M79" i="73"/>
  <c r="Y12" i="73"/>
  <c r="J275" i="73" s="1"/>
  <c r="J12" i="73"/>
  <c r="J302" i="73" s="1"/>
  <c r="W75" i="73"/>
  <c r="H432" i="73" s="1"/>
  <c r="H75" i="73"/>
  <c r="H459" i="73" s="1"/>
  <c r="V47" i="73"/>
  <c r="G357" i="73" s="1"/>
  <c r="G47" i="73"/>
  <c r="G384" i="73" s="1"/>
  <c r="AA73" i="73"/>
  <c r="L73" i="73"/>
  <c r="U77" i="73"/>
  <c r="F434" i="73" s="1"/>
  <c r="F77" i="73"/>
  <c r="F461" i="73" s="1"/>
  <c r="Z177" i="73"/>
  <c r="K675" i="73" s="1"/>
  <c r="K177" i="73"/>
  <c r="K702" i="73" s="1"/>
  <c r="T122" i="73"/>
  <c r="E526" i="73" s="1"/>
  <c r="E122" i="73"/>
  <c r="E553" i="73" s="1"/>
  <c r="T43" i="73"/>
  <c r="E353" i="73" s="1"/>
  <c r="E43" i="73"/>
  <c r="E380" i="73" s="1"/>
  <c r="R17" i="73"/>
  <c r="C280" i="73" s="1"/>
  <c r="C17" i="73"/>
  <c r="C307" i="73" s="1"/>
  <c r="V192" i="73"/>
  <c r="G690" i="73" s="1"/>
  <c r="G192" i="73"/>
  <c r="G717" i="73" s="1"/>
  <c r="AB59" i="73"/>
  <c r="M59" i="73"/>
  <c r="V121" i="73"/>
  <c r="G525" i="73" s="1"/>
  <c r="G121" i="73"/>
  <c r="G552" i="73" s="1"/>
  <c r="V79" i="73"/>
  <c r="G436" i="73" s="1"/>
  <c r="G79" i="73"/>
  <c r="G463" i="73" s="1"/>
  <c r="U47" i="73"/>
  <c r="F357" i="73" s="1"/>
  <c r="F47" i="73"/>
  <c r="F384" i="73" s="1"/>
  <c r="Y144" i="73"/>
  <c r="J595" i="73" s="1"/>
  <c r="J144" i="73"/>
  <c r="J622" i="73" s="1"/>
  <c r="Y182" i="73"/>
  <c r="J680" i="73" s="1"/>
  <c r="J182" i="73"/>
  <c r="J707" i="73" s="1"/>
  <c r="W143" i="73"/>
  <c r="H594" i="73" s="1"/>
  <c r="H143" i="73"/>
  <c r="H621" i="73" s="1"/>
  <c r="W79" i="73"/>
  <c r="H436" i="73" s="1"/>
  <c r="H79" i="73"/>
  <c r="H463" i="73" s="1"/>
  <c r="T85" i="73"/>
  <c r="E442" i="73" s="1"/>
  <c r="E85" i="73"/>
  <c r="E469" i="73" s="1"/>
  <c r="AA26" i="73"/>
  <c r="L289" i="73" s="1"/>
  <c r="L26" i="73"/>
  <c r="L316" i="73" s="1"/>
  <c r="S199" i="73"/>
  <c r="D697" i="73" s="1"/>
  <c r="D199" i="73"/>
  <c r="D724" i="73" s="1"/>
  <c r="S151" i="73"/>
  <c r="D602" i="73" s="1"/>
  <c r="D151" i="73"/>
  <c r="D629" i="73" s="1"/>
  <c r="U151" i="73"/>
  <c r="F602" i="73" s="1"/>
  <c r="F151" i="73"/>
  <c r="F629" i="73" s="1"/>
  <c r="X29" i="73"/>
  <c r="I292" i="73" s="1"/>
  <c r="I29" i="73"/>
  <c r="I319" i="73" s="1"/>
  <c r="U148" i="73"/>
  <c r="F599" i="73" s="1"/>
  <c r="F148" i="73"/>
  <c r="F626" i="73" s="1"/>
  <c r="T94" i="73"/>
  <c r="E451" i="73" s="1"/>
  <c r="E94" i="73"/>
  <c r="E478" i="73" s="1"/>
  <c r="AA84" i="73"/>
  <c r="L441" i="73" s="1"/>
  <c r="L84" i="73"/>
  <c r="L468" i="73" s="1"/>
  <c r="V98" i="73"/>
  <c r="G455" i="73" s="1"/>
  <c r="G98" i="73"/>
  <c r="G482" i="73" s="1"/>
  <c r="AB195" i="73"/>
  <c r="M195" i="73"/>
  <c r="Y79" i="73"/>
  <c r="J436" i="73" s="1"/>
  <c r="J79" i="73"/>
  <c r="J463" i="73" s="1"/>
  <c r="X81" i="73"/>
  <c r="I438" i="73" s="1"/>
  <c r="I81" i="73"/>
  <c r="I465" i="73" s="1"/>
  <c r="U59" i="73"/>
  <c r="F369" i="73" s="1"/>
  <c r="F59" i="73"/>
  <c r="F396" i="73" s="1"/>
  <c r="U149" i="73"/>
  <c r="F600" i="73" s="1"/>
  <c r="F149" i="73"/>
  <c r="F627" i="73" s="1"/>
  <c r="AB118" i="73"/>
  <c r="M118" i="73"/>
  <c r="AB12" i="73"/>
  <c r="M12" i="73"/>
  <c r="T93" i="73"/>
  <c r="E450" i="73" s="1"/>
  <c r="E93" i="73"/>
  <c r="E477" i="73" s="1"/>
  <c r="Y112" i="73"/>
  <c r="J516" i="73" s="1"/>
  <c r="J112" i="73"/>
  <c r="J543" i="73" s="1"/>
  <c r="W13" i="73"/>
  <c r="H276" i="73" s="1"/>
  <c r="H13" i="73"/>
  <c r="H303" i="73" s="1"/>
  <c r="W126" i="73"/>
  <c r="H530" i="73" s="1"/>
  <c r="H126" i="73"/>
  <c r="H557" i="73" s="1"/>
  <c r="AB21" i="73"/>
  <c r="M21" i="73"/>
  <c r="T84" i="73"/>
  <c r="E441" i="73" s="1"/>
  <c r="E84" i="73"/>
  <c r="E468" i="73" s="1"/>
  <c r="S79" i="73"/>
  <c r="D436" i="73" s="1"/>
  <c r="D79" i="73"/>
  <c r="D463" i="73" s="1"/>
  <c r="W97" i="73"/>
  <c r="H454" i="73" s="1"/>
  <c r="H97" i="73"/>
  <c r="H481" i="73" s="1"/>
  <c r="U20" i="73"/>
  <c r="F283" i="73" s="1"/>
  <c r="F20" i="73"/>
  <c r="F310" i="73" s="1"/>
  <c r="X39" i="73"/>
  <c r="I39" i="73"/>
  <c r="Z29" i="73"/>
  <c r="K292" i="73" s="1"/>
  <c r="K29" i="73"/>
  <c r="K319" i="73" s="1"/>
  <c r="R96" i="73"/>
  <c r="C453" i="73" s="1"/>
  <c r="C96" i="73"/>
  <c r="C480" i="73" s="1"/>
  <c r="Q122" i="73"/>
  <c r="B526" i="73" s="1"/>
  <c r="B122" i="73"/>
  <c r="B553" i="73" s="1"/>
  <c r="Q177" i="73"/>
  <c r="B675" i="73" s="1"/>
  <c r="B177" i="73"/>
  <c r="B702" i="73" s="1"/>
  <c r="Z8" i="73"/>
  <c r="K271" i="73" s="1"/>
  <c r="K8" i="73"/>
  <c r="K298" i="73" s="1"/>
  <c r="X9" i="73"/>
  <c r="I272" i="73" s="1"/>
  <c r="I9" i="73"/>
  <c r="I299" i="73" s="1"/>
  <c r="Q79" i="73"/>
  <c r="B436" i="73" s="1"/>
  <c r="B79" i="73"/>
  <c r="B463" i="73" s="1"/>
  <c r="AA12" i="73"/>
  <c r="L275" i="73" s="1"/>
  <c r="L12" i="73"/>
  <c r="L302" i="73" s="1"/>
  <c r="Y75" i="73"/>
  <c r="J432" i="73" s="1"/>
  <c r="J75" i="73"/>
  <c r="J459" i="73" s="1"/>
  <c r="Z47" i="73"/>
  <c r="K357" i="73" s="1"/>
  <c r="K47" i="73"/>
  <c r="K384" i="73" s="1"/>
  <c r="S73" i="73"/>
  <c r="D73" i="73"/>
  <c r="R12" i="73"/>
  <c r="C275" i="73" s="1"/>
  <c r="C12" i="73"/>
  <c r="C302" i="73" s="1"/>
  <c r="Z89" i="73"/>
  <c r="K446" i="73" s="1"/>
  <c r="K89" i="73"/>
  <c r="K473" i="73" s="1"/>
  <c r="Y121" i="73"/>
  <c r="J525" i="73" s="1"/>
  <c r="J121" i="73"/>
  <c r="J552" i="73" s="1"/>
  <c r="W177" i="73"/>
  <c r="H675" i="73" s="1"/>
  <c r="H177" i="73"/>
  <c r="H702" i="73" s="1"/>
  <c r="AA48" i="73"/>
  <c r="L358" i="73" s="1"/>
  <c r="L48" i="73"/>
  <c r="L385" i="73" s="1"/>
  <c r="V13" i="73"/>
  <c r="G276" i="73" s="1"/>
  <c r="G13" i="73"/>
  <c r="G303" i="73" s="1"/>
  <c r="T87" i="73"/>
  <c r="E444" i="73" s="1"/>
  <c r="E87" i="73"/>
  <c r="E471" i="73" s="1"/>
  <c r="R73" i="73"/>
  <c r="C73" i="73"/>
  <c r="Q60" i="73"/>
  <c r="B370" i="73" s="1"/>
  <c r="B60" i="73"/>
  <c r="B397" i="73" s="1"/>
  <c r="R81" i="73"/>
  <c r="C438" i="73" s="1"/>
  <c r="C81" i="73"/>
  <c r="C465" i="73" s="1"/>
  <c r="AA28" i="73"/>
  <c r="L291" i="73" s="1"/>
  <c r="L28" i="73"/>
  <c r="L318" i="73" s="1"/>
  <c r="Y84" i="73"/>
  <c r="J441" i="73" s="1"/>
  <c r="J84" i="73"/>
  <c r="J468" i="73" s="1"/>
  <c r="R142" i="73"/>
  <c r="C593" i="73" s="1"/>
  <c r="C142" i="73"/>
  <c r="C620" i="73" s="1"/>
  <c r="X75" i="73"/>
  <c r="I432" i="73" s="1"/>
  <c r="I75" i="73"/>
  <c r="I459" i="73" s="1"/>
  <c r="T90" i="73"/>
  <c r="E447" i="73" s="1"/>
  <c r="E90" i="73"/>
  <c r="E474" i="73" s="1"/>
  <c r="S10" i="73"/>
  <c r="D273" i="73" s="1"/>
  <c r="D10" i="73"/>
  <c r="D300" i="73" s="1"/>
  <c r="V12" i="73"/>
  <c r="G275" i="73" s="1"/>
  <c r="G12" i="73"/>
  <c r="G302" i="73" s="1"/>
  <c r="R179" i="73"/>
  <c r="C677" i="73" s="1"/>
  <c r="C179" i="73"/>
  <c r="C704" i="73" s="1"/>
  <c r="X76" i="73"/>
  <c r="I433" i="73" s="1"/>
  <c r="I76" i="73"/>
  <c r="I460" i="73" s="1"/>
  <c r="AB189" i="73"/>
  <c r="M189" i="73"/>
  <c r="AA147" i="73"/>
  <c r="L598" i="73" s="1"/>
  <c r="L147" i="73"/>
  <c r="L625" i="73" s="1"/>
  <c r="U55" i="73"/>
  <c r="F365" i="73" s="1"/>
  <c r="F55" i="73"/>
  <c r="F392" i="73" s="1"/>
  <c r="Y92" i="73"/>
  <c r="J449" i="73" s="1"/>
  <c r="J92" i="73"/>
  <c r="J476" i="73" s="1"/>
  <c r="S162" i="73"/>
  <c r="D613" i="73" s="1"/>
  <c r="D162" i="73"/>
  <c r="D640" i="73" s="1"/>
  <c r="V17" i="73"/>
  <c r="G280" i="73" s="1"/>
  <c r="G17" i="73"/>
  <c r="G307" i="73" s="1"/>
  <c r="R39" i="73"/>
  <c r="C39" i="73"/>
  <c r="AB29" i="73"/>
  <c r="M29" i="73"/>
  <c r="W6" i="73"/>
  <c r="H269" i="73" s="1"/>
  <c r="H6" i="73"/>
  <c r="H296" i="73" s="1"/>
  <c r="W82" i="73"/>
  <c r="H439" i="73" s="1"/>
  <c r="H82" i="73"/>
  <c r="H466" i="73" s="1"/>
  <c r="T82" i="73"/>
  <c r="E439" i="73" s="1"/>
  <c r="E82" i="73"/>
  <c r="E466" i="73" s="1"/>
  <c r="Z121" i="73"/>
  <c r="K525" i="73" s="1"/>
  <c r="K121" i="73"/>
  <c r="K552" i="73" s="1"/>
  <c r="W145" i="73"/>
  <c r="H596" i="73" s="1"/>
  <c r="H145" i="73"/>
  <c r="H623" i="73" s="1"/>
  <c r="Y85" i="73"/>
  <c r="J442" i="73" s="1"/>
  <c r="J85" i="73"/>
  <c r="J469" i="73" s="1"/>
  <c r="V59" i="73"/>
  <c r="G369" i="73" s="1"/>
  <c r="G59" i="73"/>
  <c r="G396" i="73" s="1"/>
  <c r="R146" i="73"/>
  <c r="C597" i="73" s="1"/>
  <c r="C146" i="73"/>
  <c r="C624" i="73" s="1"/>
  <c r="V155" i="73"/>
  <c r="G606" i="73" s="1"/>
  <c r="G155" i="73"/>
  <c r="G633" i="73" s="1"/>
  <c r="V126" i="73"/>
  <c r="G530" i="73" s="1"/>
  <c r="G126" i="73"/>
  <c r="G557" i="73" s="1"/>
  <c r="AB188" i="73"/>
  <c r="M188" i="73"/>
  <c r="X180" i="73"/>
  <c r="I678" i="73" s="1"/>
  <c r="I180" i="73"/>
  <c r="I705" i="73" s="1"/>
  <c r="AA145" i="73"/>
  <c r="L596" i="73" s="1"/>
  <c r="L145" i="73"/>
  <c r="L623" i="73" s="1"/>
  <c r="Z13" i="73"/>
  <c r="K276" i="73" s="1"/>
  <c r="K13" i="73"/>
  <c r="K303" i="73" s="1"/>
  <c r="R148" i="73"/>
  <c r="C599" i="73" s="1"/>
  <c r="C148" i="73"/>
  <c r="C626" i="73" s="1"/>
  <c r="X5" i="73"/>
  <c r="I5" i="73"/>
  <c r="X23" i="73"/>
  <c r="I286" i="73" s="1"/>
  <c r="I23" i="73"/>
  <c r="I313" i="73" s="1"/>
  <c r="Z128" i="73"/>
  <c r="K532" i="73" s="1"/>
  <c r="K128" i="73"/>
  <c r="K559" i="73" s="1"/>
  <c r="AA58" i="73"/>
  <c r="L368" i="73" s="1"/>
  <c r="L58" i="73"/>
  <c r="L395" i="73" s="1"/>
  <c r="V197" i="73"/>
  <c r="G695" i="73" s="1"/>
  <c r="G197" i="73"/>
  <c r="G722" i="73" s="1"/>
  <c r="W99" i="73"/>
  <c r="H456" i="73" s="1"/>
  <c r="H99" i="73"/>
  <c r="H483" i="73" s="1"/>
  <c r="V117" i="73"/>
  <c r="G521" i="73" s="1"/>
  <c r="G117" i="73"/>
  <c r="G548" i="73" s="1"/>
  <c r="T175" i="73"/>
  <c r="E175" i="73"/>
  <c r="Z27" i="73"/>
  <c r="K290" i="73" s="1"/>
  <c r="K27" i="73"/>
  <c r="K317" i="73" s="1"/>
  <c r="R86" i="73"/>
  <c r="C443" i="73" s="1"/>
  <c r="C86" i="73"/>
  <c r="C470" i="73" s="1"/>
  <c r="W64" i="73"/>
  <c r="H374" i="73" s="1"/>
  <c r="H64" i="73"/>
  <c r="H401" i="73" s="1"/>
  <c r="T115" i="73"/>
  <c r="E519" i="73" s="1"/>
  <c r="E115" i="73"/>
  <c r="E546" i="73" s="1"/>
  <c r="Z120" i="73"/>
  <c r="K524" i="73" s="1"/>
  <c r="K120" i="73"/>
  <c r="K551" i="73" s="1"/>
  <c r="Z7" i="73"/>
  <c r="K270" i="73" s="1"/>
  <c r="K7" i="73"/>
  <c r="K297" i="73" s="1"/>
  <c r="X41" i="73"/>
  <c r="I351" i="73" s="1"/>
  <c r="I41" i="73"/>
  <c r="I378" i="73" s="1"/>
  <c r="Y87" i="73"/>
  <c r="J444" i="73" s="1"/>
  <c r="J87" i="73"/>
  <c r="J471" i="73" s="1"/>
  <c r="Q180" i="73"/>
  <c r="B678" i="73" s="1"/>
  <c r="B180" i="73"/>
  <c r="B705" i="73" s="1"/>
  <c r="R9" i="73"/>
  <c r="C272" i="73" s="1"/>
  <c r="C9" i="73"/>
  <c r="C299" i="73" s="1"/>
  <c r="AA94" i="73"/>
  <c r="L451" i="73" s="1"/>
  <c r="L94" i="73"/>
  <c r="L478" i="73" s="1"/>
  <c r="X144" i="73"/>
  <c r="I595" i="73" s="1"/>
  <c r="I144" i="73"/>
  <c r="I622" i="73" s="1"/>
  <c r="Z25" i="73"/>
  <c r="K288" i="73" s="1"/>
  <c r="K25" i="73"/>
  <c r="K315" i="73" s="1"/>
  <c r="S153" i="73"/>
  <c r="D604" i="73" s="1"/>
  <c r="D153" i="73"/>
  <c r="D631" i="73" s="1"/>
  <c r="S176" i="73"/>
  <c r="D674" i="73" s="1"/>
  <c r="D176" i="73"/>
  <c r="D701" i="73" s="1"/>
  <c r="R75" i="73"/>
  <c r="C432" i="73" s="1"/>
  <c r="C75" i="73"/>
  <c r="C459" i="73" s="1"/>
  <c r="Q17" i="73"/>
  <c r="B280" i="73" s="1"/>
  <c r="B17" i="73"/>
  <c r="B307" i="73" s="1"/>
  <c r="AA179" i="73"/>
  <c r="L677" i="73" s="1"/>
  <c r="L179" i="73"/>
  <c r="L704" i="73" s="1"/>
  <c r="Q89" i="73"/>
  <c r="B446" i="73" s="1"/>
  <c r="B89" i="73"/>
  <c r="B473" i="73" s="1"/>
  <c r="X130" i="73"/>
  <c r="I534" i="73" s="1"/>
  <c r="I130" i="73"/>
  <c r="I561" i="73" s="1"/>
  <c r="V144" i="73"/>
  <c r="G595" i="73" s="1"/>
  <c r="G144" i="73"/>
  <c r="G622" i="73" s="1"/>
  <c r="S62" i="73"/>
  <c r="D372" i="73" s="1"/>
  <c r="D62" i="73"/>
  <c r="D399" i="73" s="1"/>
  <c r="X11" i="73"/>
  <c r="I274" i="73" s="1"/>
  <c r="I11" i="73"/>
  <c r="I301" i="73" s="1"/>
  <c r="AA180" i="73"/>
  <c r="L678" i="73" s="1"/>
  <c r="L180" i="73"/>
  <c r="L705" i="73" s="1"/>
  <c r="R121" i="73"/>
  <c r="C525" i="73" s="1"/>
  <c r="C121" i="73"/>
  <c r="C552" i="73" s="1"/>
  <c r="U52" i="73"/>
  <c r="F362" i="73" s="1"/>
  <c r="F52" i="73"/>
  <c r="F389" i="73" s="1"/>
  <c r="W44" i="73"/>
  <c r="H354" i="73" s="1"/>
  <c r="H44" i="73"/>
  <c r="H381" i="73" s="1"/>
  <c r="Q26" i="73"/>
  <c r="B289" i="73" s="1"/>
  <c r="B26" i="73"/>
  <c r="B316" i="73" s="1"/>
  <c r="R155" i="73"/>
  <c r="C606" i="73" s="1"/>
  <c r="C155" i="73"/>
  <c r="C633" i="73" s="1"/>
  <c r="T151" i="73"/>
  <c r="E602" i="73" s="1"/>
  <c r="E151" i="73"/>
  <c r="E629" i="73" s="1"/>
  <c r="Q23" i="73"/>
  <c r="B286" i="73" s="1"/>
  <c r="B23" i="73"/>
  <c r="B313" i="73" s="1"/>
  <c r="AA90" i="73"/>
  <c r="L447" i="73" s="1"/>
  <c r="L90" i="73"/>
  <c r="L474" i="73" s="1"/>
  <c r="X84" i="73"/>
  <c r="I441" i="73" s="1"/>
  <c r="I84" i="73"/>
  <c r="I468" i="73" s="1"/>
  <c r="U113" i="73"/>
  <c r="F517" i="73" s="1"/>
  <c r="F113" i="73"/>
  <c r="F544" i="73" s="1"/>
  <c r="W186" i="73"/>
  <c r="H684" i="73" s="1"/>
  <c r="H186" i="73"/>
  <c r="H711" i="73" s="1"/>
  <c r="Z112" i="73"/>
  <c r="K516" i="73" s="1"/>
  <c r="K112" i="73"/>
  <c r="K543" i="73" s="1"/>
  <c r="Z175" i="73"/>
  <c r="K175" i="73"/>
  <c r="V80" i="73"/>
  <c r="G437" i="73" s="1"/>
  <c r="G80" i="73"/>
  <c r="G464" i="73" s="1"/>
  <c r="U15" i="73"/>
  <c r="F278" i="73" s="1"/>
  <c r="F15" i="73"/>
  <c r="F305" i="73" s="1"/>
  <c r="Q160" i="73"/>
  <c r="B611" i="73" s="1"/>
  <c r="B160" i="73"/>
  <c r="B638" i="73" s="1"/>
  <c r="Z88" i="73"/>
  <c r="K445" i="73" s="1"/>
  <c r="K88" i="73"/>
  <c r="K472" i="73" s="1"/>
  <c r="T193" i="73"/>
  <c r="E691" i="73" s="1"/>
  <c r="E193" i="73"/>
  <c r="E718" i="73" s="1"/>
  <c r="Z41" i="73"/>
  <c r="K351" i="73" s="1"/>
  <c r="K41" i="73"/>
  <c r="K378" i="73" s="1"/>
  <c r="U116" i="73"/>
  <c r="F520" i="73" s="1"/>
  <c r="F116" i="73"/>
  <c r="F547" i="73" s="1"/>
  <c r="Y113" i="73"/>
  <c r="J517" i="73" s="1"/>
  <c r="J113" i="73"/>
  <c r="J544" i="73" s="1"/>
  <c r="AA117" i="73"/>
  <c r="L521" i="73" s="1"/>
  <c r="L117" i="73"/>
  <c r="L548" i="73" s="1"/>
  <c r="B700" i="73"/>
  <c r="C700" i="73"/>
  <c r="M321" i="73"/>
  <c r="N31" i="73"/>
  <c r="N200" i="73"/>
  <c r="M725" i="73"/>
  <c r="N183" i="73"/>
  <c r="M708" i="73"/>
  <c r="M642" i="73"/>
  <c r="N164" i="73"/>
  <c r="B376" i="73"/>
  <c r="M542" i="73"/>
  <c r="N111" i="73"/>
  <c r="L376" i="73"/>
  <c r="N56" i="73"/>
  <c r="M303" i="73"/>
  <c r="N13" i="73"/>
  <c r="E376" i="73"/>
  <c r="M380" i="73"/>
  <c r="N43" i="73"/>
  <c r="N191" i="73"/>
  <c r="M716" i="73"/>
  <c r="K295" i="73"/>
  <c r="M721" i="73"/>
  <c r="N196" i="73"/>
  <c r="M627" i="73"/>
  <c r="N149" i="73"/>
  <c r="L700" i="73"/>
  <c r="M313" i="73"/>
  <c r="N23" i="73"/>
  <c r="X92" i="73"/>
  <c r="I449" i="73" s="1"/>
  <c r="I92" i="73"/>
  <c r="I476" i="73" s="1"/>
  <c r="AC193" i="73"/>
  <c r="M691" i="73"/>
  <c r="AC45" i="73"/>
  <c r="M355" i="73"/>
  <c r="AC185" i="73"/>
  <c r="M683" i="73"/>
  <c r="AC159" i="73"/>
  <c r="M610" i="73"/>
  <c r="M601" i="73"/>
  <c r="AC150" i="73"/>
  <c r="M450" i="73"/>
  <c r="AC93" i="73"/>
  <c r="B592" i="73"/>
  <c r="M604" i="73"/>
  <c r="AC153" i="73"/>
  <c r="E268" i="73"/>
  <c r="M673" i="73"/>
  <c r="AC175" i="73"/>
  <c r="AC114" i="73"/>
  <c r="M518" i="73"/>
  <c r="J673" i="73"/>
  <c r="AC86" i="73"/>
  <c r="M443" i="73"/>
  <c r="B430" i="73"/>
  <c r="AC63" i="73"/>
  <c r="M373" i="73"/>
  <c r="M534" i="73"/>
  <c r="AC130" i="73"/>
  <c r="AC75" i="73"/>
  <c r="M432" i="73"/>
  <c r="W167" i="73"/>
  <c r="H618" i="73" s="1"/>
  <c r="H167" i="73"/>
  <c r="H645" i="73" s="1"/>
  <c r="AB22" i="73"/>
  <c r="M22" i="73"/>
  <c r="Z24" i="73"/>
  <c r="K287" i="73" s="1"/>
  <c r="K24" i="73"/>
  <c r="K314" i="73" s="1"/>
  <c r="T187" i="73"/>
  <c r="E685" i="73" s="1"/>
  <c r="E187" i="73"/>
  <c r="E712" i="73" s="1"/>
  <c r="R190" i="73"/>
  <c r="C688" i="73" s="1"/>
  <c r="C190" i="73"/>
  <c r="C715" i="73" s="1"/>
  <c r="V133" i="73"/>
  <c r="G537" i="73" s="1"/>
  <c r="G133" i="73"/>
  <c r="G564" i="73" s="1"/>
  <c r="U110" i="73"/>
  <c r="F514" i="73" s="1"/>
  <c r="F110" i="73"/>
  <c r="F541" i="73" s="1"/>
  <c r="W50" i="73"/>
  <c r="H360" i="73" s="1"/>
  <c r="H50" i="73"/>
  <c r="H387" i="73" s="1"/>
  <c r="R30" i="73"/>
  <c r="C293" i="73" s="1"/>
  <c r="C30" i="73"/>
  <c r="C320" i="73" s="1"/>
  <c r="X22" i="73"/>
  <c r="I285" i="73" s="1"/>
  <c r="I22" i="73"/>
  <c r="I312" i="73" s="1"/>
  <c r="S14" i="73"/>
  <c r="D277" i="73" s="1"/>
  <c r="D14" i="73"/>
  <c r="D304" i="73" s="1"/>
  <c r="Z156" i="73"/>
  <c r="K607" i="73" s="1"/>
  <c r="K156" i="73"/>
  <c r="K634" i="73" s="1"/>
  <c r="T131" i="73"/>
  <c r="E535" i="73" s="1"/>
  <c r="E131" i="73"/>
  <c r="E562" i="73" s="1"/>
  <c r="X95" i="73"/>
  <c r="I452" i="73" s="1"/>
  <c r="I95" i="73"/>
  <c r="I479" i="73" s="1"/>
  <c r="T108" i="73"/>
  <c r="E512" i="73" s="1"/>
  <c r="E108" i="73"/>
  <c r="E539" i="73" s="1"/>
  <c r="R16" i="73"/>
  <c r="C279" i="73" s="1"/>
  <c r="C16" i="73"/>
  <c r="C306" i="73" s="1"/>
  <c r="W161" i="73"/>
  <c r="H612" i="73" s="1"/>
  <c r="H161" i="73"/>
  <c r="H639" i="73" s="1"/>
  <c r="T190" i="73"/>
  <c r="E688" i="73" s="1"/>
  <c r="E190" i="73"/>
  <c r="E715" i="73" s="1"/>
  <c r="T152" i="73"/>
  <c r="E603" i="73" s="1"/>
  <c r="E152" i="73"/>
  <c r="E630" i="73" s="1"/>
  <c r="AB167" i="73"/>
  <c r="M167" i="73"/>
  <c r="X123" i="73"/>
  <c r="I527" i="73" s="1"/>
  <c r="I123" i="73"/>
  <c r="I554" i="73" s="1"/>
  <c r="W133" i="73"/>
  <c r="H537" i="73" s="1"/>
  <c r="H133" i="73"/>
  <c r="H564" i="73" s="1"/>
  <c r="R50" i="73"/>
  <c r="C360" i="73" s="1"/>
  <c r="C50" i="73"/>
  <c r="C387" i="73" s="1"/>
  <c r="X42" i="73"/>
  <c r="I352" i="73" s="1"/>
  <c r="I42" i="73"/>
  <c r="I379" i="73" s="1"/>
  <c r="Y22" i="73"/>
  <c r="J285" i="73" s="1"/>
  <c r="J22" i="73"/>
  <c r="J312" i="73" s="1"/>
  <c r="X184" i="73"/>
  <c r="I682" i="73" s="1"/>
  <c r="I184" i="73"/>
  <c r="I709" i="73" s="1"/>
  <c r="AB156" i="73"/>
  <c r="M156" i="73"/>
  <c r="AA131" i="73"/>
  <c r="L535" i="73" s="1"/>
  <c r="L131" i="73"/>
  <c r="L562" i="73" s="1"/>
  <c r="Y95" i="73"/>
  <c r="J452" i="73" s="1"/>
  <c r="J95" i="73"/>
  <c r="J479" i="73" s="1"/>
  <c r="R108" i="73"/>
  <c r="C512" i="73" s="1"/>
  <c r="C108" i="73"/>
  <c r="C539" i="73" s="1"/>
  <c r="S24" i="73"/>
  <c r="D287" i="73" s="1"/>
  <c r="D24" i="73"/>
  <c r="D314" i="73" s="1"/>
  <c r="V161" i="73"/>
  <c r="G612" i="73" s="1"/>
  <c r="G161" i="73"/>
  <c r="G639" i="73" s="1"/>
  <c r="U46" i="73"/>
  <c r="F356" i="73" s="1"/>
  <c r="F46" i="73"/>
  <c r="F383" i="73" s="1"/>
  <c r="W190" i="73"/>
  <c r="H688" i="73" s="1"/>
  <c r="H190" i="73"/>
  <c r="H715" i="73" s="1"/>
  <c r="X163" i="73"/>
  <c r="I614" i="73" s="1"/>
  <c r="I163" i="73"/>
  <c r="I641" i="73" s="1"/>
  <c r="R167" i="73"/>
  <c r="C618" i="73" s="1"/>
  <c r="C167" i="73"/>
  <c r="C645" i="73" s="1"/>
  <c r="Y133" i="73"/>
  <c r="J537" i="73" s="1"/>
  <c r="J133" i="73"/>
  <c r="J564" i="73" s="1"/>
  <c r="S110" i="73"/>
  <c r="D514" i="73" s="1"/>
  <c r="D110" i="73"/>
  <c r="D541" i="73" s="1"/>
  <c r="V107" i="73"/>
  <c r="G107" i="73"/>
  <c r="T42" i="73"/>
  <c r="E352" i="73" s="1"/>
  <c r="E42" i="73"/>
  <c r="E379" i="73" s="1"/>
  <c r="Z22" i="73"/>
  <c r="K285" i="73" s="1"/>
  <c r="K22" i="73"/>
  <c r="K312" i="73" s="1"/>
  <c r="U14" i="73"/>
  <c r="F277" i="73" s="1"/>
  <c r="F14" i="73"/>
  <c r="F304" i="73" s="1"/>
  <c r="AA184" i="73"/>
  <c r="L682" i="73" s="1"/>
  <c r="L184" i="73"/>
  <c r="L709" i="73" s="1"/>
  <c r="Z147" i="73"/>
  <c r="K598" i="73" s="1"/>
  <c r="K147" i="73"/>
  <c r="K625" i="73" s="1"/>
  <c r="R127" i="73"/>
  <c r="C531" i="73" s="1"/>
  <c r="C127" i="73"/>
  <c r="C558" i="73" s="1"/>
  <c r="V99" i="73"/>
  <c r="G456" i="73" s="1"/>
  <c r="G99" i="73"/>
  <c r="G483" i="73" s="1"/>
  <c r="S108" i="73"/>
  <c r="D512" i="73" s="1"/>
  <c r="D108" i="73"/>
  <c r="D539" i="73" s="1"/>
  <c r="T24" i="73"/>
  <c r="E287" i="73" s="1"/>
  <c r="E24" i="73"/>
  <c r="E314" i="73" s="1"/>
  <c r="R196" i="73"/>
  <c r="C694" i="73" s="1"/>
  <c r="C196" i="73"/>
  <c r="C721" i="73" s="1"/>
  <c r="AA161" i="73"/>
  <c r="L612" i="73" s="1"/>
  <c r="L161" i="73"/>
  <c r="L639" i="73" s="1"/>
  <c r="Y115" i="73"/>
  <c r="J519" i="73" s="1"/>
  <c r="J115" i="73"/>
  <c r="J546" i="73" s="1"/>
  <c r="W46" i="73"/>
  <c r="H356" i="73" s="1"/>
  <c r="H46" i="73"/>
  <c r="H383" i="73" s="1"/>
  <c r="W187" i="73"/>
  <c r="H685" i="73" s="1"/>
  <c r="H187" i="73"/>
  <c r="H712" i="73" s="1"/>
  <c r="S194" i="73"/>
  <c r="D692" i="73" s="1"/>
  <c r="D194" i="73"/>
  <c r="D719" i="73" s="1"/>
  <c r="R192" i="73"/>
  <c r="C690" i="73" s="1"/>
  <c r="C192" i="73"/>
  <c r="C717" i="73" s="1"/>
  <c r="Z111" i="73"/>
  <c r="K515" i="73" s="1"/>
  <c r="K111" i="73"/>
  <c r="K542" i="73" s="1"/>
  <c r="V180" i="73"/>
  <c r="G678" i="73" s="1"/>
  <c r="G180" i="73"/>
  <c r="G705" i="73" s="1"/>
  <c r="R143" i="73"/>
  <c r="C594" i="73" s="1"/>
  <c r="C143" i="73"/>
  <c r="C621" i="73" s="1"/>
  <c r="AB127" i="73"/>
  <c r="M127" i="73"/>
  <c r="U124" i="73"/>
  <c r="F528" i="73" s="1"/>
  <c r="F124" i="73"/>
  <c r="F555" i="73" s="1"/>
  <c r="X165" i="73"/>
  <c r="I616" i="73" s="1"/>
  <c r="I165" i="73"/>
  <c r="I643" i="73" s="1"/>
  <c r="T146" i="73"/>
  <c r="E597" i="73" s="1"/>
  <c r="E146" i="73"/>
  <c r="E624" i="73" s="1"/>
  <c r="Z118" i="73"/>
  <c r="K522" i="73" s="1"/>
  <c r="K118" i="73"/>
  <c r="K549" i="73" s="1"/>
  <c r="AA194" i="73"/>
  <c r="L692" i="73" s="1"/>
  <c r="L194" i="73"/>
  <c r="L719" i="73" s="1"/>
  <c r="Y111" i="73"/>
  <c r="J515" i="73" s="1"/>
  <c r="J111" i="73"/>
  <c r="J542" i="73" s="1"/>
  <c r="Z180" i="73"/>
  <c r="K678" i="73" s="1"/>
  <c r="K180" i="73"/>
  <c r="K705" i="73" s="1"/>
  <c r="X116" i="73"/>
  <c r="I520" i="73" s="1"/>
  <c r="I116" i="73"/>
  <c r="I547" i="73" s="1"/>
  <c r="S124" i="73"/>
  <c r="D528" i="73" s="1"/>
  <c r="D124" i="73"/>
  <c r="D555" i="73" s="1"/>
  <c r="AB165" i="73"/>
  <c r="M165" i="73"/>
  <c r="Z146" i="73"/>
  <c r="K597" i="73" s="1"/>
  <c r="K146" i="73"/>
  <c r="K624" i="73" s="1"/>
  <c r="S125" i="73"/>
  <c r="D529" i="73" s="1"/>
  <c r="D125" i="73"/>
  <c r="D556" i="73" s="1"/>
  <c r="U118" i="73"/>
  <c r="F522" i="73" s="1"/>
  <c r="F118" i="73"/>
  <c r="F549" i="73" s="1"/>
  <c r="AA178" i="73"/>
  <c r="L676" i="73" s="1"/>
  <c r="L178" i="73"/>
  <c r="L703" i="73" s="1"/>
  <c r="Z154" i="73"/>
  <c r="K605" i="73" s="1"/>
  <c r="K154" i="73"/>
  <c r="K632" i="73" s="1"/>
  <c r="T132" i="73"/>
  <c r="E536" i="73" s="1"/>
  <c r="E132" i="73"/>
  <c r="E563" i="73" s="1"/>
  <c r="X119" i="73"/>
  <c r="I523" i="73" s="1"/>
  <c r="I119" i="73"/>
  <c r="I550" i="73" s="1"/>
  <c r="AB55" i="73"/>
  <c r="M55" i="73"/>
  <c r="V60" i="73"/>
  <c r="G370" i="73" s="1"/>
  <c r="G60" i="73"/>
  <c r="G397" i="73" s="1"/>
  <c r="W147" i="73"/>
  <c r="H598" i="73" s="1"/>
  <c r="H147" i="73"/>
  <c r="H625" i="73" s="1"/>
  <c r="T186" i="73"/>
  <c r="E684" i="73" s="1"/>
  <c r="E186" i="73"/>
  <c r="E711" i="73" s="1"/>
  <c r="U155" i="73"/>
  <c r="F606" i="73" s="1"/>
  <c r="F155" i="73"/>
  <c r="F633" i="73" s="1"/>
  <c r="X132" i="73"/>
  <c r="I536" i="73" s="1"/>
  <c r="I132" i="73"/>
  <c r="I563" i="73" s="1"/>
  <c r="AA97" i="73"/>
  <c r="L454" i="73" s="1"/>
  <c r="L97" i="73"/>
  <c r="L481" i="73" s="1"/>
  <c r="S48" i="73"/>
  <c r="D358" i="73" s="1"/>
  <c r="D48" i="73"/>
  <c r="D385" i="73" s="1"/>
  <c r="X45" i="73"/>
  <c r="I355" i="73" s="1"/>
  <c r="I45" i="73"/>
  <c r="I382" i="73" s="1"/>
  <c r="AA192" i="73"/>
  <c r="L690" i="73" s="1"/>
  <c r="L192" i="73"/>
  <c r="L717" i="73" s="1"/>
  <c r="AA127" i="73"/>
  <c r="L531" i="73" s="1"/>
  <c r="L127" i="73"/>
  <c r="L558" i="73" s="1"/>
  <c r="AB177" i="73"/>
  <c r="M177" i="73"/>
  <c r="W114" i="73"/>
  <c r="H518" i="73" s="1"/>
  <c r="H114" i="73"/>
  <c r="H545" i="73" s="1"/>
  <c r="T180" i="73"/>
  <c r="E678" i="73" s="1"/>
  <c r="E180" i="73"/>
  <c r="E705" i="73" s="1"/>
  <c r="Q116" i="73"/>
  <c r="B520" i="73" s="1"/>
  <c r="B116" i="73"/>
  <c r="B547" i="73" s="1"/>
  <c r="Z44" i="73"/>
  <c r="K354" i="73" s="1"/>
  <c r="K44" i="73"/>
  <c r="K381" i="73" s="1"/>
  <c r="W165" i="73"/>
  <c r="H616" i="73" s="1"/>
  <c r="H165" i="73"/>
  <c r="H643" i="73" s="1"/>
  <c r="R56" i="73"/>
  <c r="C366" i="73" s="1"/>
  <c r="C56" i="73"/>
  <c r="C393" i="73" s="1"/>
  <c r="T147" i="73"/>
  <c r="E598" i="73" s="1"/>
  <c r="E147" i="73"/>
  <c r="E625" i="73" s="1"/>
  <c r="W125" i="73"/>
  <c r="H529" i="73" s="1"/>
  <c r="H125" i="73"/>
  <c r="H556" i="73" s="1"/>
  <c r="Y186" i="73"/>
  <c r="J684" i="73" s="1"/>
  <c r="J186" i="73"/>
  <c r="J711" i="73" s="1"/>
  <c r="V48" i="73"/>
  <c r="G358" i="73" s="1"/>
  <c r="G48" i="73"/>
  <c r="G385" i="73" s="1"/>
  <c r="X40" i="73"/>
  <c r="I350" i="73" s="1"/>
  <c r="I40" i="73"/>
  <c r="I377" i="73" s="1"/>
  <c r="W81" i="73"/>
  <c r="H438" i="73" s="1"/>
  <c r="H81" i="73"/>
  <c r="H465" i="73" s="1"/>
  <c r="T81" i="73"/>
  <c r="E438" i="73" s="1"/>
  <c r="E81" i="73"/>
  <c r="E465" i="73" s="1"/>
  <c r="Y127" i="73"/>
  <c r="J531" i="73" s="1"/>
  <c r="J127" i="73"/>
  <c r="J558" i="73" s="1"/>
  <c r="V145" i="73"/>
  <c r="G596" i="73" s="1"/>
  <c r="G145" i="73"/>
  <c r="G623" i="73" s="1"/>
  <c r="S154" i="73"/>
  <c r="D605" i="73" s="1"/>
  <c r="D154" i="73"/>
  <c r="D632" i="73" s="1"/>
  <c r="V56" i="73"/>
  <c r="G366" i="73" s="1"/>
  <c r="G56" i="73"/>
  <c r="G393" i="73" s="1"/>
  <c r="R20" i="73"/>
  <c r="C283" i="73" s="1"/>
  <c r="C20" i="73"/>
  <c r="C310" i="73" s="1"/>
  <c r="Y13" i="73"/>
  <c r="J276" i="73" s="1"/>
  <c r="J13" i="73"/>
  <c r="J303" i="73" s="1"/>
  <c r="U194" i="73"/>
  <c r="F692" i="73" s="1"/>
  <c r="F194" i="73"/>
  <c r="F719" i="73" s="1"/>
  <c r="AB116" i="73"/>
  <c r="M116" i="73"/>
  <c r="R124" i="73"/>
  <c r="C528" i="73" s="1"/>
  <c r="C124" i="73"/>
  <c r="C555" i="73" s="1"/>
  <c r="Q195" i="73"/>
  <c r="B693" i="73" s="1"/>
  <c r="B195" i="73"/>
  <c r="B720" i="73" s="1"/>
  <c r="Y114" i="73"/>
  <c r="J518" i="73" s="1"/>
  <c r="J114" i="73"/>
  <c r="J545" i="73" s="1"/>
  <c r="AB198" i="73"/>
  <c r="M198" i="73"/>
  <c r="X147" i="73"/>
  <c r="I598" i="73" s="1"/>
  <c r="I147" i="73"/>
  <c r="I625" i="73" s="1"/>
  <c r="U127" i="73"/>
  <c r="F531" i="73" s="1"/>
  <c r="F127" i="73"/>
  <c r="F558" i="73" s="1"/>
  <c r="W52" i="73"/>
  <c r="H362" i="73" s="1"/>
  <c r="H52" i="73"/>
  <c r="H389" i="73" s="1"/>
  <c r="Q52" i="73"/>
  <c r="B362" i="73" s="1"/>
  <c r="B52" i="73"/>
  <c r="B389" i="73" s="1"/>
  <c r="AA149" i="73"/>
  <c r="L600" i="73" s="1"/>
  <c r="L149" i="73"/>
  <c r="L627" i="73" s="1"/>
  <c r="R141" i="73"/>
  <c r="C141" i="73"/>
  <c r="T125" i="73"/>
  <c r="E529" i="73" s="1"/>
  <c r="E125" i="73"/>
  <c r="E556" i="73" s="1"/>
  <c r="AB26" i="73"/>
  <c r="M26" i="73"/>
  <c r="S18" i="73"/>
  <c r="D281" i="73" s="1"/>
  <c r="D18" i="73"/>
  <c r="D308" i="73" s="1"/>
  <c r="T178" i="73"/>
  <c r="E676" i="73" s="1"/>
  <c r="E178" i="73"/>
  <c r="E703" i="73" s="1"/>
  <c r="AA112" i="73"/>
  <c r="L516" i="73" s="1"/>
  <c r="L112" i="73"/>
  <c r="L543" i="73" s="1"/>
  <c r="V132" i="73"/>
  <c r="G536" i="73" s="1"/>
  <c r="G132" i="73"/>
  <c r="G563" i="73" s="1"/>
  <c r="W55" i="73"/>
  <c r="H365" i="73" s="1"/>
  <c r="H55" i="73"/>
  <c r="H392" i="73" s="1"/>
  <c r="Z155" i="73"/>
  <c r="K606" i="73" s="1"/>
  <c r="K155" i="73"/>
  <c r="K633" i="73" s="1"/>
  <c r="R132" i="73"/>
  <c r="C536" i="73" s="1"/>
  <c r="C132" i="73"/>
  <c r="C563" i="73" s="1"/>
  <c r="R97" i="73"/>
  <c r="C454" i="73" s="1"/>
  <c r="C97" i="73"/>
  <c r="C481" i="73" s="1"/>
  <c r="U192" i="73"/>
  <c r="F690" i="73" s="1"/>
  <c r="F192" i="73"/>
  <c r="F717" i="73" s="1"/>
  <c r="X198" i="73"/>
  <c r="I696" i="73" s="1"/>
  <c r="I198" i="73"/>
  <c r="I723" i="73" s="1"/>
  <c r="AA143" i="73"/>
  <c r="L594" i="73" s="1"/>
  <c r="L143" i="73"/>
  <c r="L621" i="73" s="1"/>
  <c r="AA99" i="73"/>
  <c r="L456" i="73" s="1"/>
  <c r="L99" i="73"/>
  <c r="L483" i="73" s="1"/>
  <c r="X26" i="73"/>
  <c r="I289" i="73" s="1"/>
  <c r="I26" i="73"/>
  <c r="I316" i="73" s="1"/>
  <c r="X201" i="73"/>
  <c r="I699" i="73" s="1"/>
  <c r="I201" i="73"/>
  <c r="I726" i="73" s="1"/>
  <c r="Y155" i="73"/>
  <c r="J606" i="73" s="1"/>
  <c r="J155" i="73"/>
  <c r="J633" i="73" s="1"/>
  <c r="W119" i="73"/>
  <c r="H523" i="73" s="1"/>
  <c r="H119" i="73"/>
  <c r="H550" i="73" s="1"/>
  <c r="S49" i="73"/>
  <c r="D359" i="73" s="1"/>
  <c r="D49" i="73"/>
  <c r="D386" i="73" s="1"/>
  <c r="AA10" i="73"/>
  <c r="L273" i="73" s="1"/>
  <c r="L10" i="73"/>
  <c r="L300" i="73" s="1"/>
  <c r="R188" i="73"/>
  <c r="C686" i="73" s="1"/>
  <c r="C188" i="73"/>
  <c r="C713" i="73" s="1"/>
  <c r="V115" i="73"/>
  <c r="G519" i="73" s="1"/>
  <c r="G115" i="73"/>
  <c r="G546" i="73" s="1"/>
  <c r="T59" i="73"/>
  <c r="E369" i="73" s="1"/>
  <c r="E59" i="73"/>
  <c r="E396" i="73" s="1"/>
  <c r="V96" i="73"/>
  <c r="G453" i="73" s="1"/>
  <c r="G96" i="73"/>
  <c r="G480" i="73" s="1"/>
  <c r="S98" i="73"/>
  <c r="D455" i="73" s="1"/>
  <c r="D98" i="73"/>
  <c r="D482" i="73" s="1"/>
  <c r="Z12" i="73"/>
  <c r="K275" i="73" s="1"/>
  <c r="K12" i="73"/>
  <c r="K302" i="73" s="1"/>
  <c r="X21" i="73"/>
  <c r="I284" i="73" s="1"/>
  <c r="I21" i="73"/>
  <c r="I311" i="73" s="1"/>
  <c r="AA166" i="73"/>
  <c r="L617" i="73" s="1"/>
  <c r="L166" i="73"/>
  <c r="L644" i="73" s="1"/>
  <c r="AB73" i="73"/>
  <c r="M73" i="73"/>
  <c r="S83" i="73"/>
  <c r="D440" i="73" s="1"/>
  <c r="D83" i="73"/>
  <c r="D467" i="73" s="1"/>
  <c r="R61" i="73"/>
  <c r="C371" i="73" s="1"/>
  <c r="C61" i="73"/>
  <c r="C398" i="73" s="1"/>
  <c r="R79" i="73"/>
  <c r="C436" i="73" s="1"/>
  <c r="C79" i="73"/>
  <c r="C463" i="73" s="1"/>
  <c r="V177" i="73"/>
  <c r="G675" i="73" s="1"/>
  <c r="G177" i="73"/>
  <c r="G702" i="73" s="1"/>
  <c r="Y6" i="73"/>
  <c r="J269" i="73" s="1"/>
  <c r="J6" i="73"/>
  <c r="J296" i="73" s="1"/>
  <c r="Q114" i="73"/>
  <c r="B518" i="73" s="1"/>
  <c r="B114" i="73"/>
  <c r="B545" i="73" s="1"/>
  <c r="Z129" i="73"/>
  <c r="K533" i="73" s="1"/>
  <c r="K129" i="73"/>
  <c r="K560" i="73" s="1"/>
  <c r="AB121" i="73"/>
  <c r="M121" i="73"/>
  <c r="W65" i="73"/>
  <c r="H375" i="73" s="1"/>
  <c r="H65" i="73"/>
  <c r="H402" i="73" s="1"/>
  <c r="T9" i="73"/>
  <c r="E272" i="73" s="1"/>
  <c r="E9" i="73"/>
  <c r="E299" i="73" s="1"/>
  <c r="Y162" i="73"/>
  <c r="J613" i="73" s="1"/>
  <c r="J162" i="73"/>
  <c r="J640" i="73" s="1"/>
  <c r="V73" i="73"/>
  <c r="G73" i="73"/>
  <c r="X122" i="73"/>
  <c r="I526" i="73" s="1"/>
  <c r="I122" i="73"/>
  <c r="I553" i="73" s="1"/>
  <c r="AB146" i="73"/>
  <c r="M146" i="73"/>
  <c r="Z77" i="73"/>
  <c r="K434" i="73" s="1"/>
  <c r="K77" i="73"/>
  <c r="K461" i="73" s="1"/>
  <c r="V18" i="73"/>
  <c r="G281" i="73" s="1"/>
  <c r="G18" i="73"/>
  <c r="G308" i="73" s="1"/>
  <c r="AA186" i="73"/>
  <c r="L684" i="73" s="1"/>
  <c r="L186" i="73"/>
  <c r="L711" i="73" s="1"/>
  <c r="W29" i="73"/>
  <c r="H292" i="73" s="1"/>
  <c r="H29" i="73"/>
  <c r="H319" i="73" s="1"/>
  <c r="AA92" i="73"/>
  <c r="L449" i="73" s="1"/>
  <c r="L92" i="73"/>
  <c r="L476" i="73" s="1"/>
  <c r="W25" i="73"/>
  <c r="H288" i="73" s="1"/>
  <c r="H25" i="73"/>
  <c r="H315" i="73" s="1"/>
  <c r="Y148" i="73"/>
  <c r="J599" i="73" s="1"/>
  <c r="J148" i="73"/>
  <c r="J626" i="73" s="1"/>
  <c r="R78" i="73"/>
  <c r="C435" i="73" s="1"/>
  <c r="C78" i="73"/>
  <c r="C462" i="73" s="1"/>
  <c r="Q21" i="73"/>
  <c r="B284" i="73" s="1"/>
  <c r="B21" i="73"/>
  <c r="B311" i="73" s="1"/>
  <c r="U162" i="73"/>
  <c r="F613" i="73" s="1"/>
  <c r="F162" i="73"/>
  <c r="F640" i="73" s="1"/>
  <c r="T53" i="73"/>
  <c r="E363" i="73" s="1"/>
  <c r="E53" i="73"/>
  <c r="E390" i="73" s="1"/>
  <c r="Z82" i="73"/>
  <c r="K439" i="73" s="1"/>
  <c r="K82" i="73"/>
  <c r="K466" i="73" s="1"/>
  <c r="Q179" i="73"/>
  <c r="B677" i="73" s="1"/>
  <c r="B179" i="73"/>
  <c r="B704" i="73" s="1"/>
  <c r="X99" i="73"/>
  <c r="I456" i="73" s="1"/>
  <c r="I99" i="73"/>
  <c r="I483" i="73" s="1"/>
  <c r="V141" i="73"/>
  <c r="G141" i="73"/>
  <c r="W118" i="73"/>
  <c r="H522" i="73" s="1"/>
  <c r="H118" i="73"/>
  <c r="H549" i="73" s="1"/>
  <c r="R199" i="73"/>
  <c r="C697" i="73" s="1"/>
  <c r="C199" i="73"/>
  <c r="C724" i="73" s="1"/>
  <c r="V77" i="73"/>
  <c r="G434" i="73" s="1"/>
  <c r="G77" i="73"/>
  <c r="G461" i="73" s="1"/>
  <c r="V91" i="73"/>
  <c r="G448" i="73" s="1"/>
  <c r="G91" i="73"/>
  <c r="G475" i="73" s="1"/>
  <c r="R13" i="73"/>
  <c r="C276" i="73" s="1"/>
  <c r="C13" i="73"/>
  <c r="C303" i="73" s="1"/>
  <c r="S117" i="73"/>
  <c r="D521" i="73" s="1"/>
  <c r="D117" i="73"/>
  <c r="D548" i="73" s="1"/>
  <c r="V84" i="73"/>
  <c r="G441" i="73" s="1"/>
  <c r="G84" i="73"/>
  <c r="G468" i="73" s="1"/>
  <c r="Z76" i="73"/>
  <c r="K433" i="73" s="1"/>
  <c r="K76" i="73"/>
  <c r="K460" i="73" s="1"/>
  <c r="T158" i="73"/>
  <c r="E609" i="73" s="1"/>
  <c r="E158" i="73"/>
  <c r="E636" i="73" s="1"/>
  <c r="Y28" i="73"/>
  <c r="J291" i="73" s="1"/>
  <c r="J28" i="73"/>
  <c r="J318" i="73" s="1"/>
  <c r="AA20" i="73"/>
  <c r="L283" i="73" s="1"/>
  <c r="L20" i="73"/>
  <c r="L310" i="73" s="1"/>
  <c r="Z144" i="73"/>
  <c r="K595" i="73" s="1"/>
  <c r="K144" i="73"/>
  <c r="K622" i="73" s="1"/>
  <c r="V51" i="73"/>
  <c r="G361" i="73" s="1"/>
  <c r="G51" i="73"/>
  <c r="G388" i="73" s="1"/>
  <c r="X96" i="73"/>
  <c r="I453" i="73" s="1"/>
  <c r="I96" i="73"/>
  <c r="I480" i="73" s="1"/>
  <c r="V87" i="73"/>
  <c r="G444" i="73" s="1"/>
  <c r="G87" i="73"/>
  <c r="G471" i="73" s="1"/>
  <c r="S130" i="73"/>
  <c r="D534" i="73" s="1"/>
  <c r="D130" i="73"/>
  <c r="D561" i="73" s="1"/>
  <c r="AB51" i="73"/>
  <c r="M51" i="73"/>
  <c r="Z65" i="73"/>
  <c r="K375" i="73" s="1"/>
  <c r="K65" i="73"/>
  <c r="K402" i="73" s="1"/>
  <c r="T98" i="73"/>
  <c r="E455" i="73" s="1"/>
  <c r="E98" i="73"/>
  <c r="E482" i="73" s="1"/>
  <c r="T130" i="73"/>
  <c r="E534" i="73" s="1"/>
  <c r="E130" i="73"/>
  <c r="E561" i="73" s="1"/>
  <c r="V92" i="73"/>
  <c r="G449" i="73" s="1"/>
  <c r="G92" i="73"/>
  <c r="G476" i="73" s="1"/>
  <c r="T6" i="73"/>
  <c r="E269" i="73" s="1"/>
  <c r="E6" i="73"/>
  <c r="E296" i="73" s="1"/>
  <c r="T73" i="73"/>
  <c r="E73" i="73"/>
  <c r="S177" i="73"/>
  <c r="D675" i="73" s="1"/>
  <c r="D177" i="73"/>
  <c r="D702" i="73" s="1"/>
  <c r="R129" i="73"/>
  <c r="C533" i="73" s="1"/>
  <c r="C129" i="73"/>
  <c r="C560" i="73" s="1"/>
  <c r="T121" i="73"/>
  <c r="E525" i="73" s="1"/>
  <c r="E121" i="73"/>
  <c r="E552" i="73" s="1"/>
  <c r="S55" i="73"/>
  <c r="D365" i="73" s="1"/>
  <c r="D55" i="73"/>
  <c r="D392" i="73" s="1"/>
  <c r="V40" i="73"/>
  <c r="G350" i="73" s="1"/>
  <c r="G40" i="73"/>
  <c r="G377" i="73" s="1"/>
  <c r="Z28" i="73"/>
  <c r="K291" i="73" s="1"/>
  <c r="K28" i="73"/>
  <c r="K318" i="73" s="1"/>
  <c r="T8" i="73"/>
  <c r="E271" i="73" s="1"/>
  <c r="E8" i="73"/>
  <c r="E298" i="73" s="1"/>
  <c r="Z73" i="73"/>
  <c r="K73" i="73"/>
  <c r="Y53" i="73"/>
  <c r="J363" i="73" s="1"/>
  <c r="J53" i="73"/>
  <c r="J390" i="73" s="1"/>
  <c r="U147" i="73"/>
  <c r="F598" i="73" s="1"/>
  <c r="F147" i="73"/>
  <c r="F625" i="73" s="1"/>
  <c r="AB20" i="73"/>
  <c r="M20" i="73"/>
  <c r="AA25" i="73"/>
  <c r="L288" i="73" s="1"/>
  <c r="L25" i="73"/>
  <c r="L315" i="73" s="1"/>
  <c r="U43" i="73"/>
  <c r="F353" i="73" s="1"/>
  <c r="F43" i="73"/>
  <c r="F380" i="73" s="1"/>
  <c r="Y62" i="73"/>
  <c r="J372" i="73" s="1"/>
  <c r="J62" i="73"/>
  <c r="J399" i="73" s="1"/>
  <c r="V90" i="73"/>
  <c r="G447" i="73" s="1"/>
  <c r="G90" i="73"/>
  <c r="G474" i="73" s="1"/>
  <c r="Z49" i="73"/>
  <c r="K359" i="73" s="1"/>
  <c r="K49" i="73"/>
  <c r="K386" i="73" s="1"/>
  <c r="X12" i="73"/>
  <c r="I275" i="73" s="1"/>
  <c r="I12" i="73"/>
  <c r="I302" i="73" s="1"/>
  <c r="AA65" i="73"/>
  <c r="L375" i="73" s="1"/>
  <c r="L65" i="73"/>
  <c r="L402" i="73" s="1"/>
  <c r="U6" i="73"/>
  <c r="F269" i="73" s="1"/>
  <c r="F6" i="73"/>
  <c r="F296" i="73" s="1"/>
  <c r="AA198" i="73"/>
  <c r="L696" i="73" s="1"/>
  <c r="L198" i="73"/>
  <c r="L723" i="73" s="1"/>
  <c r="R116" i="73"/>
  <c r="C520" i="73" s="1"/>
  <c r="C116" i="73"/>
  <c r="C547" i="73" s="1"/>
  <c r="U28" i="73"/>
  <c r="F291" i="73" s="1"/>
  <c r="F28" i="73"/>
  <c r="F318" i="73" s="1"/>
  <c r="U29" i="73"/>
  <c r="F292" i="73" s="1"/>
  <c r="F29" i="73"/>
  <c r="F319" i="73" s="1"/>
  <c r="T153" i="73"/>
  <c r="E604" i="73" s="1"/>
  <c r="E153" i="73"/>
  <c r="E631" i="73" s="1"/>
  <c r="AA21" i="73"/>
  <c r="L284" i="73" s="1"/>
  <c r="L21" i="73"/>
  <c r="L311" i="73" s="1"/>
  <c r="Y86" i="73"/>
  <c r="J443" i="73" s="1"/>
  <c r="J86" i="73"/>
  <c r="J470" i="73" s="1"/>
  <c r="T21" i="73"/>
  <c r="E284" i="73" s="1"/>
  <c r="E21" i="73"/>
  <c r="E311" i="73" s="1"/>
  <c r="R162" i="73"/>
  <c r="C613" i="73" s="1"/>
  <c r="C162" i="73"/>
  <c r="C640" i="73" s="1"/>
  <c r="S74" i="73"/>
  <c r="D431" i="73" s="1"/>
  <c r="D74" i="73"/>
  <c r="D458" i="73" s="1"/>
  <c r="T144" i="73"/>
  <c r="E595" i="73" s="1"/>
  <c r="E144" i="73"/>
  <c r="E622" i="73" s="1"/>
  <c r="U121" i="73"/>
  <c r="F525" i="73" s="1"/>
  <c r="F121" i="73"/>
  <c r="F552" i="73" s="1"/>
  <c r="W146" i="73"/>
  <c r="H597" i="73" s="1"/>
  <c r="H146" i="73"/>
  <c r="H624" i="73" s="1"/>
  <c r="Q94" i="73"/>
  <c r="B451" i="73" s="1"/>
  <c r="B94" i="73"/>
  <c r="B478" i="73" s="1"/>
  <c r="S197" i="73"/>
  <c r="D695" i="73" s="1"/>
  <c r="D197" i="73"/>
  <c r="D722" i="73" s="1"/>
  <c r="S201" i="73"/>
  <c r="D699" i="73" s="1"/>
  <c r="D201" i="73"/>
  <c r="D726" i="73" s="1"/>
  <c r="W154" i="73"/>
  <c r="H605" i="73" s="1"/>
  <c r="H154" i="73"/>
  <c r="H632" i="73" s="1"/>
  <c r="Q61" i="73"/>
  <c r="B371" i="73" s="1"/>
  <c r="B61" i="73"/>
  <c r="B398" i="73" s="1"/>
  <c r="U153" i="73"/>
  <c r="F604" i="73" s="1"/>
  <c r="F153" i="73"/>
  <c r="F631" i="73" s="1"/>
  <c r="R180" i="73"/>
  <c r="C678" i="73" s="1"/>
  <c r="C180" i="73"/>
  <c r="C705" i="73" s="1"/>
  <c r="R177" i="73"/>
  <c r="C675" i="73" s="1"/>
  <c r="C177" i="73"/>
  <c r="C702" i="73" s="1"/>
  <c r="U13" i="73"/>
  <c r="F276" i="73" s="1"/>
  <c r="F13" i="73"/>
  <c r="F303" i="73" s="1"/>
  <c r="V94" i="73"/>
  <c r="G451" i="73" s="1"/>
  <c r="G94" i="73"/>
  <c r="G478" i="73" s="1"/>
  <c r="W120" i="73"/>
  <c r="H524" i="73" s="1"/>
  <c r="H120" i="73"/>
  <c r="H551" i="73" s="1"/>
  <c r="Y8" i="73"/>
  <c r="J271" i="73" s="1"/>
  <c r="J8" i="73"/>
  <c r="J298" i="73" s="1"/>
  <c r="R8" i="73"/>
  <c r="C271" i="73" s="1"/>
  <c r="C8" i="73"/>
  <c r="C298" i="73" s="1"/>
  <c r="X49" i="73"/>
  <c r="I359" i="73" s="1"/>
  <c r="I49" i="73"/>
  <c r="I386" i="73" s="1"/>
  <c r="AB197" i="73"/>
  <c r="M197" i="73"/>
  <c r="Y165" i="73"/>
  <c r="J616" i="73" s="1"/>
  <c r="J165" i="73"/>
  <c r="J643" i="73" s="1"/>
  <c r="X117" i="73"/>
  <c r="I521" i="73" s="1"/>
  <c r="I117" i="73"/>
  <c r="I548" i="73" s="1"/>
  <c r="Q5" i="73"/>
  <c r="B5" i="73"/>
  <c r="U19" i="73"/>
  <c r="F282" i="73" s="1"/>
  <c r="F19" i="73"/>
  <c r="F309" i="73" s="1"/>
  <c r="V153" i="73"/>
  <c r="G604" i="73" s="1"/>
  <c r="G153" i="73"/>
  <c r="G631" i="73" s="1"/>
  <c r="T189" i="73"/>
  <c r="E687" i="73" s="1"/>
  <c r="E189" i="73"/>
  <c r="E714" i="73" s="1"/>
  <c r="AB158" i="73"/>
  <c r="M158" i="73"/>
  <c r="W10" i="73"/>
  <c r="H273" i="73" s="1"/>
  <c r="H10" i="73"/>
  <c r="H300" i="73" s="1"/>
  <c r="U53" i="73"/>
  <c r="F363" i="73" s="1"/>
  <c r="F53" i="73"/>
  <c r="F390" i="73" s="1"/>
  <c r="AA150" i="73"/>
  <c r="L601" i="73" s="1"/>
  <c r="L150" i="73"/>
  <c r="L628" i="73" s="1"/>
  <c r="Z149" i="73"/>
  <c r="K600" i="73" s="1"/>
  <c r="K149" i="73"/>
  <c r="K627" i="73" s="1"/>
  <c r="AB126" i="73"/>
  <c r="M126" i="73"/>
  <c r="Z193" i="73"/>
  <c r="K691" i="73" s="1"/>
  <c r="K193" i="73"/>
  <c r="K718" i="73" s="1"/>
  <c r="AA144" i="73"/>
  <c r="L595" i="73" s="1"/>
  <c r="L144" i="73"/>
  <c r="L622" i="73" s="1"/>
  <c r="AB8" i="73"/>
  <c r="M8" i="73"/>
  <c r="AA29" i="73"/>
  <c r="L292" i="73" s="1"/>
  <c r="L29" i="73"/>
  <c r="L319" i="73" s="1"/>
  <c r="Z53" i="73"/>
  <c r="K363" i="73" s="1"/>
  <c r="K53" i="73"/>
  <c r="K390" i="73" s="1"/>
  <c r="X145" i="73"/>
  <c r="I596" i="73" s="1"/>
  <c r="I145" i="73"/>
  <c r="I623" i="73" s="1"/>
  <c r="AA62" i="73"/>
  <c r="L372" i="73" s="1"/>
  <c r="L62" i="73"/>
  <c r="L399" i="73" s="1"/>
  <c r="Z43" i="73"/>
  <c r="K353" i="73" s="1"/>
  <c r="K43" i="73"/>
  <c r="K380" i="73" s="1"/>
  <c r="AA191" i="73"/>
  <c r="L689" i="73" s="1"/>
  <c r="L191" i="73"/>
  <c r="L716" i="73" s="1"/>
  <c r="T165" i="73"/>
  <c r="E616" i="73" s="1"/>
  <c r="E165" i="73"/>
  <c r="E643" i="73" s="1"/>
  <c r="Y130" i="73"/>
  <c r="J534" i="73" s="1"/>
  <c r="J130" i="73"/>
  <c r="J561" i="73" s="1"/>
  <c r="Q90" i="73"/>
  <c r="B447" i="73" s="1"/>
  <c r="B90" i="73"/>
  <c r="B474" i="73" s="1"/>
  <c r="R25" i="73"/>
  <c r="C288" i="73" s="1"/>
  <c r="C25" i="73"/>
  <c r="C315" i="73" s="1"/>
  <c r="AB39" i="73"/>
  <c r="M39" i="73"/>
  <c r="V129" i="73"/>
  <c r="G533" i="73" s="1"/>
  <c r="G129" i="73"/>
  <c r="G560" i="73" s="1"/>
  <c r="X121" i="73"/>
  <c r="I525" i="73" s="1"/>
  <c r="I121" i="73"/>
  <c r="I552" i="73" s="1"/>
  <c r="AA52" i="73"/>
  <c r="L362" i="73" s="1"/>
  <c r="L52" i="73"/>
  <c r="L389" i="73" s="1"/>
  <c r="X98" i="73"/>
  <c r="I455" i="73" s="1"/>
  <c r="I98" i="73"/>
  <c r="I482" i="73" s="1"/>
  <c r="T199" i="73"/>
  <c r="E697" i="73" s="1"/>
  <c r="E199" i="73"/>
  <c r="E724" i="73" s="1"/>
  <c r="Y83" i="73"/>
  <c r="J440" i="73" s="1"/>
  <c r="J83" i="73"/>
  <c r="J467" i="73" s="1"/>
  <c r="T47" i="73"/>
  <c r="E357" i="73" s="1"/>
  <c r="E47" i="73"/>
  <c r="E384" i="73" s="1"/>
  <c r="AB60" i="73"/>
  <c r="M60" i="73"/>
  <c r="W60" i="73"/>
  <c r="H370" i="73" s="1"/>
  <c r="H60" i="73"/>
  <c r="H397" i="73" s="1"/>
  <c r="V58" i="73"/>
  <c r="G368" i="73" s="1"/>
  <c r="G58" i="73"/>
  <c r="G395" i="73" s="1"/>
  <c r="S57" i="73"/>
  <c r="D367" i="73" s="1"/>
  <c r="D57" i="73"/>
  <c r="D394" i="73" s="1"/>
  <c r="R186" i="73"/>
  <c r="C684" i="73" s="1"/>
  <c r="C186" i="73"/>
  <c r="C711" i="73" s="1"/>
  <c r="R126" i="73"/>
  <c r="C530" i="73" s="1"/>
  <c r="C126" i="73"/>
  <c r="C557" i="73" s="1"/>
  <c r="U142" i="73"/>
  <c r="F593" i="73" s="1"/>
  <c r="F142" i="73"/>
  <c r="F620" i="73" s="1"/>
  <c r="V27" i="73"/>
  <c r="G290" i="73" s="1"/>
  <c r="G27" i="73"/>
  <c r="G317" i="73" s="1"/>
  <c r="Y180" i="73"/>
  <c r="J678" i="73" s="1"/>
  <c r="J180" i="73"/>
  <c r="J705" i="73" s="1"/>
  <c r="U175" i="73"/>
  <c r="F175" i="73"/>
  <c r="Z31" i="73"/>
  <c r="K294" i="73" s="1"/>
  <c r="K31" i="73"/>
  <c r="K321" i="73" s="1"/>
  <c r="AA11" i="73"/>
  <c r="L274" i="73" s="1"/>
  <c r="L11" i="73"/>
  <c r="L301" i="73" s="1"/>
  <c r="AB62" i="73"/>
  <c r="M62" i="73"/>
  <c r="AA124" i="73"/>
  <c r="L528" i="73" s="1"/>
  <c r="L124" i="73"/>
  <c r="L555" i="73" s="1"/>
  <c r="U63" i="73"/>
  <c r="F373" i="73" s="1"/>
  <c r="F63" i="73"/>
  <c r="F400" i="73" s="1"/>
  <c r="T13" i="73"/>
  <c r="E276" i="73" s="1"/>
  <c r="E13" i="73"/>
  <c r="E303" i="73" s="1"/>
  <c r="B673" i="73"/>
  <c r="C673" i="73"/>
  <c r="AC31" i="73"/>
  <c r="M294" i="73"/>
  <c r="M698" i="73"/>
  <c r="AC200" i="73"/>
  <c r="M681" i="73"/>
  <c r="AC183" i="73"/>
  <c r="M615" i="73"/>
  <c r="AC164" i="73"/>
  <c r="B349" i="73"/>
  <c r="AC47" i="73"/>
  <c r="M357" i="73"/>
  <c r="AC111" i="73"/>
  <c r="M515" i="73"/>
  <c r="L349" i="73"/>
  <c r="AC56" i="73"/>
  <c r="M366" i="73"/>
  <c r="AC13" i="73"/>
  <c r="M276" i="73"/>
  <c r="E349" i="73"/>
  <c r="M353" i="73"/>
  <c r="AC43" i="73"/>
  <c r="M689" i="73"/>
  <c r="AC191" i="73"/>
  <c r="K268" i="73"/>
  <c r="AC196" i="73"/>
  <c r="M694" i="73"/>
  <c r="M600" i="73"/>
  <c r="AC149" i="73"/>
  <c r="L673" i="73"/>
  <c r="AC23" i="73"/>
  <c r="M286" i="73"/>
  <c r="M299" i="73"/>
  <c r="N9" i="73"/>
  <c r="D700" i="73"/>
  <c r="M635" i="73"/>
  <c r="N157" i="73"/>
  <c r="M402" i="73"/>
  <c r="N65" i="73"/>
  <c r="K376" i="73"/>
  <c r="M391" i="73"/>
  <c r="N54" i="73"/>
  <c r="N201" i="73"/>
  <c r="M726" i="73"/>
  <c r="N199" i="73"/>
  <c r="M724" i="73"/>
  <c r="M297" i="73"/>
  <c r="N7" i="73"/>
  <c r="M474" i="73"/>
  <c r="N90" i="73"/>
  <c r="F376" i="73"/>
  <c r="M644" i="73"/>
  <c r="N166" i="73"/>
  <c r="N179" i="73"/>
  <c r="M704" i="73"/>
  <c r="N194" i="73"/>
  <c r="M719" i="73"/>
  <c r="M553" i="73"/>
  <c r="N122" i="73"/>
  <c r="M464" i="73"/>
  <c r="N80" i="73"/>
  <c r="B538" i="73"/>
  <c r="M395" i="73"/>
  <c r="N58" i="73"/>
  <c r="V152" i="73"/>
  <c r="G603" i="73" s="1"/>
  <c r="G152" i="73"/>
  <c r="G630" i="73" s="1"/>
  <c r="Z133" i="73"/>
  <c r="K537" i="73" s="1"/>
  <c r="K133" i="73"/>
  <c r="K564" i="73" s="1"/>
  <c r="V30" i="73"/>
  <c r="G293" i="73" s="1"/>
  <c r="G30" i="73"/>
  <c r="G320" i="73" s="1"/>
  <c r="T156" i="73"/>
  <c r="E607" i="73" s="1"/>
  <c r="E156" i="73"/>
  <c r="E634" i="73" s="1"/>
  <c r="W95" i="73"/>
  <c r="H452" i="73" s="1"/>
  <c r="H95" i="73"/>
  <c r="H479" i="73" s="1"/>
  <c r="S161" i="73"/>
  <c r="D612" i="73" s="1"/>
  <c r="D161" i="73"/>
  <c r="D639" i="73" s="1"/>
  <c r="W152" i="73"/>
  <c r="H603" i="73" s="1"/>
  <c r="H152" i="73"/>
  <c r="H630" i="73" s="1"/>
  <c r="AB152" i="73"/>
  <c r="M152" i="73"/>
  <c r="U133" i="73"/>
  <c r="F537" i="73" s="1"/>
  <c r="F133" i="73"/>
  <c r="F564" i="73" s="1"/>
  <c r="Z42" i="73"/>
  <c r="K352" i="73" s="1"/>
  <c r="K42" i="73"/>
  <c r="K379" i="73" s="1"/>
  <c r="Z184" i="73"/>
  <c r="K682" i="73" s="1"/>
  <c r="K184" i="73"/>
  <c r="K709" i="73" s="1"/>
  <c r="R95" i="73"/>
  <c r="C452" i="73" s="1"/>
  <c r="C95" i="73"/>
  <c r="C479" i="73" s="1"/>
  <c r="R46" i="73"/>
  <c r="C356" i="73" s="1"/>
  <c r="C46" i="73"/>
  <c r="C383" i="73" s="1"/>
  <c r="V123" i="73"/>
  <c r="G527" i="73" s="1"/>
  <c r="G123" i="73"/>
  <c r="G554" i="73" s="1"/>
  <c r="X30" i="73"/>
  <c r="I293" i="73" s="1"/>
  <c r="I30" i="73"/>
  <c r="I320" i="73" s="1"/>
  <c r="AB184" i="73"/>
  <c r="M184" i="73"/>
  <c r="S95" i="73"/>
  <c r="D452" i="73" s="1"/>
  <c r="D95" i="73"/>
  <c r="D479" i="73" s="1"/>
  <c r="Y46" i="73"/>
  <c r="J356" i="73" s="1"/>
  <c r="J46" i="73"/>
  <c r="J383" i="73" s="1"/>
  <c r="V167" i="73"/>
  <c r="G618" i="73" s="1"/>
  <c r="G167" i="73"/>
  <c r="G645" i="73" s="1"/>
  <c r="AB110" i="73"/>
  <c r="M110" i="73"/>
  <c r="T22" i="73"/>
  <c r="E285" i="73" s="1"/>
  <c r="E22" i="73"/>
  <c r="E312" i="73" s="1"/>
  <c r="W156" i="73"/>
  <c r="H607" i="73" s="1"/>
  <c r="H156" i="73"/>
  <c r="H634" i="73" s="1"/>
  <c r="AB108" i="73"/>
  <c r="M108" i="73"/>
  <c r="U161" i="73"/>
  <c r="F612" i="73" s="1"/>
  <c r="F161" i="73"/>
  <c r="F639" i="73" s="1"/>
  <c r="Z152" i="73"/>
  <c r="K603" i="73" s="1"/>
  <c r="K152" i="73"/>
  <c r="K630" i="73" s="1"/>
  <c r="R163" i="73"/>
  <c r="C614" i="73" s="1"/>
  <c r="C163" i="73"/>
  <c r="C641" i="73" s="1"/>
  <c r="Y167" i="73"/>
  <c r="J618" i="73" s="1"/>
  <c r="J167" i="73"/>
  <c r="J645" i="73" s="1"/>
  <c r="T133" i="73"/>
  <c r="E537" i="73" s="1"/>
  <c r="E133" i="73"/>
  <c r="E564" i="73" s="1"/>
  <c r="R110" i="73"/>
  <c r="C514" i="73" s="1"/>
  <c r="C110" i="73"/>
  <c r="C541" i="73" s="1"/>
  <c r="Z30" i="73"/>
  <c r="K293" i="73" s="1"/>
  <c r="K30" i="73"/>
  <c r="K320" i="73" s="1"/>
  <c r="U22" i="73"/>
  <c r="F285" i="73" s="1"/>
  <c r="F22" i="73"/>
  <c r="F312" i="73" s="1"/>
  <c r="AA14" i="73"/>
  <c r="L277" i="73" s="1"/>
  <c r="L14" i="73"/>
  <c r="L304" i="73" s="1"/>
  <c r="R156" i="73"/>
  <c r="C607" i="73" s="1"/>
  <c r="C156" i="73"/>
  <c r="C634" i="73" s="1"/>
  <c r="V131" i="73"/>
  <c r="G535" i="73" s="1"/>
  <c r="G131" i="73"/>
  <c r="G562" i="73" s="1"/>
  <c r="X127" i="73"/>
  <c r="I531" i="73" s="1"/>
  <c r="I127" i="73"/>
  <c r="I558" i="73" s="1"/>
  <c r="U95" i="73"/>
  <c r="F452" i="73" s="1"/>
  <c r="F95" i="73"/>
  <c r="F479" i="73" s="1"/>
  <c r="Y108" i="73"/>
  <c r="J512" i="73" s="1"/>
  <c r="J108" i="73"/>
  <c r="J539" i="73" s="1"/>
  <c r="Z16" i="73"/>
  <c r="K279" i="73" s="1"/>
  <c r="K16" i="73"/>
  <c r="K306" i="73" s="1"/>
  <c r="Y196" i="73"/>
  <c r="J694" i="73" s="1"/>
  <c r="J196" i="73"/>
  <c r="J721" i="73" s="1"/>
  <c r="V125" i="73"/>
  <c r="G529" i="73" s="1"/>
  <c r="G125" i="73"/>
  <c r="G556" i="73" s="1"/>
  <c r="AB115" i="73"/>
  <c r="M115" i="73"/>
  <c r="R189" i="73"/>
  <c r="C687" i="73" s="1"/>
  <c r="C189" i="73"/>
  <c r="C714" i="73" s="1"/>
  <c r="Y192" i="73"/>
  <c r="J690" i="73" s="1"/>
  <c r="J192" i="73"/>
  <c r="J717" i="73" s="1"/>
  <c r="U111" i="73"/>
  <c r="F515" i="73" s="1"/>
  <c r="F111" i="73"/>
  <c r="F542" i="73" s="1"/>
  <c r="AB147" i="73"/>
  <c r="M147" i="73"/>
  <c r="T116" i="73"/>
  <c r="E520" i="73" s="1"/>
  <c r="E116" i="73"/>
  <c r="E547" i="73" s="1"/>
  <c r="S127" i="73"/>
  <c r="D531" i="73" s="1"/>
  <c r="D127" i="73"/>
  <c r="D558" i="73" s="1"/>
  <c r="V113" i="73"/>
  <c r="G517" i="73" s="1"/>
  <c r="G113" i="73"/>
  <c r="G544" i="73" s="1"/>
  <c r="R165" i="73"/>
  <c r="C616" i="73" s="1"/>
  <c r="C165" i="73"/>
  <c r="C643" i="73" s="1"/>
  <c r="Z141" i="73"/>
  <c r="K141" i="73"/>
  <c r="Q18" i="73"/>
  <c r="B281" i="73" s="1"/>
  <c r="B18" i="73"/>
  <c r="B308" i="73" s="1"/>
  <c r="V189" i="73"/>
  <c r="G687" i="73" s="1"/>
  <c r="G189" i="73"/>
  <c r="G714" i="73" s="1"/>
  <c r="AB107" i="73"/>
  <c r="M107" i="73"/>
  <c r="T198" i="73"/>
  <c r="E696" i="73" s="1"/>
  <c r="E198" i="73"/>
  <c r="E723" i="73" s="1"/>
  <c r="W180" i="73"/>
  <c r="H678" i="73" s="1"/>
  <c r="H180" i="73"/>
  <c r="H705" i="73" s="1"/>
  <c r="S116" i="73"/>
  <c r="D520" i="73" s="1"/>
  <c r="D116" i="73"/>
  <c r="D547" i="73" s="1"/>
  <c r="Y124" i="73"/>
  <c r="J528" i="73" s="1"/>
  <c r="J124" i="73"/>
  <c r="J555" i="73" s="1"/>
  <c r="V165" i="73"/>
  <c r="G616" i="73" s="1"/>
  <c r="G165" i="73"/>
  <c r="G643" i="73" s="1"/>
  <c r="X146" i="73"/>
  <c r="I597" i="73" s="1"/>
  <c r="I146" i="73"/>
  <c r="I624" i="73" s="1"/>
  <c r="S115" i="73"/>
  <c r="D519" i="73" s="1"/>
  <c r="D115" i="73"/>
  <c r="D546" i="73" s="1"/>
  <c r="AA201" i="73"/>
  <c r="L699" i="73" s="1"/>
  <c r="L201" i="73"/>
  <c r="L726" i="73" s="1"/>
  <c r="X155" i="73"/>
  <c r="I606" i="73" s="1"/>
  <c r="I155" i="73"/>
  <c r="I633" i="73" s="1"/>
  <c r="U154" i="73"/>
  <c r="F605" i="73" s="1"/>
  <c r="F154" i="73"/>
  <c r="F632" i="73" s="1"/>
  <c r="Z132" i="73"/>
  <c r="K536" i="73" s="1"/>
  <c r="K132" i="73"/>
  <c r="K563" i="73" s="1"/>
  <c r="T117" i="73"/>
  <c r="E521" i="73" s="1"/>
  <c r="E117" i="73"/>
  <c r="E548" i="73" s="1"/>
  <c r="S180" i="73"/>
  <c r="D678" i="73" s="1"/>
  <c r="D180" i="73"/>
  <c r="D705" i="73" s="1"/>
  <c r="S146" i="73"/>
  <c r="D597" i="73" s="1"/>
  <c r="D146" i="73"/>
  <c r="D624" i="73" s="1"/>
  <c r="R118" i="73"/>
  <c r="C522" i="73" s="1"/>
  <c r="C118" i="73"/>
  <c r="C549" i="73" s="1"/>
  <c r="Z186" i="73"/>
  <c r="K684" i="73" s="1"/>
  <c r="K186" i="73"/>
  <c r="K711" i="73" s="1"/>
  <c r="AA154" i="73"/>
  <c r="L605" i="73" s="1"/>
  <c r="L154" i="73"/>
  <c r="L632" i="73" s="1"/>
  <c r="S132" i="73"/>
  <c r="D536" i="73" s="1"/>
  <c r="D132" i="73"/>
  <c r="D563" i="73" s="1"/>
  <c r="AA55" i="73"/>
  <c r="L365" i="73" s="1"/>
  <c r="L55" i="73"/>
  <c r="L392" i="73" s="1"/>
  <c r="Y40" i="73"/>
  <c r="J350" i="73" s="1"/>
  <c r="J40" i="73"/>
  <c r="J377" i="73" s="1"/>
  <c r="Y41" i="73"/>
  <c r="J351" i="73" s="1"/>
  <c r="J41" i="73"/>
  <c r="J378" i="73" s="1"/>
  <c r="AB182" i="73"/>
  <c r="M182" i="73"/>
  <c r="V196" i="73"/>
  <c r="G694" i="73" s="1"/>
  <c r="G196" i="73"/>
  <c r="G721" i="73" s="1"/>
  <c r="Z192" i="73"/>
  <c r="K690" i="73" s="1"/>
  <c r="K192" i="73"/>
  <c r="K717" i="73" s="1"/>
  <c r="Y107" i="73"/>
  <c r="J107" i="73"/>
  <c r="U176" i="73"/>
  <c r="F674" i="73" s="1"/>
  <c r="F176" i="73"/>
  <c r="F701" i="73" s="1"/>
  <c r="AB113" i="73"/>
  <c r="M113" i="73"/>
  <c r="U44" i="73"/>
  <c r="F354" i="73" s="1"/>
  <c r="F44" i="73"/>
  <c r="F381" i="73" s="1"/>
  <c r="W199" i="73"/>
  <c r="H697" i="73" s="1"/>
  <c r="H199" i="73"/>
  <c r="H724" i="73" s="1"/>
  <c r="S192" i="73"/>
  <c r="D690" i="73" s="1"/>
  <c r="D192" i="73"/>
  <c r="D717" i="73" s="1"/>
  <c r="Y99" i="73"/>
  <c r="J456" i="73" s="1"/>
  <c r="J99" i="73"/>
  <c r="J483" i="73" s="1"/>
  <c r="T201" i="73"/>
  <c r="E699" i="73" s="1"/>
  <c r="E201" i="73"/>
  <c r="E726" i="73" s="1"/>
  <c r="Y154" i="73"/>
  <c r="J605" i="73" s="1"/>
  <c r="J154" i="73"/>
  <c r="J632" i="73" s="1"/>
  <c r="AB48" i="73"/>
  <c r="M48" i="73"/>
  <c r="S40" i="73"/>
  <c r="D350" i="73" s="1"/>
  <c r="D40" i="73"/>
  <c r="D377" i="73" s="1"/>
  <c r="X73" i="73"/>
  <c r="I73" i="73"/>
  <c r="Y194" i="73"/>
  <c r="J692" i="73" s="1"/>
  <c r="J194" i="73"/>
  <c r="J719" i="73" s="1"/>
  <c r="T127" i="73"/>
  <c r="E531" i="73" s="1"/>
  <c r="E127" i="73"/>
  <c r="E558" i="73" s="1"/>
  <c r="U201" i="73"/>
  <c r="F699" i="73" s="1"/>
  <c r="F201" i="73"/>
  <c r="F726" i="73" s="1"/>
  <c r="AB117" i="73"/>
  <c r="M117" i="73"/>
  <c r="V28" i="73"/>
  <c r="G291" i="73" s="1"/>
  <c r="G28" i="73"/>
  <c r="G318" i="73" s="1"/>
  <c r="X20" i="73"/>
  <c r="I283" i="73" s="1"/>
  <c r="I20" i="73"/>
  <c r="I310" i="73" s="1"/>
  <c r="Z45" i="73"/>
  <c r="K355" i="73" s="1"/>
  <c r="K45" i="73"/>
  <c r="K382" i="73" s="1"/>
  <c r="W96" i="73"/>
  <c r="H453" i="73" s="1"/>
  <c r="H96" i="73"/>
  <c r="H480" i="73" s="1"/>
  <c r="W116" i="73"/>
  <c r="H520" i="73" s="1"/>
  <c r="H116" i="73"/>
  <c r="H547" i="73" s="1"/>
  <c r="R125" i="73"/>
  <c r="C529" i="73" s="1"/>
  <c r="C125" i="73"/>
  <c r="C556" i="73" s="1"/>
  <c r="Q194" i="73"/>
  <c r="B692" i="73" s="1"/>
  <c r="B194" i="73"/>
  <c r="B719" i="73" s="1"/>
  <c r="Y89" i="73"/>
  <c r="J446" i="73" s="1"/>
  <c r="J89" i="73"/>
  <c r="J473" i="73" s="1"/>
  <c r="W198" i="73"/>
  <c r="H696" i="73" s="1"/>
  <c r="H198" i="73"/>
  <c r="H723" i="73" s="1"/>
  <c r="R147" i="73"/>
  <c r="C598" i="73" s="1"/>
  <c r="C147" i="73"/>
  <c r="C625" i="73" s="1"/>
  <c r="T113" i="73"/>
  <c r="E517" i="73" s="1"/>
  <c r="E113" i="73"/>
  <c r="E544" i="73" s="1"/>
  <c r="R44" i="73"/>
  <c r="C354" i="73" s="1"/>
  <c r="C44" i="73"/>
  <c r="C381" i="73" s="1"/>
  <c r="Y149" i="73"/>
  <c r="J600" i="73" s="1"/>
  <c r="J149" i="73"/>
  <c r="J627" i="73" s="1"/>
  <c r="X141" i="73"/>
  <c r="I141" i="73"/>
  <c r="AA115" i="73"/>
  <c r="L519" i="73" s="1"/>
  <c r="L115" i="73"/>
  <c r="L546" i="73" s="1"/>
  <c r="W26" i="73"/>
  <c r="H289" i="73" s="1"/>
  <c r="H26" i="73"/>
  <c r="H316" i="73" s="1"/>
  <c r="W12" i="73"/>
  <c r="H275" i="73" s="1"/>
  <c r="H12" i="73"/>
  <c r="H302" i="73" s="1"/>
  <c r="W178" i="73"/>
  <c r="H676" i="73" s="1"/>
  <c r="H178" i="73"/>
  <c r="H703" i="73" s="1"/>
  <c r="R112" i="73"/>
  <c r="C516" i="73" s="1"/>
  <c r="C112" i="73"/>
  <c r="C543" i="73" s="1"/>
  <c r="Q132" i="73"/>
  <c r="B536" i="73" s="1"/>
  <c r="B132" i="73"/>
  <c r="B563" i="73" s="1"/>
  <c r="R26" i="73"/>
  <c r="C289" i="73" s="1"/>
  <c r="C26" i="73"/>
  <c r="C316" i="73" s="1"/>
  <c r="R154" i="73"/>
  <c r="C605" i="73" s="1"/>
  <c r="C154" i="73"/>
  <c r="C632" i="73" s="1"/>
  <c r="U119" i="73"/>
  <c r="F523" i="73" s="1"/>
  <c r="F119" i="73"/>
  <c r="F550" i="73" s="1"/>
  <c r="AA114" i="73"/>
  <c r="L518" i="73" s="1"/>
  <c r="L114" i="73"/>
  <c r="L545" i="73" s="1"/>
  <c r="S198" i="73"/>
  <c r="D696" i="73" s="1"/>
  <c r="D198" i="73"/>
  <c r="D723" i="73" s="1"/>
  <c r="Z116" i="73"/>
  <c r="K520" i="73" s="1"/>
  <c r="K116" i="73"/>
  <c r="K547" i="73" s="1"/>
  <c r="R65" i="73"/>
  <c r="C375" i="73" s="1"/>
  <c r="C65" i="73"/>
  <c r="C402" i="73" s="1"/>
  <c r="Y141" i="73"/>
  <c r="J141" i="73"/>
  <c r="Y18" i="73"/>
  <c r="J281" i="73" s="1"/>
  <c r="J18" i="73"/>
  <c r="J308" i="73" s="1"/>
  <c r="X199" i="73"/>
  <c r="I697" i="73" s="1"/>
  <c r="I199" i="73"/>
  <c r="I724" i="73" s="1"/>
  <c r="AB112" i="73"/>
  <c r="M112" i="73"/>
  <c r="Z117" i="73"/>
  <c r="K521" i="73" s="1"/>
  <c r="K117" i="73"/>
  <c r="K548" i="73" s="1"/>
  <c r="V65" i="73"/>
  <c r="G375" i="73" s="1"/>
  <c r="G65" i="73"/>
  <c r="G402" i="73" s="1"/>
  <c r="Y10" i="73"/>
  <c r="J273" i="73" s="1"/>
  <c r="J10" i="73"/>
  <c r="J300" i="73" s="1"/>
  <c r="W73" i="73"/>
  <c r="H73" i="73"/>
  <c r="X115" i="73"/>
  <c r="I519" i="73" s="1"/>
  <c r="I115" i="73"/>
  <c r="I546" i="73" s="1"/>
  <c r="Q87" i="73"/>
  <c r="B444" i="73" s="1"/>
  <c r="B87" i="73"/>
  <c r="B471" i="73" s="1"/>
  <c r="V89" i="73"/>
  <c r="G446" i="73" s="1"/>
  <c r="G89" i="73"/>
  <c r="G473" i="73" s="1"/>
  <c r="Z93" i="73"/>
  <c r="K450" i="73" s="1"/>
  <c r="K93" i="73"/>
  <c r="K477" i="73" s="1"/>
  <c r="V130" i="73"/>
  <c r="G534" i="73" s="1"/>
  <c r="G130" i="73"/>
  <c r="G561" i="73" s="1"/>
  <c r="X86" i="73"/>
  <c r="I443" i="73" s="1"/>
  <c r="I86" i="73"/>
  <c r="I470" i="73" s="1"/>
  <c r="T179" i="73"/>
  <c r="E677" i="73" s="1"/>
  <c r="E179" i="73"/>
  <c r="E704" i="73" s="1"/>
  <c r="X59" i="73"/>
  <c r="I369" i="73" s="1"/>
  <c r="I59" i="73"/>
  <c r="I396" i="73" s="1"/>
  <c r="V61" i="73"/>
  <c r="G371" i="73" s="1"/>
  <c r="G61" i="73"/>
  <c r="G398" i="73" s="1"/>
  <c r="AB91" i="73"/>
  <c r="M91" i="73"/>
  <c r="U57" i="73"/>
  <c r="F367" i="73" s="1"/>
  <c r="F57" i="73"/>
  <c r="F394" i="73" s="1"/>
  <c r="Q25" i="73"/>
  <c r="B288" i="73" s="1"/>
  <c r="B25" i="73"/>
  <c r="B315" i="73" s="1"/>
  <c r="AB148" i="73"/>
  <c r="M148" i="73"/>
  <c r="R89" i="73"/>
  <c r="C446" i="73" s="1"/>
  <c r="C89" i="73"/>
  <c r="C473" i="73" s="1"/>
  <c r="U129" i="73"/>
  <c r="F533" i="73" s="1"/>
  <c r="F129" i="73"/>
  <c r="F560" i="73" s="1"/>
  <c r="W121" i="73"/>
  <c r="H525" i="73" s="1"/>
  <c r="H121" i="73"/>
  <c r="H552" i="73" s="1"/>
  <c r="Y57" i="73"/>
  <c r="J367" i="73" s="1"/>
  <c r="J57" i="73"/>
  <c r="J394" i="73" s="1"/>
  <c r="Q188" i="73"/>
  <c r="B686" i="73" s="1"/>
  <c r="B188" i="73"/>
  <c r="B713" i="73" s="1"/>
  <c r="S53" i="73"/>
  <c r="D363" i="73" s="1"/>
  <c r="D53" i="73"/>
  <c r="D390" i="73" s="1"/>
  <c r="R59" i="73"/>
  <c r="C369" i="73" s="1"/>
  <c r="C59" i="73"/>
  <c r="C396" i="73" s="1"/>
  <c r="Y122" i="73"/>
  <c r="J526" i="73" s="1"/>
  <c r="J122" i="73"/>
  <c r="J553" i="73" s="1"/>
  <c r="Z115" i="73"/>
  <c r="K519" i="73" s="1"/>
  <c r="K115" i="73"/>
  <c r="K546" i="73" s="1"/>
  <c r="Z26" i="73"/>
  <c r="K289" i="73" s="1"/>
  <c r="K26" i="73"/>
  <c r="K316" i="73" s="1"/>
  <c r="AB18" i="73"/>
  <c r="M18" i="73"/>
  <c r="V186" i="73"/>
  <c r="G684" i="73" s="1"/>
  <c r="G186" i="73"/>
  <c r="G711" i="73" s="1"/>
  <c r="Q62" i="73"/>
  <c r="B372" i="73" s="1"/>
  <c r="B62" i="73"/>
  <c r="B399" i="73" s="1"/>
  <c r="S81" i="73"/>
  <c r="D438" i="73" s="1"/>
  <c r="D81" i="73"/>
  <c r="D465" i="73" s="1"/>
  <c r="T17" i="73"/>
  <c r="E280" i="73" s="1"/>
  <c r="E17" i="73"/>
  <c r="E307" i="73" s="1"/>
  <c r="AB142" i="73"/>
  <c r="M142" i="73"/>
  <c r="Y11" i="73"/>
  <c r="J274" i="73" s="1"/>
  <c r="J11" i="73"/>
  <c r="J301" i="73" s="1"/>
  <c r="U25" i="73"/>
  <c r="F288" i="73" s="1"/>
  <c r="F25" i="73"/>
  <c r="F315" i="73" s="1"/>
  <c r="Y90" i="73"/>
  <c r="J447" i="73" s="1"/>
  <c r="J90" i="73"/>
  <c r="J474" i="73" s="1"/>
  <c r="U96" i="73"/>
  <c r="F453" i="73" s="1"/>
  <c r="F96" i="73"/>
  <c r="F480" i="73" s="1"/>
  <c r="Q7" i="73"/>
  <c r="B270" i="73" s="1"/>
  <c r="B7" i="73"/>
  <c r="B297" i="73" s="1"/>
  <c r="X189" i="73"/>
  <c r="I687" i="73" s="1"/>
  <c r="I189" i="73"/>
  <c r="I714" i="73" s="1"/>
  <c r="S99" i="73"/>
  <c r="D456" i="73" s="1"/>
  <c r="D99" i="73"/>
  <c r="D483" i="73" s="1"/>
  <c r="AB141" i="73"/>
  <c r="M141" i="73"/>
  <c r="V85" i="73"/>
  <c r="G442" i="73" s="1"/>
  <c r="G85" i="73"/>
  <c r="G469" i="73" s="1"/>
  <c r="W78" i="73"/>
  <c r="H435" i="73" s="1"/>
  <c r="H78" i="73"/>
  <c r="H462" i="73" s="1"/>
  <c r="X177" i="73"/>
  <c r="I675" i="73" s="1"/>
  <c r="I177" i="73"/>
  <c r="I702" i="73" s="1"/>
  <c r="T75" i="73"/>
  <c r="E432" i="73" s="1"/>
  <c r="E75" i="73"/>
  <c r="E459" i="73" s="1"/>
  <c r="W5" i="73"/>
  <c r="H5" i="73"/>
  <c r="AA61" i="73"/>
  <c r="L371" i="73" s="1"/>
  <c r="L61" i="73"/>
  <c r="L398" i="73" s="1"/>
  <c r="S9" i="73"/>
  <c r="D272" i="73" s="1"/>
  <c r="D9" i="73"/>
  <c r="D299" i="73" s="1"/>
  <c r="R197" i="73"/>
  <c r="C695" i="73" s="1"/>
  <c r="C197" i="73"/>
  <c r="C722" i="73" s="1"/>
  <c r="T126" i="73"/>
  <c r="E530" i="73" s="1"/>
  <c r="E126" i="73"/>
  <c r="E557" i="73" s="1"/>
  <c r="T28" i="73"/>
  <c r="E291" i="73" s="1"/>
  <c r="E28" i="73"/>
  <c r="E318" i="73" s="1"/>
  <c r="W7" i="73"/>
  <c r="H270" i="73" s="1"/>
  <c r="H7" i="73"/>
  <c r="H297" i="73" s="1"/>
  <c r="X62" i="73"/>
  <c r="I372" i="73" s="1"/>
  <c r="I62" i="73"/>
  <c r="I399" i="73" s="1"/>
  <c r="U45" i="73"/>
  <c r="F355" i="73" s="1"/>
  <c r="F45" i="73"/>
  <c r="F382" i="73" s="1"/>
  <c r="S89" i="73"/>
  <c r="D446" i="73" s="1"/>
  <c r="D89" i="73"/>
  <c r="D473" i="73" s="1"/>
  <c r="Y93" i="73"/>
  <c r="J450" i="73" s="1"/>
  <c r="J93" i="73"/>
  <c r="J477" i="73" s="1"/>
  <c r="Z91" i="73"/>
  <c r="K448" i="73" s="1"/>
  <c r="K91" i="73"/>
  <c r="K475" i="73" s="1"/>
  <c r="W39" i="73"/>
  <c r="H39" i="73"/>
  <c r="AB57" i="73"/>
  <c r="M57" i="73"/>
  <c r="AA85" i="73"/>
  <c r="L442" i="73" s="1"/>
  <c r="L85" i="73"/>
  <c r="L469" i="73" s="1"/>
  <c r="U130" i="73"/>
  <c r="F534" i="73" s="1"/>
  <c r="F130" i="73"/>
  <c r="F561" i="73" s="1"/>
  <c r="Q29" i="73"/>
  <c r="B292" i="73" s="1"/>
  <c r="B29" i="73"/>
  <c r="B319" i="73" s="1"/>
  <c r="U49" i="73"/>
  <c r="F359" i="73" s="1"/>
  <c r="F49" i="73"/>
  <c r="F386" i="73" s="1"/>
  <c r="R57" i="73"/>
  <c r="C367" i="73" s="1"/>
  <c r="C57" i="73"/>
  <c r="C394" i="73" s="1"/>
  <c r="T83" i="73"/>
  <c r="E440" i="73" s="1"/>
  <c r="E83" i="73"/>
  <c r="E467" i="73" s="1"/>
  <c r="X129" i="73"/>
  <c r="I533" i="73" s="1"/>
  <c r="I129" i="73"/>
  <c r="I560" i="73" s="1"/>
  <c r="X178" i="73"/>
  <c r="I676" i="73" s="1"/>
  <c r="I178" i="73"/>
  <c r="I703" i="73" s="1"/>
  <c r="Z48" i="73"/>
  <c r="K358" i="73" s="1"/>
  <c r="K48" i="73"/>
  <c r="K385" i="73" s="1"/>
  <c r="AB40" i="73"/>
  <c r="M40" i="73"/>
  <c r="V20" i="73"/>
  <c r="G283" i="73" s="1"/>
  <c r="G20" i="73"/>
  <c r="G310" i="73" s="1"/>
  <c r="Z6" i="73"/>
  <c r="K269" i="73" s="1"/>
  <c r="K6" i="73"/>
  <c r="K296" i="73" s="1"/>
  <c r="Y73" i="73"/>
  <c r="J73" i="73"/>
  <c r="W189" i="73"/>
  <c r="H687" i="73" s="1"/>
  <c r="H189" i="73"/>
  <c r="H714" i="73" s="1"/>
  <c r="Q149" i="73"/>
  <c r="B600" i="73" s="1"/>
  <c r="B149" i="73"/>
  <c r="B627" i="73" s="1"/>
  <c r="W59" i="73"/>
  <c r="H369" i="73" s="1"/>
  <c r="H59" i="73"/>
  <c r="H396" i="73" s="1"/>
  <c r="S25" i="73"/>
  <c r="D288" i="73" s="1"/>
  <c r="D25" i="73"/>
  <c r="D315" i="73" s="1"/>
  <c r="Z86" i="73"/>
  <c r="K443" i="73" s="1"/>
  <c r="K86" i="73"/>
  <c r="K470" i="73" s="1"/>
  <c r="X162" i="73"/>
  <c r="I613" i="73" s="1"/>
  <c r="I162" i="73"/>
  <c r="I640" i="73" s="1"/>
  <c r="AB82" i="73"/>
  <c r="M82" i="73"/>
  <c r="AA96" i="73"/>
  <c r="L453" i="73" s="1"/>
  <c r="L96" i="73"/>
  <c r="L480" i="73" s="1"/>
  <c r="AA8" i="73"/>
  <c r="L271" i="73" s="1"/>
  <c r="L8" i="73"/>
  <c r="L298" i="73" s="1"/>
  <c r="U65" i="73"/>
  <c r="F375" i="73" s="1"/>
  <c r="F65" i="73"/>
  <c r="F402" i="73" s="1"/>
  <c r="W76" i="73"/>
  <c r="H433" i="73" s="1"/>
  <c r="H76" i="73"/>
  <c r="H460" i="73" s="1"/>
  <c r="V198" i="73"/>
  <c r="G696" i="73" s="1"/>
  <c r="G198" i="73"/>
  <c r="G723" i="73" s="1"/>
  <c r="T154" i="73"/>
  <c r="E605" i="73" s="1"/>
  <c r="E154" i="73"/>
  <c r="E632" i="73" s="1"/>
  <c r="W20" i="73"/>
  <c r="H283" i="73" s="1"/>
  <c r="H20" i="73"/>
  <c r="H310" i="73" s="1"/>
  <c r="W148" i="73"/>
  <c r="H599" i="73" s="1"/>
  <c r="H148" i="73"/>
  <c r="H626" i="73" s="1"/>
  <c r="Q151" i="73"/>
  <c r="B602" i="73" s="1"/>
  <c r="B151" i="73"/>
  <c r="B629" i="73" s="1"/>
  <c r="W51" i="73"/>
  <c r="H361" i="73" s="1"/>
  <c r="H51" i="73"/>
  <c r="H388" i="73" s="1"/>
  <c r="Y78" i="73"/>
  <c r="J435" i="73" s="1"/>
  <c r="J78" i="73"/>
  <c r="J462" i="73" s="1"/>
  <c r="AB74" i="73"/>
  <c r="M74" i="73"/>
  <c r="X153" i="73"/>
  <c r="I604" i="73" s="1"/>
  <c r="I153" i="73"/>
  <c r="I631" i="73" s="1"/>
  <c r="X8" i="73"/>
  <c r="I271" i="73" s="1"/>
  <c r="I8" i="73"/>
  <c r="I298" i="73" s="1"/>
  <c r="Y129" i="73"/>
  <c r="J533" i="73" s="1"/>
  <c r="J129" i="73"/>
  <c r="J560" i="73" s="1"/>
  <c r="AA121" i="73"/>
  <c r="L525" i="73" s="1"/>
  <c r="L121" i="73"/>
  <c r="L552" i="73" s="1"/>
  <c r="AB98" i="73"/>
  <c r="M98" i="73"/>
  <c r="V162" i="73"/>
  <c r="G613" i="73" s="1"/>
  <c r="G162" i="73"/>
  <c r="G640" i="73" s="1"/>
  <c r="R113" i="73"/>
  <c r="C517" i="73" s="1"/>
  <c r="C113" i="73"/>
  <c r="C544" i="73" s="1"/>
  <c r="S178" i="73"/>
  <c r="D676" i="73" s="1"/>
  <c r="D178" i="73"/>
  <c r="D703" i="73" s="1"/>
  <c r="Y119" i="73"/>
  <c r="J523" i="73" s="1"/>
  <c r="J119" i="73"/>
  <c r="J550" i="73" s="1"/>
  <c r="Y74" i="73"/>
  <c r="J431" i="73" s="1"/>
  <c r="J74" i="73"/>
  <c r="J458" i="73" s="1"/>
  <c r="AB84" i="73"/>
  <c r="M84" i="73"/>
  <c r="Y176" i="73"/>
  <c r="J674" i="73" s="1"/>
  <c r="J176" i="73"/>
  <c r="J701" i="73" s="1"/>
  <c r="Y158" i="73"/>
  <c r="J609" i="73" s="1"/>
  <c r="J158" i="73"/>
  <c r="J636" i="73" s="1"/>
  <c r="S78" i="73"/>
  <c r="D435" i="73" s="1"/>
  <c r="D78" i="73"/>
  <c r="D462" i="73" s="1"/>
  <c r="U21" i="73"/>
  <c r="F284" i="73" s="1"/>
  <c r="F21" i="73"/>
  <c r="F311" i="73" s="1"/>
  <c r="T80" i="73"/>
  <c r="E437" i="73" s="1"/>
  <c r="E80" i="73"/>
  <c r="E464" i="73" s="1"/>
  <c r="V6" i="73"/>
  <c r="G269" i="73" s="1"/>
  <c r="G6" i="73"/>
  <c r="G296" i="73" s="1"/>
  <c r="S6" i="73"/>
  <c r="D269" i="73" s="1"/>
  <c r="D6" i="73"/>
  <c r="D296" i="73" s="1"/>
  <c r="Y45" i="73"/>
  <c r="J355" i="73" s="1"/>
  <c r="J45" i="73"/>
  <c r="J382" i="73" s="1"/>
  <c r="U180" i="73"/>
  <c r="F678" i="73" s="1"/>
  <c r="F180" i="73"/>
  <c r="F705" i="73" s="1"/>
  <c r="Z54" i="73"/>
  <c r="K364" i="73" s="1"/>
  <c r="K54" i="73"/>
  <c r="K391" i="73" s="1"/>
  <c r="Z97" i="73"/>
  <c r="K454" i="73" s="1"/>
  <c r="K97" i="73"/>
  <c r="K481" i="73" s="1"/>
  <c r="R31" i="73"/>
  <c r="C294" i="73" s="1"/>
  <c r="C31" i="73"/>
  <c r="C321" i="73" s="1"/>
  <c r="R151" i="73"/>
  <c r="C602" i="73" s="1"/>
  <c r="C151" i="73"/>
  <c r="C629" i="73" s="1"/>
  <c r="AB144" i="73"/>
  <c r="M144" i="73"/>
  <c r="Y116" i="73"/>
  <c r="J520" i="73" s="1"/>
  <c r="J116" i="73"/>
  <c r="J547" i="73" s="1"/>
  <c r="X13" i="73"/>
  <c r="I276" i="73" s="1"/>
  <c r="I13" i="73"/>
  <c r="I303" i="73" s="1"/>
  <c r="R47" i="73"/>
  <c r="C357" i="73" s="1"/>
  <c r="C47" i="73"/>
  <c r="C384" i="73" s="1"/>
  <c r="T49" i="73"/>
  <c r="E359" i="73" s="1"/>
  <c r="E49" i="73"/>
  <c r="E386" i="73" s="1"/>
  <c r="AB176" i="73"/>
  <c r="M176" i="73"/>
  <c r="T12" i="73"/>
  <c r="E275" i="73" s="1"/>
  <c r="E12" i="73"/>
  <c r="E302" i="73" s="1"/>
  <c r="Y55" i="73"/>
  <c r="J365" i="73" s="1"/>
  <c r="J55" i="73"/>
  <c r="J392" i="73" s="1"/>
  <c r="Z15" i="73"/>
  <c r="K278" i="73" s="1"/>
  <c r="K15" i="73"/>
  <c r="K305" i="73" s="1"/>
  <c r="X93" i="73"/>
  <c r="I450" i="73" s="1"/>
  <c r="I93" i="73"/>
  <c r="I477" i="73" s="1"/>
  <c r="Y51" i="73"/>
  <c r="J361" i="73" s="1"/>
  <c r="J51" i="73"/>
  <c r="J388" i="73" s="1"/>
  <c r="V7" i="73"/>
  <c r="G270" i="73" s="1"/>
  <c r="G7" i="73"/>
  <c r="G297" i="73" s="1"/>
  <c r="W179" i="73"/>
  <c r="H677" i="73" s="1"/>
  <c r="H179" i="73"/>
  <c r="H704" i="73" s="1"/>
  <c r="R145" i="73"/>
  <c r="C596" i="73" s="1"/>
  <c r="C145" i="73"/>
  <c r="C623" i="73" s="1"/>
  <c r="AA74" i="73"/>
  <c r="L431" i="73" s="1"/>
  <c r="L74" i="73"/>
  <c r="L458" i="73" s="1"/>
  <c r="S86" i="73"/>
  <c r="D443" i="73" s="1"/>
  <c r="D86" i="73"/>
  <c r="D470" i="73" s="1"/>
  <c r="Z122" i="73"/>
  <c r="K526" i="73" s="1"/>
  <c r="K122" i="73"/>
  <c r="K553" i="73" s="1"/>
  <c r="S85" i="73"/>
  <c r="D442" i="73" s="1"/>
  <c r="D85" i="73"/>
  <c r="D469" i="73" s="1"/>
  <c r="S75" i="73"/>
  <c r="D432" i="73" s="1"/>
  <c r="D75" i="73"/>
  <c r="D459" i="73" s="1"/>
  <c r="R82" i="73"/>
  <c r="C439" i="73" s="1"/>
  <c r="C82" i="73"/>
  <c r="C466" i="73" s="1"/>
  <c r="AA76" i="73"/>
  <c r="L433" i="73" s="1"/>
  <c r="L76" i="73"/>
  <c r="L460" i="73" s="1"/>
  <c r="S5" i="73"/>
  <c r="D5" i="73"/>
  <c r="AB129" i="73"/>
  <c r="M129" i="73"/>
  <c r="S121" i="73"/>
  <c r="D525" i="73" s="1"/>
  <c r="D121" i="73"/>
  <c r="D552" i="73" s="1"/>
  <c r="V44" i="73"/>
  <c r="G354" i="73" s="1"/>
  <c r="G44" i="73"/>
  <c r="G381" i="73" s="1"/>
  <c r="S93" i="73"/>
  <c r="D450" i="73" s="1"/>
  <c r="D93" i="73"/>
  <c r="D477" i="73" s="1"/>
  <c r="AB155" i="73"/>
  <c r="M155" i="73"/>
  <c r="AB61" i="73"/>
  <c r="M61" i="73"/>
  <c r="Z94" i="73"/>
  <c r="K451" i="73" s="1"/>
  <c r="K94" i="73"/>
  <c r="K478" i="73" s="1"/>
  <c r="U128" i="73"/>
  <c r="F532" i="73" s="1"/>
  <c r="F128" i="73"/>
  <c r="F559" i="73" s="1"/>
  <c r="AB160" i="73"/>
  <c r="M160" i="73"/>
  <c r="S147" i="73"/>
  <c r="D598" i="73" s="1"/>
  <c r="D147" i="73"/>
  <c r="D625" i="73" s="1"/>
  <c r="Y201" i="73"/>
  <c r="J699" i="73" s="1"/>
  <c r="J201" i="73"/>
  <c r="J726" i="73" s="1"/>
  <c r="AB178" i="73"/>
  <c r="M178" i="73"/>
  <c r="V5" i="73"/>
  <c r="G5" i="73"/>
  <c r="X175" i="73"/>
  <c r="I175" i="73"/>
  <c r="AB15" i="73"/>
  <c r="M15" i="73"/>
  <c r="X120" i="73"/>
  <c r="I524" i="73" s="1"/>
  <c r="I120" i="73"/>
  <c r="I551" i="73" s="1"/>
  <c r="X78" i="73"/>
  <c r="I435" i="73" s="1"/>
  <c r="I78" i="73"/>
  <c r="I462" i="73" s="1"/>
  <c r="U27" i="73"/>
  <c r="F290" i="73" s="1"/>
  <c r="F27" i="73"/>
  <c r="F317" i="73" s="1"/>
  <c r="S160" i="73"/>
  <c r="D611" i="73" s="1"/>
  <c r="D160" i="73"/>
  <c r="D638" i="73" s="1"/>
  <c r="T176" i="73"/>
  <c r="E674" i="73" s="1"/>
  <c r="E176" i="73"/>
  <c r="E701" i="73" s="1"/>
  <c r="V124" i="73"/>
  <c r="G528" i="73" s="1"/>
  <c r="G124" i="73"/>
  <c r="G555" i="73" s="1"/>
  <c r="V119" i="73"/>
  <c r="G523" i="73" s="1"/>
  <c r="G119" i="73"/>
  <c r="G550" i="73" s="1"/>
  <c r="M551" i="73"/>
  <c r="N120" i="73"/>
  <c r="M629" i="73"/>
  <c r="N151" i="73"/>
  <c r="M300" i="73"/>
  <c r="N10" i="73"/>
  <c r="M307" i="73"/>
  <c r="N17" i="73"/>
  <c r="F295" i="73"/>
  <c r="M386" i="73"/>
  <c r="N49" i="73"/>
  <c r="L295" i="73"/>
  <c r="M465" i="73"/>
  <c r="N81" i="73"/>
  <c r="M478" i="73"/>
  <c r="N94" i="73"/>
  <c r="M706" i="73"/>
  <c r="N181" i="73"/>
  <c r="M467" i="73"/>
  <c r="N83" i="73"/>
  <c r="G700" i="73"/>
  <c r="H700" i="73"/>
  <c r="M640" i="73"/>
  <c r="N162" i="73"/>
  <c r="M559" i="73"/>
  <c r="N128" i="73"/>
  <c r="G376" i="73"/>
  <c r="J295" i="73"/>
  <c r="N53" i="73"/>
  <c r="M390" i="73"/>
  <c r="M378" i="73"/>
  <c r="N41" i="73"/>
  <c r="M401" i="73"/>
  <c r="N64" i="73"/>
  <c r="M317" i="73"/>
  <c r="N27" i="73"/>
  <c r="M309" i="73"/>
  <c r="N19" i="73"/>
  <c r="AC9" i="73"/>
  <c r="M272" i="73"/>
  <c r="D673" i="73"/>
  <c r="M608" i="73"/>
  <c r="AC157" i="73"/>
  <c r="AC65" i="73"/>
  <c r="M375" i="73"/>
  <c r="K349" i="73"/>
  <c r="AC54" i="73"/>
  <c r="M364" i="73"/>
  <c r="M699" i="73"/>
  <c r="AC201" i="73"/>
  <c r="M697" i="73"/>
  <c r="AC199" i="73"/>
  <c r="AC7" i="73"/>
  <c r="M270" i="73"/>
  <c r="M447" i="73"/>
  <c r="AC90" i="73"/>
  <c r="F349" i="73"/>
  <c r="M617" i="73"/>
  <c r="AC166" i="73"/>
  <c r="M677" i="73"/>
  <c r="AC179" i="73"/>
  <c r="AC194" i="73"/>
  <c r="M692" i="73"/>
  <c r="M526" i="73"/>
  <c r="AC122" i="73"/>
  <c r="AC80" i="73"/>
  <c r="M437" i="73"/>
  <c r="B511" i="73"/>
  <c r="AC58" i="73"/>
  <c r="M368" i="73"/>
  <c r="Z106" i="64"/>
  <c r="Z95" i="64"/>
  <c r="Z107" i="64"/>
  <c r="Z104" i="64"/>
  <c r="Z112" i="64"/>
  <c r="Z93" i="64"/>
  <c r="Z90" i="64"/>
  <c r="Z63" i="64"/>
  <c r="Z39" i="64"/>
  <c r="Z43" i="64"/>
  <c r="Z87" i="64"/>
  <c r="Z40" i="64"/>
  <c r="Z103" i="64"/>
  <c r="Z111" i="64"/>
  <c r="Z108" i="64"/>
  <c r="Z89" i="64"/>
  <c r="Z86" i="64"/>
  <c r="Z94" i="64"/>
  <c r="Z41" i="64"/>
  <c r="Z109" i="64"/>
  <c r="Z92" i="64"/>
  <c r="Z105" i="64"/>
  <c r="Z102" i="64"/>
  <c r="Z110" i="64"/>
  <c r="Z91" i="64"/>
  <c r="Z88" i="64"/>
  <c r="Z96" i="64"/>
  <c r="Z54" i="64"/>
  <c r="Z38" i="64"/>
  <c r="Z42" i="64"/>
  <c r="Z45" i="64"/>
  <c r="Z80" i="64"/>
  <c r="AW7" i="64"/>
  <c r="AW8" i="64"/>
  <c r="AW9" i="64"/>
  <c r="AW10" i="64"/>
  <c r="R83" i="62"/>
  <c r="J30" i="64" s="1"/>
  <c r="R81" i="62"/>
  <c r="H30" i="64" s="1"/>
  <c r="R77" i="62"/>
  <c r="D30" i="64" s="1"/>
  <c r="R85" i="62"/>
  <c r="L30" i="64" s="1"/>
  <c r="B84" i="62"/>
  <c r="B77" i="62"/>
  <c r="B78" i="62"/>
  <c r="B81" i="62"/>
  <c r="B82" i="62"/>
  <c r="R79" i="62"/>
  <c r="F30" i="64" s="1"/>
  <c r="B86" i="62"/>
  <c r="B79" i="62"/>
  <c r="B83" i="62"/>
  <c r="B80" i="62"/>
  <c r="R76" i="62"/>
  <c r="C30" i="64" s="1"/>
  <c r="R80" i="62"/>
  <c r="G30" i="64" s="1"/>
  <c r="R84" i="62"/>
  <c r="K30" i="64" s="1"/>
  <c r="R78" i="62"/>
  <c r="R82" i="62"/>
  <c r="I30" i="64" s="1"/>
  <c r="B17" i="64"/>
  <c r="R56" i="62"/>
  <c r="L17" i="64" s="1"/>
  <c r="R55" i="62"/>
  <c r="K17" i="64" s="1"/>
  <c r="R53" i="62"/>
  <c r="I17" i="64" s="1"/>
  <c r="R57" i="62"/>
  <c r="M17" i="64" s="1"/>
  <c r="B57" i="62"/>
  <c r="B56" i="62"/>
  <c r="B55" i="62"/>
  <c r="B54" i="62"/>
  <c r="B53" i="62"/>
  <c r="B52" i="62"/>
  <c r="B51" i="62"/>
  <c r="B50" i="62"/>
  <c r="B49" i="62"/>
  <c r="B48" i="62"/>
  <c r="B47" i="62"/>
  <c r="N47" i="73" l="1"/>
  <c r="D11" i="64"/>
  <c r="D10" i="64"/>
  <c r="AB23" i="64" s="1"/>
  <c r="L11" i="64"/>
  <c r="L10" i="64"/>
  <c r="AB31" i="64" s="1"/>
  <c r="E30" i="64"/>
  <c r="R5" i="62"/>
  <c r="S5" i="62" s="1"/>
  <c r="C11" i="64"/>
  <c r="C10" i="64"/>
  <c r="AB22" i="64" s="1"/>
  <c r="E11" i="64"/>
  <c r="R2" i="62"/>
  <c r="E10" i="64"/>
  <c r="AB24" i="64" s="1"/>
  <c r="M11" i="64"/>
  <c r="M10" i="64"/>
  <c r="AB32" i="64" s="1"/>
  <c r="I24" i="64"/>
  <c r="I4" i="64" s="1"/>
  <c r="I23" i="64"/>
  <c r="AB60" i="64" s="1"/>
  <c r="J11" i="64"/>
  <c r="J10" i="64"/>
  <c r="AB29" i="64" s="1"/>
  <c r="F11" i="64"/>
  <c r="F10" i="64"/>
  <c r="AB25" i="64" s="1"/>
  <c r="G11" i="64"/>
  <c r="G10" i="64"/>
  <c r="AB26" i="64" s="1"/>
  <c r="C3" i="64"/>
  <c r="AB6" i="64" s="1"/>
  <c r="H11" i="64"/>
  <c r="H10" i="64"/>
  <c r="AB27" i="64" s="1"/>
  <c r="G24" i="64"/>
  <c r="G23" i="64"/>
  <c r="AB58" i="64" s="1"/>
  <c r="D24" i="64"/>
  <c r="D23" i="64"/>
  <c r="AB55" i="64" s="1"/>
  <c r="H24" i="64"/>
  <c r="H23" i="64"/>
  <c r="AB59" i="64" s="1"/>
  <c r="E24" i="64"/>
  <c r="R4" i="62"/>
  <c r="S4" i="62" s="1"/>
  <c r="E23" i="64"/>
  <c r="AB56" i="64" s="1"/>
  <c r="I11" i="64"/>
  <c r="I10" i="64"/>
  <c r="AB28" i="64" s="1"/>
  <c r="L3" i="64"/>
  <c r="AB15" i="64" s="1"/>
  <c r="J24" i="64"/>
  <c r="J23" i="64"/>
  <c r="AB61" i="64" s="1"/>
  <c r="K24" i="64"/>
  <c r="K23" i="64"/>
  <c r="AB62" i="64" s="1"/>
  <c r="B10" i="64"/>
  <c r="AB21" i="64" s="1"/>
  <c r="B11" i="64"/>
  <c r="F24" i="64"/>
  <c r="F23" i="64"/>
  <c r="AB57" i="64" s="1"/>
  <c r="K11" i="64"/>
  <c r="K10" i="64"/>
  <c r="AB30" i="64" s="1"/>
  <c r="M24" i="64"/>
  <c r="M23" i="64"/>
  <c r="AB64" i="64" s="1"/>
  <c r="D3" i="64"/>
  <c r="AB7" i="64" s="1"/>
  <c r="G202" i="73"/>
  <c r="G204" i="73" s="1"/>
  <c r="G744" i="73" s="1"/>
  <c r="G762" i="73" s="1"/>
  <c r="AB202" i="73"/>
  <c r="AB204" i="73" s="1"/>
  <c r="AC204" i="73" s="1"/>
  <c r="G66" i="73"/>
  <c r="G68" i="73" s="1"/>
  <c r="G732" i="73" s="1"/>
  <c r="G750" i="73" s="1"/>
  <c r="S202" i="73"/>
  <c r="S204" i="73" s="1"/>
  <c r="D743" i="73" s="1"/>
  <c r="D761" i="73" s="1"/>
  <c r="M202" i="73"/>
  <c r="M204" i="73" s="1"/>
  <c r="M744" i="73" s="1"/>
  <c r="D776" i="73"/>
  <c r="I673" i="73"/>
  <c r="X202" i="73"/>
  <c r="X204" i="73" s="1"/>
  <c r="I743" i="73" s="1"/>
  <c r="AC178" i="73"/>
  <c r="M676" i="73"/>
  <c r="AC61" i="73"/>
  <c r="M371" i="73"/>
  <c r="D268" i="73"/>
  <c r="S32" i="73"/>
  <c r="S34" i="73" s="1"/>
  <c r="D728" i="73" s="1"/>
  <c r="AC74" i="73"/>
  <c r="M431" i="73"/>
  <c r="AC40" i="73"/>
  <c r="M350" i="73"/>
  <c r="AC57" i="73"/>
  <c r="M367" i="73"/>
  <c r="J592" i="73"/>
  <c r="Y168" i="73"/>
  <c r="Y170" i="73" s="1"/>
  <c r="J740" i="73" s="1"/>
  <c r="Q134" i="73"/>
  <c r="Q136" i="73" s="1"/>
  <c r="B737" i="73" s="1"/>
  <c r="B755" i="73" s="1"/>
  <c r="U66" i="73"/>
  <c r="U68" i="73" s="1"/>
  <c r="F731" i="73" s="1"/>
  <c r="F749" i="73" s="1"/>
  <c r="Z66" i="73"/>
  <c r="Z68" i="73" s="1"/>
  <c r="K731" i="73" s="1"/>
  <c r="J32" i="73"/>
  <c r="J34" i="73" s="1"/>
  <c r="J729" i="73" s="1"/>
  <c r="H202" i="73"/>
  <c r="H204" i="73" s="1"/>
  <c r="H744" i="73" s="1"/>
  <c r="L32" i="73"/>
  <c r="L34" i="73" s="1"/>
  <c r="L729" i="73" s="1"/>
  <c r="L747" i="73" s="1"/>
  <c r="F32" i="73"/>
  <c r="F34" i="73" s="1"/>
  <c r="F729" i="73" s="1"/>
  <c r="M305" i="73"/>
  <c r="N15" i="73"/>
  <c r="G295" i="73"/>
  <c r="G32" i="73"/>
  <c r="G34" i="73" s="1"/>
  <c r="G729" i="73" s="1"/>
  <c r="M638" i="73"/>
  <c r="N160" i="73"/>
  <c r="M633" i="73"/>
  <c r="N155" i="73"/>
  <c r="N129" i="73"/>
  <c r="M560" i="73"/>
  <c r="M622" i="73"/>
  <c r="N144" i="73"/>
  <c r="N84" i="73"/>
  <c r="M468" i="73"/>
  <c r="M482" i="73"/>
  <c r="N98" i="73"/>
  <c r="J457" i="73"/>
  <c r="J100" i="73"/>
  <c r="J102" i="73" s="1"/>
  <c r="J735" i="73" s="1"/>
  <c r="H376" i="73"/>
  <c r="H66" i="73"/>
  <c r="H68" i="73" s="1"/>
  <c r="H732" i="73" s="1"/>
  <c r="H295" i="73"/>
  <c r="H32" i="73"/>
  <c r="H34" i="73" s="1"/>
  <c r="H729" i="73" s="1"/>
  <c r="M308" i="73"/>
  <c r="N18" i="73"/>
  <c r="M475" i="73"/>
  <c r="N91" i="73"/>
  <c r="H457" i="73"/>
  <c r="H100" i="73"/>
  <c r="H102" i="73" s="1"/>
  <c r="H735" i="73" s="1"/>
  <c r="M543" i="73"/>
  <c r="N112" i="73"/>
  <c r="M544" i="73"/>
  <c r="N113" i="73"/>
  <c r="J538" i="73"/>
  <c r="J134" i="73"/>
  <c r="J136" i="73" s="1"/>
  <c r="J738" i="73" s="1"/>
  <c r="K619" i="73"/>
  <c r="K168" i="73"/>
  <c r="K170" i="73" s="1"/>
  <c r="K741" i="73" s="1"/>
  <c r="M541" i="73"/>
  <c r="N110" i="73"/>
  <c r="M709" i="73"/>
  <c r="N184" i="73"/>
  <c r="M630" i="73"/>
  <c r="N152" i="73"/>
  <c r="D202" i="73"/>
  <c r="D204" i="73" s="1"/>
  <c r="D744" i="73" s="1"/>
  <c r="Z32" i="73"/>
  <c r="Z34" i="73" s="1"/>
  <c r="K728" i="73" s="1"/>
  <c r="AA66" i="73"/>
  <c r="AA68" i="73" s="1"/>
  <c r="L731" i="73" s="1"/>
  <c r="L749" i="73" s="1"/>
  <c r="R202" i="73"/>
  <c r="R204" i="73" s="1"/>
  <c r="C743" i="73" s="1"/>
  <c r="F700" i="73"/>
  <c r="F202" i="73"/>
  <c r="F204" i="73" s="1"/>
  <c r="F744" i="73" s="1"/>
  <c r="M298" i="73"/>
  <c r="N8" i="73"/>
  <c r="M636" i="73"/>
  <c r="N158" i="73"/>
  <c r="B295" i="73"/>
  <c r="B32" i="73"/>
  <c r="B34" i="73" s="1"/>
  <c r="B729" i="73" s="1"/>
  <c r="K457" i="73"/>
  <c r="K100" i="73"/>
  <c r="K102" i="73" s="1"/>
  <c r="K735" i="73" s="1"/>
  <c r="E457" i="73"/>
  <c r="E100" i="73"/>
  <c r="M388" i="73"/>
  <c r="N51" i="73"/>
  <c r="M624" i="73"/>
  <c r="N146" i="73"/>
  <c r="G457" i="73"/>
  <c r="G100" i="73"/>
  <c r="G102" i="73" s="1"/>
  <c r="G735" i="73" s="1"/>
  <c r="M552" i="73"/>
  <c r="N121" i="73"/>
  <c r="N73" i="73"/>
  <c r="M457" i="73"/>
  <c r="M100" i="73"/>
  <c r="M102" i="73" s="1"/>
  <c r="M702" i="73"/>
  <c r="N177" i="73"/>
  <c r="M645" i="73"/>
  <c r="N167" i="73"/>
  <c r="M312" i="73"/>
  <c r="N22" i="73"/>
  <c r="K673" i="73"/>
  <c r="Z202" i="73"/>
  <c r="Z204" i="73" s="1"/>
  <c r="K743" i="73" s="1"/>
  <c r="I268" i="73"/>
  <c r="X32" i="73"/>
  <c r="X34" i="73" s="1"/>
  <c r="I728" i="73" s="1"/>
  <c r="AC29" i="73"/>
  <c r="M292" i="73"/>
  <c r="I349" i="73"/>
  <c r="X66" i="73"/>
  <c r="X68" i="73" s="1"/>
  <c r="I731" i="73" s="1"/>
  <c r="AC12" i="73"/>
  <c r="M275" i="73"/>
  <c r="M693" i="73"/>
  <c r="AC195" i="73"/>
  <c r="M369" i="73"/>
  <c r="AC59" i="73"/>
  <c r="M434" i="73"/>
  <c r="AC77" i="73"/>
  <c r="M605" i="73"/>
  <c r="AC154" i="73"/>
  <c r="AC52" i="73"/>
  <c r="M362" i="73"/>
  <c r="M596" i="73"/>
  <c r="AC145" i="73"/>
  <c r="F430" i="73"/>
  <c r="U100" i="73"/>
  <c r="U102" i="73" s="1"/>
  <c r="F734" i="73" s="1"/>
  <c r="M685" i="73"/>
  <c r="AC187" i="73"/>
  <c r="L592" i="73"/>
  <c r="AA168" i="73"/>
  <c r="AA170" i="73" s="1"/>
  <c r="L740" i="73" s="1"/>
  <c r="AC180" i="73"/>
  <c r="M678" i="73"/>
  <c r="L511" i="73"/>
  <c r="AA134" i="73"/>
  <c r="AA136" i="73" s="1"/>
  <c r="L737" i="73" s="1"/>
  <c r="AC109" i="73"/>
  <c r="M513" i="73"/>
  <c r="AC50" i="73"/>
  <c r="M360" i="73"/>
  <c r="AC95" i="73"/>
  <c r="M452" i="73"/>
  <c r="E32" i="73"/>
  <c r="B168" i="73"/>
  <c r="B170" i="73" s="1"/>
  <c r="B741" i="73" s="1"/>
  <c r="Y32" i="73"/>
  <c r="Y34" i="73" s="1"/>
  <c r="J728" i="73" s="1"/>
  <c r="W202" i="73"/>
  <c r="W204" i="73" s="1"/>
  <c r="H743" i="73" s="1"/>
  <c r="H761" i="73" s="1"/>
  <c r="AA32" i="73"/>
  <c r="AA34" i="73" s="1"/>
  <c r="L728" i="73" s="1"/>
  <c r="L746" i="73" s="1"/>
  <c r="U32" i="73"/>
  <c r="U34" i="73" s="1"/>
  <c r="F728" i="73" s="1"/>
  <c r="M472" i="73"/>
  <c r="N88" i="73"/>
  <c r="N186" i="73"/>
  <c r="M711" i="73"/>
  <c r="M381" i="73"/>
  <c r="N44" i="73"/>
  <c r="M480" i="73"/>
  <c r="N96" i="73"/>
  <c r="C295" i="73"/>
  <c r="C32" i="73"/>
  <c r="C34" i="73" s="1"/>
  <c r="C729" i="73" s="1"/>
  <c r="M301" i="73"/>
  <c r="N11" i="73"/>
  <c r="M460" i="73"/>
  <c r="N76" i="73"/>
  <c r="M481" i="73"/>
  <c r="N97" i="73"/>
  <c r="M296" i="73"/>
  <c r="N6" i="73"/>
  <c r="N85" i="73"/>
  <c r="M469" i="73"/>
  <c r="D619" i="73"/>
  <c r="D168" i="73"/>
  <c r="D170" i="73" s="1"/>
  <c r="D741" i="73" s="1"/>
  <c r="M555" i="73"/>
  <c r="N124" i="73"/>
  <c r="M621" i="73"/>
  <c r="N143" i="73"/>
  <c r="H538" i="73"/>
  <c r="H134" i="73"/>
  <c r="H136" i="73" s="1"/>
  <c r="H738" i="73" s="1"/>
  <c r="M379" i="73"/>
  <c r="N42" i="73"/>
  <c r="M564" i="73"/>
  <c r="N133" i="73"/>
  <c r="M320" i="73"/>
  <c r="N30" i="73"/>
  <c r="N190" i="73"/>
  <c r="M715" i="73"/>
  <c r="M306" i="73"/>
  <c r="N16" i="73"/>
  <c r="H762" i="73"/>
  <c r="D770" i="73"/>
  <c r="F747" i="73"/>
  <c r="AC15" i="73"/>
  <c r="M278" i="73"/>
  <c r="G268" i="73"/>
  <c r="V32" i="73"/>
  <c r="V34" i="73" s="1"/>
  <c r="G728" i="73" s="1"/>
  <c r="AC160" i="73"/>
  <c r="M611" i="73"/>
  <c r="AC155" i="73"/>
  <c r="M606" i="73"/>
  <c r="AC129" i="73"/>
  <c r="M533" i="73"/>
  <c r="AC144" i="73"/>
  <c r="M595" i="73"/>
  <c r="M441" i="73"/>
  <c r="AC84" i="73"/>
  <c r="AC98" i="73"/>
  <c r="M455" i="73"/>
  <c r="J430" i="73"/>
  <c r="Y100" i="73"/>
  <c r="Y102" i="73" s="1"/>
  <c r="J734" i="73" s="1"/>
  <c r="H349" i="73"/>
  <c r="W66" i="73"/>
  <c r="W68" i="73" s="1"/>
  <c r="H731" i="73" s="1"/>
  <c r="H268" i="73"/>
  <c r="W32" i="73"/>
  <c r="W34" i="73" s="1"/>
  <c r="H728" i="73" s="1"/>
  <c r="AC18" i="73"/>
  <c r="M281" i="73"/>
  <c r="AC91" i="73"/>
  <c r="M448" i="73"/>
  <c r="H430" i="73"/>
  <c r="W100" i="73"/>
  <c r="W102" i="73" s="1"/>
  <c r="H734" i="73" s="1"/>
  <c r="M516" i="73"/>
  <c r="AC112" i="73"/>
  <c r="M517" i="73"/>
  <c r="AC113" i="73"/>
  <c r="J511" i="73"/>
  <c r="Y134" i="73"/>
  <c r="Y136" i="73" s="1"/>
  <c r="J737" i="73" s="1"/>
  <c r="K592" i="73"/>
  <c r="Z168" i="73"/>
  <c r="Z170" i="73" s="1"/>
  <c r="K740" i="73" s="1"/>
  <c r="AC110" i="73"/>
  <c r="M514" i="73"/>
  <c r="M682" i="73"/>
  <c r="AC184" i="73"/>
  <c r="M603" i="73"/>
  <c r="AC152" i="73"/>
  <c r="D762" i="73"/>
  <c r="C775" i="73"/>
  <c r="K746" i="73"/>
  <c r="C761" i="73"/>
  <c r="F673" i="73"/>
  <c r="U202" i="73"/>
  <c r="U204" i="73" s="1"/>
  <c r="F743" i="73" s="1"/>
  <c r="AC8" i="73"/>
  <c r="M271" i="73"/>
  <c r="M609" i="73"/>
  <c r="AC158" i="73"/>
  <c r="B268" i="73"/>
  <c r="Q32" i="73"/>
  <c r="Q34" i="73" s="1"/>
  <c r="B728" i="73" s="1"/>
  <c r="K430" i="73"/>
  <c r="Z100" i="73"/>
  <c r="Z102" i="73" s="1"/>
  <c r="K734" i="73" s="1"/>
  <c r="E430" i="73"/>
  <c r="T100" i="73"/>
  <c r="T102" i="73" s="1"/>
  <c r="E734" i="73" s="1"/>
  <c r="AC51" i="73"/>
  <c r="M361" i="73"/>
  <c r="AC146" i="73"/>
  <c r="M597" i="73"/>
  <c r="G430" i="73"/>
  <c r="V100" i="73"/>
  <c r="V102" i="73" s="1"/>
  <c r="G734" i="73" s="1"/>
  <c r="AC121" i="73"/>
  <c r="M525" i="73"/>
  <c r="AC73" i="73"/>
  <c r="M430" i="73"/>
  <c r="AB100" i="73"/>
  <c r="AB102" i="73" s="1"/>
  <c r="AC177" i="73"/>
  <c r="M675" i="73"/>
  <c r="M618" i="73"/>
  <c r="AC167" i="73"/>
  <c r="AC22" i="73"/>
  <c r="M285" i="73"/>
  <c r="T32" i="73"/>
  <c r="T34" i="73" s="1"/>
  <c r="E728" i="73" s="1"/>
  <c r="E746" i="73" s="1"/>
  <c r="Q168" i="73"/>
  <c r="Q170" i="73" s="1"/>
  <c r="B740" i="73" s="1"/>
  <c r="B758" i="73" s="1"/>
  <c r="K32" i="73"/>
  <c r="K34" i="73" s="1"/>
  <c r="K729" i="73" s="1"/>
  <c r="K747" i="73" s="1"/>
  <c r="L66" i="73"/>
  <c r="L68" i="73" s="1"/>
  <c r="L732" i="73" s="1"/>
  <c r="C202" i="73"/>
  <c r="C204" i="73" s="1"/>
  <c r="C744" i="73" s="1"/>
  <c r="E700" i="73"/>
  <c r="E202" i="73"/>
  <c r="N188" i="73"/>
  <c r="M713" i="73"/>
  <c r="C376" i="73"/>
  <c r="C66" i="73"/>
  <c r="C68" i="73" s="1"/>
  <c r="C732" i="73" s="1"/>
  <c r="N189" i="73"/>
  <c r="M714" i="73"/>
  <c r="C457" i="73"/>
  <c r="C100" i="73"/>
  <c r="C102" i="73" s="1"/>
  <c r="C735" i="73" s="1"/>
  <c r="D457" i="73"/>
  <c r="D100" i="73"/>
  <c r="D102" i="73" s="1"/>
  <c r="D735" i="73" s="1"/>
  <c r="M311" i="73"/>
  <c r="N21" i="73"/>
  <c r="M549" i="73"/>
  <c r="N118" i="73"/>
  <c r="L457" i="73"/>
  <c r="L100" i="73"/>
  <c r="L102" i="73" s="1"/>
  <c r="L735" i="73" s="1"/>
  <c r="M463" i="73"/>
  <c r="N79" i="73"/>
  <c r="M563" i="73"/>
  <c r="N132" i="73"/>
  <c r="K538" i="73"/>
  <c r="K134" i="73"/>
  <c r="K136" i="73" s="1"/>
  <c r="K738" i="73" s="1"/>
  <c r="C538" i="73"/>
  <c r="C134" i="73"/>
  <c r="C136" i="73" s="1"/>
  <c r="C738" i="73" s="1"/>
  <c r="D538" i="73"/>
  <c r="D134" i="73"/>
  <c r="D136" i="73" s="1"/>
  <c r="D738" i="73" s="1"/>
  <c r="M383" i="73"/>
  <c r="N46" i="73"/>
  <c r="M639" i="73"/>
  <c r="N161" i="73"/>
  <c r="M304" i="73"/>
  <c r="N14" i="73"/>
  <c r="B100" i="73"/>
  <c r="B102" i="73" s="1"/>
  <c r="B735" i="73" s="1"/>
  <c r="J202" i="73"/>
  <c r="J204" i="73" s="1"/>
  <c r="J744" i="73" s="1"/>
  <c r="D769" i="73"/>
  <c r="B759" i="73"/>
  <c r="C774" i="73"/>
  <c r="J746" i="73"/>
  <c r="C776" i="73"/>
  <c r="C770" i="73"/>
  <c r="F746" i="73"/>
  <c r="M445" i="73"/>
  <c r="AC88" i="73"/>
  <c r="AC186" i="73"/>
  <c r="M684" i="73"/>
  <c r="AC44" i="73"/>
  <c r="M354" i="73"/>
  <c r="AC96" i="73"/>
  <c r="M453" i="73"/>
  <c r="C268" i="73"/>
  <c r="R32" i="73"/>
  <c r="R34" i="73" s="1"/>
  <c r="C728" i="73" s="1"/>
  <c r="AC11" i="73"/>
  <c r="M274" i="73"/>
  <c r="M433" i="73"/>
  <c r="AC76" i="73"/>
  <c r="AC97" i="73"/>
  <c r="M454" i="73"/>
  <c r="AC6" i="73"/>
  <c r="M269" i="73"/>
  <c r="M442" i="73"/>
  <c r="AC85" i="73"/>
  <c r="D592" i="73"/>
  <c r="S168" i="73"/>
  <c r="S170" i="73" s="1"/>
  <c r="D740" i="73" s="1"/>
  <c r="M528" i="73"/>
  <c r="AC124" i="73"/>
  <c r="AC143" i="73"/>
  <c r="M594" i="73"/>
  <c r="H511" i="73"/>
  <c r="W134" i="73"/>
  <c r="W136" i="73" s="1"/>
  <c r="H737" i="73" s="1"/>
  <c r="AC42" i="73"/>
  <c r="M352" i="73"/>
  <c r="M537" i="73"/>
  <c r="AC133" i="73"/>
  <c r="AC30" i="73"/>
  <c r="M293" i="73"/>
  <c r="AC190" i="73"/>
  <c r="M688" i="73"/>
  <c r="AC16" i="73"/>
  <c r="M279" i="73"/>
  <c r="I700" i="73"/>
  <c r="I202" i="73"/>
  <c r="I204" i="73" s="1"/>
  <c r="I744" i="73" s="1"/>
  <c r="N178" i="73"/>
  <c r="M703" i="73"/>
  <c r="M398" i="73"/>
  <c r="N61" i="73"/>
  <c r="D295" i="73"/>
  <c r="D32" i="73"/>
  <c r="D34" i="73" s="1"/>
  <c r="D729" i="73" s="1"/>
  <c r="N176" i="73"/>
  <c r="M701" i="73"/>
  <c r="M458" i="73"/>
  <c r="N74" i="73"/>
  <c r="N82" i="73"/>
  <c r="M466" i="73"/>
  <c r="M377" i="73"/>
  <c r="N40" i="73"/>
  <c r="M394" i="73"/>
  <c r="N57" i="73"/>
  <c r="M619" i="73"/>
  <c r="N141" i="73"/>
  <c r="M168" i="73"/>
  <c r="M170" i="73" s="1"/>
  <c r="M620" i="73"/>
  <c r="N142" i="73"/>
  <c r="M626" i="73"/>
  <c r="N148" i="73"/>
  <c r="J619" i="73"/>
  <c r="J168" i="73"/>
  <c r="J170" i="73" s="1"/>
  <c r="J741" i="73" s="1"/>
  <c r="I619" i="73"/>
  <c r="I168" i="73"/>
  <c r="I170" i="73" s="1"/>
  <c r="I741" i="73" s="1"/>
  <c r="M548" i="73"/>
  <c r="N117" i="73"/>
  <c r="I457" i="73"/>
  <c r="I100" i="73"/>
  <c r="I102" i="73" s="1"/>
  <c r="I735" i="73" s="1"/>
  <c r="M385" i="73"/>
  <c r="N48" i="73"/>
  <c r="N182" i="73"/>
  <c r="M707" i="73"/>
  <c r="M538" i="73"/>
  <c r="N107" i="73"/>
  <c r="M134" i="73"/>
  <c r="M136" i="73" s="1"/>
  <c r="M625" i="73"/>
  <c r="N147" i="73"/>
  <c r="M546" i="73"/>
  <c r="N115" i="73"/>
  <c r="M539" i="73"/>
  <c r="N108" i="73"/>
  <c r="B134" i="73"/>
  <c r="B136" i="73" s="1"/>
  <c r="B738" i="73" s="1"/>
  <c r="B756" i="73" s="1"/>
  <c r="F66" i="73"/>
  <c r="F68" i="73" s="1"/>
  <c r="F732" i="73" s="1"/>
  <c r="K66" i="73"/>
  <c r="K68" i="73" s="1"/>
  <c r="K732" i="73" s="1"/>
  <c r="K750" i="73" s="1"/>
  <c r="AA202" i="73"/>
  <c r="AA204" i="73" s="1"/>
  <c r="L743" i="73" s="1"/>
  <c r="L761" i="73" s="1"/>
  <c r="T66" i="73"/>
  <c r="T68" i="73" s="1"/>
  <c r="E731" i="73" s="1"/>
  <c r="Q66" i="73"/>
  <c r="Q68" i="73" s="1"/>
  <c r="B731" i="73" s="1"/>
  <c r="B749" i="73" s="1"/>
  <c r="Q202" i="73"/>
  <c r="Q204" i="73" s="1"/>
  <c r="B743" i="73" s="1"/>
  <c r="B761" i="73" s="1"/>
  <c r="M399" i="73"/>
  <c r="N62" i="73"/>
  <c r="M397" i="73"/>
  <c r="N60" i="73"/>
  <c r="M376" i="73"/>
  <c r="N39" i="73"/>
  <c r="M66" i="73"/>
  <c r="M68" i="73" s="1"/>
  <c r="M557" i="73"/>
  <c r="N126" i="73"/>
  <c r="M722" i="73"/>
  <c r="N197" i="73"/>
  <c r="M310" i="73"/>
  <c r="N20" i="73"/>
  <c r="G619" i="73"/>
  <c r="G168" i="73"/>
  <c r="G170" i="73" s="1"/>
  <c r="G741" i="73" s="1"/>
  <c r="M316" i="73"/>
  <c r="N26" i="73"/>
  <c r="C619" i="73"/>
  <c r="C168" i="73"/>
  <c r="C170" i="73" s="1"/>
  <c r="C741" i="73" s="1"/>
  <c r="N198" i="73"/>
  <c r="M723" i="73"/>
  <c r="N116" i="73"/>
  <c r="M547" i="73"/>
  <c r="M392" i="73"/>
  <c r="N55" i="73"/>
  <c r="M643" i="73"/>
  <c r="N165" i="73"/>
  <c r="M558" i="73"/>
  <c r="N127" i="73"/>
  <c r="G538" i="73"/>
  <c r="G134" i="73"/>
  <c r="G136" i="73" s="1"/>
  <c r="G738" i="73" s="1"/>
  <c r="N156" i="73"/>
  <c r="M634" i="73"/>
  <c r="Q100" i="73"/>
  <c r="Q102" i="73" s="1"/>
  <c r="B734" i="73" s="1"/>
  <c r="Y202" i="73"/>
  <c r="Y204" i="73" s="1"/>
  <c r="J743" i="73" s="1"/>
  <c r="J761" i="73" s="1"/>
  <c r="C769" i="73"/>
  <c r="D775" i="73"/>
  <c r="L750" i="73"/>
  <c r="C762" i="73"/>
  <c r="E673" i="73"/>
  <c r="T202" i="73"/>
  <c r="T204" i="73" s="1"/>
  <c r="E743" i="73" s="1"/>
  <c r="M686" i="73"/>
  <c r="AC188" i="73"/>
  <c r="C349" i="73"/>
  <c r="R66" i="73"/>
  <c r="R68" i="73" s="1"/>
  <c r="C731" i="73" s="1"/>
  <c r="M687" i="73"/>
  <c r="AC189" i="73"/>
  <c r="C430" i="73"/>
  <c r="R100" i="73"/>
  <c r="R102" i="73" s="1"/>
  <c r="C734" i="73" s="1"/>
  <c r="D430" i="73"/>
  <c r="S100" i="73"/>
  <c r="S102" i="73" s="1"/>
  <c r="D734" i="73" s="1"/>
  <c r="AC21" i="73"/>
  <c r="M284" i="73"/>
  <c r="AC118" i="73"/>
  <c r="M522" i="73"/>
  <c r="L430" i="73"/>
  <c r="AA100" i="73"/>
  <c r="AA102" i="73" s="1"/>
  <c r="L734" i="73" s="1"/>
  <c r="AC79" i="73"/>
  <c r="M436" i="73"/>
  <c r="M536" i="73"/>
  <c r="AC132" i="73"/>
  <c r="K511" i="73"/>
  <c r="Z134" i="73"/>
  <c r="Z136" i="73" s="1"/>
  <c r="K737" i="73" s="1"/>
  <c r="C511" i="73"/>
  <c r="R134" i="73"/>
  <c r="R136" i="73" s="1"/>
  <c r="C737" i="73" s="1"/>
  <c r="D511" i="73"/>
  <c r="S134" i="73"/>
  <c r="S136" i="73" s="1"/>
  <c r="D737" i="73" s="1"/>
  <c r="AC46" i="73"/>
  <c r="M356" i="73"/>
  <c r="M612" i="73"/>
  <c r="AC161" i="73"/>
  <c r="AC14" i="73"/>
  <c r="M277" i="73"/>
  <c r="B753" i="73"/>
  <c r="J762" i="73"/>
  <c r="V66" i="73"/>
  <c r="V68" i="73" s="1"/>
  <c r="G731" i="73" s="1"/>
  <c r="G749" i="73" s="1"/>
  <c r="V202" i="73"/>
  <c r="V204" i="73" s="1"/>
  <c r="G743" i="73" s="1"/>
  <c r="M550" i="73"/>
  <c r="N119" i="73"/>
  <c r="M483" i="73"/>
  <c r="N99" i="73"/>
  <c r="D376" i="73"/>
  <c r="D66" i="73"/>
  <c r="D68" i="73" s="1"/>
  <c r="D732" i="73" s="1"/>
  <c r="N78" i="73"/>
  <c r="M462" i="73"/>
  <c r="J376" i="73"/>
  <c r="J66" i="73"/>
  <c r="J68" i="73" s="1"/>
  <c r="J732" i="73" s="1"/>
  <c r="M315" i="73"/>
  <c r="N25" i="73"/>
  <c r="H619" i="73"/>
  <c r="H168" i="73"/>
  <c r="H170" i="73" s="1"/>
  <c r="H741" i="73" s="1"/>
  <c r="M473" i="73"/>
  <c r="N89" i="73"/>
  <c r="M295" i="73"/>
  <c r="N5" i="73"/>
  <c r="M32" i="73"/>
  <c r="M34" i="73" s="1"/>
  <c r="M471" i="73"/>
  <c r="N87" i="73"/>
  <c r="N192" i="73"/>
  <c r="M717" i="73"/>
  <c r="M476" i="73"/>
  <c r="N92" i="73"/>
  <c r="E619" i="73"/>
  <c r="E168" i="73"/>
  <c r="E170" i="73" s="1"/>
  <c r="E741" i="73" s="1"/>
  <c r="M318" i="73"/>
  <c r="N28" i="73"/>
  <c r="E538" i="73"/>
  <c r="E134" i="73"/>
  <c r="E136" i="73" s="1"/>
  <c r="E738" i="73" s="1"/>
  <c r="F619" i="73"/>
  <c r="F168" i="73"/>
  <c r="F170" i="73" s="1"/>
  <c r="F741" i="73" s="1"/>
  <c r="I538" i="73"/>
  <c r="I134" i="73"/>
  <c r="I136" i="73" s="1"/>
  <c r="I738" i="73" s="1"/>
  <c r="N125" i="73"/>
  <c r="M556" i="73"/>
  <c r="M562" i="73"/>
  <c r="N131" i="73"/>
  <c r="F538" i="73"/>
  <c r="F134" i="73"/>
  <c r="F136" i="73" s="1"/>
  <c r="F738" i="73" s="1"/>
  <c r="M314" i="73"/>
  <c r="N24" i="73"/>
  <c r="M554" i="73"/>
  <c r="N123" i="73"/>
  <c r="M641" i="73"/>
  <c r="N163" i="73"/>
  <c r="K749" i="73"/>
  <c r="D774" i="73"/>
  <c r="J747" i="73"/>
  <c r="M674" i="73"/>
  <c r="AC176" i="73"/>
  <c r="AC82" i="73"/>
  <c r="M439" i="73"/>
  <c r="AC141" i="73"/>
  <c r="M592" i="73"/>
  <c r="AB168" i="73"/>
  <c r="AB170" i="73" s="1"/>
  <c r="M593" i="73"/>
  <c r="AC142" i="73"/>
  <c r="M599" i="73"/>
  <c r="AC148" i="73"/>
  <c r="I592" i="73"/>
  <c r="X168" i="73"/>
  <c r="X170" i="73" s="1"/>
  <c r="I740" i="73" s="1"/>
  <c r="M521" i="73"/>
  <c r="AC117" i="73"/>
  <c r="I430" i="73"/>
  <c r="X100" i="73"/>
  <c r="X102" i="73" s="1"/>
  <c r="I734" i="73" s="1"/>
  <c r="AC48" i="73"/>
  <c r="M358" i="73"/>
  <c r="AC182" i="73"/>
  <c r="M680" i="73"/>
  <c r="M511" i="73"/>
  <c r="AC107" i="73"/>
  <c r="AB134" i="73"/>
  <c r="AB136" i="73" s="1"/>
  <c r="AC147" i="73"/>
  <c r="M598" i="73"/>
  <c r="AC115" i="73"/>
  <c r="M519" i="73"/>
  <c r="M512" i="73"/>
  <c r="AC108" i="73"/>
  <c r="F750" i="73"/>
  <c r="E749" i="73"/>
  <c r="AC62" i="73"/>
  <c r="M372" i="73"/>
  <c r="AC60" i="73"/>
  <c r="M370" i="73"/>
  <c r="AC39" i="73"/>
  <c r="M349" i="73"/>
  <c r="AB66" i="73"/>
  <c r="AB68" i="73" s="1"/>
  <c r="AC126" i="73"/>
  <c r="M530" i="73"/>
  <c r="AC197" i="73"/>
  <c r="M695" i="73"/>
  <c r="AC20" i="73"/>
  <c r="M283" i="73"/>
  <c r="G592" i="73"/>
  <c r="V168" i="73"/>
  <c r="V170" i="73" s="1"/>
  <c r="G740" i="73" s="1"/>
  <c r="AC26" i="73"/>
  <c r="M289" i="73"/>
  <c r="C592" i="73"/>
  <c r="R168" i="73"/>
  <c r="R170" i="73" s="1"/>
  <c r="C740" i="73" s="1"/>
  <c r="AC198" i="73"/>
  <c r="M696" i="73"/>
  <c r="M520" i="73"/>
  <c r="AC116" i="73"/>
  <c r="M365" i="73"/>
  <c r="AC55" i="73"/>
  <c r="M616" i="73"/>
  <c r="AC165" i="73"/>
  <c r="AC127" i="73"/>
  <c r="M531" i="73"/>
  <c r="G511" i="73"/>
  <c r="V134" i="73"/>
  <c r="V136" i="73" s="1"/>
  <c r="G737" i="73" s="1"/>
  <c r="M607" i="73"/>
  <c r="AC156" i="73"/>
  <c r="B752" i="73"/>
  <c r="L202" i="73"/>
  <c r="L204" i="73" s="1"/>
  <c r="L744" i="73" s="1"/>
  <c r="L762" i="73" s="1"/>
  <c r="E66" i="73"/>
  <c r="E68" i="73" s="1"/>
  <c r="E732" i="73" s="1"/>
  <c r="E750" i="73" s="1"/>
  <c r="B66" i="73"/>
  <c r="B68" i="73" s="1"/>
  <c r="B732" i="73" s="1"/>
  <c r="B750" i="73" s="1"/>
  <c r="B202" i="73"/>
  <c r="B204" i="73" s="1"/>
  <c r="B744" i="73" s="1"/>
  <c r="B762" i="73" s="1"/>
  <c r="K700" i="73"/>
  <c r="K202" i="73"/>
  <c r="K204" i="73" s="1"/>
  <c r="K744" i="73" s="1"/>
  <c r="I295" i="73"/>
  <c r="I32" i="73"/>
  <c r="I34" i="73" s="1"/>
  <c r="I729" i="73" s="1"/>
  <c r="M319" i="73"/>
  <c r="N29" i="73"/>
  <c r="I376" i="73"/>
  <c r="I66" i="73"/>
  <c r="I68" i="73" s="1"/>
  <c r="I732" i="73" s="1"/>
  <c r="M302" i="73"/>
  <c r="N12" i="73"/>
  <c r="N195" i="73"/>
  <c r="M720" i="73"/>
  <c r="M396" i="73"/>
  <c r="N59" i="73"/>
  <c r="M461" i="73"/>
  <c r="N77" i="73"/>
  <c r="M632" i="73"/>
  <c r="N154" i="73"/>
  <c r="M389" i="73"/>
  <c r="N52" i="73"/>
  <c r="M623" i="73"/>
  <c r="N145" i="73"/>
  <c r="F457" i="73"/>
  <c r="F100" i="73"/>
  <c r="F102" i="73" s="1"/>
  <c r="F735" i="73" s="1"/>
  <c r="N187" i="73"/>
  <c r="M712" i="73"/>
  <c r="L619" i="73"/>
  <c r="L168" i="73"/>
  <c r="L170" i="73" s="1"/>
  <c r="L741" i="73" s="1"/>
  <c r="N180" i="73"/>
  <c r="M705" i="73"/>
  <c r="L538" i="73"/>
  <c r="L134" i="73"/>
  <c r="L136" i="73" s="1"/>
  <c r="L738" i="73" s="1"/>
  <c r="M540" i="73"/>
  <c r="N109" i="73"/>
  <c r="M387" i="73"/>
  <c r="N50" i="73"/>
  <c r="M479" i="73"/>
  <c r="N95" i="73"/>
  <c r="G761" i="73"/>
  <c r="AC119" i="73"/>
  <c r="M523" i="73"/>
  <c r="AC99" i="73"/>
  <c r="M456" i="73"/>
  <c r="D349" i="73"/>
  <c r="S66" i="73"/>
  <c r="S68" i="73" s="1"/>
  <c r="D731" i="73" s="1"/>
  <c r="AC78" i="73"/>
  <c r="M435" i="73"/>
  <c r="J349" i="73"/>
  <c r="Y66" i="73"/>
  <c r="Y68" i="73" s="1"/>
  <c r="J731" i="73" s="1"/>
  <c r="AC25" i="73"/>
  <c r="M288" i="73"/>
  <c r="H592" i="73"/>
  <c r="W168" i="73"/>
  <c r="W170" i="73" s="1"/>
  <c r="H740" i="73" s="1"/>
  <c r="AC89" i="73"/>
  <c r="M446" i="73"/>
  <c r="AC5" i="73"/>
  <c r="M268" i="73"/>
  <c r="AB32" i="73"/>
  <c r="AB34" i="73" s="1"/>
  <c r="AC87" i="73"/>
  <c r="M444" i="73"/>
  <c r="M690" i="73"/>
  <c r="AC192" i="73"/>
  <c r="M449" i="73"/>
  <c r="AC92" i="73"/>
  <c r="E592" i="73"/>
  <c r="T168" i="73"/>
  <c r="T170" i="73" s="1"/>
  <c r="E740" i="73" s="1"/>
  <c r="AC28" i="73"/>
  <c r="M291" i="73"/>
  <c r="E511" i="73"/>
  <c r="T134" i="73"/>
  <c r="T136" i="73" s="1"/>
  <c r="E737" i="73" s="1"/>
  <c r="F592" i="73"/>
  <c r="U168" i="73"/>
  <c r="U170" i="73" s="1"/>
  <c r="F740" i="73" s="1"/>
  <c r="I511" i="73"/>
  <c r="X134" i="73"/>
  <c r="X136" i="73" s="1"/>
  <c r="I737" i="73" s="1"/>
  <c r="M529" i="73"/>
  <c r="AC125" i="73"/>
  <c r="AC131" i="73"/>
  <c r="M535" i="73"/>
  <c r="F511" i="73"/>
  <c r="U134" i="73"/>
  <c r="U136" i="73" s="1"/>
  <c r="F737" i="73" s="1"/>
  <c r="AC24" i="73"/>
  <c r="M287" i="73"/>
  <c r="AC123" i="73"/>
  <c r="M527" i="73"/>
  <c r="M614" i="73"/>
  <c r="AC163" i="73"/>
  <c r="I3" i="64"/>
  <c r="AB12" i="64" s="1"/>
  <c r="Z37" i="64"/>
  <c r="B3" i="64"/>
  <c r="AB5" i="64" s="1"/>
  <c r="Z23" i="64"/>
  <c r="Z46" i="64"/>
  <c r="Z64" i="64"/>
  <c r="Z28" i="64"/>
  <c r="Z25" i="64"/>
  <c r="Z48" i="64"/>
  <c r="Z61" i="64"/>
  <c r="Z22" i="64"/>
  <c r="Z26" i="64"/>
  <c r="Z30" i="64"/>
  <c r="Z44" i="64"/>
  <c r="Z74" i="64"/>
  <c r="Z57" i="64"/>
  <c r="Z59" i="64"/>
  <c r="Z79" i="64"/>
  <c r="AC80" i="64"/>
  <c r="AD80" i="64"/>
  <c r="AD110" i="64"/>
  <c r="AC110" i="64"/>
  <c r="AD105" i="64"/>
  <c r="AC105" i="64"/>
  <c r="AD109" i="64"/>
  <c r="AC109" i="64"/>
  <c r="AD108" i="64"/>
  <c r="AC108" i="64"/>
  <c r="AD63" i="64"/>
  <c r="AC63" i="64"/>
  <c r="AC93" i="64"/>
  <c r="AC95" i="64"/>
  <c r="Z31" i="64"/>
  <c r="Z70" i="64"/>
  <c r="Z71" i="64"/>
  <c r="Z24" i="64"/>
  <c r="Z32" i="64"/>
  <c r="Z47" i="64"/>
  <c r="Z72" i="64"/>
  <c r="Z58" i="64"/>
  <c r="Z73" i="64"/>
  <c r="Z55" i="64"/>
  <c r="Z75" i="64"/>
  <c r="AC96" i="64"/>
  <c r="AC91" i="64"/>
  <c r="AC92" i="64"/>
  <c r="AC94" i="64"/>
  <c r="AC89" i="64"/>
  <c r="AD111" i="64"/>
  <c r="AC111" i="64"/>
  <c r="AC90" i="64"/>
  <c r="AD112" i="64"/>
  <c r="AC112" i="64"/>
  <c r="AD107" i="64"/>
  <c r="AC107" i="64"/>
  <c r="AC106" i="64"/>
  <c r="AD106" i="64"/>
  <c r="Z27" i="64"/>
  <c r="Z76" i="64"/>
  <c r="Z56" i="64"/>
  <c r="Z29" i="64"/>
  <c r="Z78" i="64"/>
  <c r="Z60" i="64"/>
  <c r="Z62" i="64"/>
  <c r="Z77" i="64"/>
  <c r="AW6" i="64"/>
  <c r="F4" i="64"/>
  <c r="J4" i="64"/>
  <c r="G4" i="64"/>
  <c r="C4" i="64"/>
  <c r="K4" i="64"/>
  <c r="D4" i="64"/>
  <c r="H4" i="64"/>
  <c r="L4" i="64"/>
  <c r="B4" i="64"/>
  <c r="E4" i="64"/>
  <c r="M4" i="64"/>
  <c r="H3" i="64" l="1"/>
  <c r="AB11" i="64" s="1"/>
  <c r="M743" i="73"/>
  <c r="N202" i="73"/>
  <c r="N203" i="73" s="1"/>
  <c r="Z21" i="64"/>
  <c r="AW5" i="64"/>
  <c r="F3" i="64"/>
  <c r="AB9" i="64" s="1"/>
  <c r="K3" i="64"/>
  <c r="AB14" i="64" s="1"/>
  <c r="E3" i="64"/>
  <c r="AB8" i="64" s="1"/>
  <c r="S2" i="62"/>
  <c r="S8" i="62" s="1"/>
  <c r="R8" i="62"/>
  <c r="R9" i="62" s="1"/>
  <c r="G3" i="64"/>
  <c r="AB10" i="64" s="1"/>
  <c r="M3" i="64"/>
  <c r="AB16" i="64" s="1"/>
  <c r="J3" i="64"/>
  <c r="AB13" i="64" s="1"/>
  <c r="I752" i="73"/>
  <c r="I758" i="73"/>
  <c r="I756" i="73"/>
  <c r="I755" i="73"/>
  <c r="L756" i="73"/>
  <c r="L759" i="73"/>
  <c r="F753" i="73"/>
  <c r="I750" i="73"/>
  <c r="G755" i="73"/>
  <c r="C758" i="73"/>
  <c r="G758" i="73"/>
  <c r="E758" i="73"/>
  <c r="E755" i="73"/>
  <c r="E204" i="73"/>
  <c r="E744" i="73" s="1"/>
  <c r="E34" i="73"/>
  <c r="E729" i="73" s="1"/>
  <c r="E747" i="73" s="1"/>
  <c r="E102" i="73"/>
  <c r="E735" i="73" s="1"/>
  <c r="E753" i="73" s="1"/>
  <c r="E756" i="73"/>
  <c r="E759" i="73"/>
  <c r="C755" i="73"/>
  <c r="L752" i="73"/>
  <c r="C752" i="73"/>
  <c r="C749" i="73"/>
  <c r="E761" i="73"/>
  <c r="J756" i="73"/>
  <c r="J753" i="73"/>
  <c r="N204" i="73"/>
  <c r="M762" i="73"/>
  <c r="D755" i="73"/>
  <c r="K755" i="73"/>
  <c r="D752" i="73"/>
  <c r="J759" i="73"/>
  <c r="D758" i="73"/>
  <c r="D756" i="73"/>
  <c r="K756" i="73"/>
  <c r="D753" i="73"/>
  <c r="G752" i="73"/>
  <c r="K752" i="73"/>
  <c r="F761" i="73"/>
  <c r="D759" i="73"/>
  <c r="K761" i="73"/>
  <c r="M761" i="73"/>
  <c r="F756" i="73"/>
  <c r="F759" i="73"/>
  <c r="I762" i="73"/>
  <c r="K758" i="73"/>
  <c r="H752" i="73"/>
  <c r="H749" i="73"/>
  <c r="G753" i="73"/>
  <c r="K753" i="73"/>
  <c r="F762" i="73"/>
  <c r="K759" i="73"/>
  <c r="AC202" i="73"/>
  <c r="AC203" i="73" s="1"/>
  <c r="I753" i="73"/>
  <c r="I759" i="73"/>
  <c r="C756" i="73"/>
  <c r="L753" i="73"/>
  <c r="C753" i="73"/>
  <c r="C750" i="73"/>
  <c r="E762" i="73"/>
  <c r="H756" i="73"/>
  <c r="L755" i="73"/>
  <c r="L758" i="73"/>
  <c r="F752" i="73"/>
  <c r="C777" i="73"/>
  <c r="D773" i="73"/>
  <c r="I747" i="73"/>
  <c r="AC68" i="73"/>
  <c r="M731" i="73"/>
  <c r="M749" i="73" s="1"/>
  <c r="AC136" i="73"/>
  <c r="M737" i="73"/>
  <c r="M755" i="73" s="1"/>
  <c r="N34" i="73"/>
  <c r="M729" i="73"/>
  <c r="M741" i="73"/>
  <c r="M759" i="73" s="1"/>
  <c r="N170" i="73"/>
  <c r="C771" i="73"/>
  <c r="G746" i="73"/>
  <c r="J758" i="73"/>
  <c r="C768" i="73"/>
  <c r="D746" i="73"/>
  <c r="AC32" i="73"/>
  <c r="AC33" i="73" s="1"/>
  <c r="J749" i="73"/>
  <c r="AC134" i="73"/>
  <c r="AC135" i="73" s="1"/>
  <c r="AC170" i="73"/>
  <c r="M740" i="73"/>
  <c r="M758" i="73" s="1"/>
  <c r="N32" i="73"/>
  <c r="N33" i="73" s="1"/>
  <c r="M732" i="73"/>
  <c r="M750" i="73" s="1"/>
  <c r="N68" i="73"/>
  <c r="M738" i="73"/>
  <c r="M756" i="73" s="1"/>
  <c r="N136" i="73"/>
  <c r="N168" i="73"/>
  <c r="N169" i="73" s="1"/>
  <c r="H755" i="73"/>
  <c r="AC102" i="73"/>
  <c r="M734" i="73"/>
  <c r="M752" i="73" s="1"/>
  <c r="E752" i="73"/>
  <c r="C766" i="73"/>
  <c r="B746" i="73"/>
  <c r="I749" i="73"/>
  <c r="C773" i="73"/>
  <c r="I746" i="73"/>
  <c r="N100" i="73"/>
  <c r="N101" i="73" s="1"/>
  <c r="H753" i="73"/>
  <c r="H750" i="73"/>
  <c r="D771" i="73"/>
  <c r="G747" i="73"/>
  <c r="H758" i="73"/>
  <c r="D749" i="73"/>
  <c r="F755" i="73"/>
  <c r="F758" i="73"/>
  <c r="K762" i="73"/>
  <c r="AC66" i="73"/>
  <c r="AC67" i="73" s="1"/>
  <c r="D777" i="73"/>
  <c r="M747" i="73"/>
  <c r="H759" i="73"/>
  <c r="J750" i="73"/>
  <c r="D750" i="73"/>
  <c r="G756" i="73"/>
  <c r="C759" i="73"/>
  <c r="G759" i="73"/>
  <c r="N66" i="73"/>
  <c r="N67" i="73" s="1"/>
  <c r="N134" i="73"/>
  <c r="N135" i="73" s="1"/>
  <c r="D768" i="73"/>
  <c r="D747" i="73"/>
  <c r="J755" i="73"/>
  <c r="C772" i="73"/>
  <c r="H746" i="73"/>
  <c r="J752" i="73"/>
  <c r="I761" i="73"/>
  <c r="M728" i="73"/>
  <c r="M746" i="73" s="1"/>
  <c r="AC34" i="73"/>
  <c r="AC168" i="73"/>
  <c r="AC169" i="73" s="1"/>
  <c r="C767" i="73"/>
  <c r="C746" i="73"/>
  <c r="AC100" i="73"/>
  <c r="AC101" i="73" s="1"/>
  <c r="D767" i="73"/>
  <c r="C747" i="73"/>
  <c r="M735" i="73"/>
  <c r="M753" i="73" s="1"/>
  <c r="N102" i="73"/>
  <c r="D766" i="73"/>
  <c r="B747" i="73"/>
  <c r="D772" i="73"/>
  <c r="H747" i="73"/>
  <c r="AD62" i="64"/>
  <c r="AC62" i="64"/>
  <c r="AD78" i="64"/>
  <c r="AC78" i="64"/>
  <c r="AC27" i="64"/>
  <c r="AD27" i="64"/>
  <c r="AC75" i="64"/>
  <c r="AD75" i="64"/>
  <c r="AD73" i="64"/>
  <c r="AC73" i="64"/>
  <c r="AC32" i="64"/>
  <c r="AD32" i="64"/>
  <c r="AC31" i="64"/>
  <c r="AD31" i="64"/>
  <c r="AD59" i="64"/>
  <c r="AC59" i="64"/>
  <c r="AC74" i="64"/>
  <c r="AD74" i="64"/>
  <c r="AC30" i="64"/>
  <c r="AD30" i="64"/>
  <c r="AD28" i="64"/>
  <c r="AC28" i="64"/>
  <c r="AD77" i="64"/>
  <c r="AC77" i="64"/>
  <c r="AC60" i="64"/>
  <c r="AD60" i="64"/>
  <c r="AD29" i="64"/>
  <c r="AC29" i="64"/>
  <c r="AC76" i="64"/>
  <c r="AD76" i="64"/>
  <c r="AD58" i="64"/>
  <c r="AC58" i="64"/>
  <c r="AD79" i="64"/>
  <c r="AC79" i="64"/>
  <c r="AD57" i="64"/>
  <c r="AC57" i="64"/>
  <c r="AD26" i="64"/>
  <c r="AC26" i="64"/>
  <c r="AD61" i="64"/>
  <c r="AC61" i="64"/>
  <c r="AC25" i="64"/>
  <c r="AD25" i="64"/>
  <c r="AD64" i="64"/>
  <c r="AC64" i="64"/>
  <c r="Z16" i="64"/>
  <c r="Z14" i="64"/>
  <c r="Z15" i="64"/>
  <c r="Z6" i="64"/>
  <c r="Z8" i="64"/>
  <c r="Z11" i="64"/>
  <c r="Z10" i="64"/>
  <c r="Z9" i="64"/>
  <c r="Z12" i="64"/>
  <c r="Z5" i="64"/>
  <c r="Z7" i="64"/>
  <c r="Z13" i="64"/>
  <c r="H19" i="16"/>
  <c r="C19" i="16"/>
  <c r="C69" i="16" s="1"/>
  <c r="V2" i="62" l="1"/>
  <c r="V4" i="62"/>
  <c r="V7" i="62"/>
  <c r="V8" i="62" s="1"/>
  <c r="AC16" i="64"/>
  <c r="AD16" i="64"/>
  <c r="AD10" i="64"/>
  <c r="AC10" i="64"/>
  <c r="AD13" i="64"/>
  <c r="AC13" i="64"/>
  <c r="AC9" i="64"/>
  <c r="AD9" i="64"/>
  <c r="AD11" i="64"/>
  <c r="AC11" i="64"/>
  <c r="AD15" i="64"/>
  <c r="AC15" i="64"/>
  <c r="AD12" i="64"/>
  <c r="AC12" i="64"/>
  <c r="AD14" i="64"/>
  <c r="AC14" i="64"/>
  <c r="W75" i="16"/>
  <c r="AG99" i="16" l="1"/>
  <c r="AF99" i="16"/>
  <c r="AF51" i="16"/>
  <c r="AF52" i="16"/>
  <c r="S86" i="16"/>
  <c r="AD78" i="16"/>
  <c r="AC78" i="16"/>
  <c r="AB78" i="16"/>
  <c r="Z78" i="16"/>
  <c r="AG86" i="16" l="1"/>
  <c r="AF16" i="16"/>
  <c r="AD86" i="16"/>
  <c r="AC86" i="16"/>
  <c r="AB16" i="16"/>
  <c r="W16" i="16"/>
  <c r="U16" i="16"/>
  <c r="AG85" i="16"/>
  <c r="AF85" i="16"/>
  <c r="AE15" i="16"/>
  <c r="AD85" i="16"/>
  <c r="AC85" i="16"/>
  <c r="AB15" i="16"/>
  <c r="Z85" i="16"/>
  <c r="W15" i="16"/>
  <c r="U15" i="16"/>
  <c r="AG84" i="16"/>
  <c r="AF84" i="16"/>
  <c r="AD84" i="16"/>
  <c r="AC84" i="16"/>
  <c r="AB14" i="16"/>
  <c r="Z84" i="16"/>
  <c r="W14" i="16"/>
  <c r="U14" i="16"/>
  <c r="AG83" i="16"/>
  <c r="AF83" i="16"/>
  <c r="AE13" i="16"/>
  <c r="AD83" i="16"/>
  <c r="AC83" i="16"/>
  <c r="AB13" i="16"/>
  <c r="W13" i="16"/>
  <c r="AH83" i="16"/>
  <c r="AG82" i="16"/>
  <c r="AF82" i="16"/>
  <c r="AE12" i="16"/>
  <c r="AD82" i="16"/>
  <c r="AC82" i="16"/>
  <c r="Z12" i="16"/>
  <c r="AG81" i="16"/>
  <c r="AF81" i="16"/>
  <c r="AE11" i="16"/>
  <c r="AD81" i="16"/>
  <c r="AC81" i="16"/>
  <c r="AB11" i="16"/>
  <c r="Z81" i="16"/>
  <c r="W11" i="16"/>
  <c r="U11" i="16"/>
  <c r="AG80" i="16"/>
  <c r="AF80" i="16"/>
  <c r="AE10" i="16"/>
  <c r="AD80" i="16"/>
  <c r="AC80" i="16"/>
  <c r="AB10" i="16"/>
  <c r="Z80" i="16"/>
  <c r="X10" i="16"/>
  <c r="U10" i="16"/>
  <c r="AG79" i="16"/>
  <c r="AF79" i="16"/>
  <c r="AE9" i="16"/>
  <c r="AD79" i="16"/>
  <c r="AC79" i="16"/>
  <c r="Z79" i="16"/>
  <c r="X9" i="16"/>
  <c r="W9" i="16"/>
  <c r="AH78" i="16"/>
  <c r="AE8" i="16"/>
  <c r="W8" i="16"/>
  <c r="U8" i="16"/>
  <c r="AG77" i="16"/>
  <c r="AF77" i="16"/>
  <c r="AD77" i="16"/>
  <c r="AC77" i="16"/>
  <c r="AB77" i="16"/>
  <c r="Z77" i="16"/>
  <c r="U7" i="16"/>
  <c r="AG76" i="16"/>
  <c r="AF76" i="16"/>
  <c r="AD76" i="16"/>
  <c r="AC76" i="16"/>
  <c r="U6" i="16"/>
  <c r="AG75" i="16"/>
  <c r="AF75" i="16"/>
  <c r="AD75" i="16"/>
  <c r="AC75" i="16"/>
  <c r="AB75" i="16"/>
  <c r="Z75" i="16"/>
  <c r="AH75" i="16" s="1"/>
  <c r="U5" i="16"/>
  <c r="Y16" i="16"/>
  <c r="AB12" i="16"/>
  <c r="U12" i="16"/>
  <c r="W10" i="16"/>
  <c r="AB9" i="16"/>
  <c r="U9" i="16"/>
  <c r="W6" i="16"/>
  <c r="W5" i="16"/>
  <c r="AE5" i="16"/>
  <c r="X6" i="16"/>
  <c r="X8" i="16"/>
  <c r="W12" i="16"/>
  <c r="X13" i="16"/>
  <c r="X16" i="16"/>
  <c r="AE16" i="16"/>
  <c r="AE14" i="16"/>
  <c r="X11" i="16"/>
  <c r="X7" i="16"/>
  <c r="W7" i="16"/>
  <c r="AE6" i="16"/>
  <c r="AB6" i="16"/>
  <c r="X5" i="16"/>
  <c r="Y5" i="16"/>
  <c r="X12" i="16"/>
  <c r="U13" i="16"/>
  <c r="X14" i="16"/>
  <c r="X15" i="16"/>
  <c r="AH76" i="16" l="1"/>
  <c r="AH77" i="16"/>
  <c r="AF145" i="73"/>
  <c r="B569" i="73" s="1"/>
  <c r="AK9" i="16"/>
  <c r="AF78" i="73"/>
  <c r="B408" i="73" s="1"/>
  <c r="AF82" i="73"/>
  <c r="B412" i="73" s="1"/>
  <c r="AF83" i="73"/>
  <c r="B413" i="73" s="1"/>
  <c r="AF147" i="73"/>
  <c r="B571" i="73" s="1"/>
  <c r="AK11" i="16"/>
  <c r="AF77" i="73"/>
  <c r="B407" i="73" s="1"/>
  <c r="AF79" i="73"/>
  <c r="B409" i="73" s="1"/>
  <c r="AF149" i="73"/>
  <c r="B573" i="73" s="1"/>
  <c r="AK13" i="16"/>
  <c r="AF150" i="73"/>
  <c r="B574" i="73" s="1"/>
  <c r="AK14" i="16"/>
  <c r="AF151" i="73"/>
  <c r="B575" i="73" s="1"/>
  <c r="AK15" i="16"/>
  <c r="AF84" i="73"/>
  <c r="B414" i="73" s="1"/>
  <c r="AF80" i="73"/>
  <c r="B410" i="73" s="1"/>
  <c r="AF146" i="73"/>
  <c r="B570" i="73" s="1"/>
  <c r="AK10" i="16"/>
  <c r="AF143" i="73"/>
  <c r="B567" i="73" s="1"/>
  <c r="AK7" i="16"/>
  <c r="AF75" i="73"/>
  <c r="B405" i="73" s="1"/>
  <c r="AF76" i="73"/>
  <c r="B406" i="73" s="1"/>
  <c r="AF148" i="73"/>
  <c r="B572" i="73" s="1"/>
  <c r="AK12" i="16"/>
  <c r="AF152" i="73"/>
  <c r="B576" i="73" s="1"/>
  <c r="AK16" i="16"/>
  <c r="AF81" i="73"/>
  <c r="B411" i="73" s="1"/>
  <c r="AF144" i="73"/>
  <c r="B568" i="73" s="1"/>
  <c r="AK8" i="16"/>
  <c r="AF141" i="73"/>
  <c r="AK5" i="16"/>
  <c r="AF142" i="73"/>
  <c r="B566" i="73" s="1"/>
  <c r="AK6" i="16"/>
  <c r="AF73" i="73"/>
  <c r="AF74" i="73"/>
  <c r="B404" i="73" s="1"/>
  <c r="AH82" i="16"/>
  <c r="AH79" i="16"/>
  <c r="AH86" i="16"/>
  <c r="AH85" i="16"/>
  <c r="AH84" i="16"/>
  <c r="AH81" i="16"/>
  <c r="AH80" i="16"/>
  <c r="S12" i="16"/>
  <c r="S8" i="16"/>
  <c r="S15" i="16"/>
  <c r="S13" i="16"/>
  <c r="S6" i="16"/>
  <c r="S10" i="16"/>
  <c r="S11" i="16"/>
  <c r="S7" i="16"/>
  <c r="S9" i="16"/>
  <c r="S14" i="16"/>
  <c r="S16" i="16"/>
  <c r="S5" i="16"/>
  <c r="AF7" i="73" l="1"/>
  <c r="B243" i="73" s="1"/>
  <c r="AF11" i="73"/>
  <c r="B247" i="73" s="1"/>
  <c r="B403" i="73"/>
  <c r="AF9" i="73"/>
  <c r="B245" i="73" s="1"/>
  <c r="AF10" i="73"/>
  <c r="B246" i="73" s="1"/>
  <c r="AF6" i="73"/>
  <c r="B242" i="73" s="1"/>
  <c r="AF5" i="73"/>
  <c r="AF13" i="73"/>
  <c r="B249" i="73" s="1"/>
  <c r="AF12" i="73"/>
  <c r="B248" i="73" s="1"/>
  <c r="AF16" i="73"/>
  <c r="B252" i="73" s="1"/>
  <c r="AF15" i="73"/>
  <c r="B251" i="73" s="1"/>
  <c r="AF14" i="73"/>
  <c r="B250" i="73" s="1"/>
  <c r="AF8" i="73"/>
  <c r="B244" i="73" s="1"/>
  <c r="B565" i="73"/>
  <c r="AG102" i="58"/>
  <c r="B241" i="73" l="1"/>
  <c r="AB20" i="61"/>
  <c r="AB19" i="61"/>
  <c r="AB55" i="61"/>
  <c r="AB54" i="61"/>
  <c r="B766" i="73" l="1"/>
  <c r="X5" i="54"/>
  <c r="W6" i="54"/>
  <c r="AO142" i="73" s="1"/>
  <c r="K566" i="73" s="1"/>
  <c r="W7" i="54"/>
  <c r="AO143" i="73" s="1"/>
  <c r="K567" i="73" s="1"/>
  <c r="W8" i="54"/>
  <c r="AO144" i="73" s="1"/>
  <c r="K568" i="73" s="1"/>
  <c r="W9" i="54"/>
  <c r="AO145" i="73" s="1"/>
  <c r="K569" i="73" s="1"/>
  <c r="W10" i="54"/>
  <c r="AO146" i="73" s="1"/>
  <c r="K570" i="73" s="1"/>
  <c r="W11" i="54"/>
  <c r="AO147" i="73" s="1"/>
  <c r="K571" i="73" s="1"/>
  <c r="W12" i="54"/>
  <c r="AO148" i="73" s="1"/>
  <c r="K572" i="73" s="1"/>
  <c r="W13" i="54"/>
  <c r="AO149" i="73" s="1"/>
  <c r="K573" i="73" s="1"/>
  <c r="W14" i="54"/>
  <c r="AO150" i="73" s="1"/>
  <c r="K574" i="73" s="1"/>
  <c r="W15" i="54"/>
  <c r="AO151" i="73" s="1"/>
  <c r="K575" i="73" s="1"/>
  <c r="W16" i="54"/>
  <c r="AO152" i="73" s="1"/>
  <c r="K576" i="73" s="1"/>
  <c r="W17" i="54"/>
  <c r="AO153" i="73" s="1"/>
  <c r="K577" i="73" s="1"/>
  <c r="W18" i="54"/>
  <c r="AO154" i="73" s="1"/>
  <c r="K578" i="73" s="1"/>
  <c r="W19" i="54"/>
  <c r="AO155" i="73" s="1"/>
  <c r="K579" i="73" s="1"/>
  <c r="W20" i="54"/>
  <c r="AO156" i="73" s="1"/>
  <c r="K580" i="73" s="1"/>
  <c r="W21" i="54"/>
  <c r="AO157" i="73" s="1"/>
  <c r="K581" i="73" s="1"/>
  <c r="W22" i="54"/>
  <c r="AO158" i="73" s="1"/>
  <c r="K582" i="73" s="1"/>
  <c r="W23" i="54"/>
  <c r="AO159" i="73" s="1"/>
  <c r="K583" i="73" s="1"/>
  <c r="W24" i="54"/>
  <c r="AO160" i="73" s="1"/>
  <c r="K584" i="73" s="1"/>
  <c r="W25" i="54"/>
  <c r="AO161" i="73" s="1"/>
  <c r="K585" i="73" s="1"/>
  <c r="W26" i="54"/>
  <c r="AO162" i="73" s="1"/>
  <c r="K586" i="73" s="1"/>
  <c r="W27" i="54"/>
  <c r="AO163" i="73" s="1"/>
  <c r="K587" i="73" s="1"/>
  <c r="W28" i="54"/>
  <c r="AO164" i="73" s="1"/>
  <c r="K588" i="73" s="1"/>
  <c r="W29" i="54"/>
  <c r="AO165" i="73" s="1"/>
  <c r="K589" i="73" s="1"/>
  <c r="W30" i="54"/>
  <c r="AO166" i="73" s="1"/>
  <c r="K590" i="73" s="1"/>
  <c r="W31" i="54"/>
  <c r="AO167" i="73" s="1"/>
  <c r="K591" i="73" s="1"/>
  <c r="W5" i="54"/>
  <c r="AO141" i="73" s="1"/>
  <c r="W41" i="54"/>
  <c r="W42" i="54"/>
  <c r="W43" i="54"/>
  <c r="W44" i="54"/>
  <c r="W45" i="54"/>
  <c r="W46" i="54"/>
  <c r="W47" i="54"/>
  <c r="W48" i="54"/>
  <c r="W49" i="54"/>
  <c r="W50" i="54"/>
  <c r="W51" i="54"/>
  <c r="W52" i="54"/>
  <c r="W53" i="54"/>
  <c r="W54" i="54"/>
  <c r="W55" i="54"/>
  <c r="W56" i="54"/>
  <c r="W57" i="54"/>
  <c r="W58" i="54"/>
  <c r="W59" i="54"/>
  <c r="W60" i="54"/>
  <c r="W61" i="54"/>
  <c r="W62" i="54"/>
  <c r="W63" i="54"/>
  <c r="W64" i="54"/>
  <c r="W65" i="54"/>
  <c r="W66" i="54"/>
  <c r="W40" i="54"/>
  <c r="K565" i="73" l="1"/>
  <c r="AO168" i="73"/>
  <c r="AG22" i="53"/>
  <c r="AF22" i="53"/>
  <c r="AG8" i="53"/>
  <c r="AF8" i="53"/>
  <c r="W19" i="51" l="1"/>
  <c r="AM155" i="73" s="1"/>
  <c r="I579" i="73" s="1"/>
  <c r="X19" i="51"/>
  <c r="Y19" i="51"/>
  <c r="Z19" i="51"/>
  <c r="AA19" i="51"/>
  <c r="AB19" i="51"/>
  <c r="AC19" i="51"/>
  <c r="AD19" i="51"/>
  <c r="AE19" i="51"/>
  <c r="AF19" i="51"/>
  <c r="AG19" i="51"/>
  <c r="W54" i="51"/>
  <c r="X54" i="51"/>
  <c r="Y54" i="51"/>
  <c r="Z54" i="51"/>
  <c r="AA54" i="51"/>
  <c r="AB54" i="51"/>
  <c r="AC54" i="51"/>
  <c r="AD54" i="51"/>
  <c r="AE54" i="51"/>
  <c r="AF54" i="51"/>
  <c r="AG54" i="51"/>
  <c r="AM189" i="73" l="1"/>
  <c r="I660" i="73" s="1"/>
  <c r="W20" i="51"/>
  <c r="AM156" i="73" s="1"/>
  <c r="I580" i="73" s="1"/>
  <c r="X20" i="51"/>
  <c r="Y20" i="51"/>
  <c r="Z20" i="51"/>
  <c r="AA20" i="51"/>
  <c r="AB20" i="51"/>
  <c r="AC20" i="51"/>
  <c r="AD20" i="51"/>
  <c r="AE20" i="51"/>
  <c r="AF20" i="51"/>
  <c r="AG20" i="51"/>
  <c r="W55" i="51"/>
  <c r="X55" i="51"/>
  <c r="Y55" i="51"/>
  <c r="Z55" i="51"/>
  <c r="AA55" i="51"/>
  <c r="AB55" i="51"/>
  <c r="AC55" i="51"/>
  <c r="AD55" i="51"/>
  <c r="AE55" i="51"/>
  <c r="AF55" i="51"/>
  <c r="AG55" i="51"/>
  <c r="T102" i="51"/>
  <c r="S102" i="51"/>
  <c r="U102" i="51"/>
  <c r="V102" i="51"/>
  <c r="S5" i="51"/>
  <c r="AM5" i="73" s="1"/>
  <c r="T5" i="51"/>
  <c r="AM39" i="73" s="1"/>
  <c r="U5" i="51"/>
  <c r="AM73" i="73" s="1"/>
  <c r="V5" i="51"/>
  <c r="AM107" i="73" s="1"/>
  <c r="S6" i="51"/>
  <c r="AM6" i="73" s="1"/>
  <c r="I242" i="73" s="1"/>
  <c r="T6" i="51"/>
  <c r="AM40" i="73" s="1"/>
  <c r="I323" i="73" s="1"/>
  <c r="U6" i="51"/>
  <c r="AM74" i="73" s="1"/>
  <c r="I404" i="73" s="1"/>
  <c r="V6" i="51"/>
  <c r="AM108" i="73" s="1"/>
  <c r="I485" i="73" s="1"/>
  <c r="S7" i="51"/>
  <c r="AM7" i="73" s="1"/>
  <c r="I243" i="73" s="1"/>
  <c r="T7" i="51"/>
  <c r="AM41" i="73" s="1"/>
  <c r="I324" i="73" s="1"/>
  <c r="U7" i="51"/>
  <c r="AM75" i="73" s="1"/>
  <c r="I405" i="73" s="1"/>
  <c r="V7" i="51"/>
  <c r="AM109" i="73" s="1"/>
  <c r="I486" i="73" s="1"/>
  <c r="S8" i="51"/>
  <c r="AM8" i="73" s="1"/>
  <c r="I244" i="73" s="1"/>
  <c r="T8" i="51"/>
  <c r="AM42" i="73" s="1"/>
  <c r="I325" i="73" s="1"/>
  <c r="U8" i="51"/>
  <c r="AM76" i="73" s="1"/>
  <c r="I406" i="73" s="1"/>
  <c r="V8" i="51"/>
  <c r="AM110" i="73" s="1"/>
  <c r="I487" i="73" s="1"/>
  <c r="S9" i="51"/>
  <c r="AM9" i="73" s="1"/>
  <c r="I245" i="73" s="1"/>
  <c r="T9" i="51"/>
  <c r="AM43" i="73" s="1"/>
  <c r="I326" i="73" s="1"/>
  <c r="U9" i="51"/>
  <c r="AM77" i="73" s="1"/>
  <c r="I407" i="73" s="1"/>
  <c r="V9" i="51"/>
  <c r="AM111" i="73" s="1"/>
  <c r="I488" i="73" s="1"/>
  <c r="S10" i="51"/>
  <c r="AM10" i="73" s="1"/>
  <c r="I246" i="73" s="1"/>
  <c r="T10" i="51"/>
  <c r="AM44" i="73" s="1"/>
  <c r="I327" i="73" s="1"/>
  <c r="U10" i="51"/>
  <c r="AM78" i="73" s="1"/>
  <c r="I408" i="73" s="1"/>
  <c r="V10" i="51"/>
  <c r="AM112" i="73" s="1"/>
  <c r="I489" i="73" s="1"/>
  <c r="S11" i="51"/>
  <c r="AM11" i="73" s="1"/>
  <c r="I247" i="73" s="1"/>
  <c r="T11" i="51"/>
  <c r="AM45" i="73" s="1"/>
  <c r="I328" i="73" s="1"/>
  <c r="U11" i="51"/>
  <c r="AM79" i="73" s="1"/>
  <c r="I409" i="73" s="1"/>
  <c r="V11" i="51"/>
  <c r="AM113" i="73" s="1"/>
  <c r="I490" i="73" s="1"/>
  <c r="S12" i="51"/>
  <c r="AM12" i="73" s="1"/>
  <c r="I248" i="73" s="1"/>
  <c r="T12" i="51"/>
  <c r="AM46" i="73" s="1"/>
  <c r="I329" i="73" s="1"/>
  <c r="U12" i="51"/>
  <c r="AM80" i="73" s="1"/>
  <c r="I410" i="73" s="1"/>
  <c r="V12" i="51"/>
  <c r="AM114" i="73" s="1"/>
  <c r="I491" i="73" s="1"/>
  <c r="S13" i="51"/>
  <c r="AM13" i="73" s="1"/>
  <c r="I249" i="73" s="1"/>
  <c r="T13" i="51"/>
  <c r="AM47" i="73" s="1"/>
  <c r="I330" i="73" s="1"/>
  <c r="U13" i="51"/>
  <c r="AM81" i="73" s="1"/>
  <c r="I411" i="73" s="1"/>
  <c r="V13" i="51"/>
  <c r="AM115" i="73" s="1"/>
  <c r="I492" i="73" s="1"/>
  <c r="S14" i="51"/>
  <c r="AM14" i="73" s="1"/>
  <c r="I250" i="73" s="1"/>
  <c r="T14" i="51"/>
  <c r="AM48" i="73" s="1"/>
  <c r="I331" i="73" s="1"/>
  <c r="U14" i="51"/>
  <c r="AM82" i="73" s="1"/>
  <c r="I412" i="73" s="1"/>
  <c r="V14" i="51"/>
  <c r="AM116" i="73" s="1"/>
  <c r="I493" i="73" s="1"/>
  <c r="S15" i="51"/>
  <c r="AM15" i="73" s="1"/>
  <c r="I251" i="73" s="1"/>
  <c r="T15" i="51"/>
  <c r="AM49" i="73" s="1"/>
  <c r="I332" i="73" s="1"/>
  <c r="U15" i="51"/>
  <c r="AM83" i="73" s="1"/>
  <c r="I413" i="73" s="1"/>
  <c r="V15" i="51"/>
  <c r="AM117" i="73" s="1"/>
  <c r="I494" i="73" s="1"/>
  <c r="S16" i="51"/>
  <c r="AM16" i="73" s="1"/>
  <c r="I252" i="73" s="1"/>
  <c r="U16" i="51"/>
  <c r="AM84" i="73" s="1"/>
  <c r="I414" i="73" s="1"/>
  <c r="V16" i="51"/>
  <c r="AM118" i="73" s="1"/>
  <c r="I495" i="73" s="1"/>
  <c r="S17" i="51"/>
  <c r="AM17" i="73" s="1"/>
  <c r="I253" i="73" s="1"/>
  <c r="T17" i="51"/>
  <c r="AM51" i="73" s="1"/>
  <c r="I334" i="73" s="1"/>
  <c r="U17" i="51"/>
  <c r="AM85" i="73" s="1"/>
  <c r="I415" i="73" s="1"/>
  <c r="V17" i="51"/>
  <c r="AM119" i="73" s="1"/>
  <c r="I496" i="73" s="1"/>
  <c r="S18" i="51"/>
  <c r="AM18" i="73" s="1"/>
  <c r="I254" i="73" s="1"/>
  <c r="T18" i="51"/>
  <c r="AM52" i="73" s="1"/>
  <c r="I335" i="73" s="1"/>
  <c r="U18" i="51"/>
  <c r="AM86" i="73" s="1"/>
  <c r="I416" i="73" s="1"/>
  <c r="V18" i="51"/>
  <c r="AM120" i="73" s="1"/>
  <c r="I497" i="73" s="1"/>
  <c r="S19" i="51"/>
  <c r="T19" i="51"/>
  <c r="AM53" i="73" s="1"/>
  <c r="I336" i="73" s="1"/>
  <c r="U19" i="51"/>
  <c r="AM87" i="73" s="1"/>
  <c r="I417" i="73" s="1"/>
  <c r="V19" i="51"/>
  <c r="AM121" i="73" s="1"/>
  <c r="I498" i="73" s="1"/>
  <c r="S20" i="51"/>
  <c r="AM20" i="73" s="1"/>
  <c r="I256" i="73" s="1"/>
  <c r="T20" i="51"/>
  <c r="AM54" i="73" s="1"/>
  <c r="I337" i="73" s="1"/>
  <c r="U20" i="51"/>
  <c r="AM88" i="73" s="1"/>
  <c r="I418" i="73" s="1"/>
  <c r="V20" i="51"/>
  <c r="AM122" i="73" s="1"/>
  <c r="I499" i="73" s="1"/>
  <c r="S21" i="51"/>
  <c r="AM21" i="73" s="1"/>
  <c r="I257" i="73" s="1"/>
  <c r="T21" i="51"/>
  <c r="AM55" i="73" s="1"/>
  <c r="I338" i="73" s="1"/>
  <c r="U21" i="51"/>
  <c r="AM89" i="73" s="1"/>
  <c r="I419" i="73" s="1"/>
  <c r="V21" i="51"/>
  <c r="AM123" i="73" s="1"/>
  <c r="I500" i="73" s="1"/>
  <c r="S22" i="51"/>
  <c r="AM22" i="73" s="1"/>
  <c r="I258" i="73" s="1"/>
  <c r="T22" i="51"/>
  <c r="AM56" i="73" s="1"/>
  <c r="I339" i="73" s="1"/>
  <c r="U22" i="51"/>
  <c r="AM90" i="73" s="1"/>
  <c r="I420" i="73" s="1"/>
  <c r="V22" i="51"/>
  <c r="AM124" i="73" s="1"/>
  <c r="I501" i="73" s="1"/>
  <c r="S23" i="51"/>
  <c r="AM23" i="73" s="1"/>
  <c r="I259" i="73" s="1"/>
  <c r="T23" i="51"/>
  <c r="AM57" i="73" s="1"/>
  <c r="I340" i="73" s="1"/>
  <c r="U23" i="51"/>
  <c r="AM91" i="73" s="1"/>
  <c r="I421" i="73" s="1"/>
  <c r="V23" i="51"/>
  <c r="AM125" i="73" s="1"/>
  <c r="I502" i="73" s="1"/>
  <c r="S24" i="51"/>
  <c r="AM24" i="73" s="1"/>
  <c r="I260" i="73" s="1"/>
  <c r="T24" i="51"/>
  <c r="AM58" i="73" s="1"/>
  <c r="I341" i="73" s="1"/>
  <c r="U24" i="51"/>
  <c r="AM92" i="73" s="1"/>
  <c r="I422" i="73" s="1"/>
  <c r="V24" i="51"/>
  <c r="AM126" i="73" s="1"/>
  <c r="I503" i="73" s="1"/>
  <c r="S25" i="51"/>
  <c r="AM25" i="73" s="1"/>
  <c r="I261" i="73" s="1"/>
  <c r="T25" i="51"/>
  <c r="AM59" i="73" s="1"/>
  <c r="I342" i="73" s="1"/>
  <c r="U25" i="51"/>
  <c r="AM93" i="73" s="1"/>
  <c r="I423" i="73" s="1"/>
  <c r="V25" i="51"/>
  <c r="AM127" i="73" s="1"/>
  <c r="I504" i="73" s="1"/>
  <c r="S26" i="51"/>
  <c r="AM26" i="73" s="1"/>
  <c r="I262" i="73" s="1"/>
  <c r="T26" i="51"/>
  <c r="AM60" i="73" s="1"/>
  <c r="I343" i="73" s="1"/>
  <c r="U26" i="51"/>
  <c r="AM94" i="73" s="1"/>
  <c r="I424" i="73" s="1"/>
  <c r="V26" i="51"/>
  <c r="AM128" i="73" s="1"/>
  <c r="I505" i="73" s="1"/>
  <c r="S27" i="51"/>
  <c r="AM27" i="73" s="1"/>
  <c r="I263" i="73" s="1"/>
  <c r="T27" i="51"/>
  <c r="AM61" i="73" s="1"/>
  <c r="I344" i="73" s="1"/>
  <c r="U27" i="51"/>
  <c r="AM95" i="73" s="1"/>
  <c r="I425" i="73" s="1"/>
  <c r="V27" i="51"/>
  <c r="AM129" i="73" s="1"/>
  <c r="I506" i="73" s="1"/>
  <c r="S28" i="51"/>
  <c r="AM28" i="73" s="1"/>
  <c r="I264" i="73" s="1"/>
  <c r="T28" i="51"/>
  <c r="AM62" i="73" s="1"/>
  <c r="I345" i="73" s="1"/>
  <c r="U28" i="51"/>
  <c r="AM96" i="73" s="1"/>
  <c r="I426" i="73" s="1"/>
  <c r="V28" i="51"/>
  <c r="AM130" i="73" s="1"/>
  <c r="I507" i="73" s="1"/>
  <c r="S29" i="51"/>
  <c r="AM29" i="73" s="1"/>
  <c r="I265" i="73" s="1"/>
  <c r="T29" i="51"/>
  <c r="AM63" i="73" s="1"/>
  <c r="I346" i="73" s="1"/>
  <c r="U29" i="51"/>
  <c r="AM97" i="73" s="1"/>
  <c r="I427" i="73" s="1"/>
  <c r="V29" i="51"/>
  <c r="AM131" i="73" s="1"/>
  <c r="I508" i="73" s="1"/>
  <c r="S30" i="51"/>
  <c r="AM30" i="73" s="1"/>
  <c r="I266" i="73" s="1"/>
  <c r="T30" i="51"/>
  <c r="AM64" i="73" s="1"/>
  <c r="I347" i="73" s="1"/>
  <c r="U30" i="51"/>
  <c r="AM98" i="73" s="1"/>
  <c r="I428" i="73" s="1"/>
  <c r="V30" i="51"/>
  <c r="AM132" i="73" s="1"/>
  <c r="I509" i="73" s="1"/>
  <c r="S31" i="51"/>
  <c r="AM31" i="73" s="1"/>
  <c r="I267" i="73" s="1"/>
  <c r="T31" i="51"/>
  <c r="AM65" i="73" s="1"/>
  <c r="I348" i="73" s="1"/>
  <c r="U31" i="51"/>
  <c r="AM99" i="73" s="1"/>
  <c r="I429" i="73" s="1"/>
  <c r="V31" i="51"/>
  <c r="AM133" i="73" s="1"/>
  <c r="I510" i="73" s="1"/>
  <c r="S40" i="51"/>
  <c r="T40" i="51"/>
  <c r="U40" i="51"/>
  <c r="V40" i="51"/>
  <c r="S41" i="51"/>
  <c r="T41" i="51"/>
  <c r="U41" i="51"/>
  <c r="V41" i="51"/>
  <c r="S42" i="51"/>
  <c r="T42" i="51"/>
  <c r="U42" i="51"/>
  <c r="V42" i="51"/>
  <c r="S43" i="51"/>
  <c r="S67" i="51" s="1"/>
  <c r="T43" i="51"/>
  <c r="U43" i="51"/>
  <c r="V43" i="51"/>
  <c r="S44" i="51"/>
  <c r="T44" i="51"/>
  <c r="U44" i="51"/>
  <c r="V44" i="51"/>
  <c r="S45" i="51"/>
  <c r="T45" i="51"/>
  <c r="U45" i="51"/>
  <c r="V45" i="51"/>
  <c r="S46" i="51"/>
  <c r="T46" i="51"/>
  <c r="U46" i="51"/>
  <c r="V46" i="51"/>
  <c r="S47" i="51"/>
  <c r="T47" i="51"/>
  <c r="U47" i="51"/>
  <c r="V47" i="51"/>
  <c r="S48" i="51"/>
  <c r="T48" i="51"/>
  <c r="U48" i="51"/>
  <c r="V48" i="51"/>
  <c r="S49" i="51"/>
  <c r="T49" i="51"/>
  <c r="U49" i="51"/>
  <c r="V49" i="51"/>
  <c r="S50" i="51"/>
  <c r="T50" i="51"/>
  <c r="U50" i="51"/>
  <c r="V50" i="51"/>
  <c r="S51" i="51"/>
  <c r="T51" i="51"/>
  <c r="U51" i="51"/>
  <c r="V51" i="51"/>
  <c r="S52" i="51"/>
  <c r="T52" i="51"/>
  <c r="U52" i="51"/>
  <c r="V52" i="51"/>
  <c r="S53" i="51"/>
  <c r="T53" i="51"/>
  <c r="U53" i="51"/>
  <c r="V53" i="51"/>
  <c r="S54" i="51"/>
  <c r="T54" i="51"/>
  <c r="U54" i="51"/>
  <c r="V54" i="51"/>
  <c r="S55" i="51"/>
  <c r="T55" i="51"/>
  <c r="U55" i="51"/>
  <c r="V55" i="51"/>
  <c r="S56" i="51"/>
  <c r="T56" i="51"/>
  <c r="U56" i="51"/>
  <c r="V56" i="51"/>
  <c r="S57" i="51"/>
  <c r="T57" i="51"/>
  <c r="U57" i="51"/>
  <c r="V57" i="51"/>
  <c r="S58" i="51"/>
  <c r="T58" i="51"/>
  <c r="U58" i="51"/>
  <c r="V58" i="51"/>
  <c r="S59" i="51"/>
  <c r="T59" i="51"/>
  <c r="U59" i="51"/>
  <c r="V59" i="51"/>
  <c r="S60" i="51"/>
  <c r="T60" i="51"/>
  <c r="U60" i="51"/>
  <c r="V60" i="51"/>
  <c r="S61" i="51"/>
  <c r="T61" i="51"/>
  <c r="U61" i="51"/>
  <c r="V61" i="51"/>
  <c r="S62" i="51"/>
  <c r="T62" i="51"/>
  <c r="U62" i="51"/>
  <c r="V62" i="51"/>
  <c r="S63" i="51"/>
  <c r="T63" i="51"/>
  <c r="U63" i="51"/>
  <c r="V63" i="51"/>
  <c r="S64" i="51"/>
  <c r="T64" i="51"/>
  <c r="U64" i="51"/>
  <c r="V64" i="51"/>
  <c r="S65" i="51"/>
  <c r="T65" i="51"/>
  <c r="U65" i="51"/>
  <c r="V65" i="51"/>
  <c r="S66" i="51"/>
  <c r="T66" i="51"/>
  <c r="U66" i="51"/>
  <c r="V66" i="51"/>
  <c r="AG22" i="51"/>
  <c r="AF22" i="51"/>
  <c r="AG8" i="51"/>
  <c r="AF8" i="51"/>
  <c r="N70" i="52"/>
  <c r="M70" i="52"/>
  <c r="L70" i="52"/>
  <c r="K70" i="52"/>
  <c r="J70" i="52"/>
  <c r="I70" i="52"/>
  <c r="H70" i="52"/>
  <c r="G70" i="52"/>
  <c r="F70" i="52"/>
  <c r="E70" i="52"/>
  <c r="D70" i="52"/>
  <c r="C70" i="52"/>
  <c r="B70" i="52"/>
  <c r="I484" i="73" l="1"/>
  <c r="AM134" i="73"/>
  <c r="I403" i="73"/>
  <c r="AM100" i="73"/>
  <c r="I322" i="73"/>
  <c r="I241" i="73"/>
  <c r="AM32" i="73"/>
  <c r="AH19" i="51"/>
  <c r="AM19" i="73"/>
  <c r="I255" i="73" s="1"/>
  <c r="AM190" i="73"/>
  <c r="I661" i="73" s="1"/>
  <c r="V67" i="51"/>
  <c r="U67" i="51"/>
  <c r="O70" i="52"/>
  <c r="T67" i="51"/>
  <c r="AH54" i="51"/>
  <c r="T16" i="51"/>
  <c r="AM50" i="73" s="1"/>
  <c r="I333" i="73" s="1"/>
  <c r="B773" i="73" l="1"/>
  <c r="AM66" i="73"/>
  <c r="AH99" i="52"/>
  <c r="S102" i="56" l="1"/>
  <c r="AH100" i="57" l="1"/>
  <c r="N69" i="58"/>
  <c r="M69" i="58"/>
  <c r="L69" i="58"/>
  <c r="K69" i="58"/>
  <c r="J69" i="58"/>
  <c r="I69" i="58"/>
  <c r="H69" i="58"/>
  <c r="G69" i="58"/>
  <c r="F69" i="58"/>
  <c r="E69" i="58"/>
  <c r="D69" i="58"/>
  <c r="C69" i="58"/>
  <c r="B69" i="58"/>
  <c r="O69" i="58" l="1"/>
  <c r="E101" i="59" l="1"/>
  <c r="C69" i="59"/>
  <c r="D69" i="59"/>
  <c r="E69" i="59"/>
  <c r="B76" i="59"/>
  <c r="B77" i="59"/>
  <c r="B78" i="59"/>
  <c r="B79" i="59"/>
  <c r="AI79" i="59" s="1"/>
  <c r="B80" i="59"/>
  <c r="B81" i="59"/>
  <c r="B82" i="59"/>
  <c r="B83" i="59"/>
  <c r="B84" i="59"/>
  <c r="B85" i="59"/>
  <c r="B86" i="59"/>
  <c r="B87" i="59"/>
  <c r="AI87" i="59" s="1"/>
  <c r="B88" i="59"/>
  <c r="B89" i="59"/>
  <c r="B90" i="59"/>
  <c r="B91" i="59"/>
  <c r="B92" i="59"/>
  <c r="B93" i="59"/>
  <c r="B94" i="59"/>
  <c r="B95" i="59"/>
  <c r="AI95" i="59" s="1"/>
  <c r="B96" i="59"/>
  <c r="B97" i="59"/>
  <c r="B98" i="59"/>
  <c r="B99" i="59"/>
  <c r="B100" i="59"/>
  <c r="B101" i="59"/>
  <c r="D76" i="59"/>
  <c r="AJ76" i="59" s="1"/>
  <c r="D77" i="59"/>
  <c r="AJ77" i="59" s="1"/>
  <c r="D78" i="59"/>
  <c r="D79" i="59"/>
  <c r="D80" i="59"/>
  <c r="D81" i="59"/>
  <c r="D82" i="59"/>
  <c r="D83" i="59"/>
  <c r="D84" i="59"/>
  <c r="AJ84" i="59" s="1"/>
  <c r="D85" i="59"/>
  <c r="AJ85" i="59" s="1"/>
  <c r="D86" i="59"/>
  <c r="D87" i="59"/>
  <c r="D88" i="59"/>
  <c r="D89" i="59"/>
  <c r="D90" i="59"/>
  <c r="D91" i="59"/>
  <c r="D92" i="59"/>
  <c r="AJ92" i="59" s="1"/>
  <c r="D93" i="59"/>
  <c r="AJ93" i="59" s="1"/>
  <c r="D94" i="59"/>
  <c r="D95" i="59"/>
  <c r="D96" i="59"/>
  <c r="D97" i="59"/>
  <c r="D98" i="59"/>
  <c r="D99" i="59"/>
  <c r="D100" i="59"/>
  <c r="AJ100" i="59" s="1"/>
  <c r="D101" i="59"/>
  <c r="AJ101" i="59" s="1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C76" i="59"/>
  <c r="C77" i="59"/>
  <c r="C78" i="59"/>
  <c r="C79" i="59"/>
  <c r="C80" i="59"/>
  <c r="C81" i="59"/>
  <c r="C82" i="59"/>
  <c r="C83" i="59"/>
  <c r="C84" i="59"/>
  <c r="C85" i="59"/>
  <c r="C86" i="59"/>
  <c r="C87" i="59"/>
  <c r="C88" i="59"/>
  <c r="C89" i="59"/>
  <c r="C90" i="59"/>
  <c r="C91" i="59"/>
  <c r="C92" i="59"/>
  <c r="C93" i="59"/>
  <c r="C94" i="59"/>
  <c r="C95" i="59"/>
  <c r="C96" i="59"/>
  <c r="C97" i="59"/>
  <c r="C98" i="59"/>
  <c r="C99" i="59"/>
  <c r="C100" i="59"/>
  <c r="C101" i="59"/>
  <c r="AI101" i="59" l="1"/>
  <c r="AI93" i="59"/>
  <c r="AI94" i="59"/>
  <c r="AI86" i="59"/>
  <c r="AI78" i="59"/>
  <c r="AJ99" i="59"/>
  <c r="AJ91" i="59"/>
  <c r="AJ83" i="59"/>
  <c r="AI85" i="59"/>
  <c r="AI77" i="59"/>
  <c r="AJ98" i="59"/>
  <c r="AI100" i="59"/>
  <c r="AI92" i="59"/>
  <c r="AI84" i="59"/>
  <c r="AI76" i="59"/>
  <c r="AJ97" i="59"/>
  <c r="AJ89" i="59"/>
  <c r="AJ81" i="59"/>
  <c r="AI99" i="59"/>
  <c r="AI91" i="59"/>
  <c r="AI83" i="59"/>
  <c r="AJ82" i="59"/>
  <c r="AJ96" i="59"/>
  <c r="AJ88" i="59"/>
  <c r="AJ80" i="59"/>
  <c r="AI98" i="59"/>
  <c r="AI90" i="59"/>
  <c r="AI82" i="59"/>
  <c r="AJ95" i="59"/>
  <c r="AJ87" i="59"/>
  <c r="AJ79" i="59"/>
  <c r="AI97" i="59"/>
  <c r="AI89" i="59"/>
  <c r="AI81" i="59"/>
  <c r="AJ90" i="59"/>
  <c r="AJ94" i="59"/>
  <c r="AJ86" i="59"/>
  <c r="AJ78" i="59"/>
  <c r="AI96" i="59"/>
  <c r="AI88" i="59"/>
  <c r="AI80" i="59"/>
  <c r="AG22" i="58"/>
  <c r="AF22" i="58"/>
  <c r="O6" i="59"/>
  <c r="O7" i="59"/>
  <c r="O8" i="59"/>
  <c r="O9" i="59"/>
  <c r="O10" i="59"/>
  <c r="O11" i="59"/>
  <c r="O12" i="59"/>
  <c r="O13" i="59"/>
  <c r="O14" i="59"/>
  <c r="O15" i="59"/>
  <c r="O16" i="59"/>
  <c r="O17" i="59"/>
  <c r="O18" i="59"/>
  <c r="O19" i="59"/>
  <c r="O20" i="59"/>
  <c r="O21" i="59"/>
  <c r="O22" i="59"/>
  <c r="O23" i="59"/>
  <c r="O24" i="59"/>
  <c r="O25" i="59"/>
  <c r="O26" i="59"/>
  <c r="O27" i="59"/>
  <c r="O28" i="59"/>
  <c r="O29" i="59"/>
  <c r="O30" i="59"/>
  <c r="O31" i="59"/>
  <c r="N69" i="59" l="1"/>
  <c r="M69" i="59"/>
  <c r="L69" i="59"/>
  <c r="K69" i="59"/>
  <c r="J69" i="59"/>
  <c r="I69" i="59"/>
  <c r="H69" i="59"/>
  <c r="G69" i="59"/>
  <c r="F69" i="59"/>
  <c r="B69" i="59"/>
  <c r="O69" i="59" l="1"/>
  <c r="U57" i="59" l="1"/>
  <c r="U41" i="59"/>
  <c r="U42" i="59"/>
  <c r="U43" i="59"/>
  <c r="U44" i="59"/>
  <c r="U45" i="59"/>
  <c r="U46" i="59"/>
  <c r="U47" i="59"/>
  <c r="U48" i="59"/>
  <c r="U49" i="59"/>
  <c r="U50" i="59"/>
  <c r="U51" i="59"/>
  <c r="U52" i="59"/>
  <c r="U53" i="59"/>
  <c r="U54" i="59"/>
  <c r="U55" i="59"/>
  <c r="U56" i="59"/>
  <c r="U58" i="59"/>
  <c r="U59" i="59"/>
  <c r="U60" i="59"/>
  <c r="U61" i="59"/>
  <c r="U62" i="59"/>
  <c r="U63" i="59"/>
  <c r="U64" i="59"/>
  <c r="U65" i="59"/>
  <c r="U66" i="59"/>
  <c r="U40" i="59"/>
  <c r="S40" i="59"/>
  <c r="S41" i="59"/>
  <c r="T41" i="59"/>
  <c r="S42" i="59"/>
  <c r="T42" i="59"/>
  <c r="S43" i="59"/>
  <c r="T43" i="59"/>
  <c r="S44" i="59"/>
  <c r="T44" i="59"/>
  <c r="S45" i="59"/>
  <c r="T45" i="59"/>
  <c r="S46" i="59"/>
  <c r="T46" i="59"/>
  <c r="S47" i="59"/>
  <c r="T47" i="59"/>
  <c r="S48" i="59"/>
  <c r="T48" i="59"/>
  <c r="S49" i="59"/>
  <c r="T49" i="59"/>
  <c r="S50" i="59"/>
  <c r="T50" i="59"/>
  <c r="S51" i="59"/>
  <c r="T51" i="59"/>
  <c r="S52" i="59"/>
  <c r="T52" i="59"/>
  <c r="S53" i="59"/>
  <c r="T53" i="59"/>
  <c r="S54" i="59"/>
  <c r="T54" i="59"/>
  <c r="S55" i="59"/>
  <c r="T55" i="59"/>
  <c r="S56" i="59"/>
  <c r="T56" i="59"/>
  <c r="AG22" i="59"/>
  <c r="AF22" i="59"/>
  <c r="AI54" i="59" l="1"/>
  <c r="AI50" i="59"/>
  <c r="AI46" i="59"/>
  <c r="AI42" i="59"/>
  <c r="AI53" i="59"/>
  <c r="AI49" i="59"/>
  <c r="AI45" i="59"/>
  <c r="AI41" i="59"/>
  <c r="AI56" i="59"/>
  <c r="AI52" i="59"/>
  <c r="AI48" i="59"/>
  <c r="AI44" i="59"/>
  <c r="U67" i="59"/>
  <c r="AI55" i="59"/>
  <c r="AI51" i="59"/>
  <c r="AI47" i="59"/>
  <c r="AI43" i="59"/>
  <c r="B32" i="59"/>
  <c r="AF8" i="59"/>
  <c r="O62" i="29" l="1"/>
  <c r="P62" i="29"/>
  <c r="AF8" i="60" l="1"/>
  <c r="AG8" i="60"/>
  <c r="AF43" i="60"/>
  <c r="AG43" i="60"/>
  <c r="S41" i="60"/>
  <c r="T41" i="60"/>
  <c r="U41" i="60"/>
  <c r="V41" i="60"/>
  <c r="W41" i="60"/>
  <c r="AK41" i="60" s="1"/>
  <c r="X41" i="60"/>
  <c r="Y41" i="60"/>
  <c r="Z41" i="60"/>
  <c r="AA41" i="60"/>
  <c r="AB41" i="60"/>
  <c r="AC41" i="60"/>
  <c r="AD41" i="60"/>
  <c r="AE41" i="60"/>
  <c r="S42" i="60"/>
  <c r="U42" i="60"/>
  <c r="W42" i="60"/>
  <c r="AK42" i="60" s="1"/>
  <c r="X42" i="60"/>
  <c r="Y42" i="60"/>
  <c r="Z42" i="60"/>
  <c r="AA42" i="60"/>
  <c r="AB42" i="60"/>
  <c r="AC42" i="60"/>
  <c r="AD42" i="60"/>
  <c r="AE42" i="60"/>
  <c r="S43" i="60"/>
  <c r="T43" i="60"/>
  <c r="U43" i="60"/>
  <c r="W43" i="60"/>
  <c r="AK43" i="60" s="1"/>
  <c r="X43" i="60"/>
  <c r="Y43" i="60"/>
  <c r="Z43" i="60"/>
  <c r="AA43" i="60"/>
  <c r="AB43" i="60"/>
  <c r="AC43" i="60"/>
  <c r="AD43" i="60"/>
  <c r="AE43" i="60"/>
  <c r="S44" i="60"/>
  <c r="U44" i="60"/>
  <c r="V44" i="60"/>
  <c r="W44" i="60"/>
  <c r="AK44" i="60" s="1"/>
  <c r="X44" i="60"/>
  <c r="Y44" i="60"/>
  <c r="Z44" i="60"/>
  <c r="AA44" i="60"/>
  <c r="AB44" i="60"/>
  <c r="AC44" i="60"/>
  <c r="AD44" i="60"/>
  <c r="AE44" i="60"/>
  <c r="S45" i="60"/>
  <c r="U45" i="60"/>
  <c r="W45" i="60"/>
  <c r="AK45" i="60" s="1"/>
  <c r="X45" i="60"/>
  <c r="Y45" i="60"/>
  <c r="Z45" i="60"/>
  <c r="AA45" i="60"/>
  <c r="AB45" i="60"/>
  <c r="AC45" i="60"/>
  <c r="AD45" i="60"/>
  <c r="AE45" i="60"/>
  <c r="S46" i="60"/>
  <c r="T46" i="60"/>
  <c r="U46" i="60"/>
  <c r="W46" i="60"/>
  <c r="AK46" i="60" s="1"/>
  <c r="X46" i="60"/>
  <c r="Y46" i="60"/>
  <c r="Z46" i="60"/>
  <c r="AA46" i="60"/>
  <c r="AB46" i="60"/>
  <c r="AC46" i="60"/>
  <c r="AD46" i="60"/>
  <c r="AE46" i="60"/>
  <c r="S47" i="60"/>
  <c r="U47" i="60"/>
  <c r="W47" i="60"/>
  <c r="AK47" i="60" s="1"/>
  <c r="X47" i="60"/>
  <c r="Y47" i="60"/>
  <c r="Z47" i="60"/>
  <c r="AA47" i="60"/>
  <c r="AB47" i="60"/>
  <c r="AC47" i="60"/>
  <c r="AD47" i="60"/>
  <c r="AE47" i="60"/>
  <c r="S48" i="60"/>
  <c r="U48" i="60"/>
  <c r="AJ48" i="60" s="1"/>
  <c r="V48" i="60"/>
  <c r="W48" i="60"/>
  <c r="AK48" i="60" s="1"/>
  <c r="X48" i="60"/>
  <c r="Y48" i="60"/>
  <c r="Z48" i="60"/>
  <c r="AA48" i="60"/>
  <c r="AB48" i="60"/>
  <c r="AC48" i="60"/>
  <c r="AD48" i="60"/>
  <c r="AE48" i="60"/>
  <c r="S49" i="60"/>
  <c r="U49" i="60"/>
  <c r="V49" i="60"/>
  <c r="W49" i="60"/>
  <c r="AK49" i="60" s="1"/>
  <c r="X49" i="60"/>
  <c r="Y49" i="60"/>
  <c r="Z49" i="60"/>
  <c r="AA49" i="60"/>
  <c r="AB49" i="60"/>
  <c r="AC49" i="60"/>
  <c r="AD49" i="60"/>
  <c r="AE49" i="60"/>
  <c r="S50" i="60"/>
  <c r="U50" i="60"/>
  <c r="W50" i="60"/>
  <c r="AK50" i="60" s="1"/>
  <c r="X50" i="60"/>
  <c r="Y50" i="60"/>
  <c r="Z50" i="60"/>
  <c r="AA50" i="60"/>
  <c r="AB50" i="60"/>
  <c r="AC50" i="60"/>
  <c r="AD50" i="60"/>
  <c r="AE50" i="60"/>
  <c r="S51" i="60"/>
  <c r="T51" i="60"/>
  <c r="U51" i="60"/>
  <c r="W51" i="60"/>
  <c r="AK51" i="60" s="1"/>
  <c r="X51" i="60"/>
  <c r="Y51" i="60"/>
  <c r="Z51" i="60"/>
  <c r="AA51" i="60"/>
  <c r="AB51" i="60"/>
  <c r="AC51" i="60"/>
  <c r="AD51" i="60"/>
  <c r="AE51" i="60"/>
  <c r="S52" i="60"/>
  <c r="U52" i="60"/>
  <c r="V52" i="60"/>
  <c r="W52" i="60"/>
  <c r="AK52" i="60" s="1"/>
  <c r="X52" i="60"/>
  <c r="Y52" i="60"/>
  <c r="Z52" i="60"/>
  <c r="AA52" i="60"/>
  <c r="AB52" i="60"/>
  <c r="AC52" i="60"/>
  <c r="AD52" i="60"/>
  <c r="AE52" i="60"/>
  <c r="S53" i="60"/>
  <c r="U53" i="60"/>
  <c r="W53" i="60"/>
  <c r="AK53" i="60" s="1"/>
  <c r="X53" i="60"/>
  <c r="Y53" i="60"/>
  <c r="Z53" i="60"/>
  <c r="AA53" i="60"/>
  <c r="AB53" i="60"/>
  <c r="AC53" i="60"/>
  <c r="AD53" i="60"/>
  <c r="AE53" i="60"/>
  <c r="S54" i="60"/>
  <c r="T54" i="60"/>
  <c r="U54" i="60"/>
  <c r="W54" i="60"/>
  <c r="AK54" i="60" s="1"/>
  <c r="X54" i="60"/>
  <c r="Y54" i="60"/>
  <c r="Z54" i="60"/>
  <c r="AA54" i="60"/>
  <c r="AB54" i="60"/>
  <c r="AC54" i="60"/>
  <c r="AD54" i="60"/>
  <c r="AE54" i="60"/>
  <c r="S55" i="60"/>
  <c r="U55" i="60"/>
  <c r="W55" i="60"/>
  <c r="AK55" i="60" s="1"/>
  <c r="X55" i="60"/>
  <c r="Y55" i="60"/>
  <c r="Z55" i="60"/>
  <c r="AA55" i="60"/>
  <c r="AB55" i="60"/>
  <c r="AC55" i="60"/>
  <c r="AD55" i="60"/>
  <c r="AE55" i="60"/>
  <c r="S56" i="60"/>
  <c r="U56" i="60"/>
  <c r="V56" i="60"/>
  <c r="W56" i="60"/>
  <c r="AK56" i="60" s="1"/>
  <c r="X56" i="60"/>
  <c r="Y56" i="60"/>
  <c r="Z56" i="60"/>
  <c r="AA56" i="60"/>
  <c r="AB56" i="60"/>
  <c r="AC56" i="60"/>
  <c r="AD56" i="60"/>
  <c r="AE56" i="60"/>
  <c r="S57" i="60"/>
  <c r="U57" i="60"/>
  <c r="AJ57" i="60" s="1"/>
  <c r="V57" i="60"/>
  <c r="W57" i="60"/>
  <c r="AK57" i="60" s="1"/>
  <c r="X57" i="60"/>
  <c r="Y57" i="60"/>
  <c r="Z57" i="60"/>
  <c r="AA57" i="60"/>
  <c r="AB57" i="60"/>
  <c r="AC57" i="60"/>
  <c r="AD57" i="60"/>
  <c r="AE57" i="60"/>
  <c r="S58" i="60"/>
  <c r="U58" i="60"/>
  <c r="W58" i="60"/>
  <c r="AK58" i="60" s="1"/>
  <c r="X58" i="60"/>
  <c r="Y58" i="60"/>
  <c r="Z58" i="60"/>
  <c r="AA58" i="60"/>
  <c r="AB58" i="60"/>
  <c r="AC58" i="60"/>
  <c r="AD58" i="60"/>
  <c r="AE58" i="60"/>
  <c r="S59" i="60"/>
  <c r="T59" i="60"/>
  <c r="U59" i="60"/>
  <c r="W59" i="60"/>
  <c r="AK59" i="60" s="1"/>
  <c r="X59" i="60"/>
  <c r="Y59" i="60"/>
  <c r="Z59" i="60"/>
  <c r="AA59" i="60"/>
  <c r="AB59" i="60"/>
  <c r="AC59" i="60"/>
  <c r="AD59" i="60"/>
  <c r="AE59" i="60"/>
  <c r="S60" i="60"/>
  <c r="U60" i="60"/>
  <c r="V60" i="60"/>
  <c r="W60" i="60"/>
  <c r="AK60" i="60" s="1"/>
  <c r="X60" i="60"/>
  <c r="Y60" i="60"/>
  <c r="Z60" i="60"/>
  <c r="AA60" i="60"/>
  <c r="AB60" i="60"/>
  <c r="AC60" i="60"/>
  <c r="AD60" i="60"/>
  <c r="AE60" i="60"/>
  <c r="S61" i="60"/>
  <c r="U61" i="60"/>
  <c r="W61" i="60"/>
  <c r="AK61" i="60" s="1"/>
  <c r="X61" i="60"/>
  <c r="Y61" i="60"/>
  <c r="Z61" i="60"/>
  <c r="AA61" i="60"/>
  <c r="AB61" i="60"/>
  <c r="AC61" i="60"/>
  <c r="AD61" i="60"/>
  <c r="AE61" i="60"/>
  <c r="S62" i="60"/>
  <c r="T62" i="60"/>
  <c r="U62" i="60"/>
  <c r="W62" i="60"/>
  <c r="AK62" i="60" s="1"/>
  <c r="X62" i="60"/>
  <c r="Y62" i="60"/>
  <c r="Z62" i="60"/>
  <c r="AA62" i="60"/>
  <c r="AB62" i="60"/>
  <c r="AC62" i="60"/>
  <c r="AD62" i="60"/>
  <c r="AE62" i="60"/>
  <c r="S63" i="60"/>
  <c r="U63" i="60"/>
  <c r="V63" i="60"/>
  <c r="W63" i="60"/>
  <c r="AK63" i="60" s="1"/>
  <c r="X63" i="60"/>
  <c r="Y63" i="60"/>
  <c r="Z63" i="60"/>
  <c r="AA63" i="60"/>
  <c r="AB63" i="60"/>
  <c r="AC63" i="60"/>
  <c r="AD63" i="60"/>
  <c r="AE63" i="60"/>
  <c r="S64" i="60"/>
  <c r="U64" i="60"/>
  <c r="AJ64" i="60" s="1"/>
  <c r="V64" i="60"/>
  <c r="W64" i="60"/>
  <c r="AK64" i="60" s="1"/>
  <c r="X64" i="60"/>
  <c r="Y64" i="60"/>
  <c r="Z64" i="60"/>
  <c r="AA64" i="60"/>
  <c r="AB64" i="60"/>
  <c r="AC64" i="60"/>
  <c r="AD64" i="60"/>
  <c r="AE64" i="60"/>
  <c r="S65" i="60"/>
  <c r="T65" i="60"/>
  <c r="U65" i="60"/>
  <c r="W65" i="60"/>
  <c r="AK65" i="60" s="1"/>
  <c r="X65" i="60"/>
  <c r="Y65" i="60"/>
  <c r="Z65" i="60"/>
  <c r="AA65" i="60"/>
  <c r="AB65" i="60"/>
  <c r="AC65" i="60"/>
  <c r="AD65" i="60"/>
  <c r="AE65" i="60"/>
  <c r="S66" i="60"/>
  <c r="U66" i="60"/>
  <c r="W66" i="60"/>
  <c r="AK66" i="60" s="1"/>
  <c r="X66" i="60"/>
  <c r="Y66" i="60"/>
  <c r="Z66" i="60"/>
  <c r="AA66" i="60"/>
  <c r="AB66" i="60"/>
  <c r="AC66" i="60"/>
  <c r="AD66" i="60"/>
  <c r="AE66" i="60"/>
  <c r="T40" i="60"/>
  <c r="U40" i="60"/>
  <c r="W40" i="60"/>
  <c r="AK40" i="60" s="1"/>
  <c r="X40" i="60"/>
  <c r="Y40" i="60"/>
  <c r="Z40" i="60"/>
  <c r="AA40" i="60"/>
  <c r="AB40" i="60"/>
  <c r="AC40" i="60"/>
  <c r="AD40" i="60"/>
  <c r="AE40" i="60"/>
  <c r="S40" i="60"/>
  <c r="AI40" i="60" s="1"/>
  <c r="T64" i="60"/>
  <c r="V66" i="60"/>
  <c r="T66" i="60"/>
  <c r="V65" i="60"/>
  <c r="T63" i="60"/>
  <c r="V62" i="60"/>
  <c r="V61" i="60"/>
  <c r="T61" i="60"/>
  <c r="T60" i="60"/>
  <c r="V59" i="60"/>
  <c r="V58" i="60"/>
  <c r="T58" i="60"/>
  <c r="T57" i="60"/>
  <c r="T56" i="60"/>
  <c r="V55" i="60"/>
  <c r="T55" i="60"/>
  <c r="V54" i="60"/>
  <c r="V53" i="60"/>
  <c r="T53" i="60"/>
  <c r="T52" i="60"/>
  <c r="V51" i="60"/>
  <c r="V50" i="60"/>
  <c r="T50" i="60"/>
  <c r="T49" i="60"/>
  <c r="T48" i="60"/>
  <c r="V47" i="60"/>
  <c r="T47" i="60"/>
  <c r="V46" i="60"/>
  <c r="V45" i="60"/>
  <c r="T45" i="60"/>
  <c r="T44" i="60"/>
  <c r="AH76" i="60"/>
  <c r="V43" i="60"/>
  <c r="V42" i="60"/>
  <c r="T42" i="60"/>
  <c r="V40" i="60"/>
  <c r="AH75" i="60"/>
  <c r="C69" i="60"/>
  <c r="N69" i="60"/>
  <c r="M69" i="60"/>
  <c r="L69" i="60"/>
  <c r="K69" i="60"/>
  <c r="J69" i="60"/>
  <c r="I69" i="60"/>
  <c r="H69" i="60"/>
  <c r="G69" i="60"/>
  <c r="F69" i="60"/>
  <c r="E69" i="60"/>
  <c r="D69" i="60"/>
  <c r="B69" i="60"/>
  <c r="AJ56" i="60" l="1"/>
  <c r="AI54" i="60"/>
  <c r="AI43" i="60"/>
  <c r="AI41" i="60"/>
  <c r="AJ63" i="60"/>
  <c r="AI61" i="60"/>
  <c r="AI59" i="60"/>
  <c r="AJ54" i="60"/>
  <c r="AJ52" i="60"/>
  <c r="AI48" i="60"/>
  <c r="AJ43" i="60"/>
  <c r="AJ41" i="60"/>
  <c r="AJ60" i="60"/>
  <c r="AJ49" i="60"/>
  <c r="AJ66" i="60"/>
  <c r="AI60" i="60"/>
  <c r="AJ53" i="60"/>
  <c r="AI49" i="60"/>
  <c r="AJ42" i="60"/>
  <c r="AI50" i="60"/>
  <c r="AJ65" i="60"/>
  <c r="AJ62" i="60"/>
  <c r="AJ61" i="60"/>
  <c r="AI58" i="60"/>
  <c r="AI57" i="60"/>
  <c r="AI56" i="60"/>
  <c r="AJ51" i="60"/>
  <c r="AJ50" i="60"/>
  <c r="AI47" i="60"/>
  <c r="AI46" i="60"/>
  <c r="AJ40" i="60"/>
  <c r="AI66" i="60"/>
  <c r="AI65" i="60"/>
  <c r="AL64" i="60"/>
  <c r="AI64" i="60"/>
  <c r="AI63" i="60"/>
  <c r="AI62" i="60"/>
  <c r="AJ55" i="60"/>
  <c r="AI53" i="60"/>
  <c r="AI52" i="60"/>
  <c r="AI51" i="60"/>
  <c r="AJ46" i="60"/>
  <c r="AJ45" i="60"/>
  <c r="AJ44" i="60"/>
  <c r="AI42" i="60"/>
  <c r="AJ59" i="60"/>
  <c r="AJ58" i="60"/>
  <c r="AI55" i="60"/>
  <c r="AJ47" i="60"/>
  <c r="AI45" i="60"/>
  <c r="AI44" i="60"/>
  <c r="AL43" i="60"/>
  <c r="O69" i="60"/>
  <c r="AH64" i="60"/>
  <c r="AH43" i="60"/>
  <c r="AF67" i="16" l="1"/>
  <c r="T40" i="16"/>
  <c r="U40" i="16"/>
  <c r="W40" i="16"/>
  <c r="AK40" i="16" s="1"/>
  <c r="X40" i="16"/>
  <c r="Y40" i="16"/>
  <c r="Z40" i="16"/>
  <c r="AA40" i="16"/>
  <c r="AB40" i="16"/>
  <c r="AC40" i="16"/>
  <c r="AD40" i="16"/>
  <c r="AE40" i="16"/>
  <c r="U41" i="16"/>
  <c r="W41" i="16"/>
  <c r="AK41" i="16" s="1"/>
  <c r="X41" i="16"/>
  <c r="Y41" i="16"/>
  <c r="Z41" i="16"/>
  <c r="AA41" i="16"/>
  <c r="AB41" i="16"/>
  <c r="AC41" i="16"/>
  <c r="AD41" i="16"/>
  <c r="AE41" i="16"/>
  <c r="U42" i="16"/>
  <c r="W42" i="16"/>
  <c r="AK42" i="16" s="1"/>
  <c r="X42" i="16"/>
  <c r="Y42" i="16"/>
  <c r="Z42" i="16"/>
  <c r="AA42" i="16"/>
  <c r="AB42" i="16"/>
  <c r="AC42" i="16"/>
  <c r="AD42" i="16"/>
  <c r="AE42" i="16"/>
  <c r="U43" i="16"/>
  <c r="W43" i="16"/>
  <c r="AK43" i="16" s="1"/>
  <c r="X43" i="16"/>
  <c r="Y43" i="16"/>
  <c r="Z43" i="16"/>
  <c r="AA43" i="16"/>
  <c r="AB43" i="16"/>
  <c r="AC43" i="16"/>
  <c r="AD43" i="16"/>
  <c r="AE43" i="16"/>
  <c r="T44" i="16"/>
  <c r="U44" i="16"/>
  <c r="W44" i="16"/>
  <c r="AK44" i="16" s="1"/>
  <c r="X44" i="16"/>
  <c r="Y44" i="16"/>
  <c r="Z44" i="16"/>
  <c r="AA44" i="16"/>
  <c r="AB44" i="16"/>
  <c r="AC44" i="16"/>
  <c r="AD44" i="16"/>
  <c r="AE44" i="16"/>
  <c r="U45" i="16"/>
  <c r="W45" i="16"/>
  <c r="AK45" i="16" s="1"/>
  <c r="X45" i="16"/>
  <c r="Y45" i="16"/>
  <c r="Z45" i="16"/>
  <c r="AA45" i="16"/>
  <c r="AB45" i="16"/>
  <c r="AC45" i="16"/>
  <c r="AD45" i="16"/>
  <c r="AE45" i="16"/>
  <c r="T46" i="16"/>
  <c r="U46" i="16"/>
  <c r="W46" i="16"/>
  <c r="AK46" i="16" s="1"/>
  <c r="X46" i="16"/>
  <c r="Y46" i="16"/>
  <c r="Z46" i="16"/>
  <c r="AB46" i="16"/>
  <c r="AC46" i="16"/>
  <c r="AD46" i="16"/>
  <c r="AE46" i="16"/>
  <c r="T47" i="16"/>
  <c r="U47" i="16"/>
  <c r="W47" i="16"/>
  <c r="AK47" i="16" s="1"/>
  <c r="X47" i="16"/>
  <c r="Y47" i="16"/>
  <c r="Z47" i="16"/>
  <c r="AA47" i="16"/>
  <c r="AC47" i="16"/>
  <c r="AD47" i="16"/>
  <c r="AE47" i="16"/>
  <c r="U48" i="16"/>
  <c r="W48" i="16"/>
  <c r="AK48" i="16" s="1"/>
  <c r="X48" i="16"/>
  <c r="Y48" i="16"/>
  <c r="Z48" i="16"/>
  <c r="AA48" i="16"/>
  <c r="AB48" i="16"/>
  <c r="AC48" i="16"/>
  <c r="AD48" i="16"/>
  <c r="AE48" i="16"/>
  <c r="T49" i="16"/>
  <c r="U49" i="16"/>
  <c r="W49" i="16"/>
  <c r="AK49" i="16" s="1"/>
  <c r="X49" i="16"/>
  <c r="Y49" i="16"/>
  <c r="Z49" i="16"/>
  <c r="AA49" i="16"/>
  <c r="AB49" i="16"/>
  <c r="AC49" i="16"/>
  <c r="AD49" i="16"/>
  <c r="AE49" i="16"/>
  <c r="U50" i="16"/>
  <c r="W50" i="16"/>
  <c r="AK50" i="16" s="1"/>
  <c r="X50" i="16"/>
  <c r="Y50" i="16"/>
  <c r="Z50" i="16"/>
  <c r="AA50" i="16"/>
  <c r="AB50" i="16"/>
  <c r="AC50" i="16"/>
  <c r="AD50" i="16"/>
  <c r="AE50" i="16"/>
  <c r="T51" i="16"/>
  <c r="U51" i="16"/>
  <c r="W51" i="16"/>
  <c r="AK51" i="16" s="1"/>
  <c r="X51" i="16"/>
  <c r="Y51" i="16"/>
  <c r="Z51" i="16"/>
  <c r="AA51" i="16"/>
  <c r="AB51" i="16"/>
  <c r="AC51" i="16"/>
  <c r="AD51" i="16"/>
  <c r="AE51" i="16"/>
  <c r="U52" i="16"/>
  <c r="W52" i="16"/>
  <c r="AK52" i="16" s="1"/>
  <c r="X52" i="16"/>
  <c r="Y52" i="16"/>
  <c r="Z52" i="16"/>
  <c r="AA52" i="16"/>
  <c r="AB52" i="16"/>
  <c r="AC52" i="16"/>
  <c r="AD52" i="16"/>
  <c r="AE52" i="16"/>
  <c r="T53" i="16"/>
  <c r="U53" i="16"/>
  <c r="W53" i="16"/>
  <c r="AK53" i="16" s="1"/>
  <c r="X53" i="16"/>
  <c r="Y53" i="16"/>
  <c r="Z53" i="16"/>
  <c r="AA53" i="16"/>
  <c r="AB53" i="16"/>
  <c r="AC53" i="16"/>
  <c r="AD53" i="16"/>
  <c r="AE53" i="16"/>
  <c r="U54" i="16"/>
  <c r="W54" i="16"/>
  <c r="AK54" i="16" s="1"/>
  <c r="X54" i="16"/>
  <c r="Y54" i="16"/>
  <c r="Z54" i="16"/>
  <c r="AA54" i="16"/>
  <c r="AB54" i="16"/>
  <c r="AC54" i="16"/>
  <c r="AD54" i="16"/>
  <c r="AE54" i="16"/>
  <c r="T55" i="16"/>
  <c r="U55" i="16"/>
  <c r="W55" i="16"/>
  <c r="AK55" i="16" s="1"/>
  <c r="X55" i="16"/>
  <c r="Y55" i="16"/>
  <c r="Z55" i="16"/>
  <c r="AA55" i="16"/>
  <c r="AB55" i="16"/>
  <c r="AC55" i="16"/>
  <c r="AD55" i="16"/>
  <c r="AE55" i="16"/>
  <c r="U56" i="16"/>
  <c r="W56" i="16"/>
  <c r="AK56" i="16" s="1"/>
  <c r="X56" i="16"/>
  <c r="Y56" i="16"/>
  <c r="Z56" i="16"/>
  <c r="AA56" i="16"/>
  <c r="AB56" i="16"/>
  <c r="AC56" i="16"/>
  <c r="AD56" i="16"/>
  <c r="AE56" i="16"/>
  <c r="T57" i="16"/>
  <c r="U57" i="16"/>
  <c r="W57" i="16"/>
  <c r="AK57" i="16" s="1"/>
  <c r="X57" i="16"/>
  <c r="Y57" i="16"/>
  <c r="Z57" i="16"/>
  <c r="AA57" i="16"/>
  <c r="AB57" i="16"/>
  <c r="AC57" i="16"/>
  <c r="AD57" i="16"/>
  <c r="AE57" i="16"/>
  <c r="U58" i="16"/>
  <c r="W58" i="16"/>
  <c r="AK58" i="16" s="1"/>
  <c r="X58" i="16"/>
  <c r="Y58" i="16"/>
  <c r="Z58" i="16"/>
  <c r="AA58" i="16"/>
  <c r="AB58" i="16"/>
  <c r="AC58" i="16"/>
  <c r="AD58" i="16"/>
  <c r="AE58" i="16"/>
  <c r="T59" i="16"/>
  <c r="U59" i="16"/>
  <c r="AJ59" i="16" s="1"/>
  <c r="W59" i="16"/>
  <c r="AK59" i="16" s="1"/>
  <c r="X59" i="16"/>
  <c r="Y59" i="16"/>
  <c r="Z59" i="16"/>
  <c r="AA59" i="16"/>
  <c r="AB59" i="16"/>
  <c r="AC59" i="16"/>
  <c r="AD59" i="16"/>
  <c r="AE59" i="16"/>
  <c r="U60" i="16"/>
  <c r="W60" i="16"/>
  <c r="AK60" i="16" s="1"/>
  <c r="X60" i="16"/>
  <c r="Y60" i="16"/>
  <c r="Z60" i="16"/>
  <c r="AA60" i="16"/>
  <c r="AB60" i="16"/>
  <c r="AC60" i="16"/>
  <c r="AD60" i="16"/>
  <c r="AE60" i="16"/>
  <c r="T61" i="16"/>
  <c r="U61" i="16"/>
  <c r="V61" i="16"/>
  <c r="W61" i="16"/>
  <c r="AK61" i="16" s="1"/>
  <c r="X61" i="16"/>
  <c r="Y61" i="16"/>
  <c r="Z61" i="16"/>
  <c r="AA61" i="16"/>
  <c r="AB61" i="16"/>
  <c r="AC61" i="16"/>
  <c r="AD61" i="16"/>
  <c r="AE61" i="16"/>
  <c r="U62" i="16"/>
  <c r="AJ62" i="16" s="1"/>
  <c r="W62" i="16"/>
  <c r="AK62" i="16" s="1"/>
  <c r="X62" i="16"/>
  <c r="Y62" i="16"/>
  <c r="Z62" i="16"/>
  <c r="AA62" i="16"/>
  <c r="AB62" i="16"/>
  <c r="AC62" i="16"/>
  <c r="AD62" i="16"/>
  <c r="AE62" i="16"/>
  <c r="T63" i="16"/>
  <c r="U63" i="16"/>
  <c r="W63" i="16"/>
  <c r="AK63" i="16" s="1"/>
  <c r="X63" i="16"/>
  <c r="Y63" i="16"/>
  <c r="Z63" i="16"/>
  <c r="AA63" i="16"/>
  <c r="AB63" i="16"/>
  <c r="AC63" i="16"/>
  <c r="AD63" i="16"/>
  <c r="AE63" i="16"/>
  <c r="U64" i="16"/>
  <c r="W64" i="16"/>
  <c r="AK64" i="16" s="1"/>
  <c r="X64" i="16"/>
  <c r="Y64" i="16"/>
  <c r="Z64" i="16"/>
  <c r="AA64" i="16"/>
  <c r="AB64" i="16"/>
  <c r="AC64" i="16"/>
  <c r="AD64" i="16"/>
  <c r="AE64" i="16"/>
  <c r="T65" i="16"/>
  <c r="U65" i="16"/>
  <c r="AJ65" i="16" s="1"/>
  <c r="W65" i="16"/>
  <c r="AK65" i="16" s="1"/>
  <c r="X65" i="16"/>
  <c r="Y65" i="16"/>
  <c r="Z65" i="16"/>
  <c r="AA65" i="16"/>
  <c r="AB65" i="16"/>
  <c r="AC65" i="16"/>
  <c r="AD65" i="16"/>
  <c r="AE65" i="16"/>
  <c r="U66" i="16"/>
  <c r="W66" i="16"/>
  <c r="AK66" i="16" s="1"/>
  <c r="X66" i="16"/>
  <c r="Y66" i="16"/>
  <c r="Z66" i="16"/>
  <c r="AA66" i="16"/>
  <c r="AB66" i="16"/>
  <c r="AC66" i="16"/>
  <c r="AD66" i="16"/>
  <c r="AE66" i="16"/>
  <c r="S41" i="16"/>
  <c r="S42" i="16"/>
  <c r="S43" i="16"/>
  <c r="S44" i="16"/>
  <c r="AI44" i="16" s="1"/>
  <c r="S45" i="16"/>
  <c r="S46" i="16"/>
  <c r="S47" i="16"/>
  <c r="AI47" i="16" s="1"/>
  <c r="S48" i="16"/>
  <c r="S49" i="16"/>
  <c r="S50" i="16"/>
  <c r="S51" i="16"/>
  <c r="AI51" i="16" s="1"/>
  <c r="S52" i="16"/>
  <c r="S53" i="16"/>
  <c r="AI53" i="16" s="1"/>
  <c r="S54" i="16"/>
  <c r="S55" i="16"/>
  <c r="AI55" i="16" s="1"/>
  <c r="S56" i="16"/>
  <c r="S57" i="16"/>
  <c r="AI57" i="16" s="1"/>
  <c r="S58" i="16"/>
  <c r="S59" i="16"/>
  <c r="AI59" i="16" s="1"/>
  <c r="S60" i="16"/>
  <c r="S61" i="16"/>
  <c r="AI61" i="16" s="1"/>
  <c r="S62" i="16"/>
  <c r="S63" i="16"/>
  <c r="AI63" i="16" s="1"/>
  <c r="S64" i="16"/>
  <c r="S65" i="16"/>
  <c r="AI65" i="16" s="1"/>
  <c r="S66" i="16"/>
  <c r="S40" i="16"/>
  <c r="AI40" i="16" s="1"/>
  <c r="V66" i="16"/>
  <c r="T66" i="16"/>
  <c r="V65" i="16"/>
  <c r="V64" i="16"/>
  <c r="T64" i="16"/>
  <c r="V63" i="16"/>
  <c r="V62" i="16"/>
  <c r="T62" i="16"/>
  <c r="V60" i="16"/>
  <c r="T60" i="16"/>
  <c r="V59" i="16"/>
  <c r="V58" i="16"/>
  <c r="T58" i="16"/>
  <c r="V57" i="16"/>
  <c r="V56" i="16"/>
  <c r="T56" i="16"/>
  <c r="V55" i="16"/>
  <c r="V54" i="16"/>
  <c r="T54" i="16"/>
  <c r="V53" i="16"/>
  <c r="V52" i="16"/>
  <c r="T52" i="16"/>
  <c r="V51" i="16"/>
  <c r="V50" i="16"/>
  <c r="T50" i="16"/>
  <c r="V49" i="16"/>
  <c r="V48" i="16"/>
  <c r="T48" i="16"/>
  <c r="AB47" i="16"/>
  <c r="V47" i="16"/>
  <c r="AA46" i="16"/>
  <c r="V46" i="16"/>
  <c r="V45" i="16"/>
  <c r="T45" i="16"/>
  <c r="V44" i="16"/>
  <c r="V43" i="16"/>
  <c r="T43" i="16"/>
  <c r="V42" i="16"/>
  <c r="T42" i="16"/>
  <c r="V41" i="16"/>
  <c r="T41" i="16"/>
  <c r="V40" i="16"/>
  <c r="AI43" i="16" l="1"/>
  <c r="AJ55" i="16"/>
  <c r="AJ52" i="16"/>
  <c r="AL51" i="16"/>
  <c r="AL48" i="16"/>
  <c r="AJ45" i="16"/>
  <c r="AL44" i="16"/>
  <c r="AI58" i="16"/>
  <c r="AI46" i="16"/>
  <c r="AJ56" i="16"/>
  <c r="AL55" i="16"/>
  <c r="AL52" i="16"/>
  <c r="AL45" i="16"/>
  <c r="AI45" i="16"/>
  <c r="AL61" i="16"/>
  <c r="AI60" i="16"/>
  <c r="AI52" i="16"/>
  <c r="AL64" i="16"/>
  <c r="AL58" i="16"/>
  <c r="AJ49" i="16"/>
  <c r="AJ42" i="16"/>
  <c r="AL41" i="16"/>
  <c r="AI66" i="16"/>
  <c r="AI50" i="16"/>
  <c r="AI42" i="16"/>
  <c r="AJ64" i="16"/>
  <c r="AL63" i="16"/>
  <c r="AJ61" i="16"/>
  <c r="AJ58" i="16"/>
  <c r="AL57" i="16"/>
  <c r="AL54" i="16"/>
  <c r="AL47" i="16"/>
  <c r="AJ41" i="16"/>
  <c r="AL40" i="16"/>
  <c r="AI49" i="16"/>
  <c r="AI41" i="16"/>
  <c r="AL66" i="16"/>
  <c r="AL60" i="16"/>
  <c r="AJ51" i="16"/>
  <c r="AJ48" i="16"/>
  <c r="AJ44" i="16"/>
  <c r="AI64" i="16"/>
  <c r="AI56" i="16"/>
  <c r="AI48" i="16"/>
  <c r="AJ63" i="16"/>
  <c r="AJ57" i="16"/>
  <c r="AJ54" i="16"/>
  <c r="AL53" i="16"/>
  <c r="AL50" i="16"/>
  <c r="AJ47" i="16"/>
  <c r="AL46" i="16"/>
  <c r="AL43" i="16"/>
  <c r="AJ40" i="16"/>
  <c r="AJ66" i="16"/>
  <c r="AL65" i="16"/>
  <c r="AL62" i="16"/>
  <c r="AJ60" i="16"/>
  <c r="AL59" i="16"/>
  <c r="AL56" i="16"/>
  <c r="AI62" i="16"/>
  <c r="AI54" i="16"/>
  <c r="AJ53" i="16"/>
  <c r="AJ50" i="16"/>
  <c r="AL49" i="16"/>
  <c r="AJ46" i="16"/>
  <c r="AJ43" i="16"/>
  <c r="AL42" i="16"/>
  <c r="D69" i="16"/>
  <c r="E69" i="16"/>
  <c r="F69" i="16"/>
  <c r="G69" i="16"/>
  <c r="H69" i="16"/>
  <c r="I69" i="16"/>
  <c r="J69" i="16"/>
  <c r="K69" i="16"/>
  <c r="L69" i="16"/>
  <c r="M69" i="16"/>
  <c r="N69" i="16"/>
  <c r="B69" i="16"/>
  <c r="Z134" i="52" l="1"/>
  <c r="Y134" i="52"/>
  <c r="Z133" i="52"/>
  <c r="Y133" i="52"/>
  <c r="Z132" i="52"/>
  <c r="Y132" i="52"/>
  <c r="Z131" i="52"/>
  <c r="Y131" i="52"/>
  <c r="Z130" i="52"/>
  <c r="Y130" i="52"/>
  <c r="Z129" i="52"/>
  <c r="Y129" i="52"/>
  <c r="Z128" i="52"/>
  <c r="Y128" i="52"/>
  <c r="Z127" i="52"/>
  <c r="Y127" i="52"/>
  <c r="Z126" i="52"/>
  <c r="Y126" i="52"/>
  <c r="Z125" i="52"/>
  <c r="Y125" i="52"/>
  <c r="Z124" i="52"/>
  <c r="Y124" i="52"/>
  <c r="Z123" i="52"/>
  <c r="Y123" i="52"/>
  <c r="Z122" i="52"/>
  <c r="Y122" i="52"/>
  <c r="Z121" i="52"/>
  <c r="Y121" i="52"/>
  <c r="Z120" i="52"/>
  <c r="Y120" i="52"/>
  <c r="Z119" i="52"/>
  <c r="Y119" i="52"/>
  <c r="Z118" i="52"/>
  <c r="Y118" i="52"/>
  <c r="Z117" i="52"/>
  <c r="Y117" i="52"/>
  <c r="Z116" i="52"/>
  <c r="Y116" i="52"/>
  <c r="Z115" i="52"/>
  <c r="Y115" i="52"/>
  <c r="Z114" i="52"/>
  <c r="Y114" i="52"/>
  <c r="Z113" i="52"/>
  <c r="Y113" i="52"/>
  <c r="Z112" i="52"/>
  <c r="Y112" i="52"/>
  <c r="Z111" i="52"/>
  <c r="Y111" i="52"/>
  <c r="Z110" i="52"/>
  <c r="Y110" i="52"/>
  <c r="Z109" i="52"/>
  <c r="Y109" i="52"/>
  <c r="Z108" i="52"/>
  <c r="Y108" i="52"/>
  <c r="AG102" i="52"/>
  <c r="AF102" i="52"/>
  <c r="AE102" i="52"/>
  <c r="AD102" i="52"/>
  <c r="AC102" i="52"/>
  <c r="AB102" i="52"/>
  <c r="AA102" i="52"/>
  <c r="Z102" i="52"/>
  <c r="Y102" i="52"/>
  <c r="X102" i="52"/>
  <c r="W102" i="52"/>
  <c r="V102" i="52"/>
  <c r="U102" i="52"/>
  <c r="T102" i="52"/>
  <c r="S102" i="52"/>
  <c r="AH101" i="52"/>
  <c r="N101" i="52"/>
  <c r="X134" i="52" s="1"/>
  <c r="M101" i="52"/>
  <c r="W134" i="52" s="1"/>
  <c r="L101" i="52"/>
  <c r="V134" i="52" s="1"/>
  <c r="K101" i="52"/>
  <c r="U134" i="52" s="1"/>
  <c r="J101" i="52"/>
  <c r="T134" i="52" s="1"/>
  <c r="I101" i="52"/>
  <c r="S134" i="52" s="1"/>
  <c r="H101" i="52"/>
  <c r="R134" i="52" s="1"/>
  <c r="G101" i="52"/>
  <c r="Q134" i="52" s="1"/>
  <c r="F101" i="52"/>
  <c r="P134" i="52" s="1"/>
  <c r="E101" i="52"/>
  <c r="O134" i="52" s="1"/>
  <c r="D101" i="52"/>
  <c r="N134" i="52" s="1"/>
  <c r="C101" i="52"/>
  <c r="M134" i="52" s="1"/>
  <c r="B101" i="52"/>
  <c r="AH100" i="52"/>
  <c r="N100" i="52"/>
  <c r="X133" i="52" s="1"/>
  <c r="M100" i="52"/>
  <c r="W133" i="52" s="1"/>
  <c r="L100" i="52"/>
  <c r="V133" i="52" s="1"/>
  <c r="K100" i="52"/>
  <c r="U133" i="52" s="1"/>
  <c r="J100" i="52"/>
  <c r="T133" i="52" s="1"/>
  <c r="I100" i="52"/>
  <c r="S133" i="52" s="1"/>
  <c r="H100" i="52"/>
  <c r="R133" i="52" s="1"/>
  <c r="G100" i="52"/>
  <c r="Q133" i="52" s="1"/>
  <c r="F100" i="52"/>
  <c r="P133" i="52" s="1"/>
  <c r="E100" i="52"/>
  <c r="O133" i="52" s="1"/>
  <c r="D100" i="52"/>
  <c r="N133" i="52" s="1"/>
  <c r="C100" i="52"/>
  <c r="M133" i="52" s="1"/>
  <c r="B100" i="52"/>
  <c r="L133" i="52" s="1"/>
  <c r="N99" i="52"/>
  <c r="X132" i="52" s="1"/>
  <c r="M99" i="52"/>
  <c r="W132" i="52" s="1"/>
  <c r="L99" i="52"/>
  <c r="V132" i="52" s="1"/>
  <c r="K99" i="52"/>
  <c r="U132" i="52" s="1"/>
  <c r="J99" i="52"/>
  <c r="T132" i="52" s="1"/>
  <c r="I99" i="52"/>
  <c r="S132" i="52" s="1"/>
  <c r="H99" i="52"/>
  <c r="R132" i="52" s="1"/>
  <c r="G99" i="52"/>
  <c r="Q132" i="52" s="1"/>
  <c r="F99" i="52"/>
  <c r="P132" i="52" s="1"/>
  <c r="E99" i="52"/>
  <c r="O132" i="52" s="1"/>
  <c r="D99" i="52"/>
  <c r="N132" i="52" s="1"/>
  <c r="C99" i="52"/>
  <c r="M132" i="52" s="1"/>
  <c r="B99" i="52"/>
  <c r="AH98" i="52"/>
  <c r="N98" i="52"/>
  <c r="X131" i="52" s="1"/>
  <c r="M98" i="52"/>
  <c r="W131" i="52" s="1"/>
  <c r="L98" i="52"/>
  <c r="V131" i="52" s="1"/>
  <c r="K98" i="52"/>
  <c r="U131" i="52" s="1"/>
  <c r="J98" i="52"/>
  <c r="T131" i="52" s="1"/>
  <c r="I98" i="52"/>
  <c r="S131" i="52" s="1"/>
  <c r="H98" i="52"/>
  <c r="R131" i="52" s="1"/>
  <c r="G98" i="52"/>
  <c r="Q131" i="52" s="1"/>
  <c r="F98" i="52"/>
  <c r="P131" i="52" s="1"/>
  <c r="E98" i="52"/>
  <c r="O131" i="52" s="1"/>
  <c r="D98" i="52"/>
  <c r="N131" i="52" s="1"/>
  <c r="C98" i="52"/>
  <c r="M131" i="52" s="1"/>
  <c r="B98" i="52"/>
  <c r="L131" i="52" s="1"/>
  <c r="AH97" i="52"/>
  <c r="N97" i="52"/>
  <c r="X130" i="52" s="1"/>
  <c r="M97" i="52"/>
  <c r="W130" i="52" s="1"/>
  <c r="L97" i="52"/>
  <c r="V130" i="52" s="1"/>
  <c r="K97" i="52"/>
  <c r="U130" i="52" s="1"/>
  <c r="J97" i="52"/>
  <c r="T130" i="52" s="1"/>
  <c r="I97" i="52"/>
  <c r="S130" i="52" s="1"/>
  <c r="H97" i="52"/>
  <c r="R130" i="52" s="1"/>
  <c r="G97" i="52"/>
  <c r="Q130" i="52" s="1"/>
  <c r="F97" i="52"/>
  <c r="P130" i="52" s="1"/>
  <c r="E97" i="52"/>
  <c r="O130" i="52" s="1"/>
  <c r="D97" i="52"/>
  <c r="N130" i="52" s="1"/>
  <c r="C97" i="52"/>
  <c r="M130" i="52" s="1"/>
  <c r="B97" i="52"/>
  <c r="AH96" i="52"/>
  <c r="N96" i="52"/>
  <c r="X129" i="52" s="1"/>
  <c r="M96" i="52"/>
  <c r="W129" i="52" s="1"/>
  <c r="L96" i="52"/>
  <c r="V129" i="52" s="1"/>
  <c r="K96" i="52"/>
  <c r="U129" i="52" s="1"/>
  <c r="J96" i="52"/>
  <c r="T129" i="52" s="1"/>
  <c r="I96" i="52"/>
  <c r="S129" i="52" s="1"/>
  <c r="H96" i="52"/>
  <c r="R129" i="52" s="1"/>
  <c r="G96" i="52"/>
  <c r="Q129" i="52" s="1"/>
  <c r="F96" i="52"/>
  <c r="P129" i="52" s="1"/>
  <c r="E96" i="52"/>
  <c r="O129" i="52" s="1"/>
  <c r="D96" i="52"/>
  <c r="N129" i="52" s="1"/>
  <c r="C96" i="52"/>
  <c r="M129" i="52" s="1"/>
  <c r="B96" i="52"/>
  <c r="L129" i="52" s="1"/>
  <c r="AH95" i="52"/>
  <c r="N95" i="52"/>
  <c r="X128" i="52" s="1"/>
  <c r="M95" i="52"/>
  <c r="W128" i="52" s="1"/>
  <c r="L95" i="52"/>
  <c r="V128" i="52" s="1"/>
  <c r="K95" i="52"/>
  <c r="U128" i="52" s="1"/>
  <c r="J95" i="52"/>
  <c r="T128" i="52" s="1"/>
  <c r="I95" i="52"/>
  <c r="S128" i="52" s="1"/>
  <c r="H95" i="52"/>
  <c r="R128" i="52" s="1"/>
  <c r="G95" i="52"/>
  <c r="Q128" i="52" s="1"/>
  <c r="F95" i="52"/>
  <c r="P128" i="52" s="1"/>
  <c r="E95" i="52"/>
  <c r="O128" i="52" s="1"/>
  <c r="D95" i="52"/>
  <c r="N128" i="52" s="1"/>
  <c r="C95" i="52"/>
  <c r="M128" i="52" s="1"/>
  <c r="B95" i="52"/>
  <c r="AH94" i="52"/>
  <c r="N94" i="52"/>
  <c r="X127" i="52" s="1"/>
  <c r="M94" i="52"/>
  <c r="W127" i="52" s="1"/>
  <c r="L94" i="52"/>
  <c r="V127" i="52" s="1"/>
  <c r="K94" i="52"/>
  <c r="U127" i="52" s="1"/>
  <c r="J94" i="52"/>
  <c r="T127" i="52" s="1"/>
  <c r="I94" i="52"/>
  <c r="S127" i="52" s="1"/>
  <c r="H94" i="52"/>
  <c r="R127" i="52" s="1"/>
  <c r="G94" i="52"/>
  <c r="Q127" i="52" s="1"/>
  <c r="F94" i="52"/>
  <c r="P127" i="52" s="1"/>
  <c r="E94" i="52"/>
  <c r="O127" i="52" s="1"/>
  <c r="D94" i="52"/>
  <c r="N127" i="52" s="1"/>
  <c r="C94" i="52"/>
  <c r="M127" i="52" s="1"/>
  <c r="B94" i="52"/>
  <c r="L127" i="52" s="1"/>
  <c r="AH93" i="52"/>
  <c r="N93" i="52"/>
  <c r="X126" i="52" s="1"/>
  <c r="M93" i="52"/>
  <c r="W126" i="52" s="1"/>
  <c r="L93" i="52"/>
  <c r="V126" i="52" s="1"/>
  <c r="K93" i="52"/>
  <c r="U126" i="52" s="1"/>
  <c r="J93" i="52"/>
  <c r="T126" i="52" s="1"/>
  <c r="I93" i="52"/>
  <c r="S126" i="52" s="1"/>
  <c r="H93" i="52"/>
  <c r="R126" i="52" s="1"/>
  <c r="G93" i="52"/>
  <c r="Q126" i="52" s="1"/>
  <c r="F93" i="52"/>
  <c r="P126" i="52" s="1"/>
  <c r="E93" i="52"/>
  <c r="O126" i="52" s="1"/>
  <c r="D93" i="52"/>
  <c r="N126" i="52" s="1"/>
  <c r="C93" i="52"/>
  <c r="M126" i="52" s="1"/>
  <c r="B93" i="52"/>
  <c r="AH92" i="52"/>
  <c r="N92" i="52"/>
  <c r="X125" i="52" s="1"/>
  <c r="M92" i="52"/>
  <c r="W125" i="52" s="1"/>
  <c r="L92" i="52"/>
  <c r="V125" i="52" s="1"/>
  <c r="K92" i="52"/>
  <c r="U125" i="52" s="1"/>
  <c r="J92" i="52"/>
  <c r="T125" i="52" s="1"/>
  <c r="I92" i="52"/>
  <c r="S125" i="52" s="1"/>
  <c r="H92" i="52"/>
  <c r="R125" i="52" s="1"/>
  <c r="G92" i="52"/>
  <c r="Q125" i="52" s="1"/>
  <c r="F92" i="52"/>
  <c r="P125" i="52" s="1"/>
  <c r="E92" i="52"/>
  <c r="O125" i="52" s="1"/>
  <c r="D92" i="52"/>
  <c r="N125" i="52" s="1"/>
  <c r="C92" i="52"/>
  <c r="M125" i="52" s="1"/>
  <c r="B92" i="52"/>
  <c r="L125" i="52" s="1"/>
  <c r="AH91" i="52"/>
  <c r="N91" i="52"/>
  <c r="X124" i="52" s="1"/>
  <c r="M91" i="52"/>
  <c r="W124" i="52" s="1"/>
  <c r="L91" i="52"/>
  <c r="V124" i="52" s="1"/>
  <c r="K91" i="52"/>
  <c r="U124" i="52" s="1"/>
  <c r="J91" i="52"/>
  <c r="T124" i="52" s="1"/>
  <c r="I91" i="52"/>
  <c r="S124" i="52" s="1"/>
  <c r="H91" i="52"/>
  <c r="R124" i="52" s="1"/>
  <c r="G91" i="52"/>
  <c r="Q124" i="52" s="1"/>
  <c r="F91" i="52"/>
  <c r="P124" i="52" s="1"/>
  <c r="E91" i="52"/>
  <c r="O124" i="52" s="1"/>
  <c r="D91" i="52"/>
  <c r="N124" i="52" s="1"/>
  <c r="C91" i="52"/>
  <c r="M124" i="52" s="1"/>
  <c r="B91" i="52"/>
  <c r="AH90" i="52"/>
  <c r="N90" i="52"/>
  <c r="X123" i="52" s="1"/>
  <c r="M90" i="52"/>
  <c r="W123" i="52" s="1"/>
  <c r="L90" i="52"/>
  <c r="V123" i="52" s="1"/>
  <c r="K90" i="52"/>
  <c r="U123" i="52" s="1"/>
  <c r="J90" i="52"/>
  <c r="T123" i="52" s="1"/>
  <c r="I90" i="52"/>
  <c r="S123" i="52" s="1"/>
  <c r="H90" i="52"/>
  <c r="R123" i="52" s="1"/>
  <c r="G90" i="52"/>
  <c r="Q123" i="52" s="1"/>
  <c r="F90" i="52"/>
  <c r="P123" i="52" s="1"/>
  <c r="E90" i="52"/>
  <c r="O123" i="52" s="1"/>
  <c r="D90" i="52"/>
  <c r="N123" i="52" s="1"/>
  <c r="C90" i="52"/>
  <c r="M123" i="52" s="1"/>
  <c r="B90" i="52"/>
  <c r="L123" i="52" s="1"/>
  <c r="AH89" i="52"/>
  <c r="N89" i="52"/>
  <c r="X122" i="52" s="1"/>
  <c r="M89" i="52"/>
  <c r="W122" i="52" s="1"/>
  <c r="L89" i="52"/>
  <c r="V122" i="52" s="1"/>
  <c r="K89" i="52"/>
  <c r="U122" i="52" s="1"/>
  <c r="J89" i="52"/>
  <c r="T122" i="52" s="1"/>
  <c r="I89" i="52"/>
  <c r="S122" i="52" s="1"/>
  <c r="H89" i="52"/>
  <c r="R122" i="52" s="1"/>
  <c r="G89" i="52"/>
  <c r="Q122" i="52" s="1"/>
  <c r="F89" i="52"/>
  <c r="P122" i="52" s="1"/>
  <c r="E89" i="52"/>
  <c r="O122" i="52" s="1"/>
  <c r="D89" i="52"/>
  <c r="N122" i="52" s="1"/>
  <c r="C89" i="52"/>
  <c r="M122" i="52" s="1"/>
  <c r="B89" i="52"/>
  <c r="AH88" i="52"/>
  <c r="N88" i="52"/>
  <c r="X121" i="52" s="1"/>
  <c r="M88" i="52"/>
  <c r="W121" i="52" s="1"/>
  <c r="L88" i="52"/>
  <c r="V121" i="52" s="1"/>
  <c r="K88" i="52"/>
  <c r="U121" i="52" s="1"/>
  <c r="J88" i="52"/>
  <c r="T121" i="52" s="1"/>
  <c r="I88" i="52"/>
  <c r="S121" i="52" s="1"/>
  <c r="H88" i="52"/>
  <c r="R121" i="52" s="1"/>
  <c r="G88" i="52"/>
  <c r="Q121" i="52" s="1"/>
  <c r="F88" i="52"/>
  <c r="P121" i="52" s="1"/>
  <c r="E88" i="52"/>
  <c r="O121" i="52" s="1"/>
  <c r="D88" i="52"/>
  <c r="N121" i="52" s="1"/>
  <c r="C88" i="52"/>
  <c r="M121" i="52" s="1"/>
  <c r="B88" i="52"/>
  <c r="L121" i="52" s="1"/>
  <c r="AH87" i="52"/>
  <c r="N87" i="52"/>
  <c r="X120" i="52" s="1"/>
  <c r="M87" i="52"/>
  <c r="W120" i="52" s="1"/>
  <c r="L87" i="52"/>
  <c r="V120" i="52" s="1"/>
  <c r="K87" i="52"/>
  <c r="U120" i="52" s="1"/>
  <c r="J87" i="52"/>
  <c r="T120" i="52" s="1"/>
  <c r="I87" i="52"/>
  <c r="S120" i="52" s="1"/>
  <c r="H87" i="52"/>
  <c r="R120" i="52" s="1"/>
  <c r="G87" i="52"/>
  <c r="Q120" i="52" s="1"/>
  <c r="F87" i="52"/>
  <c r="P120" i="52" s="1"/>
  <c r="E87" i="52"/>
  <c r="O120" i="52" s="1"/>
  <c r="D87" i="52"/>
  <c r="N120" i="52" s="1"/>
  <c r="C87" i="52"/>
  <c r="M120" i="52" s="1"/>
  <c r="B87" i="52"/>
  <c r="AH86" i="52"/>
  <c r="N86" i="52"/>
  <c r="X119" i="52" s="1"/>
  <c r="M86" i="52"/>
  <c r="W119" i="52" s="1"/>
  <c r="L86" i="52"/>
  <c r="V119" i="52" s="1"/>
  <c r="K86" i="52"/>
  <c r="U119" i="52" s="1"/>
  <c r="J86" i="52"/>
  <c r="T119" i="52" s="1"/>
  <c r="I86" i="52"/>
  <c r="S119" i="52" s="1"/>
  <c r="H86" i="52"/>
  <c r="R119" i="52" s="1"/>
  <c r="G86" i="52"/>
  <c r="Q119" i="52" s="1"/>
  <c r="F86" i="52"/>
  <c r="P119" i="52" s="1"/>
  <c r="E86" i="52"/>
  <c r="O119" i="52" s="1"/>
  <c r="D86" i="52"/>
  <c r="N119" i="52" s="1"/>
  <c r="C86" i="52"/>
  <c r="M119" i="52" s="1"/>
  <c r="B86" i="52"/>
  <c r="L119" i="52" s="1"/>
  <c r="AH85" i="52"/>
  <c r="N85" i="52"/>
  <c r="X118" i="52" s="1"/>
  <c r="M85" i="52"/>
  <c r="W118" i="52" s="1"/>
  <c r="L85" i="52"/>
  <c r="V118" i="52" s="1"/>
  <c r="K85" i="52"/>
  <c r="U118" i="52" s="1"/>
  <c r="J85" i="52"/>
  <c r="T118" i="52" s="1"/>
  <c r="I85" i="52"/>
  <c r="S118" i="52" s="1"/>
  <c r="H85" i="52"/>
  <c r="R118" i="52" s="1"/>
  <c r="G85" i="52"/>
  <c r="Q118" i="52" s="1"/>
  <c r="F85" i="52"/>
  <c r="P118" i="52" s="1"/>
  <c r="E85" i="52"/>
  <c r="O118" i="52" s="1"/>
  <c r="D85" i="52"/>
  <c r="N118" i="52" s="1"/>
  <c r="C85" i="52"/>
  <c r="M118" i="52" s="1"/>
  <c r="B85" i="52"/>
  <c r="AH84" i="52"/>
  <c r="N84" i="52"/>
  <c r="X117" i="52" s="1"/>
  <c r="M84" i="52"/>
  <c r="W117" i="52" s="1"/>
  <c r="L84" i="52"/>
  <c r="V117" i="52" s="1"/>
  <c r="K84" i="52"/>
  <c r="U117" i="52" s="1"/>
  <c r="J84" i="52"/>
  <c r="T117" i="52" s="1"/>
  <c r="I84" i="52"/>
  <c r="S117" i="52" s="1"/>
  <c r="H84" i="52"/>
  <c r="R117" i="52" s="1"/>
  <c r="G84" i="52"/>
  <c r="Q117" i="52" s="1"/>
  <c r="F84" i="52"/>
  <c r="P117" i="52" s="1"/>
  <c r="E84" i="52"/>
  <c r="O117" i="52" s="1"/>
  <c r="D84" i="52"/>
  <c r="N117" i="52" s="1"/>
  <c r="C84" i="52"/>
  <c r="M117" i="52" s="1"/>
  <c r="B84" i="52"/>
  <c r="L117" i="52" s="1"/>
  <c r="AH83" i="52"/>
  <c r="N83" i="52"/>
  <c r="X116" i="52" s="1"/>
  <c r="M83" i="52"/>
  <c r="W116" i="52" s="1"/>
  <c r="L83" i="52"/>
  <c r="V116" i="52" s="1"/>
  <c r="K83" i="52"/>
  <c r="U116" i="52" s="1"/>
  <c r="J83" i="52"/>
  <c r="T116" i="52" s="1"/>
  <c r="I83" i="52"/>
  <c r="S116" i="52" s="1"/>
  <c r="H83" i="52"/>
  <c r="R116" i="52" s="1"/>
  <c r="G83" i="52"/>
  <c r="Q116" i="52" s="1"/>
  <c r="F83" i="52"/>
  <c r="P116" i="52" s="1"/>
  <c r="E83" i="52"/>
  <c r="O116" i="52" s="1"/>
  <c r="D83" i="52"/>
  <c r="N116" i="52" s="1"/>
  <c r="C83" i="52"/>
  <c r="M116" i="52" s="1"/>
  <c r="B83" i="52"/>
  <c r="AH82" i="52"/>
  <c r="N82" i="52"/>
  <c r="X115" i="52" s="1"/>
  <c r="M82" i="52"/>
  <c r="W115" i="52" s="1"/>
  <c r="L82" i="52"/>
  <c r="V115" i="52" s="1"/>
  <c r="K82" i="52"/>
  <c r="U115" i="52" s="1"/>
  <c r="J82" i="52"/>
  <c r="T115" i="52" s="1"/>
  <c r="I82" i="52"/>
  <c r="S115" i="52" s="1"/>
  <c r="H82" i="52"/>
  <c r="R115" i="52" s="1"/>
  <c r="G82" i="52"/>
  <c r="Q115" i="52" s="1"/>
  <c r="F82" i="52"/>
  <c r="P115" i="52" s="1"/>
  <c r="E82" i="52"/>
  <c r="O115" i="52" s="1"/>
  <c r="D82" i="52"/>
  <c r="N115" i="52" s="1"/>
  <c r="C82" i="52"/>
  <c r="M115" i="52" s="1"/>
  <c r="B82" i="52"/>
  <c r="L115" i="52" s="1"/>
  <c r="AH81" i="52"/>
  <c r="N81" i="52"/>
  <c r="X114" i="52" s="1"/>
  <c r="M81" i="52"/>
  <c r="W114" i="52" s="1"/>
  <c r="L81" i="52"/>
  <c r="V114" i="52" s="1"/>
  <c r="K81" i="52"/>
  <c r="U114" i="52" s="1"/>
  <c r="J81" i="52"/>
  <c r="T114" i="52" s="1"/>
  <c r="I81" i="52"/>
  <c r="S114" i="52" s="1"/>
  <c r="H81" i="52"/>
  <c r="R114" i="52" s="1"/>
  <c r="G81" i="52"/>
  <c r="Q114" i="52" s="1"/>
  <c r="F81" i="52"/>
  <c r="P114" i="52" s="1"/>
  <c r="E81" i="52"/>
  <c r="O114" i="52" s="1"/>
  <c r="D81" i="52"/>
  <c r="N114" i="52" s="1"/>
  <c r="C81" i="52"/>
  <c r="M114" i="52" s="1"/>
  <c r="B81" i="52"/>
  <c r="AH80" i="52"/>
  <c r="N80" i="52"/>
  <c r="X113" i="52" s="1"/>
  <c r="M80" i="52"/>
  <c r="W113" i="52" s="1"/>
  <c r="L80" i="52"/>
  <c r="V113" i="52" s="1"/>
  <c r="K80" i="52"/>
  <c r="U113" i="52" s="1"/>
  <c r="J80" i="52"/>
  <c r="T113" i="52" s="1"/>
  <c r="I80" i="52"/>
  <c r="S113" i="52" s="1"/>
  <c r="H80" i="52"/>
  <c r="R113" i="52" s="1"/>
  <c r="G80" i="52"/>
  <c r="Q113" i="52" s="1"/>
  <c r="F80" i="52"/>
  <c r="P113" i="52" s="1"/>
  <c r="E80" i="52"/>
  <c r="O113" i="52" s="1"/>
  <c r="D80" i="52"/>
  <c r="N113" i="52" s="1"/>
  <c r="C80" i="52"/>
  <c r="M113" i="52" s="1"/>
  <c r="B80" i="52"/>
  <c r="L113" i="52" s="1"/>
  <c r="AH79" i="52"/>
  <c r="N79" i="52"/>
  <c r="X112" i="52" s="1"/>
  <c r="M79" i="52"/>
  <c r="W112" i="52" s="1"/>
  <c r="L79" i="52"/>
  <c r="V112" i="52" s="1"/>
  <c r="K79" i="52"/>
  <c r="U112" i="52" s="1"/>
  <c r="J79" i="52"/>
  <c r="T112" i="52" s="1"/>
  <c r="I79" i="52"/>
  <c r="S112" i="52" s="1"/>
  <c r="H79" i="52"/>
  <c r="R112" i="52" s="1"/>
  <c r="G79" i="52"/>
  <c r="Q112" i="52" s="1"/>
  <c r="F79" i="52"/>
  <c r="P112" i="52" s="1"/>
  <c r="E79" i="52"/>
  <c r="O112" i="52" s="1"/>
  <c r="D79" i="52"/>
  <c r="N112" i="52" s="1"/>
  <c r="C79" i="52"/>
  <c r="M112" i="52" s="1"/>
  <c r="B79" i="52"/>
  <c r="AH78" i="52"/>
  <c r="N78" i="52"/>
  <c r="X111" i="52" s="1"/>
  <c r="M78" i="52"/>
  <c r="W111" i="52" s="1"/>
  <c r="L78" i="52"/>
  <c r="V111" i="52" s="1"/>
  <c r="K78" i="52"/>
  <c r="U111" i="52" s="1"/>
  <c r="J78" i="52"/>
  <c r="T111" i="52" s="1"/>
  <c r="I78" i="52"/>
  <c r="S111" i="52" s="1"/>
  <c r="H78" i="52"/>
  <c r="R111" i="52" s="1"/>
  <c r="G78" i="52"/>
  <c r="Q111" i="52" s="1"/>
  <c r="F78" i="52"/>
  <c r="P111" i="52" s="1"/>
  <c r="E78" i="52"/>
  <c r="O111" i="52" s="1"/>
  <c r="D78" i="52"/>
  <c r="N111" i="52" s="1"/>
  <c r="C78" i="52"/>
  <c r="M111" i="52" s="1"/>
  <c r="B78" i="52"/>
  <c r="L111" i="52" s="1"/>
  <c r="AH77" i="52"/>
  <c r="N77" i="52"/>
  <c r="X110" i="52" s="1"/>
  <c r="M77" i="52"/>
  <c r="W110" i="52" s="1"/>
  <c r="L77" i="52"/>
  <c r="V110" i="52" s="1"/>
  <c r="K77" i="52"/>
  <c r="U110" i="52" s="1"/>
  <c r="J77" i="52"/>
  <c r="T110" i="52" s="1"/>
  <c r="I77" i="52"/>
  <c r="S110" i="52" s="1"/>
  <c r="H77" i="52"/>
  <c r="R110" i="52" s="1"/>
  <c r="G77" i="52"/>
  <c r="Q110" i="52" s="1"/>
  <c r="F77" i="52"/>
  <c r="P110" i="52" s="1"/>
  <c r="E77" i="52"/>
  <c r="O110" i="52" s="1"/>
  <c r="D77" i="52"/>
  <c r="N110" i="52" s="1"/>
  <c r="C77" i="52"/>
  <c r="M110" i="52" s="1"/>
  <c r="B77" i="52"/>
  <c r="AH76" i="52"/>
  <c r="N76" i="52"/>
  <c r="X109" i="52" s="1"/>
  <c r="M76" i="52"/>
  <c r="W109" i="52" s="1"/>
  <c r="L76" i="52"/>
  <c r="V109" i="52" s="1"/>
  <c r="K76" i="52"/>
  <c r="U109" i="52" s="1"/>
  <c r="J76" i="52"/>
  <c r="T109" i="52" s="1"/>
  <c r="I76" i="52"/>
  <c r="H76" i="52"/>
  <c r="R109" i="52" s="1"/>
  <c r="G76" i="52"/>
  <c r="Q109" i="52" s="1"/>
  <c r="F76" i="52"/>
  <c r="P109" i="52" s="1"/>
  <c r="E76" i="52"/>
  <c r="O109" i="52" s="1"/>
  <c r="D76" i="52"/>
  <c r="N109" i="52" s="1"/>
  <c r="C76" i="52"/>
  <c r="M109" i="52" s="1"/>
  <c r="B76" i="52"/>
  <c r="L109" i="52" s="1"/>
  <c r="AH75" i="52"/>
  <c r="N75" i="52"/>
  <c r="M75" i="52"/>
  <c r="W108" i="52" s="1"/>
  <c r="L75" i="52"/>
  <c r="K75" i="52"/>
  <c r="U108" i="52" s="1"/>
  <c r="J75" i="52"/>
  <c r="I75" i="52"/>
  <c r="S108" i="52" s="1"/>
  <c r="H75" i="52"/>
  <c r="R108" i="52" s="1"/>
  <c r="G75" i="52"/>
  <c r="Q108" i="52" s="1"/>
  <c r="F75" i="52"/>
  <c r="E75" i="52"/>
  <c r="O108" i="52" s="1"/>
  <c r="D75" i="52"/>
  <c r="N108" i="52" s="1"/>
  <c r="C75" i="52"/>
  <c r="M108" i="52" s="1"/>
  <c r="B75" i="52"/>
  <c r="N67" i="52"/>
  <c r="M67" i="52"/>
  <c r="L67" i="52"/>
  <c r="K67" i="52"/>
  <c r="J67" i="52"/>
  <c r="I67" i="52"/>
  <c r="H67" i="52"/>
  <c r="G67" i="52"/>
  <c r="F67" i="52"/>
  <c r="E67" i="52"/>
  <c r="D67" i="52"/>
  <c r="C67" i="52"/>
  <c r="B67" i="52"/>
  <c r="AG66" i="52"/>
  <c r="AF66" i="52"/>
  <c r="AE66" i="52"/>
  <c r="AD66" i="52"/>
  <c r="AC66" i="52"/>
  <c r="AB66" i="52"/>
  <c r="AA66" i="52"/>
  <c r="Z66" i="52"/>
  <c r="Y66" i="52"/>
  <c r="X66" i="52"/>
  <c r="W66" i="52"/>
  <c r="V66" i="52"/>
  <c r="U66" i="52"/>
  <c r="T66" i="52"/>
  <c r="S66" i="52"/>
  <c r="O66" i="52"/>
  <c r="AG65" i="52"/>
  <c r="AF65" i="52"/>
  <c r="AE65" i="52"/>
  <c r="AD65" i="52"/>
  <c r="AC65" i="52"/>
  <c r="AB65" i="52"/>
  <c r="AA65" i="52"/>
  <c r="Z65" i="52"/>
  <c r="Y65" i="52"/>
  <c r="X65" i="52"/>
  <c r="W65" i="52"/>
  <c r="V65" i="52"/>
  <c r="U65" i="52"/>
  <c r="T65" i="52"/>
  <c r="S65" i="52"/>
  <c r="O65" i="52"/>
  <c r="AE64" i="52"/>
  <c r="AD64" i="52"/>
  <c r="AC64" i="52"/>
  <c r="AB64" i="52"/>
  <c r="AA64" i="52"/>
  <c r="Z64" i="52"/>
  <c r="Y64" i="52"/>
  <c r="X64" i="52"/>
  <c r="W64" i="52"/>
  <c r="V64" i="52"/>
  <c r="U64" i="52"/>
  <c r="T64" i="52"/>
  <c r="S64" i="52"/>
  <c r="O64" i="52"/>
  <c r="AG63" i="52"/>
  <c r="AF63" i="52"/>
  <c r="AE63" i="52"/>
  <c r="AD63" i="52"/>
  <c r="AC63" i="52"/>
  <c r="AB63" i="52"/>
  <c r="AA63" i="52"/>
  <c r="Z63" i="52"/>
  <c r="Y63" i="52"/>
  <c r="X63" i="52"/>
  <c r="W63" i="52"/>
  <c r="V63" i="52"/>
  <c r="U63" i="52"/>
  <c r="T63" i="52"/>
  <c r="S63" i="52"/>
  <c r="O63" i="52"/>
  <c r="AG62" i="52"/>
  <c r="AF62" i="52"/>
  <c r="AE62" i="52"/>
  <c r="AD62" i="52"/>
  <c r="AC62" i="52"/>
  <c r="AB62" i="52"/>
  <c r="AA62" i="52"/>
  <c r="Z62" i="52"/>
  <c r="Y62" i="52"/>
  <c r="X62" i="52"/>
  <c r="W62" i="52"/>
  <c r="V62" i="52"/>
  <c r="U62" i="52"/>
  <c r="T62" i="52"/>
  <c r="S62" i="52"/>
  <c r="O62" i="52"/>
  <c r="AG61" i="52"/>
  <c r="AF61" i="52"/>
  <c r="AE61" i="52"/>
  <c r="AD61" i="52"/>
  <c r="AC61" i="52"/>
  <c r="AB61" i="52"/>
  <c r="AA61" i="52"/>
  <c r="Z61" i="52"/>
  <c r="Y61" i="52"/>
  <c r="X61" i="52"/>
  <c r="W61" i="52"/>
  <c r="V61" i="52"/>
  <c r="U61" i="52"/>
  <c r="T61" i="52"/>
  <c r="S61" i="52"/>
  <c r="O61" i="52"/>
  <c r="AG60" i="52"/>
  <c r="AF60" i="52"/>
  <c r="AE60" i="52"/>
  <c r="AD60" i="52"/>
  <c r="AC60" i="52"/>
  <c r="AB60" i="52"/>
  <c r="AA60" i="52"/>
  <c r="Z60" i="52"/>
  <c r="Y60" i="52"/>
  <c r="X60" i="52"/>
  <c r="W60" i="52"/>
  <c r="V60" i="52"/>
  <c r="U60" i="52"/>
  <c r="T60" i="52"/>
  <c r="S60" i="52"/>
  <c r="O60" i="52"/>
  <c r="AG59" i="52"/>
  <c r="AF59" i="52"/>
  <c r="AE59" i="52"/>
  <c r="AD59" i="52"/>
  <c r="AC59" i="52"/>
  <c r="AB59" i="52"/>
  <c r="AA59" i="52"/>
  <c r="Z59" i="52"/>
  <c r="Y59" i="52"/>
  <c r="X59" i="52"/>
  <c r="W59" i="52"/>
  <c r="V59" i="52"/>
  <c r="U59" i="52"/>
  <c r="T59" i="52"/>
  <c r="S59" i="52"/>
  <c r="O59" i="52"/>
  <c r="AG58" i="52"/>
  <c r="AF58" i="52"/>
  <c r="AE58" i="52"/>
  <c r="AD58" i="52"/>
  <c r="AC58" i="52"/>
  <c r="AB58" i="52"/>
  <c r="AA58" i="52"/>
  <c r="Z58" i="52"/>
  <c r="Y58" i="52"/>
  <c r="X58" i="52"/>
  <c r="W58" i="52"/>
  <c r="V58" i="52"/>
  <c r="U58" i="52"/>
  <c r="T58" i="52"/>
  <c r="S58" i="52"/>
  <c r="O58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O57" i="52"/>
  <c r="AG56" i="52"/>
  <c r="AF56" i="52"/>
  <c r="AE56" i="52"/>
  <c r="AD56" i="52"/>
  <c r="AC56" i="52"/>
  <c r="AB56" i="52"/>
  <c r="AA56" i="52"/>
  <c r="Z56" i="52"/>
  <c r="Y56" i="52"/>
  <c r="X56" i="52"/>
  <c r="W56" i="52"/>
  <c r="V56" i="52"/>
  <c r="U56" i="52"/>
  <c r="T56" i="52"/>
  <c r="S56" i="52"/>
  <c r="O56" i="52"/>
  <c r="AG55" i="52"/>
  <c r="AF55" i="52"/>
  <c r="AE55" i="52"/>
  <c r="AD55" i="52"/>
  <c r="AC55" i="52"/>
  <c r="AB55" i="52"/>
  <c r="AA55" i="52"/>
  <c r="Z55" i="52"/>
  <c r="Y55" i="52"/>
  <c r="X55" i="52"/>
  <c r="W55" i="52"/>
  <c r="V55" i="52"/>
  <c r="U55" i="52"/>
  <c r="T55" i="52"/>
  <c r="S55" i="52"/>
  <c r="O55" i="52"/>
  <c r="AG54" i="52"/>
  <c r="AF54" i="52"/>
  <c r="AE54" i="52"/>
  <c r="AD54" i="52"/>
  <c r="AC54" i="52"/>
  <c r="AB54" i="52"/>
  <c r="AA54" i="52"/>
  <c r="Z54" i="52"/>
  <c r="Y54" i="52"/>
  <c r="X54" i="52"/>
  <c r="W54" i="52"/>
  <c r="V54" i="52"/>
  <c r="U54" i="52"/>
  <c r="T54" i="52"/>
  <c r="S54" i="52"/>
  <c r="O54" i="52"/>
  <c r="AG53" i="52"/>
  <c r="AF53" i="52"/>
  <c r="AE53" i="52"/>
  <c r="AD53" i="52"/>
  <c r="AC53" i="52"/>
  <c r="AB53" i="52"/>
  <c r="AA53" i="52"/>
  <c r="Z53" i="52"/>
  <c r="Y53" i="52"/>
  <c r="X53" i="52"/>
  <c r="W53" i="52"/>
  <c r="V53" i="52"/>
  <c r="U53" i="52"/>
  <c r="T53" i="52"/>
  <c r="S53" i="52"/>
  <c r="O53" i="52"/>
  <c r="AG52" i="52"/>
  <c r="AF52" i="52"/>
  <c r="AE52" i="52"/>
  <c r="AD52" i="52"/>
  <c r="AC52" i="52"/>
  <c r="AB52" i="52"/>
  <c r="AA52" i="52"/>
  <c r="Z52" i="52"/>
  <c r="Y52" i="52"/>
  <c r="X52" i="52"/>
  <c r="W52" i="52"/>
  <c r="V52" i="52"/>
  <c r="U52" i="52"/>
  <c r="T52" i="52"/>
  <c r="S52" i="52"/>
  <c r="O52" i="52"/>
  <c r="AG51" i="52"/>
  <c r="AF51" i="52"/>
  <c r="AE51" i="52"/>
  <c r="AD51" i="52"/>
  <c r="AC51" i="52"/>
  <c r="AB51" i="52"/>
  <c r="AA51" i="52"/>
  <c r="Z51" i="52"/>
  <c r="Y51" i="52"/>
  <c r="X51" i="52"/>
  <c r="W51" i="52"/>
  <c r="V51" i="52"/>
  <c r="U51" i="52"/>
  <c r="T51" i="52"/>
  <c r="S51" i="52"/>
  <c r="O51" i="52"/>
  <c r="AG50" i="52"/>
  <c r="AF50" i="52"/>
  <c r="AE50" i="52"/>
  <c r="AD50" i="52"/>
  <c r="AC50" i="52"/>
  <c r="AB50" i="52"/>
  <c r="AA50" i="52"/>
  <c r="Z50" i="52"/>
  <c r="Y50" i="52"/>
  <c r="X50" i="52"/>
  <c r="W50" i="52"/>
  <c r="V50" i="52"/>
  <c r="U50" i="52"/>
  <c r="T50" i="52"/>
  <c r="S50" i="52"/>
  <c r="O50" i="52"/>
  <c r="AG49" i="52"/>
  <c r="AF49" i="52"/>
  <c r="AE49" i="52"/>
  <c r="AD49" i="52"/>
  <c r="AC49" i="52"/>
  <c r="AB49" i="52"/>
  <c r="AA49" i="52"/>
  <c r="Z49" i="52"/>
  <c r="Y49" i="52"/>
  <c r="X49" i="52"/>
  <c r="W49" i="52"/>
  <c r="V49" i="52"/>
  <c r="U49" i="52"/>
  <c r="T49" i="52"/>
  <c r="S49" i="52"/>
  <c r="O49" i="52"/>
  <c r="AG48" i="52"/>
  <c r="AF48" i="52"/>
  <c r="AE48" i="52"/>
  <c r="AD48" i="52"/>
  <c r="AC48" i="52"/>
  <c r="AB48" i="52"/>
  <c r="AA48" i="52"/>
  <c r="Z48" i="52"/>
  <c r="Y48" i="52"/>
  <c r="X48" i="52"/>
  <c r="W48" i="52"/>
  <c r="V48" i="52"/>
  <c r="U48" i="52"/>
  <c r="T48" i="52"/>
  <c r="S48" i="52"/>
  <c r="O48" i="52"/>
  <c r="AG47" i="52"/>
  <c r="AF47" i="52"/>
  <c r="AE47" i="52"/>
  <c r="AD47" i="52"/>
  <c r="AC47" i="52"/>
  <c r="AB47" i="52"/>
  <c r="AA47" i="52"/>
  <c r="Z47" i="52"/>
  <c r="Y47" i="52"/>
  <c r="X47" i="52"/>
  <c r="W47" i="52"/>
  <c r="V47" i="52"/>
  <c r="U47" i="52"/>
  <c r="T47" i="52"/>
  <c r="S47" i="52"/>
  <c r="O47" i="52"/>
  <c r="AG46" i="52"/>
  <c r="AF46" i="52"/>
  <c r="AE46" i="52"/>
  <c r="AD46" i="52"/>
  <c r="AC46" i="52"/>
  <c r="AB46" i="52"/>
  <c r="AA46" i="52"/>
  <c r="Z46" i="52"/>
  <c r="Y46" i="52"/>
  <c r="X46" i="52"/>
  <c r="W46" i="52"/>
  <c r="V46" i="52"/>
  <c r="U46" i="52"/>
  <c r="T46" i="52"/>
  <c r="S46" i="52"/>
  <c r="O46" i="52"/>
  <c r="AG45" i="52"/>
  <c r="AF45" i="52"/>
  <c r="AE45" i="52"/>
  <c r="AD45" i="52"/>
  <c r="AC45" i="52"/>
  <c r="AB45" i="52"/>
  <c r="AA45" i="52"/>
  <c r="Z45" i="52"/>
  <c r="Y45" i="52"/>
  <c r="X45" i="52"/>
  <c r="W45" i="52"/>
  <c r="V45" i="52"/>
  <c r="U45" i="52"/>
  <c r="T45" i="52"/>
  <c r="S45" i="52"/>
  <c r="O45" i="52"/>
  <c r="AG44" i="52"/>
  <c r="AF44" i="52"/>
  <c r="AE44" i="52"/>
  <c r="AD44" i="52"/>
  <c r="AC44" i="52"/>
  <c r="AB44" i="52"/>
  <c r="AA44" i="52"/>
  <c r="Z44" i="52"/>
  <c r="Y44" i="52"/>
  <c r="X44" i="52"/>
  <c r="W44" i="52"/>
  <c r="V44" i="52"/>
  <c r="U44" i="52"/>
  <c r="T44" i="52"/>
  <c r="S44" i="52"/>
  <c r="O44" i="52"/>
  <c r="AE43" i="52"/>
  <c r="AD43" i="52"/>
  <c r="AC43" i="52"/>
  <c r="AB43" i="52"/>
  <c r="AA43" i="52"/>
  <c r="Z43" i="52"/>
  <c r="Y43" i="52"/>
  <c r="X43" i="52"/>
  <c r="W43" i="52"/>
  <c r="V43" i="52"/>
  <c r="U43" i="52"/>
  <c r="T43" i="52"/>
  <c r="S43" i="52"/>
  <c r="O43" i="52"/>
  <c r="AG42" i="52"/>
  <c r="AF42" i="52"/>
  <c r="AE42" i="52"/>
  <c r="AD42" i="52"/>
  <c r="AC42" i="52"/>
  <c r="AB42" i="52"/>
  <c r="AA42" i="52"/>
  <c r="Z42" i="52"/>
  <c r="Y42" i="52"/>
  <c r="X42" i="52"/>
  <c r="W42" i="52"/>
  <c r="V42" i="52"/>
  <c r="U42" i="52"/>
  <c r="T42" i="52"/>
  <c r="S42" i="52"/>
  <c r="O42" i="52"/>
  <c r="AG41" i="52"/>
  <c r="AF41" i="52"/>
  <c r="AE41" i="52"/>
  <c r="AD41" i="52"/>
  <c r="AC41" i="52"/>
  <c r="AB41" i="52"/>
  <c r="AA41" i="52"/>
  <c r="Z41" i="52"/>
  <c r="Y41" i="52"/>
  <c r="X41" i="52"/>
  <c r="W41" i="52"/>
  <c r="V41" i="52"/>
  <c r="U41" i="52"/>
  <c r="T41" i="52"/>
  <c r="S41" i="52"/>
  <c r="O41" i="52"/>
  <c r="AG40" i="52"/>
  <c r="AF40" i="52"/>
  <c r="AE40" i="52"/>
  <c r="AD40" i="52"/>
  <c r="AC40" i="52"/>
  <c r="AB40" i="52"/>
  <c r="AA40" i="52"/>
  <c r="Z40" i="52"/>
  <c r="Y40" i="52"/>
  <c r="X40" i="52"/>
  <c r="W40" i="52"/>
  <c r="V40" i="52"/>
  <c r="U40" i="52"/>
  <c r="T40" i="52"/>
  <c r="S40" i="52"/>
  <c r="O40" i="52"/>
  <c r="N32" i="52"/>
  <c r="M32" i="52"/>
  <c r="L32" i="52"/>
  <c r="K32" i="52"/>
  <c r="J32" i="52"/>
  <c r="I32" i="52"/>
  <c r="H32" i="52"/>
  <c r="G32" i="52"/>
  <c r="F32" i="52"/>
  <c r="E32" i="52"/>
  <c r="D32" i="52"/>
  <c r="C32" i="52"/>
  <c r="B32" i="52"/>
  <c r="AG31" i="52"/>
  <c r="AF31" i="52"/>
  <c r="AE31" i="52"/>
  <c r="AD31" i="52"/>
  <c r="AC31" i="52"/>
  <c r="AB31" i="52"/>
  <c r="AA31" i="52"/>
  <c r="Z31" i="52"/>
  <c r="Y31" i="52"/>
  <c r="X31" i="52"/>
  <c r="W31" i="52"/>
  <c r="AL167" i="73" s="1"/>
  <c r="H591" i="73" s="1"/>
  <c r="V31" i="52"/>
  <c r="AL133" i="73" s="1"/>
  <c r="H510" i="73" s="1"/>
  <c r="U31" i="52"/>
  <c r="AL99" i="73" s="1"/>
  <c r="H429" i="73" s="1"/>
  <c r="T31" i="52"/>
  <c r="AL65" i="73" s="1"/>
  <c r="H348" i="73" s="1"/>
  <c r="S31" i="52"/>
  <c r="AL31" i="73" s="1"/>
  <c r="H267" i="73" s="1"/>
  <c r="O31" i="52"/>
  <c r="AG30" i="52"/>
  <c r="AF30" i="52"/>
  <c r="AE30" i="52"/>
  <c r="AD30" i="52"/>
  <c r="AC30" i="52"/>
  <c r="AB30" i="52"/>
  <c r="AA30" i="52"/>
  <c r="Z30" i="52"/>
  <c r="Y30" i="52"/>
  <c r="X30" i="52"/>
  <c r="W30" i="52"/>
  <c r="AL166" i="73" s="1"/>
  <c r="H590" i="73" s="1"/>
  <c r="V30" i="52"/>
  <c r="AL132" i="73" s="1"/>
  <c r="H509" i="73" s="1"/>
  <c r="U30" i="52"/>
  <c r="AL98" i="73" s="1"/>
  <c r="H428" i="73" s="1"/>
  <c r="T30" i="52"/>
  <c r="AL64" i="73" s="1"/>
  <c r="H347" i="73" s="1"/>
  <c r="S30" i="52"/>
  <c r="AL30" i="73" s="1"/>
  <c r="H266" i="73" s="1"/>
  <c r="O30" i="52"/>
  <c r="AG29" i="52"/>
  <c r="AF29" i="52"/>
  <c r="AE29" i="52"/>
  <c r="AD29" i="52"/>
  <c r="AC29" i="52"/>
  <c r="AB29" i="52"/>
  <c r="AA29" i="52"/>
  <c r="Z29" i="52"/>
  <c r="Y29" i="52"/>
  <c r="X29" i="52"/>
  <c r="W29" i="52"/>
  <c r="AL165" i="73" s="1"/>
  <c r="H589" i="73" s="1"/>
  <c r="V29" i="52"/>
  <c r="AL131" i="73" s="1"/>
  <c r="H508" i="73" s="1"/>
  <c r="U29" i="52"/>
  <c r="AL97" i="73" s="1"/>
  <c r="H427" i="73" s="1"/>
  <c r="T29" i="52"/>
  <c r="AL63" i="73" s="1"/>
  <c r="H346" i="73" s="1"/>
  <c r="S29" i="52"/>
  <c r="AL29" i="73" s="1"/>
  <c r="H265" i="73" s="1"/>
  <c r="O29" i="52"/>
  <c r="AG28" i="52"/>
  <c r="AF28" i="52"/>
  <c r="AE28" i="52"/>
  <c r="AD28" i="52"/>
  <c r="AC28" i="52"/>
  <c r="AB28" i="52"/>
  <c r="AA28" i="52"/>
  <c r="Z28" i="52"/>
  <c r="Y28" i="52"/>
  <c r="X28" i="52"/>
  <c r="W28" i="52"/>
  <c r="AL164" i="73" s="1"/>
  <c r="H588" i="73" s="1"/>
  <c r="V28" i="52"/>
  <c r="AL130" i="73" s="1"/>
  <c r="H507" i="73" s="1"/>
  <c r="U28" i="52"/>
  <c r="AL96" i="73" s="1"/>
  <c r="H426" i="73" s="1"/>
  <c r="T28" i="52"/>
  <c r="AL62" i="73" s="1"/>
  <c r="H345" i="73" s="1"/>
  <c r="S28" i="52"/>
  <c r="AL28" i="73" s="1"/>
  <c r="H264" i="73" s="1"/>
  <c r="O28" i="52"/>
  <c r="AG27" i="52"/>
  <c r="AF27" i="52"/>
  <c r="AE27" i="52"/>
  <c r="AD27" i="52"/>
  <c r="AC27" i="52"/>
  <c r="AB27" i="52"/>
  <c r="AA27" i="52"/>
  <c r="Z27" i="52"/>
  <c r="Y27" i="52"/>
  <c r="X27" i="52"/>
  <c r="W27" i="52"/>
  <c r="AL163" i="73" s="1"/>
  <c r="H587" i="73" s="1"/>
  <c r="V27" i="52"/>
  <c r="AL129" i="73" s="1"/>
  <c r="H506" i="73" s="1"/>
  <c r="U27" i="52"/>
  <c r="AL95" i="73" s="1"/>
  <c r="H425" i="73" s="1"/>
  <c r="T27" i="52"/>
  <c r="AL61" i="73" s="1"/>
  <c r="H344" i="73" s="1"/>
  <c r="S27" i="52"/>
  <c r="AL27" i="73" s="1"/>
  <c r="H263" i="73" s="1"/>
  <c r="O27" i="52"/>
  <c r="AG26" i="52"/>
  <c r="AF26" i="52"/>
  <c r="AE26" i="52"/>
  <c r="AD26" i="52"/>
  <c r="AC26" i="52"/>
  <c r="AB26" i="52"/>
  <c r="AA26" i="52"/>
  <c r="Z26" i="52"/>
  <c r="Y26" i="52"/>
  <c r="X26" i="52"/>
  <c r="W26" i="52"/>
  <c r="AL162" i="73" s="1"/>
  <c r="H586" i="73" s="1"/>
  <c r="V26" i="52"/>
  <c r="AL128" i="73" s="1"/>
  <c r="H505" i="73" s="1"/>
  <c r="U26" i="52"/>
  <c r="AL94" i="73" s="1"/>
  <c r="H424" i="73" s="1"/>
  <c r="T26" i="52"/>
  <c r="AL60" i="73" s="1"/>
  <c r="H343" i="73" s="1"/>
  <c r="S26" i="52"/>
  <c r="AL26" i="73" s="1"/>
  <c r="H262" i="73" s="1"/>
  <c r="O26" i="52"/>
  <c r="AG25" i="52"/>
  <c r="AF25" i="52"/>
  <c r="AE25" i="52"/>
  <c r="AD25" i="52"/>
  <c r="AC25" i="52"/>
  <c r="AB25" i="52"/>
  <c r="AA25" i="52"/>
  <c r="Z25" i="52"/>
  <c r="Y25" i="52"/>
  <c r="X25" i="52"/>
  <c r="W25" i="52"/>
  <c r="AL161" i="73" s="1"/>
  <c r="H585" i="73" s="1"/>
  <c r="V25" i="52"/>
  <c r="AL127" i="73" s="1"/>
  <c r="H504" i="73" s="1"/>
  <c r="U25" i="52"/>
  <c r="AL93" i="73" s="1"/>
  <c r="H423" i="73" s="1"/>
  <c r="T25" i="52"/>
  <c r="AL59" i="73" s="1"/>
  <c r="H342" i="73" s="1"/>
  <c r="S25" i="52"/>
  <c r="AL25" i="73" s="1"/>
  <c r="H261" i="73" s="1"/>
  <c r="O25" i="52"/>
  <c r="AG24" i="52"/>
  <c r="AF24" i="52"/>
  <c r="AE24" i="52"/>
  <c r="AD24" i="52"/>
  <c r="AC24" i="52"/>
  <c r="AB24" i="52"/>
  <c r="AA24" i="52"/>
  <c r="Z24" i="52"/>
  <c r="Y24" i="52"/>
  <c r="X24" i="52"/>
  <c r="W24" i="52"/>
  <c r="AL160" i="73" s="1"/>
  <c r="H584" i="73" s="1"/>
  <c r="V24" i="52"/>
  <c r="AL126" i="73" s="1"/>
  <c r="H503" i="73" s="1"/>
  <c r="U24" i="52"/>
  <c r="AL92" i="73" s="1"/>
  <c r="H422" i="73" s="1"/>
  <c r="T24" i="52"/>
  <c r="AL58" i="73" s="1"/>
  <c r="H341" i="73" s="1"/>
  <c r="S24" i="52"/>
  <c r="AL24" i="73" s="1"/>
  <c r="H260" i="73" s="1"/>
  <c r="O24" i="52"/>
  <c r="AG23" i="52"/>
  <c r="AF23" i="52"/>
  <c r="AE23" i="52"/>
  <c r="AD23" i="52"/>
  <c r="AC23" i="52"/>
  <c r="AB23" i="52"/>
  <c r="AA23" i="52"/>
  <c r="Z23" i="52"/>
  <c r="Y23" i="52"/>
  <c r="X23" i="52"/>
  <c r="W23" i="52"/>
  <c r="AL159" i="73" s="1"/>
  <c r="H583" i="73" s="1"/>
  <c r="V23" i="52"/>
  <c r="AL125" i="73" s="1"/>
  <c r="H502" i="73" s="1"/>
  <c r="U23" i="52"/>
  <c r="AL91" i="73" s="1"/>
  <c r="H421" i="73" s="1"/>
  <c r="T23" i="52"/>
  <c r="AL57" i="73" s="1"/>
  <c r="H340" i="73" s="1"/>
  <c r="S23" i="52"/>
  <c r="AL23" i="73" s="1"/>
  <c r="H259" i="73" s="1"/>
  <c r="O23" i="52"/>
  <c r="AG22" i="52"/>
  <c r="AF22" i="52"/>
  <c r="AE22" i="52"/>
  <c r="AD22" i="52"/>
  <c r="AC22" i="52"/>
  <c r="AB22" i="52"/>
  <c r="AA22" i="52"/>
  <c r="Z22" i="52"/>
  <c r="Y22" i="52"/>
  <c r="X22" i="52"/>
  <c r="W22" i="52"/>
  <c r="AL158" i="73" s="1"/>
  <c r="H582" i="73" s="1"/>
  <c r="V22" i="52"/>
  <c r="AL124" i="73" s="1"/>
  <c r="H501" i="73" s="1"/>
  <c r="U22" i="52"/>
  <c r="AL90" i="73" s="1"/>
  <c r="H420" i="73" s="1"/>
  <c r="T22" i="52"/>
  <c r="AL56" i="73" s="1"/>
  <c r="H339" i="73" s="1"/>
  <c r="S22" i="52"/>
  <c r="AL22" i="73" s="1"/>
  <c r="H258" i="73" s="1"/>
  <c r="O22" i="52"/>
  <c r="AG21" i="52"/>
  <c r="AF21" i="52"/>
  <c r="AE21" i="52"/>
  <c r="AD21" i="52"/>
  <c r="AC21" i="52"/>
  <c r="AB21" i="52"/>
  <c r="AA21" i="52"/>
  <c r="Z21" i="52"/>
  <c r="Y21" i="52"/>
  <c r="X21" i="52"/>
  <c r="W21" i="52"/>
  <c r="AL157" i="73" s="1"/>
  <c r="H581" i="73" s="1"/>
  <c r="V21" i="52"/>
  <c r="AL123" i="73" s="1"/>
  <c r="H500" i="73" s="1"/>
  <c r="U21" i="52"/>
  <c r="AL89" i="73" s="1"/>
  <c r="H419" i="73" s="1"/>
  <c r="T21" i="52"/>
  <c r="AL55" i="73" s="1"/>
  <c r="H338" i="73" s="1"/>
  <c r="S21" i="52"/>
  <c r="AL21" i="73" s="1"/>
  <c r="H257" i="73" s="1"/>
  <c r="O21" i="52"/>
  <c r="AG20" i="52"/>
  <c r="AF20" i="52"/>
  <c r="AE20" i="52"/>
  <c r="AD20" i="52"/>
  <c r="AC20" i="52"/>
  <c r="AB20" i="52"/>
  <c r="AA20" i="52"/>
  <c r="Z20" i="52"/>
  <c r="Y20" i="52"/>
  <c r="X20" i="52"/>
  <c r="W20" i="52"/>
  <c r="AL156" i="73" s="1"/>
  <c r="H580" i="73" s="1"/>
  <c r="V20" i="52"/>
  <c r="AL122" i="73" s="1"/>
  <c r="H499" i="73" s="1"/>
  <c r="U20" i="52"/>
  <c r="AL88" i="73" s="1"/>
  <c r="H418" i="73" s="1"/>
  <c r="T20" i="52"/>
  <c r="AL54" i="73" s="1"/>
  <c r="H337" i="73" s="1"/>
  <c r="S20" i="52"/>
  <c r="AL20" i="73" s="1"/>
  <c r="H256" i="73" s="1"/>
  <c r="O20" i="52"/>
  <c r="AG19" i="52"/>
  <c r="AF19" i="52"/>
  <c r="AE19" i="52"/>
  <c r="AD19" i="52"/>
  <c r="AC19" i="52"/>
  <c r="AB19" i="52"/>
  <c r="AA19" i="52"/>
  <c r="Z19" i="52"/>
  <c r="Y19" i="52"/>
  <c r="X19" i="52"/>
  <c r="W19" i="52"/>
  <c r="AL155" i="73" s="1"/>
  <c r="H579" i="73" s="1"/>
  <c r="V19" i="52"/>
  <c r="AL121" i="73" s="1"/>
  <c r="H498" i="73" s="1"/>
  <c r="U19" i="52"/>
  <c r="AL87" i="73" s="1"/>
  <c r="H417" i="73" s="1"/>
  <c r="T19" i="52"/>
  <c r="AL53" i="73" s="1"/>
  <c r="H336" i="73" s="1"/>
  <c r="S19" i="52"/>
  <c r="AL19" i="73" s="1"/>
  <c r="H255" i="73" s="1"/>
  <c r="O19" i="52"/>
  <c r="AG18" i="52"/>
  <c r="AF18" i="52"/>
  <c r="AE18" i="52"/>
  <c r="AD18" i="52"/>
  <c r="AC18" i="52"/>
  <c r="AB18" i="52"/>
  <c r="AA18" i="52"/>
  <c r="Z18" i="52"/>
  <c r="Y18" i="52"/>
  <c r="X18" i="52"/>
  <c r="W18" i="52"/>
  <c r="AL154" i="73" s="1"/>
  <c r="H578" i="73" s="1"/>
  <c r="V18" i="52"/>
  <c r="AL120" i="73" s="1"/>
  <c r="H497" i="73" s="1"/>
  <c r="U18" i="52"/>
  <c r="AL86" i="73" s="1"/>
  <c r="H416" i="73" s="1"/>
  <c r="T18" i="52"/>
  <c r="AL52" i="73" s="1"/>
  <c r="H335" i="73" s="1"/>
  <c r="S18" i="52"/>
  <c r="AL18" i="73" s="1"/>
  <c r="H254" i="73" s="1"/>
  <c r="O18" i="52"/>
  <c r="AG17" i="52"/>
  <c r="AF17" i="52"/>
  <c r="AE17" i="52"/>
  <c r="AD17" i="52"/>
  <c r="AC17" i="52"/>
  <c r="AB17" i="52"/>
  <c r="AA17" i="52"/>
  <c r="Z17" i="52"/>
  <c r="Y17" i="52"/>
  <c r="X17" i="52"/>
  <c r="W17" i="52"/>
  <c r="AL153" i="73" s="1"/>
  <c r="H577" i="73" s="1"/>
  <c r="V17" i="52"/>
  <c r="AL119" i="73" s="1"/>
  <c r="H496" i="73" s="1"/>
  <c r="U17" i="52"/>
  <c r="AL85" i="73" s="1"/>
  <c r="H415" i="73" s="1"/>
  <c r="T17" i="52"/>
  <c r="AL51" i="73" s="1"/>
  <c r="H334" i="73" s="1"/>
  <c r="S17" i="52"/>
  <c r="AL17" i="73" s="1"/>
  <c r="H253" i="73" s="1"/>
  <c r="O17" i="52"/>
  <c r="AG16" i="52"/>
  <c r="AF16" i="52"/>
  <c r="AE16" i="52"/>
  <c r="AD16" i="52"/>
  <c r="AC16" i="52"/>
  <c r="AB16" i="52"/>
  <c r="AA16" i="52"/>
  <c r="Z16" i="52"/>
  <c r="Y16" i="52"/>
  <c r="X16" i="52"/>
  <c r="W16" i="52"/>
  <c r="AL152" i="73" s="1"/>
  <c r="H576" i="73" s="1"/>
  <c r="V16" i="52"/>
  <c r="AL118" i="73" s="1"/>
  <c r="H495" i="73" s="1"/>
  <c r="U16" i="52"/>
  <c r="AL84" i="73" s="1"/>
  <c r="H414" i="73" s="1"/>
  <c r="T16" i="52"/>
  <c r="AL50" i="73" s="1"/>
  <c r="H333" i="73" s="1"/>
  <c r="S16" i="52"/>
  <c r="AL16" i="73" s="1"/>
  <c r="H252" i="73" s="1"/>
  <c r="O16" i="52"/>
  <c r="AG15" i="52"/>
  <c r="AF15" i="52"/>
  <c r="AE15" i="52"/>
  <c r="AD15" i="52"/>
  <c r="AC15" i="52"/>
  <c r="AB15" i="52"/>
  <c r="AA15" i="52"/>
  <c r="Z15" i="52"/>
  <c r="Y15" i="52"/>
  <c r="X15" i="52"/>
  <c r="W15" i="52"/>
  <c r="AL151" i="73" s="1"/>
  <c r="H575" i="73" s="1"/>
  <c r="V15" i="52"/>
  <c r="AL117" i="73" s="1"/>
  <c r="H494" i="73" s="1"/>
  <c r="U15" i="52"/>
  <c r="AL83" i="73" s="1"/>
  <c r="H413" i="73" s="1"/>
  <c r="T15" i="52"/>
  <c r="AL49" i="73" s="1"/>
  <c r="H332" i="73" s="1"/>
  <c r="S15" i="52"/>
  <c r="AL15" i="73" s="1"/>
  <c r="H251" i="73" s="1"/>
  <c r="O15" i="52"/>
  <c r="AG14" i="52"/>
  <c r="AF14" i="52"/>
  <c r="AE14" i="52"/>
  <c r="AD14" i="52"/>
  <c r="AC14" i="52"/>
  <c r="AB14" i="52"/>
  <c r="AA14" i="52"/>
  <c r="Z14" i="52"/>
  <c r="Y14" i="52"/>
  <c r="X14" i="52"/>
  <c r="W14" i="52"/>
  <c r="AL150" i="73" s="1"/>
  <c r="H574" i="73" s="1"/>
  <c r="V14" i="52"/>
  <c r="AL116" i="73" s="1"/>
  <c r="H493" i="73" s="1"/>
  <c r="U14" i="52"/>
  <c r="AL82" i="73" s="1"/>
  <c r="H412" i="73" s="1"/>
  <c r="T14" i="52"/>
  <c r="AL48" i="73" s="1"/>
  <c r="H331" i="73" s="1"/>
  <c r="S14" i="52"/>
  <c r="AL14" i="73" s="1"/>
  <c r="H250" i="73" s="1"/>
  <c r="O14" i="52"/>
  <c r="AG13" i="52"/>
  <c r="AF13" i="52"/>
  <c r="AE13" i="52"/>
  <c r="AD13" i="52"/>
  <c r="AC13" i="52"/>
  <c r="AB13" i="52"/>
  <c r="AA13" i="52"/>
  <c r="Z13" i="52"/>
  <c r="Y13" i="52"/>
  <c r="X13" i="52"/>
  <c r="W13" i="52"/>
  <c r="AL149" i="73" s="1"/>
  <c r="H573" i="73" s="1"/>
  <c r="V13" i="52"/>
  <c r="AL115" i="73" s="1"/>
  <c r="H492" i="73" s="1"/>
  <c r="U13" i="52"/>
  <c r="AL81" i="73" s="1"/>
  <c r="H411" i="73" s="1"/>
  <c r="T13" i="52"/>
  <c r="AL47" i="73" s="1"/>
  <c r="H330" i="73" s="1"/>
  <c r="S13" i="52"/>
  <c r="AL13" i="73" s="1"/>
  <c r="H249" i="73" s="1"/>
  <c r="O13" i="52"/>
  <c r="AG12" i="52"/>
  <c r="AF12" i="52"/>
  <c r="AE12" i="52"/>
  <c r="AD12" i="52"/>
  <c r="AC12" i="52"/>
  <c r="AB12" i="52"/>
  <c r="AA12" i="52"/>
  <c r="Z12" i="52"/>
  <c r="Y12" i="52"/>
  <c r="X12" i="52"/>
  <c r="W12" i="52"/>
  <c r="AL148" i="73" s="1"/>
  <c r="H572" i="73" s="1"/>
  <c r="V12" i="52"/>
  <c r="AL114" i="73" s="1"/>
  <c r="H491" i="73" s="1"/>
  <c r="U12" i="52"/>
  <c r="AL80" i="73" s="1"/>
  <c r="H410" i="73" s="1"/>
  <c r="T12" i="52"/>
  <c r="AL46" i="73" s="1"/>
  <c r="H329" i="73" s="1"/>
  <c r="S12" i="52"/>
  <c r="AL12" i="73" s="1"/>
  <c r="H248" i="73" s="1"/>
  <c r="O12" i="52"/>
  <c r="AG11" i="52"/>
  <c r="AF11" i="52"/>
  <c r="AE11" i="52"/>
  <c r="AD11" i="52"/>
  <c r="AC11" i="52"/>
  <c r="AB11" i="52"/>
  <c r="AA11" i="52"/>
  <c r="Z11" i="52"/>
  <c r="Y11" i="52"/>
  <c r="X11" i="52"/>
  <c r="W11" i="52"/>
  <c r="AL147" i="73" s="1"/>
  <c r="H571" i="73" s="1"/>
  <c r="V11" i="52"/>
  <c r="AL113" i="73" s="1"/>
  <c r="H490" i="73" s="1"/>
  <c r="U11" i="52"/>
  <c r="AL79" i="73" s="1"/>
  <c r="H409" i="73" s="1"/>
  <c r="T11" i="52"/>
  <c r="AL45" i="73" s="1"/>
  <c r="H328" i="73" s="1"/>
  <c r="S11" i="52"/>
  <c r="AL11" i="73" s="1"/>
  <c r="H247" i="73" s="1"/>
  <c r="O11" i="52"/>
  <c r="AG10" i="52"/>
  <c r="AF10" i="52"/>
  <c r="AE10" i="52"/>
  <c r="AD10" i="52"/>
  <c r="AC10" i="52"/>
  <c r="AB10" i="52"/>
  <c r="AA10" i="52"/>
  <c r="Z10" i="52"/>
  <c r="Y10" i="52"/>
  <c r="X10" i="52"/>
  <c r="W10" i="52"/>
  <c r="AL146" i="73" s="1"/>
  <c r="H570" i="73" s="1"/>
  <c r="V10" i="52"/>
  <c r="AL112" i="73" s="1"/>
  <c r="H489" i="73" s="1"/>
  <c r="U10" i="52"/>
  <c r="AL78" i="73" s="1"/>
  <c r="H408" i="73" s="1"/>
  <c r="T10" i="52"/>
  <c r="AL44" i="73" s="1"/>
  <c r="H327" i="73" s="1"/>
  <c r="S10" i="52"/>
  <c r="AL10" i="73" s="1"/>
  <c r="H246" i="73" s="1"/>
  <c r="O10" i="52"/>
  <c r="AG9" i="52"/>
  <c r="AF9" i="52"/>
  <c r="AE9" i="52"/>
  <c r="AD9" i="52"/>
  <c r="AC9" i="52"/>
  <c r="AB9" i="52"/>
  <c r="AA9" i="52"/>
  <c r="Z9" i="52"/>
  <c r="Y9" i="52"/>
  <c r="X9" i="52"/>
  <c r="W9" i="52"/>
  <c r="AL145" i="73" s="1"/>
  <c r="H569" i="73" s="1"/>
  <c r="V9" i="52"/>
  <c r="AL111" i="73" s="1"/>
  <c r="H488" i="73" s="1"/>
  <c r="U9" i="52"/>
  <c r="AL77" i="73" s="1"/>
  <c r="H407" i="73" s="1"/>
  <c r="T9" i="52"/>
  <c r="AL43" i="73" s="1"/>
  <c r="H326" i="73" s="1"/>
  <c r="S9" i="52"/>
  <c r="AL9" i="73" s="1"/>
  <c r="H245" i="73" s="1"/>
  <c r="O9" i="52"/>
  <c r="AG8" i="52"/>
  <c r="AF8" i="52"/>
  <c r="AE8" i="52"/>
  <c r="AD8" i="52"/>
  <c r="AC8" i="52"/>
  <c r="AB8" i="52"/>
  <c r="AA8" i="52"/>
  <c r="Z8" i="52"/>
  <c r="Y8" i="52"/>
  <c r="X8" i="52"/>
  <c r="W8" i="52"/>
  <c r="AL144" i="73" s="1"/>
  <c r="H568" i="73" s="1"/>
  <c r="V8" i="52"/>
  <c r="AL110" i="73" s="1"/>
  <c r="H487" i="73" s="1"/>
  <c r="U8" i="52"/>
  <c r="AL76" i="73" s="1"/>
  <c r="H406" i="73" s="1"/>
  <c r="T8" i="52"/>
  <c r="AL42" i="73" s="1"/>
  <c r="H325" i="73" s="1"/>
  <c r="S8" i="52"/>
  <c r="AL8" i="73" s="1"/>
  <c r="H244" i="73" s="1"/>
  <c r="O8" i="52"/>
  <c r="AG7" i="52"/>
  <c r="AF7" i="52"/>
  <c r="AE7" i="52"/>
  <c r="AD7" i="52"/>
  <c r="AC7" i="52"/>
  <c r="AB7" i="52"/>
  <c r="AA7" i="52"/>
  <c r="Z7" i="52"/>
  <c r="Y7" i="52"/>
  <c r="X7" i="52"/>
  <c r="W7" i="52"/>
  <c r="AL143" i="73" s="1"/>
  <c r="H567" i="73" s="1"/>
  <c r="V7" i="52"/>
  <c r="AL109" i="73" s="1"/>
  <c r="H486" i="73" s="1"/>
  <c r="U7" i="52"/>
  <c r="AL75" i="73" s="1"/>
  <c r="H405" i="73" s="1"/>
  <c r="T7" i="52"/>
  <c r="AL41" i="73" s="1"/>
  <c r="H324" i="73" s="1"/>
  <c r="S7" i="52"/>
  <c r="AL7" i="73" s="1"/>
  <c r="H243" i="73" s="1"/>
  <c r="O7" i="52"/>
  <c r="AG6" i="52"/>
  <c r="AF6" i="52"/>
  <c r="AE6" i="52"/>
  <c r="AD6" i="52"/>
  <c r="AC6" i="52"/>
  <c r="AB6" i="52"/>
  <c r="AA6" i="52"/>
  <c r="Z6" i="52"/>
  <c r="Y6" i="52"/>
  <c r="X6" i="52"/>
  <c r="W6" i="52"/>
  <c r="AL142" i="73" s="1"/>
  <c r="H566" i="73" s="1"/>
  <c r="V6" i="52"/>
  <c r="AL108" i="73" s="1"/>
  <c r="H485" i="73" s="1"/>
  <c r="U6" i="52"/>
  <c r="AL74" i="73" s="1"/>
  <c r="H404" i="73" s="1"/>
  <c r="T6" i="52"/>
  <c r="AL40" i="73" s="1"/>
  <c r="H323" i="73" s="1"/>
  <c r="S6" i="52"/>
  <c r="AL6" i="73" s="1"/>
  <c r="H242" i="73" s="1"/>
  <c r="O6" i="52"/>
  <c r="AG5" i="52"/>
  <c r="AF5" i="52"/>
  <c r="AF32" i="52" s="1"/>
  <c r="AE5" i="52"/>
  <c r="AD5" i="52"/>
  <c r="AD32" i="52" s="1"/>
  <c r="AC5" i="52"/>
  <c r="AB5" i="52"/>
  <c r="AB32" i="52" s="1"/>
  <c r="AA5" i="52"/>
  <c r="AA32" i="52" s="1"/>
  <c r="Z5" i="52"/>
  <c r="Z32" i="52" s="1"/>
  <c r="Y5" i="52"/>
  <c r="X5" i="52"/>
  <c r="W5" i="52"/>
  <c r="AL141" i="73" s="1"/>
  <c r="V5" i="52"/>
  <c r="U5" i="52"/>
  <c r="AL73" i="73" s="1"/>
  <c r="T5" i="52"/>
  <c r="AL39" i="73" s="1"/>
  <c r="S5" i="52"/>
  <c r="O5" i="52"/>
  <c r="Z134" i="56"/>
  <c r="Y134" i="56"/>
  <c r="Z133" i="56"/>
  <c r="Y133" i="56"/>
  <c r="Z132" i="56"/>
  <c r="Y132" i="56"/>
  <c r="Z131" i="56"/>
  <c r="Y131" i="56"/>
  <c r="Z130" i="56"/>
  <c r="Y130" i="56"/>
  <c r="Z129" i="56"/>
  <c r="Y129" i="56"/>
  <c r="Z128" i="56"/>
  <c r="Y128" i="56"/>
  <c r="Z127" i="56"/>
  <c r="Y127" i="56"/>
  <c r="Z126" i="56"/>
  <c r="Y126" i="56"/>
  <c r="Z125" i="56"/>
  <c r="Y125" i="56"/>
  <c r="Z124" i="56"/>
  <c r="Y124" i="56"/>
  <c r="Z123" i="56"/>
  <c r="Y123" i="56"/>
  <c r="Z122" i="56"/>
  <c r="Y122" i="56"/>
  <c r="Z121" i="56"/>
  <c r="Y121" i="56"/>
  <c r="Z120" i="56"/>
  <c r="Y120" i="56"/>
  <c r="Z119" i="56"/>
  <c r="Y119" i="56"/>
  <c r="Z118" i="56"/>
  <c r="Y118" i="56"/>
  <c r="Z117" i="56"/>
  <c r="Y117" i="56"/>
  <c r="Z116" i="56"/>
  <c r="Y116" i="56"/>
  <c r="Z115" i="56"/>
  <c r="Y115" i="56"/>
  <c r="Z114" i="56"/>
  <c r="Y114" i="56"/>
  <c r="Z113" i="56"/>
  <c r="Y113" i="56"/>
  <c r="Z112" i="56"/>
  <c r="Y112" i="56"/>
  <c r="Z111" i="56"/>
  <c r="Y111" i="56"/>
  <c r="Z110" i="56"/>
  <c r="Y110" i="56"/>
  <c r="Z109" i="56"/>
  <c r="Y109" i="56"/>
  <c r="Z108" i="56"/>
  <c r="Y108" i="56"/>
  <c r="AG102" i="56"/>
  <c r="AF102" i="56"/>
  <c r="AE102" i="56"/>
  <c r="AD102" i="56"/>
  <c r="AC102" i="56"/>
  <c r="AB102" i="56"/>
  <c r="AA102" i="56"/>
  <c r="Z102" i="56"/>
  <c r="Y102" i="56"/>
  <c r="X102" i="56"/>
  <c r="W102" i="56"/>
  <c r="V102" i="56"/>
  <c r="U102" i="56"/>
  <c r="T102" i="56"/>
  <c r="AH101" i="56"/>
  <c r="N101" i="56"/>
  <c r="X134" i="56" s="1"/>
  <c r="M101" i="56"/>
  <c r="W134" i="56" s="1"/>
  <c r="L101" i="56"/>
  <c r="V134" i="56" s="1"/>
  <c r="K101" i="56"/>
  <c r="U134" i="56" s="1"/>
  <c r="J101" i="56"/>
  <c r="T134" i="56" s="1"/>
  <c r="I101" i="56"/>
  <c r="S134" i="56" s="1"/>
  <c r="H101" i="56"/>
  <c r="R134" i="56" s="1"/>
  <c r="G101" i="56"/>
  <c r="Q134" i="56" s="1"/>
  <c r="F101" i="56"/>
  <c r="P134" i="56" s="1"/>
  <c r="E101" i="56"/>
  <c r="O134" i="56" s="1"/>
  <c r="D101" i="56"/>
  <c r="N134" i="56" s="1"/>
  <c r="C101" i="56"/>
  <c r="M134" i="56" s="1"/>
  <c r="B101" i="56"/>
  <c r="L134" i="56" s="1"/>
  <c r="AH100" i="56"/>
  <c r="N100" i="56"/>
  <c r="X133" i="56" s="1"/>
  <c r="M100" i="56"/>
  <c r="W133" i="56" s="1"/>
  <c r="L100" i="56"/>
  <c r="V133" i="56" s="1"/>
  <c r="K100" i="56"/>
  <c r="U133" i="56" s="1"/>
  <c r="J100" i="56"/>
  <c r="T133" i="56" s="1"/>
  <c r="I100" i="56"/>
  <c r="S133" i="56" s="1"/>
  <c r="H100" i="56"/>
  <c r="R133" i="56" s="1"/>
  <c r="G100" i="56"/>
  <c r="Q133" i="56" s="1"/>
  <c r="F100" i="56"/>
  <c r="P133" i="56" s="1"/>
  <c r="E100" i="56"/>
  <c r="O133" i="56" s="1"/>
  <c r="D100" i="56"/>
  <c r="N133" i="56" s="1"/>
  <c r="C100" i="56"/>
  <c r="M133" i="56" s="1"/>
  <c r="B100" i="56"/>
  <c r="L133" i="56" s="1"/>
  <c r="AH99" i="56"/>
  <c r="N99" i="56"/>
  <c r="X132" i="56" s="1"/>
  <c r="M99" i="56"/>
  <c r="W132" i="56" s="1"/>
  <c r="L99" i="56"/>
  <c r="V132" i="56" s="1"/>
  <c r="K99" i="56"/>
  <c r="U132" i="56" s="1"/>
  <c r="J99" i="56"/>
  <c r="T132" i="56" s="1"/>
  <c r="I99" i="56"/>
  <c r="S132" i="56" s="1"/>
  <c r="H99" i="56"/>
  <c r="R132" i="56" s="1"/>
  <c r="G99" i="56"/>
  <c r="Q132" i="56" s="1"/>
  <c r="F99" i="56"/>
  <c r="P132" i="56" s="1"/>
  <c r="E99" i="56"/>
  <c r="O132" i="56" s="1"/>
  <c r="D99" i="56"/>
  <c r="N132" i="56" s="1"/>
  <c r="C99" i="56"/>
  <c r="M132" i="56" s="1"/>
  <c r="B99" i="56"/>
  <c r="L132" i="56" s="1"/>
  <c r="AH98" i="56"/>
  <c r="N98" i="56"/>
  <c r="X131" i="56" s="1"/>
  <c r="M98" i="56"/>
  <c r="W131" i="56" s="1"/>
  <c r="L98" i="56"/>
  <c r="V131" i="56" s="1"/>
  <c r="K98" i="56"/>
  <c r="U131" i="56" s="1"/>
  <c r="J98" i="56"/>
  <c r="T131" i="56" s="1"/>
  <c r="I98" i="56"/>
  <c r="S131" i="56" s="1"/>
  <c r="H98" i="56"/>
  <c r="R131" i="56" s="1"/>
  <c r="G98" i="56"/>
  <c r="Q131" i="56" s="1"/>
  <c r="F98" i="56"/>
  <c r="P131" i="56" s="1"/>
  <c r="E98" i="56"/>
  <c r="O131" i="56" s="1"/>
  <c r="D98" i="56"/>
  <c r="N131" i="56" s="1"/>
  <c r="C98" i="56"/>
  <c r="M131" i="56" s="1"/>
  <c r="B98" i="56"/>
  <c r="L131" i="56" s="1"/>
  <c r="AH97" i="56"/>
  <c r="N97" i="56"/>
  <c r="X130" i="56" s="1"/>
  <c r="M97" i="56"/>
  <c r="W130" i="56" s="1"/>
  <c r="L97" i="56"/>
  <c r="V130" i="56" s="1"/>
  <c r="K97" i="56"/>
  <c r="U130" i="56" s="1"/>
  <c r="J97" i="56"/>
  <c r="T130" i="56" s="1"/>
  <c r="I97" i="56"/>
  <c r="S130" i="56" s="1"/>
  <c r="H97" i="56"/>
  <c r="R130" i="56" s="1"/>
  <c r="G97" i="56"/>
  <c r="Q130" i="56" s="1"/>
  <c r="F97" i="56"/>
  <c r="P130" i="56" s="1"/>
  <c r="E97" i="56"/>
  <c r="O130" i="56" s="1"/>
  <c r="D97" i="56"/>
  <c r="N130" i="56" s="1"/>
  <c r="C97" i="56"/>
  <c r="M130" i="56" s="1"/>
  <c r="B97" i="56"/>
  <c r="L130" i="56" s="1"/>
  <c r="AH96" i="56"/>
  <c r="N96" i="56"/>
  <c r="X129" i="56" s="1"/>
  <c r="M96" i="56"/>
  <c r="W129" i="56" s="1"/>
  <c r="L96" i="56"/>
  <c r="V129" i="56" s="1"/>
  <c r="K96" i="56"/>
  <c r="U129" i="56" s="1"/>
  <c r="J96" i="56"/>
  <c r="T129" i="56" s="1"/>
  <c r="I96" i="56"/>
  <c r="S129" i="56" s="1"/>
  <c r="H96" i="56"/>
  <c r="R129" i="56" s="1"/>
  <c r="G96" i="56"/>
  <c r="Q129" i="56" s="1"/>
  <c r="F96" i="56"/>
  <c r="P129" i="56" s="1"/>
  <c r="E96" i="56"/>
  <c r="O129" i="56" s="1"/>
  <c r="D96" i="56"/>
  <c r="N129" i="56" s="1"/>
  <c r="C96" i="56"/>
  <c r="M129" i="56" s="1"/>
  <c r="B96" i="56"/>
  <c r="L129" i="56" s="1"/>
  <c r="AH95" i="56"/>
  <c r="N95" i="56"/>
  <c r="X128" i="56" s="1"/>
  <c r="M95" i="56"/>
  <c r="W128" i="56" s="1"/>
  <c r="L95" i="56"/>
  <c r="V128" i="56" s="1"/>
  <c r="K95" i="56"/>
  <c r="U128" i="56" s="1"/>
  <c r="J95" i="56"/>
  <c r="T128" i="56" s="1"/>
  <c r="I95" i="56"/>
  <c r="S128" i="56" s="1"/>
  <c r="H95" i="56"/>
  <c r="R128" i="56" s="1"/>
  <c r="G95" i="56"/>
  <c r="Q128" i="56" s="1"/>
  <c r="F95" i="56"/>
  <c r="P128" i="56" s="1"/>
  <c r="E95" i="56"/>
  <c r="O128" i="56" s="1"/>
  <c r="D95" i="56"/>
  <c r="N128" i="56" s="1"/>
  <c r="C95" i="56"/>
  <c r="M128" i="56" s="1"/>
  <c r="B95" i="56"/>
  <c r="L128" i="56" s="1"/>
  <c r="AH94" i="56"/>
  <c r="N94" i="56"/>
  <c r="X127" i="56" s="1"/>
  <c r="M94" i="56"/>
  <c r="W127" i="56" s="1"/>
  <c r="L94" i="56"/>
  <c r="V127" i="56" s="1"/>
  <c r="K94" i="56"/>
  <c r="U127" i="56" s="1"/>
  <c r="J94" i="56"/>
  <c r="T127" i="56" s="1"/>
  <c r="I94" i="56"/>
  <c r="S127" i="56" s="1"/>
  <c r="H94" i="56"/>
  <c r="R127" i="56" s="1"/>
  <c r="G94" i="56"/>
  <c r="Q127" i="56" s="1"/>
  <c r="F94" i="56"/>
  <c r="P127" i="56" s="1"/>
  <c r="E94" i="56"/>
  <c r="O127" i="56" s="1"/>
  <c r="D94" i="56"/>
  <c r="N127" i="56" s="1"/>
  <c r="C94" i="56"/>
  <c r="M127" i="56" s="1"/>
  <c r="B94" i="56"/>
  <c r="L127" i="56" s="1"/>
  <c r="AH93" i="56"/>
  <c r="N93" i="56"/>
  <c r="X126" i="56" s="1"/>
  <c r="M93" i="56"/>
  <c r="W126" i="56" s="1"/>
  <c r="L93" i="56"/>
  <c r="V126" i="56" s="1"/>
  <c r="K93" i="56"/>
  <c r="U126" i="56" s="1"/>
  <c r="J93" i="56"/>
  <c r="T126" i="56" s="1"/>
  <c r="I93" i="56"/>
  <c r="S126" i="56" s="1"/>
  <c r="H93" i="56"/>
  <c r="R126" i="56" s="1"/>
  <c r="G93" i="56"/>
  <c r="Q126" i="56" s="1"/>
  <c r="F93" i="56"/>
  <c r="P126" i="56" s="1"/>
  <c r="E93" i="56"/>
  <c r="O126" i="56" s="1"/>
  <c r="D93" i="56"/>
  <c r="N126" i="56" s="1"/>
  <c r="C93" i="56"/>
  <c r="M126" i="56" s="1"/>
  <c r="B93" i="56"/>
  <c r="L126" i="56" s="1"/>
  <c r="AH92" i="56"/>
  <c r="N92" i="56"/>
  <c r="X125" i="56" s="1"/>
  <c r="M92" i="56"/>
  <c r="W125" i="56" s="1"/>
  <c r="L92" i="56"/>
  <c r="V125" i="56" s="1"/>
  <c r="K92" i="56"/>
  <c r="U125" i="56" s="1"/>
  <c r="J92" i="56"/>
  <c r="T125" i="56" s="1"/>
  <c r="I92" i="56"/>
  <c r="S125" i="56" s="1"/>
  <c r="H92" i="56"/>
  <c r="R125" i="56" s="1"/>
  <c r="G92" i="56"/>
  <c r="Q125" i="56" s="1"/>
  <c r="F92" i="56"/>
  <c r="P125" i="56" s="1"/>
  <c r="E92" i="56"/>
  <c r="O125" i="56" s="1"/>
  <c r="D92" i="56"/>
  <c r="N125" i="56" s="1"/>
  <c r="C92" i="56"/>
  <c r="M125" i="56" s="1"/>
  <c r="B92" i="56"/>
  <c r="L125" i="56" s="1"/>
  <c r="AH91" i="56"/>
  <c r="N91" i="56"/>
  <c r="X124" i="56" s="1"/>
  <c r="M91" i="56"/>
  <c r="W124" i="56" s="1"/>
  <c r="L91" i="56"/>
  <c r="V124" i="56" s="1"/>
  <c r="K91" i="56"/>
  <c r="U124" i="56" s="1"/>
  <c r="J91" i="56"/>
  <c r="T124" i="56" s="1"/>
  <c r="I91" i="56"/>
  <c r="S124" i="56" s="1"/>
  <c r="H91" i="56"/>
  <c r="R124" i="56" s="1"/>
  <c r="G91" i="56"/>
  <c r="Q124" i="56" s="1"/>
  <c r="F91" i="56"/>
  <c r="P124" i="56" s="1"/>
  <c r="E91" i="56"/>
  <c r="O124" i="56" s="1"/>
  <c r="D91" i="56"/>
  <c r="N124" i="56" s="1"/>
  <c r="C91" i="56"/>
  <c r="M124" i="56" s="1"/>
  <c r="B91" i="56"/>
  <c r="L124" i="56" s="1"/>
  <c r="AH90" i="56"/>
  <c r="N90" i="56"/>
  <c r="X123" i="56" s="1"/>
  <c r="M90" i="56"/>
  <c r="W123" i="56" s="1"/>
  <c r="L90" i="56"/>
  <c r="V123" i="56" s="1"/>
  <c r="K90" i="56"/>
  <c r="U123" i="56" s="1"/>
  <c r="J90" i="56"/>
  <c r="T123" i="56" s="1"/>
  <c r="I90" i="56"/>
  <c r="S123" i="56" s="1"/>
  <c r="H90" i="56"/>
  <c r="R123" i="56" s="1"/>
  <c r="G90" i="56"/>
  <c r="Q123" i="56" s="1"/>
  <c r="F90" i="56"/>
  <c r="P123" i="56" s="1"/>
  <c r="E90" i="56"/>
  <c r="O123" i="56" s="1"/>
  <c r="D90" i="56"/>
  <c r="N123" i="56" s="1"/>
  <c r="C90" i="56"/>
  <c r="M123" i="56" s="1"/>
  <c r="B90" i="56"/>
  <c r="L123" i="56" s="1"/>
  <c r="AH89" i="56"/>
  <c r="N89" i="56"/>
  <c r="X122" i="56" s="1"/>
  <c r="M89" i="56"/>
  <c r="W122" i="56" s="1"/>
  <c r="L89" i="56"/>
  <c r="V122" i="56" s="1"/>
  <c r="K89" i="56"/>
  <c r="U122" i="56" s="1"/>
  <c r="J89" i="56"/>
  <c r="T122" i="56" s="1"/>
  <c r="I89" i="56"/>
  <c r="S122" i="56" s="1"/>
  <c r="H89" i="56"/>
  <c r="R122" i="56" s="1"/>
  <c r="G89" i="56"/>
  <c r="Q122" i="56" s="1"/>
  <c r="F89" i="56"/>
  <c r="P122" i="56" s="1"/>
  <c r="E89" i="56"/>
  <c r="O122" i="56" s="1"/>
  <c r="D89" i="56"/>
  <c r="N122" i="56" s="1"/>
  <c r="C89" i="56"/>
  <c r="M122" i="56" s="1"/>
  <c r="B89" i="56"/>
  <c r="L122" i="56" s="1"/>
  <c r="AH88" i="56"/>
  <c r="N88" i="56"/>
  <c r="X121" i="56" s="1"/>
  <c r="M88" i="56"/>
  <c r="W121" i="56" s="1"/>
  <c r="L88" i="56"/>
  <c r="V121" i="56" s="1"/>
  <c r="K88" i="56"/>
  <c r="U121" i="56" s="1"/>
  <c r="J88" i="56"/>
  <c r="T121" i="56" s="1"/>
  <c r="I88" i="56"/>
  <c r="S121" i="56" s="1"/>
  <c r="H88" i="56"/>
  <c r="R121" i="56" s="1"/>
  <c r="G88" i="56"/>
  <c r="Q121" i="56" s="1"/>
  <c r="F88" i="56"/>
  <c r="P121" i="56" s="1"/>
  <c r="E88" i="56"/>
  <c r="O121" i="56" s="1"/>
  <c r="D88" i="56"/>
  <c r="N121" i="56" s="1"/>
  <c r="C88" i="56"/>
  <c r="M121" i="56" s="1"/>
  <c r="B88" i="56"/>
  <c r="L121" i="56" s="1"/>
  <c r="AH87" i="56"/>
  <c r="N87" i="56"/>
  <c r="X120" i="56" s="1"/>
  <c r="M87" i="56"/>
  <c r="W120" i="56" s="1"/>
  <c r="L87" i="56"/>
  <c r="V120" i="56" s="1"/>
  <c r="K87" i="56"/>
  <c r="U120" i="56" s="1"/>
  <c r="J87" i="56"/>
  <c r="T120" i="56" s="1"/>
  <c r="I87" i="56"/>
  <c r="S120" i="56" s="1"/>
  <c r="H87" i="56"/>
  <c r="R120" i="56" s="1"/>
  <c r="G87" i="56"/>
  <c r="Q120" i="56" s="1"/>
  <c r="F87" i="56"/>
  <c r="P120" i="56" s="1"/>
  <c r="E87" i="56"/>
  <c r="O120" i="56" s="1"/>
  <c r="D87" i="56"/>
  <c r="N120" i="56" s="1"/>
  <c r="C87" i="56"/>
  <c r="M120" i="56" s="1"/>
  <c r="B87" i="56"/>
  <c r="L120" i="56" s="1"/>
  <c r="AH86" i="56"/>
  <c r="N86" i="56"/>
  <c r="X119" i="56" s="1"/>
  <c r="M86" i="56"/>
  <c r="W119" i="56" s="1"/>
  <c r="L86" i="56"/>
  <c r="V119" i="56" s="1"/>
  <c r="K86" i="56"/>
  <c r="U119" i="56" s="1"/>
  <c r="J86" i="56"/>
  <c r="T119" i="56" s="1"/>
  <c r="I86" i="56"/>
  <c r="S119" i="56" s="1"/>
  <c r="H86" i="56"/>
  <c r="R119" i="56" s="1"/>
  <c r="G86" i="56"/>
  <c r="Q119" i="56" s="1"/>
  <c r="F86" i="56"/>
  <c r="P119" i="56" s="1"/>
  <c r="E86" i="56"/>
  <c r="O119" i="56" s="1"/>
  <c r="D86" i="56"/>
  <c r="N119" i="56" s="1"/>
  <c r="C86" i="56"/>
  <c r="M119" i="56" s="1"/>
  <c r="B86" i="56"/>
  <c r="L119" i="56" s="1"/>
  <c r="AH85" i="56"/>
  <c r="N85" i="56"/>
  <c r="X118" i="56" s="1"/>
  <c r="M85" i="56"/>
  <c r="W118" i="56" s="1"/>
  <c r="L85" i="56"/>
  <c r="V118" i="56" s="1"/>
  <c r="K85" i="56"/>
  <c r="U118" i="56" s="1"/>
  <c r="J85" i="56"/>
  <c r="T118" i="56" s="1"/>
  <c r="I85" i="56"/>
  <c r="S118" i="56" s="1"/>
  <c r="H85" i="56"/>
  <c r="R118" i="56" s="1"/>
  <c r="G85" i="56"/>
  <c r="Q118" i="56" s="1"/>
  <c r="F85" i="56"/>
  <c r="P118" i="56" s="1"/>
  <c r="E85" i="56"/>
  <c r="O118" i="56" s="1"/>
  <c r="D85" i="56"/>
  <c r="N118" i="56" s="1"/>
  <c r="C85" i="56"/>
  <c r="M118" i="56" s="1"/>
  <c r="B85" i="56"/>
  <c r="L118" i="56" s="1"/>
  <c r="AH84" i="56"/>
  <c r="N84" i="56"/>
  <c r="X117" i="56" s="1"/>
  <c r="M84" i="56"/>
  <c r="W117" i="56" s="1"/>
  <c r="L84" i="56"/>
  <c r="V117" i="56" s="1"/>
  <c r="K84" i="56"/>
  <c r="U117" i="56" s="1"/>
  <c r="J84" i="56"/>
  <c r="T117" i="56" s="1"/>
  <c r="I84" i="56"/>
  <c r="S117" i="56" s="1"/>
  <c r="H84" i="56"/>
  <c r="R117" i="56" s="1"/>
  <c r="G84" i="56"/>
  <c r="Q117" i="56" s="1"/>
  <c r="F84" i="56"/>
  <c r="P117" i="56" s="1"/>
  <c r="E84" i="56"/>
  <c r="O117" i="56" s="1"/>
  <c r="D84" i="56"/>
  <c r="N117" i="56" s="1"/>
  <c r="C84" i="56"/>
  <c r="M117" i="56" s="1"/>
  <c r="B84" i="56"/>
  <c r="L117" i="56" s="1"/>
  <c r="AH83" i="56"/>
  <c r="N83" i="56"/>
  <c r="X116" i="56" s="1"/>
  <c r="M83" i="56"/>
  <c r="W116" i="56" s="1"/>
  <c r="L83" i="56"/>
  <c r="V116" i="56" s="1"/>
  <c r="K83" i="56"/>
  <c r="U116" i="56" s="1"/>
  <c r="J83" i="56"/>
  <c r="T116" i="56" s="1"/>
  <c r="I83" i="56"/>
  <c r="S116" i="56" s="1"/>
  <c r="H83" i="56"/>
  <c r="R116" i="56" s="1"/>
  <c r="G83" i="56"/>
  <c r="Q116" i="56" s="1"/>
  <c r="F83" i="56"/>
  <c r="P116" i="56" s="1"/>
  <c r="E83" i="56"/>
  <c r="O116" i="56" s="1"/>
  <c r="D83" i="56"/>
  <c r="N116" i="56" s="1"/>
  <c r="C83" i="56"/>
  <c r="M116" i="56" s="1"/>
  <c r="B83" i="56"/>
  <c r="L116" i="56" s="1"/>
  <c r="AH82" i="56"/>
  <c r="N82" i="56"/>
  <c r="X115" i="56" s="1"/>
  <c r="M82" i="56"/>
  <c r="W115" i="56" s="1"/>
  <c r="L82" i="56"/>
  <c r="V115" i="56" s="1"/>
  <c r="K82" i="56"/>
  <c r="U115" i="56" s="1"/>
  <c r="J82" i="56"/>
  <c r="T115" i="56" s="1"/>
  <c r="I82" i="56"/>
  <c r="S115" i="56" s="1"/>
  <c r="H82" i="56"/>
  <c r="R115" i="56" s="1"/>
  <c r="G82" i="56"/>
  <c r="Q115" i="56" s="1"/>
  <c r="F82" i="56"/>
  <c r="P115" i="56" s="1"/>
  <c r="E82" i="56"/>
  <c r="O115" i="56" s="1"/>
  <c r="D82" i="56"/>
  <c r="N115" i="56" s="1"/>
  <c r="C82" i="56"/>
  <c r="M115" i="56" s="1"/>
  <c r="B82" i="56"/>
  <c r="AH81" i="56"/>
  <c r="N81" i="56"/>
  <c r="X114" i="56" s="1"/>
  <c r="M81" i="56"/>
  <c r="W114" i="56" s="1"/>
  <c r="L81" i="56"/>
  <c r="V114" i="56" s="1"/>
  <c r="K81" i="56"/>
  <c r="U114" i="56" s="1"/>
  <c r="J81" i="56"/>
  <c r="T114" i="56" s="1"/>
  <c r="I81" i="56"/>
  <c r="S114" i="56" s="1"/>
  <c r="H81" i="56"/>
  <c r="R114" i="56" s="1"/>
  <c r="G81" i="56"/>
  <c r="Q114" i="56" s="1"/>
  <c r="F81" i="56"/>
  <c r="P114" i="56" s="1"/>
  <c r="E81" i="56"/>
  <c r="O114" i="56" s="1"/>
  <c r="D81" i="56"/>
  <c r="N114" i="56" s="1"/>
  <c r="C81" i="56"/>
  <c r="M114" i="56" s="1"/>
  <c r="B81" i="56"/>
  <c r="L114" i="56" s="1"/>
  <c r="AH80" i="56"/>
  <c r="N80" i="56"/>
  <c r="X113" i="56" s="1"/>
  <c r="M80" i="56"/>
  <c r="W113" i="56" s="1"/>
  <c r="L80" i="56"/>
  <c r="V113" i="56" s="1"/>
  <c r="K80" i="56"/>
  <c r="U113" i="56" s="1"/>
  <c r="J80" i="56"/>
  <c r="T113" i="56" s="1"/>
  <c r="I80" i="56"/>
  <c r="S113" i="56" s="1"/>
  <c r="H80" i="56"/>
  <c r="R113" i="56" s="1"/>
  <c r="G80" i="56"/>
  <c r="Q113" i="56" s="1"/>
  <c r="F80" i="56"/>
  <c r="P113" i="56" s="1"/>
  <c r="E80" i="56"/>
  <c r="O113" i="56" s="1"/>
  <c r="D80" i="56"/>
  <c r="N113" i="56" s="1"/>
  <c r="C80" i="56"/>
  <c r="M113" i="56" s="1"/>
  <c r="B80" i="56"/>
  <c r="AH79" i="56"/>
  <c r="N79" i="56"/>
  <c r="X112" i="56" s="1"/>
  <c r="M79" i="56"/>
  <c r="W112" i="56" s="1"/>
  <c r="L79" i="56"/>
  <c r="V112" i="56" s="1"/>
  <c r="K79" i="56"/>
  <c r="U112" i="56" s="1"/>
  <c r="J79" i="56"/>
  <c r="T112" i="56" s="1"/>
  <c r="I79" i="56"/>
  <c r="S112" i="56" s="1"/>
  <c r="H79" i="56"/>
  <c r="R112" i="56" s="1"/>
  <c r="G79" i="56"/>
  <c r="Q112" i="56" s="1"/>
  <c r="F79" i="56"/>
  <c r="P112" i="56" s="1"/>
  <c r="E79" i="56"/>
  <c r="O112" i="56" s="1"/>
  <c r="D79" i="56"/>
  <c r="N112" i="56" s="1"/>
  <c r="C79" i="56"/>
  <c r="M112" i="56" s="1"/>
  <c r="B79" i="56"/>
  <c r="L112" i="56" s="1"/>
  <c r="AH78" i="56"/>
  <c r="N78" i="56"/>
  <c r="X111" i="56" s="1"/>
  <c r="M78" i="56"/>
  <c r="W111" i="56" s="1"/>
  <c r="L78" i="56"/>
  <c r="V111" i="56" s="1"/>
  <c r="K78" i="56"/>
  <c r="U111" i="56" s="1"/>
  <c r="J78" i="56"/>
  <c r="T111" i="56" s="1"/>
  <c r="I78" i="56"/>
  <c r="S111" i="56" s="1"/>
  <c r="H78" i="56"/>
  <c r="R111" i="56" s="1"/>
  <c r="G78" i="56"/>
  <c r="Q111" i="56" s="1"/>
  <c r="F78" i="56"/>
  <c r="P111" i="56" s="1"/>
  <c r="E78" i="56"/>
  <c r="O111" i="56" s="1"/>
  <c r="D78" i="56"/>
  <c r="N111" i="56" s="1"/>
  <c r="C78" i="56"/>
  <c r="M111" i="56" s="1"/>
  <c r="B78" i="56"/>
  <c r="L111" i="56" s="1"/>
  <c r="AH77" i="56"/>
  <c r="N77" i="56"/>
  <c r="X110" i="56" s="1"/>
  <c r="M77" i="56"/>
  <c r="W110" i="56" s="1"/>
  <c r="L77" i="56"/>
  <c r="V110" i="56" s="1"/>
  <c r="K77" i="56"/>
  <c r="U110" i="56" s="1"/>
  <c r="J77" i="56"/>
  <c r="T110" i="56" s="1"/>
  <c r="I77" i="56"/>
  <c r="S110" i="56" s="1"/>
  <c r="H77" i="56"/>
  <c r="R110" i="56" s="1"/>
  <c r="G77" i="56"/>
  <c r="Q110" i="56" s="1"/>
  <c r="F77" i="56"/>
  <c r="P110" i="56" s="1"/>
  <c r="E77" i="56"/>
  <c r="O110" i="56" s="1"/>
  <c r="D77" i="56"/>
  <c r="N110" i="56" s="1"/>
  <c r="C77" i="56"/>
  <c r="M110" i="56" s="1"/>
  <c r="B77" i="56"/>
  <c r="L110" i="56" s="1"/>
  <c r="AH76" i="56"/>
  <c r="N76" i="56"/>
  <c r="X109" i="56" s="1"/>
  <c r="M76" i="56"/>
  <c r="W109" i="56" s="1"/>
  <c r="L76" i="56"/>
  <c r="V109" i="56" s="1"/>
  <c r="K76" i="56"/>
  <c r="U109" i="56" s="1"/>
  <c r="J76" i="56"/>
  <c r="T109" i="56" s="1"/>
  <c r="I76" i="56"/>
  <c r="S109" i="56" s="1"/>
  <c r="H76" i="56"/>
  <c r="R109" i="56" s="1"/>
  <c r="G76" i="56"/>
  <c r="Q109" i="56" s="1"/>
  <c r="F76" i="56"/>
  <c r="P109" i="56" s="1"/>
  <c r="E76" i="56"/>
  <c r="O109" i="56" s="1"/>
  <c r="D76" i="56"/>
  <c r="N109" i="56" s="1"/>
  <c r="C76" i="56"/>
  <c r="M109" i="56" s="1"/>
  <c r="B76" i="56"/>
  <c r="AH75" i="56"/>
  <c r="N75" i="56"/>
  <c r="M75" i="56"/>
  <c r="L75" i="56"/>
  <c r="K75" i="56"/>
  <c r="J75" i="56"/>
  <c r="I75" i="56"/>
  <c r="H75" i="56"/>
  <c r="G75" i="56"/>
  <c r="F75" i="56"/>
  <c r="E75" i="56"/>
  <c r="D75" i="56"/>
  <c r="C75" i="56"/>
  <c r="B75" i="56"/>
  <c r="N67" i="56"/>
  <c r="M67" i="56"/>
  <c r="L67" i="56"/>
  <c r="K67" i="56"/>
  <c r="J67" i="56"/>
  <c r="I67" i="56"/>
  <c r="H67" i="56"/>
  <c r="G67" i="56"/>
  <c r="F67" i="56"/>
  <c r="E67" i="56"/>
  <c r="D67" i="56"/>
  <c r="C67" i="56"/>
  <c r="B67" i="56"/>
  <c r="AG66" i="56"/>
  <c r="AF66" i="56"/>
  <c r="AE66" i="56"/>
  <c r="AD66" i="56"/>
  <c r="AC66" i="56"/>
  <c r="AB66" i="56"/>
  <c r="AA66" i="56"/>
  <c r="Z66" i="56"/>
  <c r="Y66" i="56"/>
  <c r="X66" i="56"/>
  <c r="W66" i="56"/>
  <c r="V66" i="56"/>
  <c r="U66" i="56"/>
  <c r="T66" i="56"/>
  <c r="S66" i="56"/>
  <c r="O66" i="56"/>
  <c r="AG65" i="56"/>
  <c r="AF65" i="56"/>
  <c r="AE65" i="56"/>
  <c r="AD65" i="56"/>
  <c r="AC65" i="56"/>
  <c r="AB65" i="56"/>
  <c r="AA65" i="56"/>
  <c r="Z65" i="56"/>
  <c r="Y65" i="56"/>
  <c r="X65" i="56"/>
  <c r="W65" i="56"/>
  <c r="V65" i="56"/>
  <c r="U65" i="56"/>
  <c r="T65" i="56"/>
  <c r="S65" i="56"/>
  <c r="O65" i="56"/>
  <c r="AE64" i="56"/>
  <c r="AD64" i="56"/>
  <c r="AC64" i="56"/>
  <c r="AB64" i="56"/>
  <c r="AA64" i="56"/>
  <c r="Z64" i="56"/>
  <c r="Y64" i="56"/>
  <c r="X64" i="56"/>
  <c r="W64" i="56"/>
  <c r="V64" i="56"/>
  <c r="U64" i="56"/>
  <c r="T64" i="56"/>
  <c r="S64" i="56"/>
  <c r="O64" i="56"/>
  <c r="AG63" i="56"/>
  <c r="AF63" i="56"/>
  <c r="AE63" i="56"/>
  <c r="AD63" i="56"/>
  <c r="AC63" i="56"/>
  <c r="AB63" i="56"/>
  <c r="AA63" i="56"/>
  <c r="Z63" i="56"/>
  <c r="Y63" i="56"/>
  <c r="X63" i="56"/>
  <c r="W63" i="56"/>
  <c r="V63" i="56"/>
  <c r="U63" i="56"/>
  <c r="T63" i="56"/>
  <c r="S63" i="56"/>
  <c r="O63" i="56"/>
  <c r="AG62" i="56"/>
  <c r="AF62" i="56"/>
  <c r="AE62" i="56"/>
  <c r="AD62" i="56"/>
  <c r="AC62" i="56"/>
  <c r="AB62" i="56"/>
  <c r="AA62" i="56"/>
  <c r="Z62" i="56"/>
  <c r="Y62" i="56"/>
  <c r="X62" i="56"/>
  <c r="W62" i="56"/>
  <c r="V62" i="56"/>
  <c r="U62" i="56"/>
  <c r="T62" i="56"/>
  <c r="S62" i="56"/>
  <c r="O62" i="56"/>
  <c r="AG61" i="56"/>
  <c r="AF61" i="56"/>
  <c r="AE61" i="56"/>
  <c r="AD61" i="56"/>
  <c r="AC61" i="56"/>
  <c r="AB61" i="56"/>
  <c r="AA61" i="56"/>
  <c r="Z61" i="56"/>
  <c r="Y61" i="56"/>
  <c r="X61" i="56"/>
  <c r="W61" i="56"/>
  <c r="V61" i="56"/>
  <c r="U61" i="56"/>
  <c r="T61" i="56"/>
  <c r="S61" i="56"/>
  <c r="O61" i="56"/>
  <c r="AG60" i="56"/>
  <c r="AF60" i="56"/>
  <c r="AE60" i="56"/>
  <c r="AD60" i="56"/>
  <c r="AC60" i="56"/>
  <c r="AB60" i="56"/>
  <c r="AA60" i="56"/>
  <c r="Z60" i="56"/>
  <c r="Y60" i="56"/>
  <c r="X60" i="56"/>
  <c r="W60" i="56"/>
  <c r="V60" i="56"/>
  <c r="U60" i="56"/>
  <c r="T60" i="56"/>
  <c r="S60" i="56"/>
  <c r="O60" i="56"/>
  <c r="AG59" i="56"/>
  <c r="AF59" i="56"/>
  <c r="AE59" i="56"/>
  <c r="AD59" i="56"/>
  <c r="AC59" i="56"/>
  <c r="AB59" i="56"/>
  <c r="AA59" i="56"/>
  <c r="Z59" i="56"/>
  <c r="Y59" i="56"/>
  <c r="X59" i="56"/>
  <c r="W59" i="56"/>
  <c r="V59" i="56"/>
  <c r="U59" i="56"/>
  <c r="T59" i="56"/>
  <c r="S59" i="56"/>
  <c r="O59" i="56"/>
  <c r="AG58" i="56"/>
  <c r="AF58" i="56"/>
  <c r="AE58" i="56"/>
  <c r="AD58" i="56"/>
  <c r="AC58" i="56"/>
  <c r="AB58" i="56"/>
  <c r="AA58" i="56"/>
  <c r="Z58" i="56"/>
  <c r="Y58" i="56"/>
  <c r="X58" i="56"/>
  <c r="W58" i="56"/>
  <c r="V58" i="56"/>
  <c r="U58" i="56"/>
  <c r="T58" i="56"/>
  <c r="S58" i="56"/>
  <c r="O58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O57" i="56"/>
  <c r="AG56" i="56"/>
  <c r="AF56" i="56"/>
  <c r="AE56" i="56"/>
  <c r="AD56" i="56"/>
  <c r="AC56" i="56"/>
  <c r="AB56" i="56"/>
  <c r="AA56" i="56"/>
  <c r="Z56" i="56"/>
  <c r="Y56" i="56"/>
  <c r="X56" i="56"/>
  <c r="W56" i="56"/>
  <c r="V56" i="56"/>
  <c r="U56" i="56"/>
  <c r="T56" i="56"/>
  <c r="S56" i="56"/>
  <c r="O56" i="56"/>
  <c r="AG55" i="56"/>
  <c r="AF55" i="56"/>
  <c r="AE55" i="56"/>
  <c r="AD55" i="56"/>
  <c r="AC55" i="56"/>
  <c r="AB55" i="56"/>
  <c r="AA55" i="56"/>
  <c r="Z55" i="56"/>
  <c r="Y55" i="56"/>
  <c r="X55" i="56"/>
  <c r="W55" i="56"/>
  <c r="V55" i="56"/>
  <c r="U55" i="56"/>
  <c r="T55" i="56"/>
  <c r="S55" i="56"/>
  <c r="O55" i="56"/>
  <c r="AG54" i="56"/>
  <c r="AF54" i="56"/>
  <c r="AE54" i="56"/>
  <c r="AD54" i="56"/>
  <c r="AC54" i="56"/>
  <c r="AB54" i="56"/>
  <c r="AA54" i="56"/>
  <c r="Z54" i="56"/>
  <c r="Y54" i="56"/>
  <c r="X54" i="56"/>
  <c r="W54" i="56"/>
  <c r="V54" i="56"/>
  <c r="U54" i="56"/>
  <c r="T54" i="56"/>
  <c r="S54" i="56"/>
  <c r="O54" i="56"/>
  <c r="AG53" i="56"/>
  <c r="AF53" i="56"/>
  <c r="AE53" i="56"/>
  <c r="AD53" i="56"/>
  <c r="AC53" i="56"/>
  <c r="AB53" i="56"/>
  <c r="AA53" i="56"/>
  <c r="Z53" i="56"/>
  <c r="Y53" i="56"/>
  <c r="X53" i="56"/>
  <c r="W53" i="56"/>
  <c r="V53" i="56"/>
  <c r="U53" i="56"/>
  <c r="T53" i="56"/>
  <c r="S53" i="56"/>
  <c r="O53" i="56"/>
  <c r="AG52" i="56"/>
  <c r="AF52" i="56"/>
  <c r="AE52" i="56"/>
  <c r="AD52" i="56"/>
  <c r="AC52" i="56"/>
  <c r="AB52" i="56"/>
  <c r="AA52" i="56"/>
  <c r="Z52" i="56"/>
  <c r="Y52" i="56"/>
  <c r="X52" i="56"/>
  <c r="W52" i="56"/>
  <c r="V52" i="56"/>
  <c r="U52" i="56"/>
  <c r="T52" i="56"/>
  <c r="S52" i="56"/>
  <c r="O52" i="56"/>
  <c r="AG51" i="56"/>
  <c r="AF51" i="56"/>
  <c r="AE51" i="56"/>
  <c r="AD51" i="56"/>
  <c r="AC51" i="56"/>
  <c r="AB51" i="56"/>
  <c r="AA51" i="56"/>
  <c r="Z51" i="56"/>
  <c r="Y51" i="56"/>
  <c r="X51" i="56"/>
  <c r="W51" i="56"/>
  <c r="V51" i="56"/>
  <c r="U51" i="56"/>
  <c r="T51" i="56"/>
  <c r="S51" i="56"/>
  <c r="O51" i="56"/>
  <c r="AG50" i="56"/>
  <c r="AF50" i="56"/>
  <c r="AE50" i="56"/>
  <c r="AD50" i="56"/>
  <c r="AC50" i="56"/>
  <c r="AB50" i="56"/>
  <c r="AA50" i="56"/>
  <c r="Z50" i="56"/>
  <c r="Y50" i="56"/>
  <c r="X50" i="56"/>
  <c r="W50" i="56"/>
  <c r="V50" i="56"/>
  <c r="U50" i="56"/>
  <c r="T50" i="56"/>
  <c r="S50" i="56"/>
  <c r="O50" i="56"/>
  <c r="AG49" i="56"/>
  <c r="AF49" i="56"/>
  <c r="AE49" i="56"/>
  <c r="AD49" i="56"/>
  <c r="AC49" i="56"/>
  <c r="AB49" i="56"/>
  <c r="AA49" i="56"/>
  <c r="Z49" i="56"/>
  <c r="Y49" i="56"/>
  <c r="X49" i="56"/>
  <c r="W49" i="56"/>
  <c r="V49" i="56"/>
  <c r="U49" i="56"/>
  <c r="T49" i="56"/>
  <c r="S49" i="56"/>
  <c r="O49" i="56"/>
  <c r="AG48" i="56"/>
  <c r="AF48" i="56"/>
  <c r="AE48" i="56"/>
  <c r="AD48" i="56"/>
  <c r="AC48" i="56"/>
  <c r="AB48" i="56"/>
  <c r="AA48" i="56"/>
  <c r="Z48" i="56"/>
  <c r="Y48" i="56"/>
  <c r="X48" i="56"/>
  <c r="W48" i="56"/>
  <c r="V48" i="56"/>
  <c r="U48" i="56"/>
  <c r="T48" i="56"/>
  <c r="S48" i="56"/>
  <c r="O48" i="56"/>
  <c r="AG47" i="56"/>
  <c r="AF47" i="56"/>
  <c r="AE47" i="56"/>
  <c r="AD47" i="56"/>
  <c r="AC47" i="56"/>
  <c r="AB47" i="56"/>
  <c r="AA47" i="56"/>
  <c r="Z47" i="56"/>
  <c r="Y47" i="56"/>
  <c r="X47" i="56"/>
  <c r="W47" i="56"/>
  <c r="V47" i="56"/>
  <c r="U47" i="56"/>
  <c r="T47" i="56"/>
  <c r="S47" i="56"/>
  <c r="O47" i="56"/>
  <c r="AG46" i="56"/>
  <c r="AF46" i="56"/>
  <c r="AE46" i="56"/>
  <c r="AD46" i="56"/>
  <c r="AC46" i="56"/>
  <c r="AB46" i="56"/>
  <c r="AA46" i="56"/>
  <c r="Z46" i="56"/>
  <c r="Y46" i="56"/>
  <c r="X46" i="56"/>
  <c r="W46" i="56"/>
  <c r="V46" i="56"/>
  <c r="U46" i="56"/>
  <c r="T46" i="56"/>
  <c r="S46" i="56"/>
  <c r="O46" i="56"/>
  <c r="AG45" i="56"/>
  <c r="AF45" i="56"/>
  <c r="AE45" i="56"/>
  <c r="AD45" i="56"/>
  <c r="AC45" i="56"/>
  <c r="AB45" i="56"/>
  <c r="AA45" i="56"/>
  <c r="Z45" i="56"/>
  <c r="Y45" i="56"/>
  <c r="X45" i="56"/>
  <c r="W45" i="56"/>
  <c r="V45" i="56"/>
  <c r="U45" i="56"/>
  <c r="T45" i="56"/>
  <c r="S45" i="56"/>
  <c r="O45" i="56"/>
  <c r="AG44" i="56"/>
  <c r="AF44" i="56"/>
  <c r="AE44" i="56"/>
  <c r="AD44" i="56"/>
  <c r="AC44" i="56"/>
  <c r="AB44" i="56"/>
  <c r="AA44" i="56"/>
  <c r="Z44" i="56"/>
  <c r="Y44" i="56"/>
  <c r="X44" i="56"/>
  <c r="W44" i="56"/>
  <c r="V44" i="56"/>
  <c r="U44" i="56"/>
  <c r="T44" i="56"/>
  <c r="S44" i="56"/>
  <c r="O44" i="56"/>
  <c r="AE43" i="56"/>
  <c r="AD43" i="56"/>
  <c r="AC43" i="56"/>
  <c r="AB43" i="56"/>
  <c r="AA43" i="56"/>
  <c r="Z43" i="56"/>
  <c r="Y43" i="56"/>
  <c r="X43" i="56"/>
  <c r="W43" i="56"/>
  <c r="V43" i="56"/>
  <c r="U43" i="56"/>
  <c r="T43" i="56"/>
  <c r="S43" i="56"/>
  <c r="O43" i="56"/>
  <c r="AG42" i="56"/>
  <c r="AF42" i="56"/>
  <c r="AE42" i="56"/>
  <c r="AD42" i="56"/>
  <c r="AC42" i="56"/>
  <c r="AB42" i="56"/>
  <c r="AA42" i="56"/>
  <c r="Z42" i="56"/>
  <c r="Y42" i="56"/>
  <c r="X42" i="56"/>
  <c r="W42" i="56"/>
  <c r="V42" i="56"/>
  <c r="U42" i="56"/>
  <c r="T42" i="56"/>
  <c r="S42" i="56"/>
  <c r="O42" i="56"/>
  <c r="AG41" i="56"/>
  <c r="AF41" i="56"/>
  <c r="AE41" i="56"/>
  <c r="AD41" i="56"/>
  <c r="AC41" i="56"/>
  <c r="AB41" i="56"/>
  <c r="AA41" i="56"/>
  <c r="Z41" i="56"/>
  <c r="Y41" i="56"/>
  <c r="X41" i="56"/>
  <c r="W41" i="56"/>
  <c r="V41" i="56"/>
  <c r="U41" i="56"/>
  <c r="T41" i="56"/>
  <c r="S41" i="56"/>
  <c r="O41" i="56"/>
  <c r="AG40" i="56"/>
  <c r="AF40" i="56"/>
  <c r="AE40" i="56"/>
  <c r="AD40" i="56"/>
  <c r="AC40" i="56"/>
  <c r="AB40" i="56"/>
  <c r="AA40" i="56"/>
  <c r="Z40" i="56"/>
  <c r="Y40" i="56"/>
  <c r="X40" i="56"/>
  <c r="W40" i="56"/>
  <c r="V40" i="56"/>
  <c r="U40" i="56"/>
  <c r="T40" i="56"/>
  <c r="S40" i="56"/>
  <c r="O40" i="56"/>
  <c r="N32" i="56"/>
  <c r="M32" i="56"/>
  <c r="L32" i="56"/>
  <c r="K32" i="56"/>
  <c r="J32" i="56"/>
  <c r="I32" i="56"/>
  <c r="H32" i="56"/>
  <c r="G32" i="56"/>
  <c r="F32" i="56"/>
  <c r="E32" i="56"/>
  <c r="D32" i="56"/>
  <c r="C32" i="56"/>
  <c r="B32" i="56"/>
  <c r="AG31" i="56"/>
  <c r="AF31" i="56"/>
  <c r="AE31" i="56"/>
  <c r="AD31" i="56"/>
  <c r="AC31" i="56"/>
  <c r="AB31" i="56"/>
  <c r="AA31" i="56"/>
  <c r="Z31" i="56"/>
  <c r="Y31" i="56"/>
  <c r="X31" i="56"/>
  <c r="W31" i="56"/>
  <c r="AK167" i="73" s="1"/>
  <c r="G591" i="73" s="1"/>
  <c r="V31" i="56"/>
  <c r="AK133" i="73" s="1"/>
  <c r="G510" i="73" s="1"/>
  <c r="U31" i="56"/>
  <c r="AK99" i="73" s="1"/>
  <c r="G429" i="73" s="1"/>
  <c r="T31" i="56"/>
  <c r="AK65" i="73" s="1"/>
  <c r="G348" i="73" s="1"/>
  <c r="S31" i="56"/>
  <c r="AK31" i="73" s="1"/>
  <c r="G267" i="73" s="1"/>
  <c r="O31" i="56"/>
  <c r="AG30" i="56"/>
  <c r="AF30" i="56"/>
  <c r="AE30" i="56"/>
  <c r="AD30" i="56"/>
  <c r="AC30" i="56"/>
  <c r="AB30" i="56"/>
  <c r="AA30" i="56"/>
  <c r="Z30" i="56"/>
  <c r="Y30" i="56"/>
  <c r="X30" i="56"/>
  <c r="W30" i="56"/>
  <c r="AK166" i="73" s="1"/>
  <c r="G590" i="73" s="1"/>
  <c r="V30" i="56"/>
  <c r="AK132" i="73" s="1"/>
  <c r="G509" i="73" s="1"/>
  <c r="U30" i="56"/>
  <c r="AK98" i="73" s="1"/>
  <c r="G428" i="73" s="1"/>
  <c r="T30" i="56"/>
  <c r="AK64" i="73" s="1"/>
  <c r="G347" i="73" s="1"/>
  <c r="S30" i="56"/>
  <c r="AK30" i="73" s="1"/>
  <c r="G266" i="73" s="1"/>
  <c r="O30" i="56"/>
  <c r="AG29" i="56"/>
  <c r="AF29" i="56"/>
  <c r="AE29" i="56"/>
  <c r="AD29" i="56"/>
  <c r="AC29" i="56"/>
  <c r="AB29" i="56"/>
  <c r="AA29" i="56"/>
  <c r="Z29" i="56"/>
  <c r="Y29" i="56"/>
  <c r="X29" i="56"/>
  <c r="W29" i="56"/>
  <c r="AK165" i="73" s="1"/>
  <c r="G589" i="73" s="1"/>
  <c r="V29" i="56"/>
  <c r="AK131" i="73" s="1"/>
  <c r="G508" i="73" s="1"/>
  <c r="U29" i="56"/>
  <c r="AK97" i="73" s="1"/>
  <c r="G427" i="73" s="1"/>
  <c r="T29" i="56"/>
  <c r="AK63" i="73" s="1"/>
  <c r="G346" i="73" s="1"/>
  <c r="S29" i="56"/>
  <c r="AK29" i="73" s="1"/>
  <c r="G265" i="73" s="1"/>
  <c r="O29" i="56"/>
  <c r="AG28" i="56"/>
  <c r="AF28" i="56"/>
  <c r="AE28" i="56"/>
  <c r="AD28" i="56"/>
  <c r="AC28" i="56"/>
  <c r="AB28" i="56"/>
  <c r="AA28" i="56"/>
  <c r="Z28" i="56"/>
  <c r="Y28" i="56"/>
  <c r="X28" i="56"/>
  <c r="W28" i="56"/>
  <c r="AK164" i="73" s="1"/>
  <c r="G588" i="73" s="1"/>
  <c r="V28" i="56"/>
  <c r="AK130" i="73" s="1"/>
  <c r="G507" i="73" s="1"/>
  <c r="U28" i="56"/>
  <c r="AK96" i="73" s="1"/>
  <c r="G426" i="73" s="1"/>
  <c r="T28" i="56"/>
  <c r="AK62" i="73" s="1"/>
  <c r="G345" i="73" s="1"/>
  <c r="S28" i="56"/>
  <c r="AK28" i="73" s="1"/>
  <c r="G264" i="73" s="1"/>
  <c r="O28" i="56"/>
  <c r="AG27" i="56"/>
  <c r="AF27" i="56"/>
  <c r="AE27" i="56"/>
  <c r="AD27" i="56"/>
  <c r="AC27" i="56"/>
  <c r="AB27" i="56"/>
  <c r="AA27" i="56"/>
  <c r="Z27" i="56"/>
  <c r="Y27" i="56"/>
  <c r="X27" i="56"/>
  <c r="W27" i="56"/>
  <c r="AK163" i="73" s="1"/>
  <c r="G587" i="73" s="1"/>
  <c r="V27" i="56"/>
  <c r="AK129" i="73" s="1"/>
  <c r="G506" i="73" s="1"/>
  <c r="U27" i="56"/>
  <c r="AK95" i="73" s="1"/>
  <c r="G425" i="73" s="1"/>
  <c r="T27" i="56"/>
  <c r="AK61" i="73" s="1"/>
  <c r="G344" i="73" s="1"/>
  <c r="S27" i="56"/>
  <c r="AK27" i="73" s="1"/>
  <c r="G263" i="73" s="1"/>
  <c r="O27" i="56"/>
  <c r="AG26" i="56"/>
  <c r="AF26" i="56"/>
  <c r="AE26" i="56"/>
  <c r="AD26" i="56"/>
  <c r="AC26" i="56"/>
  <c r="AB26" i="56"/>
  <c r="AA26" i="56"/>
  <c r="Z26" i="56"/>
  <c r="Y26" i="56"/>
  <c r="X26" i="56"/>
  <c r="W26" i="56"/>
  <c r="AK162" i="73" s="1"/>
  <c r="G586" i="73" s="1"/>
  <c r="V26" i="56"/>
  <c r="AK128" i="73" s="1"/>
  <c r="G505" i="73" s="1"/>
  <c r="U26" i="56"/>
  <c r="AK94" i="73" s="1"/>
  <c r="G424" i="73" s="1"/>
  <c r="T26" i="56"/>
  <c r="AK60" i="73" s="1"/>
  <c r="G343" i="73" s="1"/>
  <c r="S26" i="56"/>
  <c r="AK26" i="73" s="1"/>
  <c r="G262" i="73" s="1"/>
  <c r="O26" i="56"/>
  <c r="AG25" i="56"/>
  <c r="AF25" i="56"/>
  <c r="AE25" i="56"/>
  <c r="AD25" i="56"/>
  <c r="AC25" i="56"/>
  <c r="AB25" i="56"/>
  <c r="AA25" i="56"/>
  <c r="Z25" i="56"/>
  <c r="Y25" i="56"/>
  <c r="X25" i="56"/>
  <c r="W25" i="56"/>
  <c r="AK161" i="73" s="1"/>
  <c r="G585" i="73" s="1"/>
  <c r="V25" i="56"/>
  <c r="AK127" i="73" s="1"/>
  <c r="G504" i="73" s="1"/>
  <c r="U25" i="56"/>
  <c r="AK93" i="73" s="1"/>
  <c r="G423" i="73" s="1"/>
  <c r="T25" i="56"/>
  <c r="AK59" i="73" s="1"/>
  <c r="G342" i="73" s="1"/>
  <c r="S25" i="56"/>
  <c r="AK25" i="73" s="1"/>
  <c r="G261" i="73" s="1"/>
  <c r="O25" i="56"/>
  <c r="AG24" i="56"/>
  <c r="AF24" i="56"/>
  <c r="AE24" i="56"/>
  <c r="AD24" i="56"/>
  <c r="AC24" i="56"/>
  <c r="AB24" i="56"/>
  <c r="AA24" i="56"/>
  <c r="Z24" i="56"/>
  <c r="Y24" i="56"/>
  <c r="X24" i="56"/>
  <c r="W24" i="56"/>
  <c r="AK160" i="73" s="1"/>
  <c r="G584" i="73" s="1"/>
  <c r="V24" i="56"/>
  <c r="AK126" i="73" s="1"/>
  <c r="G503" i="73" s="1"/>
  <c r="U24" i="56"/>
  <c r="AK92" i="73" s="1"/>
  <c r="G422" i="73" s="1"/>
  <c r="T24" i="56"/>
  <c r="AK58" i="73" s="1"/>
  <c r="G341" i="73" s="1"/>
  <c r="S24" i="56"/>
  <c r="AK24" i="73" s="1"/>
  <c r="G260" i="73" s="1"/>
  <c r="O24" i="56"/>
  <c r="AG23" i="56"/>
  <c r="AF23" i="56"/>
  <c r="AE23" i="56"/>
  <c r="AD23" i="56"/>
  <c r="AC23" i="56"/>
  <c r="AB23" i="56"/>
  <c r="AA23" i="56"/>
  <c r="Z23" i="56"/>
  <c r="Y23" i="56"/>
  <c r="X23" i="56"/>
  <c r="W23" i="56"/>
  <c r="AK159" i="73" s="1"/>
  <c r="G583" i="73" s="1"/>
  <c r="V23" i="56"/>
  <c r="AK125" i="73" s="1"/>
  <c r="G502" i="73" s="1"/>
  <c r="U23" i="56"/>
  <c r="AK91" i="73" s="1"/>
  <c r="G421" i="73" s="1"/>
  <c r="T23" i="56"/>
  <c r="AK57" i="73" s="1"/>
  <c r="G340" i="73" s="1"/>
  <c r="S23" i="56"/>
  <c r="AK23" i="73" s="1"/>
  <c r="G259" i="73" s="1"/>
  <c r="O23" i="56"/>
  <c r="AG22" i="56"/>
  <c r="AF22" i="56"/>
  <c r="AE22" i="56"/>
  <c r="AD22" i="56"/>
  <c r="AC22" i="56"/>
  <c r="AB22" i="56"/>
  <c r="AA22" i="56"/>
  <c r="Z22" i="56"/>
  <c r="Y22" i="56"/>
  <c r="X22" i="56"/>
  <c r="W22" i="56"/>
  <c r="AK158" i="73" s="1"/>
  <c r="G582" i="73" s="1"/>
  <c r="V22" i="56"/>
  <c r="AK124" i="73" s="1"/>
  <c r="G501" i="73" s="1"/>
  <c r="U22" i="56"/>
  <c r="AK90" i="73" s="1"/>
  <c r="G420" i="73" s="1"/>
  <c r="T22" i="56"/>
  <c r="AK56" i="73" s="1"/>
  <c r="G339" i="73" s="1"/>
  <c r="S22" i="56"/>
  <c r="AK22" i="73" s="1"/>
  <c r="G258" i="73" s="1"/>
  <c r="O22" i="56"/>
  <c r="AG21" i="56"/>
  <c r="AF21" i="56"/>
  <c r="AE21" i="56"/>
  <c r="AD21" i="56"/>
  <c r="AC21" i="56"/>
  <c r="AB21" i="56"/>
  <c r="AA21" i="56"/>
  <c r="Z21" i="56"/>
  <c r="Y21" i="56"/>
  <c r="X21" i="56"/>
  <c r="W21" i="56"/>
  <c r="AK157" i="73" s="1"/>
  <c r="G581" i="73" s="1"/>
  <c r="V21" i="56"/>
  <c r="AK123" i="73" s="1"/>
  <c r="G500" i="73" s="1"/>
  <c r="U21" i="56"/>
  <c r="AK89" i="73" s="1"/>
  <c r="G419" i="73" s="1"/>
  <c r="T21" i="56"/>
  <c r="AK55" i="73" s="1"/>
  <c r="G338" i="73" s="1"/>
  <c r="S21" i="56"/>
  <c r="AK21" i="73" s="1"/>
  <c r="G257" i="73" s="1"/>
  <c r="O21" i="56"/>
  <c r="AG20" i="56"/>
  <c r="AF20" i="56"/>
  <c r="AE20" i="56"/>
  <c r="AD20" i="56"/>
  <c r="AC20" i="56"/>
  <c r="AB20" i="56"/>
  <c r="AA20" i="56"/>
  <c r="Z20" i="56"/>
  <c r="Y20" i="56"/>
  <c r="X20" i="56"/>
  <c r="W20" i="56"/>
  <c r="AK156" i="73" s="1"/>
  <c r="G580" i="73" s="1"/>
  <c r="V20" i="56"/>
  <c r="AK122" i="73" s="1"/>
  <c r="G499" i="73" s="1"/>
  <c r="U20" i="56"/>
  <c r="AK88" i="73" s="1"/>
  <c r="G418" i="73" s="1"/>
  <c r="T20" i="56"/>
  <c r="AK54" i="73" s="1"/>
  <c r="G337" i="73" s="1"/>
  <c r="S20" i="56"/>
  <c r="AK20" i="73" s="1"/>
  <c r="G256" i="73" s="1"/>
  <c r="O20" i="56"/>
  <c r="AG19" i="56"/>
  <c r="AF19" i="56"/>
  <c r="AE19" i="56"/>
  <c r="AD19" i="56"/>
  <c r="AC19" i="56"/>
  <c r="AB19" i="56"/>
  <c r="AA19" i="56"/>
  <c r="Z19" i="56"/>
  <c r="Y19" i="56"/>
  <c r="X19" i="56"/>
  <c r="W19" i="56"/>
  <c r="AK155" i="73" s="1"/>
  <c r="G579" i="73" s="1"/>
  <c r="V19" i="56"/>
  <c r="AK121" i="73" s="1"/>
  <c r="G498" i="73" s="1"/>
  <c r="U19" i="56"/>
  <c r="AK87" i="73" s="1"/>
  <c r="G417" i="73" s="1"/>
  <c r="T19" i="56"/>
  <c r="AK53" i="73" s="1"/>
  <c r="G336" i="73" s="1"/>
  <c r="S19" i="56"/>
  <c r="AK19" i="73" s="1"/>
  <c r="G255" i="73" s="1"/>
  <c r="O19" i="56"/>
  <c r="AG18" i="56"/>
  <c r="AF18" i="56"/>
  <c r="AE18" i="56"/>
  <c r="AD18" i="56"/>
  <c r="AC18" i="56"/>
  <c r="AB18" i="56"/>
  <c r="AA18" i="56"/>
  <c r="Z18" i="56"/>
  <c r="Y18" i="56"/>
  <c r="X18" i="56"/>
  <c r="W18" i="56"/>
  <c r="AK154" i="73" s="1"/>
  <c r="G578" i="73" s="1"/>
  <c r="V18" i="56"/>
  <c r="AK120" i="73" s="1"/>
  <c r="G497" i="73" s="1"/>
  <c r="U18" i="56"/>
  <c r="AK86" i="73" s="1"/>
  <c r="G416" i="73" s="1"/>
  <c r="T18" i="56"/>
  <c r="AK52" i="73" s="1"/>
  <c r="G335" i="73" s="1"/>
  <c r="S18" i="56"/>
  <c r="AK18" i="73" s="1"/>
  <c r="G254" i="73" s="1"/>
  <c r="O18" i="56"/>
  <c r="AG17" i="56"/>
  <c r="AF17" i="56"/>
  <c r="AE17" i="56"/>
  <c r="AD17" i="56"/>
  <c r="AC17" i="56"/>
  <c r="AB17" i="56"/>
  <c r="AA17" i="56"/>
  <c r="Z17" i="56"/>
  <c r="Y17" i="56"/>
  <c r="X17" i="56"/>
  <c r="W17" i="56"/>
  <c r="AK153" i="73" s="1"/>
  <c r="G577" i="73" s="1"/>
  <c r="V17" i="56"/>
  <c r="AK119" i="73" s="1"/>
  <c r="G496" i="73" s="1"/>
  <c r="U17" i="56"/>
  <c r="AK85" i="73" s="1"/>
  <c r="G415" i="73" s="1"/>
  <c r="T17" i="56"/>
  <c r="AK51" i="73" s="1"/>
  <c r="G334" i="73" s="1"/>
  <c r="S17" i="56"/>
  <c r="AK17" i="73" s="1"/>
  <c r="G253" i="73" s="1"/>
  <c r="O17" i="56"/>
  <c r="AG16" i="56"/>
  <c r="AF16" i="56"/>
  <c r="AE16" i="56"/>
  <c r="AD16" i="56"/>
  <c r="AC16" i="56"/>
  <c r="AB16" i="56"/>
  <c r="AA16" i="56"/>
  <c r="Z16" i="56"/>
  <c r="Y16" i="56"/>
  <c r="X16" i="56"/>
  <c r="W16" i="56"/>
  <c r="AK152" i="73" s="1"/>
  <c r="G576" i="73" s="1"/>
  <c r="V16" i="56"/>
  <c r="AK118" i="73" s="1"/>
  <c r="G495" i="73" s="1"/>
  <c r="U16" i="56"/>
  <c r="AK84" i="73" s="1"/>
  <c r="G414" i="73" s="1"/>
  <c r="T16" i="56"/>
  <c r="AK50" i="73" s="1"/>
  <c r="G333" i="73" s="1"/>
  <c r="S16" i="56"/>
  <c r="AK16" i="73" s="1"/>
  <c r="G252" i="73" s="1"/>
  <c r="O16" i="56"/>
  <c r="AG15" i="56"/>
  <c r="AF15" i="56"/>
  <c r="AE15" i="56"/>
  <c r="AD15" i="56"/>
  <c r="AC15" i="56"/>
  <c r="AB15" i="56"/>
  <c r="AA15" i="56"/>
  <c r="Z15" i="56"/>
  <c r="Y15" i="56"/>
  <c r="X15" i="56"/>
  <c r="W15" i="56"/>
  <c r="AK151" i="73" s="1"/>
  <c r="G575" i="73" s="1"/>
  <c r="V15" i="56"/>
  <c r="AK117" i="73" s="1"/>
  <c r="G494" i="73" s="1"/>
  <c r="U15" i="56"/>
  <c r="AK83" i="73" s="1"/>
  <c r="G413" i="73" s="1"/>
  <c r="T15" i="56"/>
  <c r="AK49" i="73" s="1"/>
  <c r="G332" i="73" s="1"/>
  <c r="S15" i="56"/>
  <c r="AK15" i="73" s="1"/>
  <c r="G251" i="73" s="1"/>
  <c r="O15" i="56"/>
  <c r="AG14" i="56"/>
  <c r="AF14" i="56"/>
  <c r="AE14" i="56"/>
  <c r="AD14" i="56"/>
  <c r="AC14" i="56"/>
  <c r="AB14" i="56"/>
  <c r="AA14" i="56"/>
  <c r="Z14" i="56"/>
  <c r="Y14" i="56"/>
  <c r="X14" i="56"/>
  <c r="W14" i="56"/>
  <c r="AK150" i="73" s="1"/>
  <c r="G574" i="73" s="1"/>
  <c r="V14" i="56"/>
  <c r="AK116" i="73" s="1"/>
  <c r="G493" i="73" s="1"/>
  <c r="U14" i="56"/>
  <c r="AK82" i="73" s="1"/>
  <c r="G412" i="73" s="1"/>
  <c r="T14" i="56"/>
  <c r="AK48" i="73" s="1"/>
  <c r="G331" i="73" s="1"/>
  <c r="S14" i="56"/>
  <c r="AK14" i="73" s="1"/>
  <c r="G250" i="73" s="1"/>
  <c r="O14" i="56"/>
  <c r="AG13" i="56"/>
  <c r="AF13" i="56"/>
  <c r="AE13" i="56"/>
  <c r="AD13" i="56"/>
  <c r="AC13" i="56"/>
  <c r="AB13" i="56"/>
  <c r="AA13" i="56"/>
  <c r="Z13" i="56"/>
  <c r="Y13" i="56"/>
  <c r="X13" i="56"/>
  <c r="W13" i="56"/>
  <c r="AK149" i="73" s="1"/>
  <c r="G573" i="73" s="1"/>
  <c r="V13" i="56"/>
  <c r="AK115" i="73" s="1"/>
  <c r="G492" i="73" s="1"/>
  <c r="U13" i="56"/>
  <c r="AK81" i="73" s="1"/>
  <c r="G411" i="73" s="1"/>
  <c r="T13" i="56"/>
  <c r="AK47" i="73" s="1"/>
  <c r="G330" i="73" s="1"/>
  <c r="S13" i="56"/>
  <c r="AK13" i="73" s="1"/>
  <c r="G249" i="73" s="1"/>
  <c r="O13" i="56"/>
  <c r="AG12" i="56"/>
  <c r="AF12" i="56"/>
  <c r="AE12" i="56"/>
  <c r="AD12" i="56"/>
  <c r="AC12" i="56"/>
  <c r="AB12" i="56"/>
  <c r="AA12" i="56"/>
  <c r="Z12" i="56"/>
  <c r="Y12" i="56"/>
  <c r="X12" i="56"/>
  <c r="W12" i="56"/>
  <c r="AK148" i="73" s="1"/>
  <c r="G572" i="73" s="1"/>
  <c r="V12" i="56"/>
  <c r="AK114" i="73" s="1"/>
  <c r="G491" i="73" s="1"/>
  <c r="U12" i="56"/>
  <c r="AK80" i="73" s="1"/>
  <c r="G410" i="73" s="1"/>
  <c r="T12" i="56"/>
  <c r="AK46" i="73" s="1"/>
  <c r="G329" i="73" s="1"/>
  <c r="S12" i="56"/>
  <c r="AK12" i="73" s="1"/>
  <c r="G248" i="73" s="1"/>
  <c r="O12" i="56"/>
  <c r="AG11" i="56"/>
  <c r="AF11" i="56"/>
  <c r="AE11" i="56"/>
  <c r="AD11" i="56"/>
  <c r="AC11" i="56"/>
  <c r="AB11" i="56"/>
  <c r="AA11" i="56"/>
  <c r="Z11" i="56"/>
  <c r="Y11" i="56"/>
  <c r="X11" i="56"/>
  <c r="W11" i="56"/>
  <c r="AK147" i="73" s="1"/>
  <c r="G571" i="73" s="1"/>
  <c r="V11" i="56"/>
  <c r="AK113" i="73" s="1"/>
  <c r="G490" i="73" s="1"/>
  <c r="U11" i="56"/>
  <c r="AK79" i="73" s="1"/>
  <c r="G409" i="73" s="1"/>
  <c r="T11" i="56"/>
  <c r="AK45" i="73" s="1"/>
  <c r="G328" i="73" s="1"/>
  <c r="S11" i="56"/>
  <c r="AK11" i="73" s="1"/>
  <c r="G247" i="73" s="1"/>
  <c r="O11" i="56"/>
  <c r="AG10" i="56"/>
  <c r="AF10" i="56"/>
  <c r="AE10" i="56"/>
  <c r="AD10" i="56"/>
  <c r="AC10" i="56"/>
  <c r="AB10" i="56"/>
  <c r="AA10" i="56"/>
  <c r="Z10" i="56"/>
  <c r="Y10" i="56"/>
  <c r="X10" i="56"/>
  <c r="W10" i="56"/>
  <c r="AK146" i="73" s="1"/>
  <c r="G570" i="73" s="1"/>
  <c r="V10" i="56"/>
  <c r="AK112" i="73" s="1"/>
  <c r="G489" i="73" s="1"/>
  <c r="U10" i="56"/>
  <c r="AK78" i="73" s="1"/>
  <c r="G408" i="73" s="1"/>
  <c r="T10" i="56"/>
  <c r="AK44" i="73" s="1"/>
  <c r="G327" i="73" s="1"/>
  <c r="S10" i="56"/>
  <c r="AK10" i="73" s="1"/>
  <c r="G246" i="73" s="1"/>
  <c r="O10" i="56"/>
  <c r="AG9" i="56"/>
  <c r="AF9" i="56"/>
  <c r="AE9" i="56"/>
  <c r="AD9" i="56"/>
  <c r="AC9" i="56"/>
  <c r="AB9" i="56"/>
  <c r="AA9" i="56"/>
  <c r="Z9" i="56"/>
  <c r="Y9" i="56"/>
  <c r="X9" i="56"/>
  <c r="W9" i="56"/>
  <c r="AK145" i="73" s="1"/>
  <c r="G569" i="73" s="1"/>
  <c r="V9" i="56"/>
  <c r="AK111" i="73" s="1"/>
  <c r="G488" i="73" s="1"/>
  <c r="U9" i="56"/>
  <c r="AK77" i="73" s="1"/>
  <c r="G407" i="73" s="1"/>
  <c r="T9" i="56"/>
  <c r="AK43" i="73" s="1"/>
  <c r="G326" i="73" s="1"/>
  <c r="S9" i="56"/>
  <c r="AK9" i="73" s="1"/>
  <c r="G245" i="73" s="1"/>
  <c r="O9" i="56"/>
  <c r="AG8" i="56"/>
  <c r="AF8" i="56"/>
  <c r="AE8" i="56"/>
  <c r="AD8" i="56"/>
  <c r="AC8" i="56"/>
  <c r="AB8" i="56"/>
  <c r="AA8" i="56"/>
  <c r="Z8" i="56"/>
  <c r="Y8" i="56"/>
  <c r="X8" i="56"/>
  <c r="W8" i="56"/>
  <c r="AK144" i="73" s="1"/>
  <c r="G568" i="73" s="1"/>
  <c r="V8" i="56"/>
  <c r="AK110" i="73" s="1"/>
  <c r="G487" i="73" s="1"/>
  <c r="U8" i="56"/>
  <c r="AK76" i="73" s="1"/>
  <c r="G406" i="73" s="1"/>
  <c r="T8" i="56"/>
  <c r="AK42" i="73" s="1"/>
  <c r="G325" i="73" s="1"/>
  <c r="S8" i="56"/>
  <c r="AK8" i="73" s="1"/>
  <c r="G244" i="73" s="1"/>
  <c r="O8" i="56"/>
  <c r="AG7" i="56"/>
  <c r="AF7" i="56"/>
  <c r="AE7" i="56"/>
  <c r="AD7" i="56"/>
  <c r="AC7" i="56"/>
  <c r="AB7" i="56"/>
  <c r="AA7" i="56"/>
  <c r="Z7" i="56"/>
  <c r="Y7" i="56"/>
  <c r="X7" i="56"/>
  <c r="W7" i="56"/>
  <c r="AK143" i="73" s="1"/>
  <c r="G567" i="73" s="1"/>
  <c r="V7" i="56"/>
  <c r="AK109" i="73" s="1"/>
  <c r="G486" i="73" s="1"/>
  <c r="U7" i="56"/>
  <c r="AK75" i="73" s="1"/>
  <c r="G405" i="73" s="1"/>
  <c r="T7" i="56"/>
  <c r="AK41" i="73" s="1"/>
  <c r="G324" i="73" s="1"/>
  <c r="S7" i="56"/>
  <c r="AK7" i="73" s="1"/>
  <c r="G243" i="73" s="1"/>
  <c r="O7" i="56"/>
  <c r="AG6" i="56"/>
  <c r="AF6" i="56"/>
  <c r="AE6" i="56"/>
  <c r="AD6" i="56"/>
  <c r="AC6" i="56"/>
  <c r="AB6" i="56"/>
  <c r="AA6" i="56"/>
  <c r="Z6" i="56"/>
  <c r="Y6" i="56"/>
  <c r="X6" i="56"/>
  <c r="W6" i="56"/>
  <c r="AK142" i="73" s="1"/>
  <c r="G566" i="73" s="1"/>
  <c r="V6" i="56"/>
  <c r="AK108" i="73" s="1"/>
  <c r="G485" i="73" s="1"/>
  <c r="U6" i="56"/>
  <c r="AK74" i="73" s="1"/>
  <c r="G404" i="73" s="1"/>
  <c r="T6" i="56"/>
  <c r="AK40" i="73" s="1"/>
  <c r="G323" i="73" s="1"/>
  <c r="S6" i="56"/>
  <c r="AK6" i="73" s="1"/>
  <c r="G242" i="73" s="1"/>
  <c r="O6" i="56"/>
  <c r="AG5" i="56"/>
  <c r="AG32" i="56" s="1"/>
  <c r="AF5" i="56"/>
  <c r="AF32" i="56" s="1"/>
  <c r="AE5" i="56"/>
  <c r="AE32" i="56" s="1"/>
  <c r="AD5" i="56"/>
  <c r="AD32" i="56" s="1"/>
  <c r="AC5" i="56"/>
  <c r="AC32" i="56" s="1"/>
  <c r="AB5" i="56"/>
  <c r="AA5" i="56"/>
  <c r="AA32" i="56" s="1"/>
  <c r="Z5" i="56"/>
  <c r="Z32" i="56" s="1"/>
  <c r="Y5" i="56"/>
  <c r="X5" i="56"/>
  <c r="W5" i="56"/>
  <c r="V5" i="56"/>
  <c r="U5" i="56"/>
  <c r="T5" i="56"/>
  <c r="S5" i="56"/>
  <c r="O5" i="56"/>
  <c r="Z134" i="57"/>
  <c r="Y134" i="57"/>
  <c r="Z133" i="57"/>
  <c r="Y133" i="57"/>
  <c r="Z132" i="57"/>
  <c r="Y132" i="57"/>
  <c r="Z131" i="57"/>
  <c r="Y131" i="57"/>
  <c r="Z130" i="57"/>
  <c r="Y130" i="57"/>
  <c r="Z129" i="57"/>
  <c r="Y129" i="57"/>
  <c r="Z128" i="57"/>
  <c r="Y128" i="57"/>
  <c r="Z127" i="57"/>
  <c r="Y127" i="57"/>
  <c r="Z126" i="57"/>
  <c r="Y126" i="57"/>
  <c r="Z125" i="57"/>
  <c r="Y125" i="57"/>
  <c r="Z124" i="57"/>
  <c r="Y124" i="57"/>
  <c r="Z123" i="57"/>
  <c r="Y123" i="57"/>
  <c r="Z122" i="57"/>
  <c r="Y122" i="57"/>
  <c r="Z121" i="57"/>
  <c r="Y121" i="57"/>
  <c r="Z120" i="57"/>
  <c r="Y120" i="57"/>
  <c r="Z119" i="57"/>
  <c r="Y119" i="57"/>
  <c r="Z118" i="57"/>
  <c r="Y118" i="57"/>
  <c r="Z117" i="57"/>
  <c r="Y117" i="57"/>
  <c r="Z116" i="57"/>
  <c r="Y116" i="57"/>
  <c r="Z115" i="57"/>
  <c r="Y115" i="57"/>
  <c r="Z114" i="57"/>
  <c r="Y114" i="57"/>
  <c r="Z113" i="57"/>
  <c r="Y113" i="57"/>
  <c r="Z112" i="57"/>
  <c r="Y112" i="57"/>
  <c r="Z111" i="57"/>
  <c r="Y111" i="57"/>
  <c r="Z110" i="57"/>
  <c r="Y110" i="57"/>
  <c r="Z109" i="57"/>
  <c r="Y109" i="57"/>
  <c r="Z108" i="57"/>
  <c r="Y108" i="57"/>
  <c r="AG102" i="57"/>
  <c r="AF102" i="57"/>
  <c r="AE102" i="57"/>
  <c r="AD102" i="57"/>
  <c r="AC102" i="57"/>
  <c r="AB102" i="57"/>
  <c r="AA102" i="57"/>
  <c r="Z102" i="57"/>
  <c r="Y102" i="57"/>
  <c r="X102" i="57"/>
  <c r="W102" i="57"/>
  <c r="V102" i="57"/>
  <c r="U102" i="57"/>
  <c r="T102" i="57"/>
  <c r="S102" i="57"/>
  <c r="AH101" i="57"/>
  <c r="N101" i="57"/>
  <c r="X134" i="57" s="1"/>
  <c r="M101" i="57"/>
  <c r="W134" i="57" s="1"/>
  <c r="L101" i="57"/>
  <c r="V134" i="57" s="1"/>
  <c r="K101" i="57"/>
  <c r="U134" i="57" s="1"/>
  <c r="J101" i="57"/>
  <c r="T134" i="57" s="1"/>
  <c r="I101" i="57"/>
  <c r="S134" i="57" s="1"/>
  <c r="H101" i="57"/>
  <c r="R134" i="57" s="1"/>
  <c r="G101" i="57"/>
  <c r="Q134" i="57" s="1"/>
  <c r="F101" i="57"/>
  <c r="P134" i="57" s="1"/>
  <c r="E101" i="57"/>
  <c r="O134" i="57" s="1"/>
  <c r="D101" i="57"/>
  <c r="N134" i="57" s="1"/>
  <c r="C101" i="57"/>
  <c r="M134" i="57" s="1"/>
  <c r="B101" i="57"/>
  <c r="L134" i="57" s="1"/>
  <c r="N100" i="57"/>
  <c r="X133" i="57" s="1"/>
  <c r="M100" i="57"/>
  <c r="W133" i="57" s="1"/>
  <c r="L100" i="57"/>
  <c r="V133" i="57" s="1"/>
  <c r="K100" i="57"/>
  <c r="U133" i="57" s="1"/>
  <c r="J100" i="57"/>
  <c r="T133" i="57" s="1"/>
  <c r="I100" i="57"/>
  <c r="S133" i="57" s="1"/>
  <c r="H100" i="57"/>
  <c r="R133" i="57" s="1"/>
  <c r="G100" i="57"/>
  <c r="Q133" i="57" s="1"/>
  <c r="F100" i="57"/>
  <c r="P133" i="57" s="1"/>
  <c r="E100" i="57"/>
  <c r="O133" i="57" s="1"/>
  <c r="D100" i="57"/>
  <c r="N133" i="57" s="1"/>
  <c r="C100" i="57"/>
  <c r="B100" i="57"/>
  <c r="L133" i="57" s="1"/>
  <c r="AH99" i="57"/>
  <c r="N99" i="57"/>
  <c r="X132" i="57" s="1"/>
  <c r="M99" i="57"/>
  <c r="W132" i="57" s="1"/>
  <c r="L99" i="57"/>
  <c r="V132" i="57" s="1"/>
  <c r="K99" i="57"/>
  <c r="U132" i="57" s="1"/>
  <c r="J99" i="57"/>
  <c r="T132" i="57" s="1"/>
  <c r="I99" i="57"/>
  <c r="S132" i="57" s="1"/>
  <c r="H99" i="57"/>
  <c r="R132" i="57" s="1"/>
  <c r="G99" i="57"/>
  <c r="Q132" i="57" s="1"/>
  <c r="F99" i="57"/>
  <c r="P132" i="57" s="1"/>
  <c r="E99" i="57"/>
  <c r="O132" i="57" s="1"/>
  <c r="D99" i="57"/>
  <c r="N132" i="57" s="1"/>
  <c r="C99" i="57"/>
  <c r="M132" i="57" s="1"/>
  <c r="B99" i="57"/>
  <c r="L132" i="57" s="1"/>
  <c r="AH98" i="57"/>
  <c r="N98" i="57"/>
  <c r="X131" i="57" s="1"/>
  <c r="M98" i="57"/>
  <c r="W131" i="57" s="1"/>
  <c r="L98" i="57"/>
  <c r="V131" i="57" s="1"/>
  <c r="K98" i="57"/>
  <c r="U131" i="57" s="1"/>
  <c r="J98" i="57"/>
  <c r="T131" i="57" s="1"/>
  <c r="I98" i="57"/>
  <c r="S131" i="57" s="1"/>
  <c r="H98" i="57"/>
  <c r="R131" i="57" s="1"/>
  <c r="G98" i="57"/>
  <c r="Q131" i="57" s="1"/>
  <c r="F98" i="57"/>
  <c r="P131" i="57" s="1"/>
  <c r="E98" i="57"/>
  <c r="O131" i="57" s="1"/>
  <c r="D98" i="57"/>
  <c r="N131" i="57" s="1"/>
  <c r="C98" i="57"/>
  <c r="B98" i="57"/>
  <c r="L131" i="57" s="1"/>
  <c r="AH97" i="57"/>
  <c r="N97" i="57"/>
  <c r="X130" i="57" s="1"/>
  <c r="M97" i="57"/>
  <c r="W130" i="57" s="1"/>
  <c r="L97" i="57"/>
  <c r="V130" i="57" s="1"/>
  <c r="K97" i="57"/>
  <c r="U130" i="57" s="1"/>
  <c r="J97" i="57"/>
  <c r="T130" i="57" s="1"/>
  <c r="I97" i="57"/>
  <c r="S130" i="57" s="1"/>
  <c r="H97" i="57"/>
  <c r="R130" i="57" s="1"/>
  <c r="G97" i="57"/>
  <c r="Q130" i="57" s="1"/>
  <c r="F97" i="57"/>
  <c r="P130" i="57" s="1"/>
  <c r="E97" i="57"/>
  <c r="O130" i="57" s="1"/>
  <c r="D97" i="57"/>
  <c r="N130" i="57" s="1"/>
  <c r="C97" i="57"/>
  <c r="M130" i="57" s="1"/>
  <c r="B97" i="57"/>
  <c r="L130" i="57" s="1"/>
  <c r="AH96" i="57"/>
  <c r="N96" i="57"/>
  <c r="X129" i="57" s="1"/>
  <c r="M96" i="57"/>
  <c r="W129" i="57" s="1"/>
  <c r="L96" i="57"/>
  <c r="V129" i="57" s="1"/>
  <c r="K96" i="57"/>
  <c r="U129" i="57" s="1"/>
  <c r="J96" i="57"/>
  <c r="T129" i="57" s="1"/>
  <c r="I96" i="57"/>
  <c r="S129" i="57" s="1"/>
  <c r="H96" i="57"/>
  <c r="R129" i="57" s="1"/>
  <c r="G96" i="57"/>
  <c r="Q129" i="57" s="1"/>
  <c r="F96" i="57"/>
  <c r="P129" i="57" s="1"/>
  <c r="E96" i="57"/>
  <c r="O129" i="57" s="1"/>
  <c r="D96" i="57"/>
  <c r="N129" i="57" s="1"/>
  <c r="C96" i="57"/>
  <c r="B96" i="57"/>
  <c r="L129" i="57" s="1"/>
  <c r="AH95" i="57"/>
  <c r="N95" i="57"/>
  <c r="X128" i="57" s="1"/>
  <c r="M95" i="57"/>
  <c r="W128" i="57" s="1"/>
  <c r="L95" i="57"/>
  <c r="V128" i="57" s="1"/>
  <c r="K95" i="57"/>
  <c r="U128" i="57" s="1"/>
  <c r="J95" i="57"/>
  <c r="T128" i="57" s="1"/>
  <c r="I95" i="57"/>
  <c r="S128" i="57" s="1"/>
  <c r="H95" i="57"/>
  <c r="R128" i="57" s="1"/>
  <c r="G95" i="57"/>
  <c r="Q128" i="57" s="1"/>
  <c r="F95" i="57"/>
  <c r="P128" i="57" s="1"/>
  <c r="E95" i="57"/>
  <c r="O128" i="57" s="1"/>
  <c r="D95" i="57"/>
  <c r="N128" i="57" s="1"/>
  <c r="C95" i="57"/>
  <c r="M128" i="57" s="1"/>
  <c r="B95" i="57"/>
  <c r="L128" i="57" s="1"/>
  <c r="AH94" i="57"/>
  <c r="N94" i="57"/>
  <c r="X127" i="57" s="1"/>
  <c r="M94" i="57"/>
  <c r="W127" i="57" s="1"/>
  <c r="L94" i="57"/>
  <c r="V127" i="57" s="1"/>
  <c r="K94" i="57"/>
  <c r="U127" i="57" s="1"/>
  <c r="J94" i="57"/>
  <c r="T127" i="57" s="1"/>
  <c r="I94" i="57"/>
  <c r="S127" i="57" s="1"/>
  <c r="H94" i="57"/>
  <c r="R127" i="57" s="1"/>
  <c r="G94" i="57"/>
  <c r="Q127" i="57" s="1"/>
  <c r="F94" i="57"/>
  <c r="P127" i="57" s="1"/>
  <c r="E94" i="57"/>
  <c r="O127" i="57" s="1"/>
  <c r="D94" i="57"/>
  <c r="N127" i="57" s="1"/>
  <c r="C94" i="57"/>
  <c r="B94" i="57"/>
  <c r="L127" i="57" s="1"/>
  <c r="AH93" i="57"/>
  <c r="N93" i="57"/>
  <c r="X126" i="57" s="1"/>
  <c r="M93" i="57"/>
  <c r="W126" i="57" s="1"/>
  <c r="L93" i="57"/>
  <c r="V126" i="57" s="1"/>
  <c r="K93" i="57"/>
  <c r="U126" i="57" s="1"/>
  <c r="J93" i="57"/>
  <c r="T126" i="57" s="1"/>
  <c r="I93" i="57"/>
  <c r="S126" i="57" s="1"/>
  <c r="H93" i="57"/>
  <c r="R126" i="57" s="1"/>
  <c r="G93" i="57"/>
  <c r="Q126" i="57" s="1"/>
  <c r="F93" i="57"/>
  <c r="P126" i="57" s="1"/>
  <c r="E93" i="57"/>
  <c r="O126" i="57" s="1"/>
  <c r="D93" i="57"/>
  <c r="N126" i="57" s="1"/>
  <c r="C93" i="57"/>
  <c r="M126" i="57" s="1"/>
  <c r="B93" i="57"/>
  <c r="L126" i="57" s="1"/>
  <c r="AH92" i="57"/>
  <c r="N92" i="57"/>
  <c r="X125" i="57" s="1"/>
  <c r="M92" i="57"/>
  <c r="W125" i="57" s="1"/>
  <c r="L92" i="57"/>
  <c r="V125" i="57" s="1"/>
  <c r="K92" i="57"/>
  <c r="U125" i="57" s="1"/>
  <c r="J92" i="57"/>
  <c r="T125" i="57" s="1"/>
  <c r="I92" i="57"/>
  <c r="S125" i="57" s="1"/>
  <c r="H92" i="57"/>
  <c r="R125" i="57" s="1"/>
  <c r="G92" i="57"/>
  <c r="Q125" i="57" s="1"/>
  <c r="F92" i="57"/>
  <c r="P125" i="57" s="1"/>
  <c r="E92" i="57"/>
  <c r="O125" i="57" s="1"/>
  <c r="D92" i="57"/>
  <c r="N125" i="57" s="1"/>
  <c r="C92" i="57"/>
  <c r="B92" i="57"/>
  <c r="L125" i="57" s="1"/>
  <c r="AH91" i="57"/>
  <c r="N91" i="57"/>
  <c r="X124" i="57" s="1"/>
  <c r="M91" i="57"/>
  <c r="W124" i="57" s="1"/>
  <c r="L91" i="57"/>
  <c r="V124" i="57" s="1"/>
  <c r="K91" i="57"/>
  <c r="U124" i="57" s="1"/>
  <c r="J91" i="57"/>
  <c r="T124" i="57" s="1"/>
  <c r="I91" i="57"/>
  <c r="S124" i="57" s="1"/>
  <c r="H91" i="57"/>
  <c r="R124" i="57" s="1"/>
  <c r="G91" i="57"/>
  <c r="Q124" i="57" s="1"/>
  <c r="F91" i="57"/>
  <c r="P124" i="57" s="1"/>
  <c r="E91" i="57"/>
  <c r="O124" i="57" s="1"/>
  <c r="D91" i="57"/>
  <c r="N124" i="57" s="1"/>
  <c r="C91" i="57"/>
  <c r="M124" i="57" s="1"/>
  <c r="B91" i="57"/>
  <c r="L124" i="57" s="1"/>
  <c r="AH90" i="57"/>
  <c r="N90" i="57"/>
  <c r="X123" i="57" s="1"/>
  <c r="M90" i="57"/>
  <c r="W123" i="57" s="1"/>
  <c r="L90" i="57"/>
  <c r="V123" i="57" s="1"/>
  <c r="K90" i="57"/>
  <c r="U123" i="57" s="1"/>
  <c r="J90" i="57"/>
  <c r="T123" i="57" s="1"/>
  <c r="I90" i="57"/>
  <c r="S123" i="57" s="1"/>
  <c r="H90" i="57"/>
  <c r="R123" i="57" s="1"/>
  <c r="G90" i="57"/>
  <c r="Q123" i="57" s="1"/>
  <c r="F90" i="57"/>
  <c r="P123" i="57" s="1"/>
  <c r="E90" i="57"/>
  <c r="O123" i="57" s="1"/>
  <c r="D90" i="57"/>
  <c r="N123" i="57" s="1"/>
  <c r="C90" i="57"/>
  <c r="B90" i="57"/>
  <c r="L123" i="57" s="1"/>
  <c r="AH89" i="57"/>
  <c r="N89" i="57"/>
  <c r="X122" i="57" s="1"/>
  <c r="M89" i="57"/>
  <c r="W122" i="57" s="1"/>
  <c r="L89" i="57"/>
  <c r="V122" i="57" s="1"/>
  <c r="K89" i="57"/>
  <c r="U122" i="57" s="1"/>
  <c r="J89" i="57"/>
  <c r="T122" i="57" s="1"/>
  <c r="I89" i="57"/>
  <c r="S122" i="57" s="1"/>
  <c r="H89" i="57"/>
  <c r="R122" i="57" s="1"/>
  <c r="G89" i="57"/>
  <c r="Q122" i="57" s="1"/>
  <c r="F89" i="57"/>
  <c r="P122" i="57" s="1"/>
  <c r="E89" i="57"/>
  <c r="O122" i="57" s="1"/>
  <c r="D89" i="57"/>
  <c r="N122" i="57" s="1"/>
  <c r="C89" i="57"/>
  <c r="M122" i="57" s="1"/>
  <c r="B89" i="57"/>
  <c r="L122" i="57" s="1"/>
  <c r="AH88" i="57"/>
  <c r="N88" i="57"/>
  <c r="X121" i="57" s="1"/>
  <c r="M88" i="57"/>
  <c r="W121" i="57" s="1"/>
  <c r="L88" i="57"/>
  <c r="V121" i="57" s="1"/>
  <c r="K88" i="57"/>
  <c r="U121" i="57" s="1"/>
  <c r="J88" i="57"/>
  <c r="T121" i="57" s="1"/>
  <c r="I88" i="57"/>
  <c r="S121" i="57" s="1"/>
  <c r="H88" i="57"/>
  <c r="R121" i="57" s="1"/>
  <c r="G88" i="57"/>
  <c r="Q121" i="57" s="1"/>
  <c r="F88" i="57"/>
  <c r="P121" i="57" s="1"/>
  <c r="E88" i="57"/>
  <c r="O121" i="57" s="1"/>
  <c r="D88" i="57"/>
  <c r="N121" i="57" s="1"/>
  <c r="C88" i="57"/>
  <c r="B88" i="57"/>
  <c r="L121" i="57" s="1"/>
  <c r="AH87" i="57"/>
  <c r="N87" i="57"/>
  <c r="X120" i="57" s="1"/>
  <c r="M87" i="57"/>
  <c r="W120" i="57" s="1"/>
  <c r="L87" i="57"/>
  <c r="V120" i="57" s="1"/>
  <c r="K87" i="57"/>
  <c r="U120" i="57" s="1"/>
  <c r="J87" i="57"/>
  <c r="T120" i="57" s="1"/>
  <c r="I87" i="57"/>
  <c r="S120" i="57" s="1"/>
  <c r="H87" i="57"/>
  <c r="R120" i="57" s="1"/>
  <c r="G87" i="57"/>
  <c r="Q120" i="57" s="1"/>
  <c r="F87" i="57"/>
  <c r="P120" i="57" s="1"/>
  <c r="E87" i="57"/>
  <c r="O120" i="57" s="1"/>
  <c r="D87" i="57"/>
  <c r="N120" i="57" s="1"/>
  <c r="C87" i="57"/>
  <c r="M120" i="57" s="1"/>
  <c r="B87" i="57"/>
  <c r="L120" i="57" s="1"/>
  <c r="AH86" i="57"/>
  <c r="N86" i="57"/>
  <c r="X119" i="57" s="1"/>
  <c r="M86" i="57"/>
  <c r="W119" i="57" s="1"/>
  <c r="L86" i="57"/>
  <c r="V119" i="57" s="1"/>
  <c r="K86" i="57"/>
  <c r="U119" i="57" s="1"/>
  <c r="J86" i="57"/>
  <c r="T119" i="57" s="1"/>
  <c r="I86" i="57"/>
  <c r="S119" i="57" s="1"/>
  <c r="H86" i="57"/>
  <c r="R119" i="57" s="1"/>
  <c r="G86" i="57"/>
  <c r="Q119" i="57" s="1"/>
  <c r="F86" i="57"/>
  <c r="P119" i="57" s="1"/>
  <c r="E86" i="57"/>
  <c r="O119" i="57" s="1"/>
  <c r="D86" i="57"/>
  <c r="N119" i="57" s="1"/>
  <c r="C86" i="57"/>
  <c r="B86" i="57"/>
  <c r="L119" i="57" s="1"/>
  <c r="AH85" i="57"/>
  <c r="N85" i="57"/>
  <c r="X118" i="57" s="1"/>
  <c r="M85" i="57"/>
  <c r="W118" i="57" s="1"/>
  <c r="L85" i="57"/>
  <c r="V118" i="57" s="1"/>
  <c r="K85" i="57"/>
  <c r="U118" i="57" s="1"/>
  <c r="J85" i="57"/>
  <c r="T118" i="57" s="1"/>
  <c r="I85" i="57"/>
  <c r="S118" i="57" s="1"/>
  <c r="H85" i="57"/>
  <c r="R118" i="57" s="1"/>
  <c r="G85" i="57"/>
  <c r="Q118" i="57" s="1"/>
  <c r="F85" i="57"/>
  <c r="P118" i="57" s="1"/>
  <c r="E85" i="57"/>
  <c r="O118" i="57" s="1"/>
  <c r="D85" i="57"/>
  <c r="N118" i="57" s="1"/>
  <c r="C85" i="57"/>
  <c r="M118" i="57" s="1"/>
  <c r="B85" i="57"/>
  <c r="L118" i="57" s="1"/>
  <c r="AH84" i="57"/>
  <c r="N84" i="57"/>
  <c r="X117" i="57" s="1"/>
  <c r="M84" i="57"/>
  <c r="W117" i="57" s="1"/>
  <c r="L84" i="57"/>
  <c r="V117" i="57" s="1"/>
  <c r="K84" i="57"/>
  <c r="U117" i="57" s="1"/>
  <c r="J84" i="57"/>
  <c r="T117" i="57" s="1"/>
  <c r="I84" i="57"/>
  <c r="S117" i="57" s="1"/>
  <c r="H84" i="57"/>
  <c r="R117" i="57" s="1"/>
  <c r="G84" i="57"/>
  <c r="Q117" i="57" s="1"/>
  <c r="F84" i="57"/>
  <c r="P117" i="57" s="1"/>
  <c r="E84" i="57"/>
  <c r="O117" i="57" s="1"/>
  <c r="D84" i="57"/>
  <c r="N117" i="57" s="1"/>
  <c r="C84" i="57"/>
  <c r="M117" i="57" s="1"/>
  <c r="B84" i="57"/>
  <c r="L117" i="57" s="1"/>
  <c r="AH83" i="57"/>
  <c r="N83" i="57"/>
  <c r="X116" i="57" s="1"/>
  <c r="M83" i="57"/>
  <c r="W116" i="57" s="1"/>
  <c r="L83" i="57"/>
  <c r="V116" i="57" s="1"/>
  <c r="K83" i="57"/>
  <c r="U116" i="57" s="1"/>
  <c r="J83" i="57"/>
  <c r="T116" i="57" s="1"/>
  <c r="I83" i="57"/>
  <c r="S116" i="57" s="1"/>
  <c r="H83" i="57"/>
  <c r="R116" i="57" s="1"/>
  <c r="G83" i="57"/>
  <c r="Q116" i="57" s="1"/>
  <c r="F83" i="57"/>
  <c r="P116" i="57" s="1"/>
  <c r="E83" i="57"/>
  <c r="O116" i="57" s="1"/>
  <c r="D83" i="57"/>
  <c r="N116" i="57" s="1"/>
  <c r="C83" i="57"/>
  <c r="M116" i="57" s="1"/>
  <c r="B83" i="57"/>
  <c r="AH82" i="57"/>
  <c r="N82" i="57"/>
  <c r="X115" i="57" s="1"/>
  <c r="M82" i="57"/>
  <c r="W115" i="57" s="1"/>
  <c r="L82" i="57"/>
  <c r="V115" i="57" s="1"/>
  <c r="K82" i="57"/>
  <c r="U115" i="57" s="1"/>
  <c r="J82" i="57"/>
  <c r="T115" i="57" s="1"/>
  <c r="I82" i="57"/>
  <c r="S115" i="57" s="1"/>
  <c r="H82" i="57"/>
  <c r="R115" i="57" s="1"/>
  <c r="G82" i="57"/>
  <c r="Q115" i="57" s="1"/>
  <c r="F82" i="57"/>
  <c r="P115" i="57" s="1"/>
  <c r="E82" i="57"/>
  <c r="O115" i="57" s="1"/>
  <c r="D82" i="57"/>
  <c r="N115" i="57" s="1"/>
  <c r="C82" i="57"/>
  <c r="B82" i="57"/>
  <c r="L115" i="57" s="1"/>
  <c r="AH81" i="57"/>
  <c r="N81" i="57"/>
  <c r="X114" i="57" s="1"/>
  <c r="M81" i="57"/>
  <c r="W114" i="57" s="1"/>
  <c r="L81" i="57"/>
  <c r="V114" i="57" s="1"/>
  <c r="K81" i="57"/>
  <c r="U114" i="57" s="1"/>
  <c r="J81" i="57"/>
  <c r="T114" i="57" s="1"/>
  <c r="I81" i="57"/>
  <c r="S114" i="57" s="1"/>
  <c r="H81" i="57"/>
  <c r="R114" i="57" s="1"/>
  <c r="G81" i="57"/>
  <c r="Q114" i="57" s="1"/>
  <c r="F81" i="57"/>
  <c r="P114" i="57" s="1"/>
  <c r="E81" i="57"/>
  <c r="O114" i="57" s="1"/>
  <c r="D81" i="57"/>
  <c r="N114" i="57" s="1"/>
  <c r="C81" i="57"/>
  <c r="M114" i="57" s="1"/>
  <c r="B81" i="57"/>
  <c r="AH80" i="57"/>
  <c r="N80" i="57"/>
  <c r="X113" i="57" s="1"/>
  <c r="M80" i="57"/>
  <c r="W113" i="57" s="1"/>
  <c r="L80" i="57"/>
  <c r="V113" i="57" s="1"/>
  <c r="K80" i="57"/>
  <c r="U113" i="57" s="1"/>
  <c r="J80" i="57"/>
  <c r="T113" i="57" s="1"/>
  <c r="I80" i="57"/>
  <c r="S113" i="57" s="1"/>
  <c r="H80" i="57"/>
  <c r="R113" i="57" s="1"/>
  <c r="G80" i="57"/>
  <c r="Q113" i="57" s="1"/>
  <c r="F80" i="57"/>
  <c r="P113" i="57" s="1"/>
  <c r="E80" i="57"/>
  <c r="O113" i="57" s="1"/>
  <c r="D80" i="57"/>
  <c r="N113" i="57" s="1"/>
  <c r="C80" i="57"/>
  <c r="M113" i="57" s="1"/>
  <c r="B80" i="57"/>
  <c r="L113" i="57" s="1"/>
  <c r="AH79" i="57"/>
  <c r="N79" i="57"/>
  <c r="X112" i="57" s="1"/>
  <c r="M79" i="57"/>
  <c r="W112" i="57" s="1"/>
  <c r="L79" i="57"/>
  <c r="V112" i="57" s="1"/>
  <c r="K79" i="57"/>
  <c r="U112" i="57" s="1"/>
  <c r="J79" i="57"/>
  <c r="T112" i="57" s="1"/>
  <c r="I79" i="57"/>
  <c r="S112" i="57" s="1"/>
  <c r="H79" i="57"/>
  <c r="R112" i="57" s="1"/>
  <c r="G79" i="57"/>
  <c r="Q112" i="57" s="1"/>
  <c r="F79" i="57"/>
  <c r="P112" i="57" s="1"/>
  <c r="E79" i="57"/>
  <c r="O112" i="57" s="1"/>
  <c r="D79" i="57"/>
  <c r="N112" i="57" s="1"/>
  <c r="C79" i="57"/>
  <c r="M112" i="57" s="1"/>
  <c r="B79" i="57"/>
  <c r="AH78" i="57"/>
  <c r="N78" i="57"/>
  <c r="X111" i="57" s="1"/>
  <c r="M78" i="57"/>
  <c r="W111" i="57" s="1"/>
  <c r="L78" i="57"/>
  <c r="V111" i="57" s="1"/>
  <c r="K78" i="57"/>
  <c r="U111" i="57" s="1"/>
  <c r="J78" i="57"/>
  <c r="T111" i="57" s="1"/>
  <c r="I78" i="57"/>
  <c r="S111" i="57" s="1"/>
  <c r="H78" i="57"/>
  <c r="R111" i="57" s="1"/>
  <c r="G78" i="57"/>
  <c r="Q111" i="57" s="1"/>
  <c r="F78" i="57"/>
  <c r="P111" i="57" s="1"/>
  <c r="E78" i="57"/>
  <c r="O111" i="57" s="1"/>
  <c r="D78" i="57"/>
  <c r="N111" i="57" s="1"/>
  <c r="C78" i="57"/>
  <c r="M111" i="57" s="1"/>
  <c r="B78" i="57"/>
  <c r="L111" i="57" s="1"/>
  <c r="AH77" i="57"/>
  <c r="N77" i="57"/>
  <c r="X110" i="57" s="1"/>
  <c r="M77" i="57"/>
  <c r="W110" i="57" s="1"/>
  <c r="L77" i="57"/>
  <c r="V110" i="57" s="1"/>
  <c r="K77" i="57"/>
  <c r="U110" i="57" s="1"/>
  <c r="J77" i="57"/>
  <c r="T110" i="57" s="1"/>
  <c r="I77" i="57"/>
  <c r="S110" i="57" s="1"/>
  <c r="H77" i="57"/>
  <c r="R110" i="57" s="1"/>
  <c r="G77" i="57"/>
  <c r="Q110" i="57" s="1"/>
  <c r="F77" i="57"/>
  <c r="P110" i="57" s="1"/>
  <c r="E77" i="57"/>
  <c r="O110" i="57" s="1"/>
  <c r="D77" i="57"/>
  <c r="N110" i="57" s="1"/>
  <c r="C77" i="57"/>
  <c r="M110" i="57" s="1"/>
  <c r="B77" i="57"/>
  <c r="AH76" i="57"/>
  <c r="N76" i="57"/>
  <c r="X109" i="57" s="1"/>
  <c r="M76" i="57"/>
  <c r="W109" i="57" s="1"/>
  <c r="L76" i="57"/>
  <c r="V109" i="57" s="1"/>
  <c r="K76" i="57"/>
  <c r="U109" i="57" s="1"/>
  <c r="J76" i="57"/>
  <c r="T109" i="57" s="1"/>
  <c r="I76" i="57"/>
  <c r="S109" i="57" s="1"/>
  <c r="H76" i="57"/>
  <c r="R109" i="57" s="1"/>
  <c r="G76" i="57"/>
  <c r="Q109" i="57" s="1"/>
  <c r="F76" i="57"/>
  <c r="P109" i="57" s="1"/>
  <c r="E76" i="57"/>
  <c r="O109" i="57" s="1"/>
  <c r="D76" i="57"/>
  <c r="N109" i="57" s="1"/>
  <c r="C76" i="57"/>
  <c r="M109" i="57" s="1"/>
  <c r="B76" i="57"/>
  <c r="L109" i="57" s="1"/>
  <c r="AH75" i="57"/>
  <c r="N75" i="57"/>
  <c r="M75" i="57"/>
  <c r="L75" i="57"/>
  <c r="K75" i="57"/>
  <c r="J75" i="57"/>
  <c r="I75" i="57"/>
  <c r="I102" i="57" s="1"/>
  <c r="H75" i="57"/>
  <c r="G75" i="57"/>
  <c r="F75" i="57"/>
  <c r="E75" i="57"/>
  <c r="D75" i="57"/>
  <c r="C75" i="57"/>
  <c r="B75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B67" i="57"/>
  <c r="AG66" i="57"/>
  <c r="AF66" i="57"/>
  <c r="AE66" i="57"/>
  <c r="AD66" i="57"/>
  <c r="AC66" i="57"/>
  <c r="AB66" i="57"/>
  <c r="AA66" i="57"/>
  <c r="Z66" i="57"/>
  <c r="Y66" i="57"/>
  <c r="X66" i="57"/>
  <c r="W66" i="57"/>
  <c r="V66" i="57"/>
  <c r="U66" i="57"/>
  <c r="T66" i="57"/>
  <c r="S66" i="57"/>
  <c r="O66" i="57"/>
  <c r="AG65" i="57"/>
  <c r="AF65" i="57"/>
  <c r="AE65" i="57"/>
  <c r="AD65" i="57"/>
  <c r="AC65" i="57"/>
  <c r="AB65" i="57"/>
  <c r="AA65" i="57"/>
  <c r="Z65" i="57"/>
  <c r="Y65" i="57"/>
  <c r="X65" i="57"/>
  <c r="W65" i="57"/>
  <c r="V65" i="57"/>
  <c r="U65" i="57"/>
  <c r="T65" i="57"/>
  <c r="S65" i="57"/>
  <c r="O65" i="57"/>
  <c r="AE64" i="57"/>
  <c r="AD64" i="57"/>
  <c r="AC64" i="57"/>
  <c r="AB64" i="57"/>
  <c r="AA64" i="57"/>
  <c r="Z64" i="57"/>
  <c r="Y64" i="57"/>
  <c r="X64" i="57"/>
  <c r="W64" i="57"/>
  <c r="V64" i="57"/>
  <c r="U64" i="57"/>
  <c r="T64" i="57"/>
  <c r="S64" i="57"/>
  <c r="O64" i="57"/>
  <c r="AG63" i="57"/>
  <c r="AF63" i="57"/>
  <c r="AE63" i="57"/>
  <c r="AD63" i="57"/>
  <c r="AC63" i="57"/>
  <c r="AB63" i="57"/>
  <c r="AA63" i="57"/>
  <c r="Z63" i="57"/>
  <c r="Y63" i="57"/>
  <c r="X63" i="57"/>
  <c r="W63" i="57"/>
  <c r="V63" i="57"/>
  <c r="U63" i="57"/>
  <c r="T63" i="57"/>
  <c r="S63" i="57"/>
  <c r="O63" i="57"/>
  <c r="AG62" i="57"/>
  <c r="AF62" i="57"/>
  <c r="AE62" i="57"/>
  <c r="AD62" i="57"/>
  <c r="AC62" i="57"/>
  <c r="AB62" i="57"/>
  <c r="AA62" i="57"/>
  <c r="Z62" i="57"/>
  <c r="Y62" i="57"/>
  <c r="X62" i="57"/>
  <c r="W62" i="57"/>
  <c r="V62" i="57"/>
  <c r="U62" i="57"/>
  <c r="T62" i="57"/>
  <c r="S62" i="57"/>
  <c r="O62" i="57"/>
  <c r="AG61" i="57"/>
  <c r="AF61" i="57"/>
  <c r="AE61" i="57"/>
  <c r="AD61" i="57"/>
  <c r="AC61" i="57"/>
  <c r="AB61" i="57"/>
  <c r="AA61" i="57"/>
  <c r="Z61" i="57"/>
  <c r="Y61" i="57"/>
  <c r="X61" i="57"/>
  <c r="W61" i="57"/>
  <c r="V61" i="57"/>
  <c r="U61" i="57"/>
  <c r="T61" i="57"/>
  <c r="S61" i="57"/>
  <c r="O61" i="57"/>
  <c r="AG60" i="57"/>
  <c r="AF60" i="57"/>
  <c r="AE60" i="57"/>
  <c r="AD60" i="57"/>
  <c r="AC60" i="57"/>
  <c r="AB60" i="57"/>
  <c r="AA60" i="57"/>
  <c r="Z60" i="57"/>
  <c r="Y60" i="57"/>
  <c r="X60" i="57"/>
  <c r="W60" i="57"/>
  <c r="V60" i="57"/>
  <c r="U60" i="57"/>
  <c r="T60" i="57"/>
  <c r="S60" i="57"/>
  <c r="O60" i="57"/>
  <c r="AG59" i="57"/>
  <c r="AF59" i="57"/>
  <c r="AE59" i="57"/>
  <c r="AD59" i="57"/>
  <c r="AC59" i="57"/>
  <c r="AB59" i="57"/>
  <c r="AA59" i="57"/>
  <c r="Z59" i="57"/>
  <c r="Y59" i="57"/>
  <c r="X59" i="57"/>
  <c r="W59" i="57"/>
  <c r="V59" i="57"/>
  <c r="U59" i="57"/>
  <c r="T59" i="57"/>
  <c r="S59" i="57"/>
  <c r="O59" i="57"/>
  <c r="AG58" i="57"/>
  <c r="AF58" i="57"/>
  <c r="AE58" i="57"/>
  <c r="AD58" i="57"/>
  <c r="AC58" i="57"/>
  <c r="AB58" i="57"/>
  <c r="AA58" i="57"/>
  <c r="Z58" i="57"/>
  <c r="Y58" i="57"/>
  <c r="X58" i="57"/>
  <c r="W58" i="57"/>
  <c r="V58" i="57"/>
  <c r="U58" i="57"/>
  <c r="T58" i="57"/>
  <c r="S58" i="57"/>
  <c r="O58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O57" i="57"/>
  <c r="AG56" i="57"/>
  <c r="AF56" i="57"/>
  <c r="AE56" i="57"/>
  <c r="AD56" i="57"/>
  <c r="AC56" i="57"/>
  <c r="AB56" i="57"/>
  <c r="AA56" i="57"/>
  <c r="Z56" i="57"/>
  <c r="Y56" i="57"/>
  <c r="X56" i="57"/>
  <c r="W56" i="57"/>
  <c r="V56" i="57"/>
  <c r="U56" i="57"/>
  <c r="T56" i="57"/>
  <c r="S56" i="57"/>
  <c r="O56" i="57"/>
  <c r="AG55" i="57"/>
  <c r="AF55" i="57"/>
  <c r="AE55" i="57"/>
  <c r="AD55" i="57"/>
  <c r="AC55" i="57"/>
  <c r="AB55" i="57"/>
  <c r="AA55" i="57"/>
  <c r="Z55" i="57"/>
  <c r="Y55" i="57"/>
  <c r="X55" i="57"/>
  <c r="W55" i="57"/>
  <c r="V55" i="57"/>
  <c r="U55" i="57"/>
  <c r="T55" i="57"/>
  <c r="S55" i="57"/>
  <c r="O55" i="57"/>
  <c r="AG54" i="57"/>
  <c r="AF54" i="57"/>
  <c r="AE54" i="57"/>
  <c r="AD54" i="57"/>
  <c r="AC54" i="57"/>
  <c r="AB54" i="57"/>
  <c r="AA54" i="57"/>
  <c r="Z54" i="57"/>
  <c r="Y54" i="57"/>
  <c r="X54" i="57"/>
  <c r="W54" i="57"/>
  <c r="V54" i="57"/>
  <c r="U54" i="57"/>
  <c r="T54" i="57"/>
  <c r="S54" i="57"/>
  <c r="O54" i="57"/>
  <c r="AG53" i="57"/>
  <c r="AF53" i="57"/>
  <c r="AE53" i="57"/>
  <c r="AD53" i="57"/>
  <c r="AC53" i="57"/>
  <c r="AB53" i="57"/>
  <c r="AA53" i="57"/>
  <c r="Z53" i="57"/>
  <c r="Y53" i="57"/>
  <c r="X53" i="57"/>
  <c r="W53" i="57"/>
  <c r="V53" i="57"/>
  <c r="U53" i="57"/>
  <c r="T53" i="57"/>
  <c r="S53" i="57"/>
  <c r="O53" i="57"/>
  <c r="AG52" i="57"/>
  <c r="AF52" i="57"/>
  <c r="AE52" i="57"/>
  <c r="AD52" i="57"/>
  <c r="AC52" i="57"/>
  <c r="AB52" i="57"/>
  <c r="AA52" i="57"/>
  <c r="Z52" i="57"/>
  <c r="Y52" i="57"/>
  <c r="X52" i="57"/>
  <c r="W52" i="57"/>
  <c r="V52" i="57"/>
  <c r="U52" i="57"/>
  <c r="T52" i="57"/>
  <c r="S52" i="57"/>
  <c r="O52" i="57"/>
  <c r="AG51" i="57"/>
  <c r="AF51" i="57"/>
  <c r="AE51" i="57"/>
  <c r="AD51" i="57"/>
  <c r="AC51" i="57"/>
  <c r="AB51" i="57"/>
  <c r="AA51" i="57"/>
  <c r="Z51" i="57"/>
  <c r="Y51" i="57"/>
  <c r="X51" i="57"/>
  <c r="W51" i="57"/>
  <c r="V51" i="57"/>
  <c r="U51" i="57"/>
  <c r="T51" i="57"/>
  <c r="S51" i="57"/>
  <c r="O51" i="57"/>
  <c r="AG50" i="57"/>
  <c r="AF50" i="57"/>
  <c r="AE50" i="57"/>
  <c r="AD50" i="57"/>
  <c r="AC50" i="57"/>
  <c r="AB50" i="57"/>
  <c r="AA50" i="57"/>
  <c r="Z50" i="57"/>
  <c r="Y50" i="57"/>
  <c r="X50" i="57"/>
  <c r="W50" i="57"/>
  <c r="V50" i="57"/>
  <c r="U50" i="57"/>
  <c r="T50" i="57"/>
  <c r="S50" i="57"/>
  <c r="O50" i="57"/>
  <c r="AG49" i="57"/>
  <c r="AF49" i="57"/>
  <c r="AE49" i="57"/>
  <c r="AD49" i="57"/>
  <c r="AC49" i="57"/>
  <c r="AB49" i="57"/>
  <c r="AA49" i="57"/>
  <c r="Z49" i="57"/>
  <c r="Y49" i="57"/>
  <c r="X49" i="57"/>
  <c r="W49" i="57"/>
  <c r="V49" i="57"/>
  <c r="U49" i="57"/>
  <c r="T49" i="57"/>
  <c r="S49" i="57"/>
  <c r="O49" i="57"/>
  <c r="AG48" i="57"/>
  <c r="AF48" i="57"/>
  <c r="AE48" i="57"/>
  <c r="AD48" i="57"/>
  <c r="AC48" i="57"/>
  <c r="AB48" i="57"/>
  <c r="AA48" i="57"/>
  <c r="Z48" i="57"/>
  <c r="Y48" i="57"/>
  <c r="X48" i="57"/>
  <c r="W48" i="57"/>
  <c r="V48" i="57"/>
  <c r="U48" i="57"/>
  <c r="T48" i="57"/>
  <c r="S48" i="57"/>
  <c r="O48" i="57"/>
  <c r="AG47" i="57"/>
  <c r="AF47" i="57"/>
  <c r="AE47" i="57"/>
  <c r="AD47" i="57"/>
  <c r="AC47" i="57"/>
  <c r="AB47" i="57"/>
  <c r="AA47" i="57"/>
  <c r="Z47" i="57"/>
  <c r="Y47" i="57"/>
  <c r="X47" i="57"/>
  <c r="W47" i="57"/>
  <c r="V47" i="57"/>
  <c r="U47" i="57"/>
  <c r="T47" i="57"/>
  <c r="S47" i="57"/>
  <c r="O47" i="57"/>
  <c r="AG46" i="57"/>
  <c r="AF46" i="57"/>
  <c r="AE46" i="57"/>
  <c r="AD46" i="57"/>
  <c r="AC46" i="57"/>
  <c r="AB46" i="57"/>
  <c r="AA46" i="57"/>
  <c r="Z46" i="57"/>
  <c r="Y46" i="57"/>
  <c r="X46" i="57"/>
  <c r="W46" i="57"/>
  <c r="V46" i="57"/>
  <c r="U46" i="57"/>
  <c r="T46" i="57"/>
  <c r="S46" i="57"/>
  <c r="O46" i="57"/>
  <c r="AG45" i="57"/>
  <c r="AF45" i="57"/>
  <c r="AE45" i="57"/>
  <c r="AD45" i="57"/>
  <c r="AC45" i="57"/>
  <c r="AB45" i="57"/>
  <c r="AA45" i="57"/>
  <c r="Z45" i="57"/>
  <c r="Y45" i="57"/>
  <c r="X45" i="57"/>
  <c r="W45" i="57"/>
  <c r="V45" i="57"/>
  <c r="U45" i="57"/>
  <c r="T45" i="57"/>
  <c r="S45" i="57"/>
  <c r="O45" i="57"/>
  <c r="AG44" i="57"/>
  <c r="AF44" i="57"/>
  <c r="AE44" i="57"/>
  <c r="AD44" i="57"/>
  <c r="AC44" i="57"/>
  <c r="AB44" i="57"/>
  <c r="AA44" i="57"/>
  <c r="Z44" i="57"/>
  <c r="Y44" i="57"/>
  <c r="X44" i="57"/>
  <c r="W44" i="57"/>
  <c r="V44" i="57"/>
  <c r="U44" i="57"/>
  <c r="T44" i="57"/>
  <c r="S44" i="57"/>
  <c r="O44" i="57"/>
  <c r="AE43" i="57"/>
  <c r="AD43" i="57"/>
  <c r="AC43" i="57"/>
  <c r="AB43" i="57"/>
  <c r="AA43" i="57"/>
  <c r="Z43" i="57"/>
  <c r="Y43" i="57"/>
  <c r="X43" i="57"/>
  <c r="W43" i="57"/>
  <c r="V43" i="57"/>
  <c r="U43" i="57"/>
  <c r="T43" i="57"/>
  <c r="S43" i="57"/>
  <c r="O43" i="57"/>
  <c r="AG42" i="57"/>
  <c r="AF42" i="57"/>
  <c r="AE42" i="57"/>
  <c r="AD42" i="57"/>
  <c r="AC42" i="57"/>
  <c r="AB42" i="57"/>
  <c r="AA42" i="57"/>
  <c r="Z42" i="57"/>
  <c r="Y42" i="57"/>
  <c r="X42" i="57"/>
  <c r="W42" i="57"/>
  <c r="V42" i="57"/>
  <c r="U42" i="57"/>
  <c r="T42" i="57"/>
  <c r="S42" i="57"/>
  <c r="O42" i="57"/>
  <c r="AG41" i="57"/>
  <c r="AF41" i="57"/>
  <c r="AE41" i="57"/>
  <c r="AD41" i="57"/>
  <c r="AC41" i="57"/>
  <c r="AB41" i="57"/>
  <c r="AA41" i="57"/>
  <c r="Z41" i="57"/>
  <c r="Y41" i="57"/>
  <c r="X41" i="57"/>
  <c r="W41" i="57"/>
  <c r="V41" i="57"/>
  <c r="U41" i="57"/>
  <c r="T41" i="57"/>
  <c r="S41" i="57"/>
  <c r="O41" i="57"/>
  <c r="AG40" i="57"/>
  <c r="AF40" i="57"/>
  <c r="AE40" i="57"/>
  <c r="AD40" i="57"/>
  <c r="AC40" i="57"/>
  <c r="AB40" i="57"/>
  <c r="AA40" i="57"/>
  <c r="Z40" i="57"/>
  <c r="Y40" i="57"/>
  <c r="X40" i="57"/>
  <c r="W40" i="57"/>
  <c r="V40" i="57"/>
  <c r="U40" i="57"/>
  <c r="T40" i="57"/>
  <c r="S40" i="57"/>
  <c r="O40" i="57"/>
  <c r="N32" i="57"/>
  <c r="M32" i="57"/>
  <c r="L32" i="57"/>
  <c r="K32" i="57"/>
  <c r="J32" i="57"/>
  <c r="I32" i="57"/>
  <c r="H32" i="57"/>
  <c r="G32" i="57"/>
  <c r="F32" i="57"/>
  <c r="E32" i="57"/>
  <c r="D32" i="57"/>
  <c r="C32" i="57"/>
  <c r="B32" i="57"/>
  <c r="AG31" i="57"/>
  <c r="AF31" i="57"/>
  <c r="AE31" i="57"/>
  <c r="AD31" i="57"/>
  <c r="AC31" i="57"/>
  <c r="AB31" i="57"/>
  <c r="AA31" i="57"/>
  <c r="Z31" i="57"/>
  <c r="Y31" i="57"/>
  <c r="X31" i="57"/>
  <c r="W31" i="57"/>
  <c r="AJ167" i="73" s="1"/>
  <c r="F591" i="73" s="1"/>
  <c r="V31" i="57"/>
  <c r="AJ133" i="73" s="1"/>
  <c r="F510" i="73" s="1"/>
  <c r="U31" i="57"/>
  <c r="AJ99" i="73" s="1"/>
  <c r="F429" i="73" s="1"/>
  <c r="T31" i="57"/>
  <c r="AJ65" i="73" s="1"/>
  <c r="F348" i="73" s="1"/>
  <c r="S31" i="57"/>
  <c r="AJ31" i="73" s="1"/>
  <c r="F267" i="73" s="1"/>
  <c r="O31" i="57"/>
  <c r="AG30" i="57"/>
  <c r="AF30" i="57"/>
  <c r="AE30" i="57"/>
  <c r="AD30" i="57"/>
  <c r="AC30" i="57"/>
  <c r="AB30" i="57"/>
  <c r="AA30" i="57"/>
  <c r="Z30" i="57"/>
  <c r="Y30" i="57"/>
  <c r="X30" i="57"/>
  <c r="W30" i="57"/>
  <c r="AJ166" i="73" s="1"/>
  <c r="F590" i="73" s="1"/>
  <c r="V30" i="57"/>
  <c r="AJ132" i="73" s="1"/>
  <c r="F509" i="73" s="1"/>
  <c r="U30" i="57"/>
  <c r="AJ98" i="73" s="1"/>
  <c r="F428" i="73" s="1"/>
  <c r="T30" i="57"/>
  <c r="AJ64" i="73" s="1"/>
  <c r="F347" i="73" s="1"/>
  <c r="S30" i="57"/>
  <c r="AJ30" i="73" s="1"/>
  <c r="F266" i="73" s="1"/>
  <c r="O30" i="57"/>
  <c r="AG29" i="57"/>
  <c r="AF29" i="57"/>
  <c r="AE29" i="57"/>
  <c r="AD29" i="57"/>
  <c r="AC29" i="57"/>
  <c r="AB29" i="57"/>
  <c r="AA29" i="57"/>
  <c r="Z29" i="57"/>
  <c r="Y29" i="57"/>
  <c r="X29" i="57"/>
  <c r="W29" i="57"/>
  <c r="AJ165" i="73" s="1"/>
  <c r="F589" i="73" s="1"/>
  <c r="V29" i="57"/>
  <c r="AJ131" i="73" s="1"/>
  <c r="F508" i="73" s="1"/>
  <c r="U29" i="57"/>
  <c r="AJ97" i="73" s="1"/>
  <c r="F427" i="73" s="1"/>
  <c r="T29" i="57"/>
  <c r="AJ63" i="73" s="1"/>
  <c r="F346" i="73" s="1"/>
  <c r="S29" i="57"/>
  <c r="AJ29" i="73" s="1"/>
  <c r="F265" i="73" s="1"/>
  <c r="O29" i="57"/>
  <c r="AG28" i="57"/>
  <c r="AF28" i="57"/>
  <c r="AE28" i="57"/>
  <c r="AD28" i="57"/>
  <c r="AC28" i="57"/>
  <c r="AB28" i="57"/>
  <c r="AA28" i="57"/>
  <c r="Z28" i="57"/>
  <c r="Y28" i="57"/>
  <c r="X28" i="57"/>
  <c r="W28" i="57"/>
  <c r="AJ164" i="73" s="1"/>
  <c r="F588" i="73" s="1"/>
  <c r="V28" i="57"/>
  <c r="AJ130" i="73" s="1"/>
  <c r="F507" i="73" s="1"/>
  <c r="U28" i="57"/>
  <c r="AJ96" i="73" s="1"/>
  <c r="F426" i="73" s="1"/>
  <c r="T28" i="57"/>
  <c r="AJ62" i="73" s="1"/>
  <c r="F345" i="73" s="1"/>
  <c r="S28" i="57"/>
  <c r="AJ28" i="73" s="1"/>
  <c r="F264" i="73" s="1"/>
  <c r="O28" i="57"/>
  <c r="AG27" i="57"/>
  <c r="AF27" i="57"/>
  <c r="AE27" i="57"/>
  <c r="AD27" i="57"/>
  <c r="AC27" i="57"/>
  <c r="AB27" i="57"/>
  <c r="AA27" i="57"/>
  <c r="Z27" i="57"/>
  <c r="Y27" i="57"/>
  <c r="X27" i="57"/>
  <c r="W27" i="57"/>
  <c r="AJ163" i="73" s="1"/>
  <c r="F587" i="73" s="1"/>
  <c r="V27" i="57"/>
  <c r="AJ129" i="73" s="1"/>
  <c r="F506" i="73" s="1"/>
  <c r="U27" i="57"/>
  <c r="AJ95" i="73" s="1"/>
  <c r="F425" i="73" s="1"/>
  <c r="T27" i="57"/>
  <c r="AJ61" i="73" s="1"/>
  <c r="F344" i="73" s="1"/>
  <c r="S27" i="57"/>
  <c r="AJ27" i="73" s="1"/>
  <c r="F263" i="73" s="1"/>
  <c r="O27" i="57"/>
  <c r="AG26" i="57"/>
  <c r="AF26" i="57"/>
  <c r="AE26" i="57"/>
  <c r="AD26" i="57"/>
  <c r="AC26" i="57"/>
  <c r="AB26" i="57"/>
  <c r="AA26" i="57"/>
  <c r="Z26" i="57"/>
  <c r="Y26" i="57"/>
  <c r="X26" i="57"/>
  <c r="W26" i="57"/>
  <c r="AJ162" i="73" s="1"/>
  <c r="F586" i="73" s="1"/>
  <c r="V26" i="57"/>
  <c r="AJ128" i="73" s="1"/>
  <c r="F505" i="73" s="1"/>
  <c r="U26" i="57"/>
  <c r="AJ94" i="73" s="1"/>
  <c r="F424" i="73" s="1"/>
  <c r="T26" i="57"/>
  <c r="AJ60" i="73" s="1"/>
  <c r="F343" i="73" s="1"/>
  <c r="S26" i="57"/>
  <c r="AJ26" i="73" s="1"/>
  <c r="F262" i="73" s="1"/>
  <c r="O26" i="57"/>
  <c r="AG25" i="57"/>
  <c r="AF25" i="57"/>
  <c r="AE25" i="57"/>
  <c r="AD25" i="57"/>
  <c r="AC25" i="57"/>
  <c r="AB25" i="57"/>
  <c r="AA25" i="57"/>
  <c r="Z25" i="57"/>
  <c r="Y25" i="57"/>
  <c r="X25" i="57"/>
  <c r="W25" i="57"/>
  <c r="AJ161" i="73" s="1"/>
  <c r="F585" i="73" s="1"/>
  <c r="V25" i="57"/>
  <c r="AJ127" i="73" s="1"/>
  <c r="F504" i="73" s="1"/>
  <c r="U25" i="57"/>
  <c r="AJ93" i="73" s="1"/>
  <c r="F423" i="73" s="1"/>
  <c r="T25" i="57"/>
  <c r="AJ59" i="73" s="1"/>
  <c r="F342" i="73" s="1"/>
  <c r="S25" i="57"/>
  <c r="AJ25" i="73" s="1"/>
  <c r="F261" i="73" s="1"/>
  <c r="O25" i="57"/>
  <c r="AG24" i="57"/>
  <c r="AF24" i="57"/>
  <c r="AE24" i="57"/>
  <c r="AD24" i="57"/>
  <c r="AC24" i="57"/>
  <c r="AB24" i="57"/>
  <c r="AA24" i="57"/>
  <c r="Z24" i="57"/>
  <c r="Y24" i="57"/>
  <c r="X24" i="57"/>
  <c r="W24" i="57"/>
  <c r="AJ160" i="73" s="1"/>
  <c r="F584" i="73" s="1"/>
  <c r="V24" i="57"/>
  <c r="AJ126" i="73" s="1"/>
  <c r="F503" i="73" s="1"/>
  <c r="U24" i="57"/>
  <c r="AJ92" i="73" s="1"/>
  <c r="F422" i="73" s="1"/>
  <c r="T24" i="57"/>
  <c r="AJ58" i="73" s="1"/>
  <c r="F341" i="73" s="1"/>
  <c r="S24" i="57"/>
  <c r="AJ24" i="73" s="1"/>
  <c r="F260" i="73" s="1"/>
  <c r="O24" i="57"/>
  <c r="AG23" i="57"/>
  <c r="AF23" i="57"/>
  <c r="AE23" i="57"/>
  <c r="AD23" i="57"/>
  <c r="AC23" i="57"/>
  <c r="AB23" i="57"/>
  <c r="AA23" i="57"/>
  <c r="Z23" i="57"/>
  <c r="Y23" i="57"/>
  <c r="X23" i="57"/>
  <c r="W23" i="57"/>
  <c r="AJ159" i="73" s="1"/>
  <c r="F583" i="73" s="1"/>
  <c r="V23" i="57"/>
  <c r="AJ125" i="73" s="1"/>
  <c r="F502" i="73" s="1"/>
  <c r="U23" i="57"/>
  <c r="AJ91" i="73" s="1"/>
  <c r="F421" i="73" s="1"/>
  <c r="T23" i="57"/>
  <c r="AJ57" i="73" s="1"/>
  <c r="F340" i="73" s="1"/>
  <c r="S23" i="57"/>
  <c r="AJ23" i="73" s="1"/>
  <c r="F259" i="73" s="1"/>
  <c r="O23" i="57"/>
  <c r="AG22" i="57"/>
  <c r="AF22" i="57"/>
  <c r="AE22" i="57"/>
  <c r="AD22" i="57"/>
  <c r="AC22" i="57"/>
  <c r="AB22" i="57"/>
  <c r="AA22" i="57"/>
  <c r="Z22" i="57"/>
  <c r="Y22" i="57"/>
  <c r="X22" i="57"/>
  <c r="W22" i="57"/>
  <c r="AJ158" i="73" s="1"/>
  <c r="F582" i="73" s="1"/>
  <c r="V22" i="57"/>
  <c r="AJ124" i="73" s="1"/>
  <c r="F501" i="73" s="1"/>
  <c r="U22" i="57"/>
  <c r="AJ90" i="73" s="1"/>
  <c r="F420" i="73" s="1"/>
  <c r="T22" i="57"/>
  <c r="AJ56" i="73" s="1"/>
  <c r="F339" i="73" s="1"/>
  <c r="S22" i="57"/>
  <c r="AJ22" i="73" s="1"/>
  <c r="F258" i="73" s="1"/>
  <c r="O22" i="57"/>
  <c r="AG21" i="57"/>
  <c r="AF21" i="57"/>
  <c r="AE21" i="57"/>
  <c r="AD21" i="57"/>
  <c r="AC21" i="57"/>
  <c r="AB21" i="57"/>
  <c r="AA21" i="57"/>
  <c r="Z21" i="57"/>
  <c r="Y21" i="57"/>
  <c r="X21" i="57"/>
  <c r="W21" i="57"/>
  <c r="AJ157" i="73" s="1"/>
  <c r="F581" i="73" s="1"/>
  <c r="V21" i="57"/>
  <c r="AJ123" i="73" s="1"/>
  <c r="F500" i="73" s="1"/>
  <c r="U21" i="57"/>
  <c r="AJ89" i="73" s="1"/>
  <c r="F419" i="73" s="1"/>
  <c r="T21" i="57"/>
  <c r="AJ55" i="73" s="1"/>
  <c r="F338" i="73" s="1"/>
  <c r="S21" i="57"/>
  <c r="AJ21" i="73" s="1"/>
  <c r="F257" i="73" s="1"/>
  <c r="O21" i="57"/>
  <c r="AG20" i="57"/>
  <c r="AF20" i="57"/>
  <c r="AE20" i="57"/>
  <c r="AD20" i="57"/>
  <c r="AC20" i="57"/>
  <c r="AB20" i="57"/>
  <c r="AA20" i="57"/>
  <c r="Z20" i="57"/>
  <c r="Y20" i="57"/>
  <c r="X20" i="57"/>
  <c r="W20" i="57"/>
  <c r="AJ156" i="73" s="1"/>
  <c r="F580" i="73" s="1"/>
  <c r="V20" i="57"/>
  <c r="AJ122" i="73" s="1"/>
  <c r="F499" i="73" s="1"/>
  <c r="U20" i="57"/>
  <c r="AJ88" i="73" s="1"/>
  <c r="F418" i="73" s="1"/>
  <c r="T20" i="57"/>
  <c r="AJ54" i="73" s="1"/>
  <c r="F337" i="73" s="1"/>
  <c r="S20" i="57"/>
  <c r="AJ20" i="73" s="1"/>
  <c r="F256" i="73" s="1"/>
  <c r="O20" i="57"/>
  <c r="AG19" i="57"/>
  <c r="AF19" i="57"/>
  <c r="AE19" i="57"/>
  <c r="AD19" i="57"/>
  <c r="AC19" i="57"/>
  <c r="AB19" i="57"/>
  <c r="AA19" i="57"/>
  <c r="Z19" i="57"/>
  <c r="Y19" i="57"/>
  <c r="X19" i="57"/>
  <c r="W19" i="57"/>
  <c r="AJ155" i="73" s="1"/>
  <c r="F579" i="73" s="1"/>
  <c r="V19" i="57"/>
  <c r="AJ121" i="73" s="1"/>
  <c r="F498" i="73" s="1"/>
  <c r="U19" i="57"/>
  <c r="AJ87" i="73" s="1"/>
  <c r="F417" i="73" s="1"/>
  <c r="T19" i="57"/>
  <c r="AJ53" i="73" s="1"/>
  <c r="F336" i="73" s="1"/>
  <c r="S19" i="57"/>
  <c r="AJ19" i="73" s="1"/>
  <c r="F255" i="73" s="1"/>
  <c r="O19" i="57"/>
  <c r="AG18" i="57"/>
  <c r="AF18" i="57"/>
  <c r="AE18" i="57"/>
  <c r="AD18" i="57"/>
  <c r="AC18" i="57"/>
  <c r="AB18" i="57"/>
  <c r="AA18" i="57"/>
  <c r="Z18" i="57"/>
  <c r="Y18" i="57"/>
  <c r="X18" i="57"/>
  <c r="W18" i="57"/>
  <c r="AJ154" i="73" s="1"/>
  <c r="F578" i="73" s="1"/>
  <c r="V18" i="57"/>
  <c r="AJ120" i="73" s="1"/>
  <c r="F497" i="73" s="1"/>
  <c r="U18" i="57"/>
  <c r="AJ86" i="73" s="1"/>
  <c r="F416" i="73" s="1"/>
  <c r="T18" i="57"/>
  <c r="AJ52" i="73" s="1"/>
  <c r="F335" i="73" s="1"/>
  <c r="S18" i="57"/>
  <c r="AJ18" i="73" s="1"/>
  <c r="F254" i="73" s="1"/>
  <c r="O18" i="57"/>
  <c r="AG17" i="57"/>
  <c r="AF17" i="57"/>
  <c r="AE17" i="57"/>
  <c r="AD17" i="57"/>
  <c r="AC17" i="57"/>
  <c r="AB17" i="57"/>
  <c r="AA17" i="57"/>
  <c r="Z17" i="57"/>
  <c r="Y17" i="57"/>
  <c r="X17" i="57"/>
  <c r="W17" i="57"/>
  <c r="AJ153" i="73" s="1"/>
  <c r="F577" i="73" s="1"/>
  <c r="V17" i="57"/>
  <c r="AJ119" i="73" s="1"/>
  <c r="F496" i="73" s="1"/>
  <c r="U17" i="57"/>
  <c r="AJ85" i="73" s="1"/>
  <c r="F415" i="73" s="1"/>
  <c r="T17" i="57"/>
  <c r="AJ51" i="73" s="1"/>
  <c r="F334" i="73" s="1"/>
  <c r="S17" i="57"/>
  <c r="AJ17" i="73" s="1"/>
  <c r="F253" i="73" s="1"/>
  <c r="O17" i="57"/>
  <c r="AG16" i="57"/>
  <c r="AF16" i="57"/>
  <c r="AE16" i="57"/>
  <c r="AD16" i="57"/>
  <c r="AC16" i="57"/>
  <c r="AB16" i="57"/>
  <c r="AA16" i="57"/>
  <c r="Z16" i="57"/>
  <c r="Y16" i="57"/>
  <c r="X16" i="57"/>
  <c r="W16" i="57"/>
  <c r="AJ152" i="73" s="1"/>
  <c r="F576" i="73" s="1"/>
  <c r="V16" i="57"/>
  <c r="AJ118" i="73" s="1"/>
  <c r="F495" i="73" s="1"/>
  <c r="U16" i="57"/>
  <c r="AJ84" i="73" s="1"/>
  <c r="F414" i="73" s="1"/>
  <c r="T16" i="57"/>
  <c r="AJ50" i="73" s="1"/>
  <c r="F333" i="73" s="1"/>
  <c r="S16" i="57"/>
  <c r="AJ16" i="73" s="1"/>
  <c r="F252" i="73" s="1"/>
  <c r="O16" i="57"/>
  <c r="AG15" i="57"/>
  <c r="AF15" i="57"/>
  <c r="AE15" i="57"/>
  <c r="AD15" i="57"/>
  <c r="AC15" i="57"/>
  <c r="AB15" i="57"/>
  <c r="AA15" i="57"/>
  <c r="Z15" i="57"/>
  <c r="Y15" i="57"/>
  <c r="X15" i="57"/>
  <c r="W15" i="57"/>
  <c r="AJ151" i="73" s="1"/>
  <c r="F575" i="73" s="1"/>
  <c r="V15" i="57"/>
  <c r="AJ117" i="73" s="1"/>
  <c r="F494" i="73" s="1"/>
  <c r="U15" i="57"/>
  <c r="AJ83" i="73" s="1"/>
  <c r="F413" i="73" s="1"/>
  <c r="T15" i="57"/>
  <c r="AJ49" i="73" s="1"/>
  <c r="F332" i="73" s="1"/>
  <c r="S15" i="57"/>
  <c r="AJ15" i="73" s="1"/>
  <c r="F251" i="73" s="1"/>
  <c r="O15" i="57"/>
  <c r="AG14" i="57"/>
  <c r="AF14" i="57"/>
  <c r="AE14" i="57"/>
  <c r="AD14" i="57"/>
  <c r="AC14" i="57"/>
  <c r="AB14" i="57"/>
  <c r="AA14" i="57"/>
  <c r="Z14" i="57"/>
  <c r="Y14" i="57"/>
  <c r="X14" i="57"/>
  <c r="W14" i="57"/>
  <c r="AJ150" i="73" s="1"/>
  <c r="F574" i="73" s="1"/>
  <c r="V14" i="57"/>
  <c r="AJ116" i="73" s="1"/>
  <c r="F493" i="73" s="1"/>
  <c r="U14" i="57"/>
  <c r="AJ82" i="73" s="1"/>
  <c r="F412" i="73" s="1"/>
  <c r="T14" i="57"/>
  <c r="AJ48" i="73" s="1"/>
  <c r="F331" i="73" s="1"/>
  <c r="S14" i="57"/>
  <c r="AJ14" i="73" s="1"/>
  <c r="F250" i="73" s="1"/>
  <c r="O14" i="57"/>
  <c r="AG13" i="57"/>
  <c r="AF13" i="57"/>
  <c r="AE13" i="57"/>
  <c r="AD13" i="57"/>
  <c r="AC13" i="57"/>
  <c r="AB13" i="57"/>
  <c r="AA13" i="57"/>
  <c r="Z13" i="57"/>
  <c r="Y13" i="57"/>
  <c r="X13" i="57"/>
  <c r="W13" i="57"/>
  <c r="AJ149" i="73" s="1"/>
  <c r="F573" i="73" s="1"/>
  <c r="V13" i="57"/>
  <c r="AJ115" i="73" s="1"/>
  <c r="F492" i="73" s="1"/>
  <c r="U13" i="57"/>
  <c r="AJ81" i="73" s="1"/>
  <c r="F411" i="73" s="1"/>
  <c r="T13" i="57"/>
  <c r="AJ47" i="73" s="1"/>
  <c r="F330" i="73" s="1"/>
  <c r="S13" i="57"/>
  <c r="AJ13" i="73" s="1"/>
  <c r="F249" i="73" s="1"/>
  <c r="O13" i="57"/>
  <c r="AG12" i="57"/>
  <c r="AF12" i="57"/>
  <c r="AE12" i="57"/>
  <c r="AD12" i="57"/>
  <c r="AC12" i="57"/>
  <c r="AB12" i="57"/>
  <c r="AA12" i="57"/>
  <c r="Z12" i="57"/>
  <c r="Y12" i="57"/>
  <c r="X12" i="57"/>
  <c r="W12" i="57"/>
  <c r="AJ148" i="73" s="1"/>
  <c r="F572" i="73" s="1"/>
  <c r="V12" i="57"/>
  <c r="AJ114" i="73" s="1"/>
  <c r="F491" i="73" s="1"/>
  <c r="U12" i="57"/>
  <c r="AJ80" i="73" s="1"/>
  <c r="F410" i="73" s="1"/>
  <c r="T12" i="57"/>
  <c r="AJ46" i="73" s="1"/>
  <c r="F329" i="73" s="1"/>
  <c r="S12" i="57"/>
  <c r="AJ12" i="73" s="1"/>
  <c r="F248" i="73" s="1"/>
  <c r="O12" i="57"/>
  <c r="AG11" i="57"/>
  <c r="AF11" i="57"/>
  <c r="AE11" i="57"/>
  <c r="AD11" i="57"/>
  <c r="AC11" i="57"/>
  <c r="AB11" i="57"/>
  <c r="AA11" i="57"/>
  <c r="Z11" i="57"/>
  <c r="Y11" i="57"/>
  <c r="X11" i="57"/>
  <c r="W11" i="57"/>
  <c r="AJ147" i="73" s="1"/>
  <c r="F571" i="73" s="1"/>
  <c r="V11" i="57"/>
  <c r="AJ113" i="73" s="1"/>
  <c r="F490" i="73" s="1"/>
  <c r="U11" i="57"/>
  <c r="AJ79" i="73" s="1"/>
  <c r="F409" i="73" s="1"/>
  <c r="T11" i="57"/>
  <c r="AJ45" i="73" s="1"/>
  <c r="F328" i="73" s="1"/>
  <c r="S11" i="57"/>
  <c r="AJ11" i="73" s="1"/>
  <c r="F247" i="73" s="1"/>
  <c r="O11" i="57"/>
  <c r="AG10" i="57"/>
  <c r="AF10" i="57"/>
  <c r="AE10" i="57"/>
  <c r="AD10" i="57"/>
  <c r="AC10" i="57"/>
  <c r="AB10" i="57"/>
  <c r="AA10" i="57"/>
  <c r="Z10" i="57"/>
  <c r="Y10" i="57"/>
  <c r="X10" i="57"/>
  <c r="W10" i="57"/>
  <c r="AJ146" i="73" s="1"/>
  <c r="F570" i="73" s="1"/>
  <c r="V10" i="57"/>
  <c r="AJ112" i="73" s="1"/>
  <c r="F489" i="73" s="1"/>
  <c r="U10" i="57"/>
  <c r="AJ78" i="73" s="1"/>
  <c r="F408" i="73" s="1"/>
  <c r="T10" i="57"/>
  <c r="AJ44" i="73" s="1"/>
  <c r="F327" i="73" s="1"/>
  <c r="S10" i="57"/>
  <c r="AJ10" i="73" s="1"/>
  <c r="F246" i="73" s="1"/>
  <c r="O10" i="57"/>
  <c r="AG9" i="57"/>
  <c r="AF9" i="57"/>
  <c r="AE9" i="57"/>
  <c r="AD9" i="57"/>
  <c r="AC9" i="57"/>
  <c r="AB9" i="57"/>
  <c r="AA9" i="57"/>
  <c r="Z9" i="57"/>
  <c r="Y9" i="57"/>
  <c r="X9" i="57"/>
  <c r="W9" i="57"/>
  <c r="AJ145" i="73" s="1"/>
  <c r="F569" i="73" s="1"/>
  <c r="V9" i="57"/>
  <c r="AJ111" i="73" s="1"/>
  <c r="F488" i="73" s="1"/>
  <c r="U9" i="57"/>
  <c r="AJ77" i="73" s="1"/>
  <c r="F407" i="73" s="1"/>
  <c r="T9" i="57"/>
  <c r="AJ43" i="73" s="1"/>
  <c r="F326" i="73" s="1"/>
  <c r="S9" i="57"/>
  <c r="AJ9" i="73" s="1"/>
  <c r="F245" i="73" s="1"/>
  <c r="O9" i="57"/>
  <c r="AG8" i="57"/>
  <c r="AF8" i="57"/>
  <c r="AE8" i="57"/>
  <c r="AD8" i="57"/>
  <c r="AC8" i="57"/>
  <c r="AB8" i="57"/>
  <c r="AA8" i="57"/>
  <c r="Z8" i="57"/>
  <c r="Y8" i="57"/>
  <c r="X8" i="57"/>
  <c r="W8" i="57"/>
  <c r="AJ144" i="73" s="1"/>
  <c r="F568" i="73" s="1"/>
  <c r="V8" i="57"/>
  <c r="AJ110" i="73" s="1"/>
  <c r="F487" i="73" s="1"/>
  <c r="U8" i="57"/>
  <c r="AJ76" i="73" s="1"/>
  <c r="F406" i="73" s="1"/>
  <c r="T8" i="57"/>
  <c r="AJ42" i="73" s="1"/>
  <c r="F325" i="73" s="1"/>
  <c r="S8" i="57"/>
  <c r="AJ8" i="73" s="1"/>
  <c r="F244" i="73" s="1"/>
  <c r="O8" i="57"/>
  <c r="AG7" i="57"/>
  <c r="AF7" i="57"/>
  <c r="AE7" i="57"/>
  <c r="AD7" i="57"/>
  <c r="AC7" i="57"/>
  <c r="AB7" i="57"/>
  <c r="AA7" i="57"/>
  <c r="Z7" i="57"/>
  <c r="Y7" i="57"/>
  <c r="X7" i="57"/>
  <c r="W7" i="57"/>
  <c r="AJ143" i="73" s="1"/>
  <c r="F567" i="73" s="1"/>
  <c r="V7" i="57"/>
  <c r="AJ109" i="73" s="1"/>
  <c r="F486" i="73" s="1"/>
  <c r="U7" i="57"/>
  <c r="AJ75" i="73" s="1"/>
  <c r="F405" i="73" s="1"/>
  <c r="T7" i="57"/>
  <c r="AJ41" i="73" s="1"/>
  <c r="F324" i="73" s="1"/>
  <c r="S7" i="57"/>
  <c r="AJ7" i="73" s="1"/>
  <c r="F243" i="73" s="1"/>
  <c r="O7" i="57"/>
  <c r="AG6" i="57"/>
  <c r="AF6" i="57"/>
  <c r="AE6" i="57"/>
  <c r="AD6" i="57"/>
  <c r="AC6" i="57"/>
  <c r="AB6" i="57"/>
  <c r="AA6" i="57"/>
  <c r="Z6" i="57"/>
  <c r="Y6" i="57"/>
  <c r="X6" i="57"/>
  <c r="W6" i="57"/>
  <c r="AJ142" i="73" s="1"/>
  <c r="F566" i="73" s="1"/>
  <c r="V6" i="57"/>
  <c r="AJ108" i="73" s="1"/>
  <c r="F485" i="73" s="1"/>
  <c r="U6" i="57"/>
  <c r="AJ74" i="73" s="1"/>
  <c r="F404" i="73" s="1"/>
  <c r="T6" i="57"/>
  <c r="AJ40" i="73" s="1"/>
  <c r="F323" i="73" s="1"/>
  <c r="S6" i="57"/>
  <c r="AJ6" i="73" s="1"/>
  <c r="F242" i="73" s="1"/>
  <c r="O6" i="57"/>
  <c r="AG5" i="57"/>
  <c r="AG32" i="57" s="1"/>
  <c r="AF5" i="57"/>
  <c r="AF32" i="57" s="1"/>
  <c r="AE5" i="57"/>
  <c r="AE32" i="57" s="1"/>
  <c r="AD5" i="57"/>
  <c r="AD32" i="57" s="1"/>
  <c r="AC5" i="57"/>
  <c r="AC32" i="57" s="1"/>
  <c r="AB5" i="57"/>
  <c r="AA5" i="57"/>
  <c r="AA32" i="57" s="1"/>
  <c r="Z5" i="57"/>
  <c r="Z32" i="57" s="1"/>
  <c r="Y5" i="57"/>
  <c r="Y32" i="57" s="1"/>
  <c r="X5" i="57"/>
  <c r="X32" i="57" s="1"/>
  <c r="W5" i="57"/>
  <c r="V5" i="57"/>
  <c r="U5" i="57"/>
  <c r="T5" i="57"/>
  <c r="S5" i="57"/>
  <c r="O5" i="57"/>
  <c r="O32" i="57" s="1"/>
  <c r="Z134" i="58"/>
  <c r="Y134" i="58"/>
  <c r="Z133" i="58"/>
  <c r="Y133" i="58"/>
  <c r="Z132" i="58"/>
  <c r="Y132" i="58"/>
  <c r="Z131" i="58"/>
  <c r="Y131" i="58"/>
  <c r="Z130" i="58"/>
  <c r="Y130" i="58"/>
  <c r="Z129" i="58"/>
  <c r="Y129" i="58"/>
  <c r="Z128" i="58"/>
  <c r="Y128" i="58"/>
  <c r="Z127" i="58"/>
  <c r="Y127" i="58"/>
  <c r="Z126" i="58"/>
  <c r="Y126" i="58"/>
  <c r="Z125" i="58"/>
  <c r="Y125" i="58"/>
  <c r="Z124" i="58"/>
  <c r="Y124" i="58"/>
  <c r="Z123" i="58"/>
  <c r="Y123" i="58"/>
  <c r="Z122" i="58"/>
  <c r="Y122" i="58"/>
  <c r="Z121" i="58"/>
  <c r="Y121" i="58"/>
  <c r="Z120" i="58"/>
  <c r="Y120" i="58"/>
  <c r="Z119" i="58"/>
  <c r="Y119" i="58"/>
  <c r="Z118" i="58"/>
  <c r="Y118" i="58"/>
  <c r="Z117" i="58"/>
  <c r="Y117" i="58"/>
  <c r="Z116" i="58"/>
  <c r="Y116" i="58"/>
  <c r="Z115" i="58"/>
  <c r="Y115" i="58"/>
  <c r="Z114" i="58"/>
  <c r="Y114" i="58"/>
  <c r="Z113" i="58"/>
  <c r="Y113" i="58"/>
  <c r="Z112" i="58"/>
  <c r="Y112" i="58"/>
  <c r="Z111" i="58"/>
  <c r="Y111" i="58"/>
  <c r="Z110" i="58"/>
  <c r="Y110" i="58"/>
  <c r="Z109" i="58"/>
  <c r="Y109" i="58"/>
  <c r="Z108" i="58"/>
  <c r="Y108" i="58"/>
  <c r="AF102" i="58"/>
  <c r="AE102" i="58"/>
  <c r="AD102" i="58"/>
  <c r="AC102" i="58"/>
  <c r="AB102" i="58"/>
  <c r="AA102" i="58"/>
  <c r="Z102" i="58"/>
  <c r="Y102" i="58"/>
  <c r="X102" i="58"/>
  <c r="W102" i="58"/>
  <c r="V102" i="58"/>
  <c r="U102" i="58"/>
  <c r="T102" i="58"/>
  <c r="S102" i="58"/>
  <c r="AH101" i="58"/>
  <c r="N101" i="58"/>
  <c r="X134" i="58" s="1"/>
  <c r="M101" i="58"/>
  <c r="W134" i="58" s="1"/>
  <c r="L101" i="58"/>
  <c r="V134" i="58" s="1"/>
  <c r="K101" i="58"/>
  <c r="U134" i="58" s="1"/>
  <c r="J101" i="58"/>
  <c r="T134" i="58" s="1"/>
  <c r="I101" i="58"/>
  <c r="S134" i="58" s="1"/>
  <c r="H101" i="58"/>
  <c r="R134" i="58" s="1"/>
  <c r="G101" i="58"/>
  <c r="F101" i="58"/>
  <c r="E101" i="58"/>
  <c r="O134" i="58" s="1"/>
  <c r="D101" i="58"/>
  <c r="C101" i="58"/>
  <c r="M134" i="58" s="1"/>
  <c r="B101" i="58"/>
  <c r="AH100" i="58"/>
  <c r="N100" i="58"/>
  <c r="X133" i="58" s="1"/>
  <c r="M100" i="58"/>
  <c r="W133" i="58" s="1"/>
  <c r="L100" i="58"/>
  <c r="V133" i="58" s="1"/>
  <c r="K100" i="58"/>
  <c r="U133" i="58" s="1"/>
  <c r="J100" i="58"/>
  <c r="T133" i="58" s="1"/>
  <c r="I100" i="58"/>
  <c r="S133" i="58" s="1"/>
  <c r="H100" i="58"/>
  <c r="R133" i="58" s="1"/>
  <c r="G100" i="58"/>
  <c r="F100" i="58"/>
  <c r="E100" i="58"/>
  <c r="O133" i="58" s="1"/>
  <c r="D100" i="58"/>
  <c r="C100" i="58"/>
  <c r="M133" i="58" s="1"/>
  <c r="B100" i="58"/>
  <c r="AH99" i="58"/>
  <c r="N99" i="58"/>
  <c r="X132" i="58" s="1"/>
  <c r="M99" i="58"/>
  <c r="W132" i="58" s="1"/>
  <c r="L99" i="58"/>
  <c r="V132" i="58" s="1"/>
  <c r="K99" i="58"/>
  <c r="U132" i="58" s="1"/>
  <c r="J99" i="58"/>
  <c r="T132" i="58" s="1"/>
  <c r="I99" i="58"/>
  <c r="S132" i="58" s="1"/>
  <c r="H99" i="58"/>
  <c r="R132" i="58" s="1"/>
  <c r="G99" i="58"/>
  <c r="F99" i="58"/>
  <c r="E99" i="58"/>
  <c r="O132" i="58" s="1"/>
  <c r="D99" i="58"/>
  <c r="C99" i="58"/>
  <c r="M132" i="58" s="1"/>
  <c r="B99" i="58"/>
  <c r="AH98" i="58"/>
  <c r="N98" i="58"/>
  <c r="X131" i="58" s="1"/>
  <c r="M98" i="58"/>
  <c r="W131" i="58" s="1"/>
  <c r="L98" i="58"/>
  <c r="V131" i="58" s="1"/>
  <c r="K98" i="58"/>
  <c r="U131" i="58" s="1"/>
  <c r="J98" i="58"/>
  <c r="T131" i="58" s="1"/>
  <c r="I98" i="58"/>
  <c r="S131" i="58" s="1"/>
  <c r="H98" i="58"/>
  <c r="R131" i="58" s="1"/>
  <c r="G98" i="58"/>
  <c r="F98" i="58"/>
  <c r="E98" i="58"/>
  <c r="O131" i="58" s="1"/>
  <c r="D98" i="58"/>
  <c r="C98" i="58"/>
  <c r="M131" i="58" s="1"/>
  <c r="B98" i="58"/>
  <c r="AH97" i="58"/>
  <c r="N97" i="58"/>
  <c r="X130" i="58" s="1"/>
  <c r="M97" i="58"/>
  <c r="W130" i="58" s="1"/>
  <c r="L97" i="58"/>
  <c r="V130" i="58" s="1"/>
  <c r="K97" i="58"/>
  <c r="U130" i="58" s="1"/>
  <c r="J97" i="58"/>
  <c r="T130" i="58" s="1"/>
  <c r="I97" i="58"/>
  <c r="S130" i="58" s="1"/>
  <c r="H97" i="58"/>
  <c r="R130" i="58" s="1"/>
  <c r="G97" i="58"/>
  <c r="F97" i="58"/>
  <c r="E97" i="58"/>
  <c r="O130" i="58" s="1"/>
  <c r="D97" i="58"/>
  <c r="C97" i="58"/>
  <c r="M130" i="58" s="1"/>
  <c r="B97" i="58"/>
  <c r="AH96" i="58"/>
  <c r="N96" i="58"/>
  <c r="X129" i="58" s="1"/>
  <c r="M96" i="58"/>
  <c r="W129" i="58" s="1"/>
  <c r="L96" i="58"/>
  <c r="V129" i="58" s="1"/>
  <c r="K96" i="58"/>
  <c r="U129" i="58" s="1"/>
  <c r="J96" i="58"/>
  <c r="T129" i="58" s="1"/>
  <c r="I96" i="58"/>
  <c r="S129" i="58" s="1"/>
  <c r="H96" i="58"/>
  <c r="R129" i="58" s="1"/>
  <c r="G96" i="58"/>
  <c r="F96" i="58"/>
  <c r="E96" i="58"/>
  <c r="O129" i="58" s="1"/>
  <c r="D96" i="58"/>
  <c r="C96" i="58"/>
  <c r="M129" i="58" s="1"/>
  <c r="B96" i="58"/>
  <c r="AH95" i="58"/>
  <c r="N95" i="58"/>
  <c r="X128" i="58" s="1"/>
  <c r="M95" i="58"/>
  <c r="W128" i="58" s="1"/>
  <c r="L95" i="58"/>
  <c r="V128" i="58" s="1"/>
  <c r="K95" i="58"/>
  <c r="U128" i="58" s="1"/>
  <c r="J95" i="58"/>
  <c r="T128" i="58" s="1"/>
  <c r="I95" i="58"/>
  <c r="S128" i="58" s="1"/>
  <c r="H95" i="58"/>
  <c r="R128" i="58" s="1"/>
  <c r="G95" i="58"/>
  <c r="F95" i="58"/>
  <c r="E95" i="58"/>
  <c r="O128" i="58" s="1"/>
  <c r="D95" i="58"/>
  <c r="C95" i="58"/>
  <c r="M128" i="58" s="1"/>
  <c r="B95" i="58"/>
  <c r="AH94" i="58"/>
  <c r="N94" i="58"/>
  <c r="X127" i="58" s="1"/>
  <c r="M94" i="58"/>
  <c r="W127" i="58" s="1"/>
  <c r="L94" i="58"/>
  <c r="V127" i="58" s="1"/>
  <c r="K94" i="58"/>
  <c r="U127" i="58" s="1"/>
  <c r="J94" i="58"/>
  <c r="T127" i="58" s="1"/>
  <c r="I94" i="58"/>
  <c r="S127" i="58" s="1"/>
  <c r="H94" i="58"/>
  <c r="R127" i="58" s="1"/>
  <c r="G94" i="58"/>
  <c r="F94" i="58"/>
  <c r="E94" i="58"/>
  <c r="O127" i="58" s="1"/>
  <c r="D94" i="58"/>
  <c r="C94" i="58"/>
  <c r="M127" i="58" s="1"/>
  <c r="B94" i="58"/>
  <c r="AH93" i="58"/>
  <c r="N93" i="58"/>
  <c r="X126" i="58" s="1"/>
  <c r="M93" i="58"/>
  <c r="W126" i="58" s="1"/>
  <c r="L93" i="58"/>
  <c r="V126" i="58" s="1"/>
  <c r="K93" i="58"/>
  <c r="U126" i="58" s="1"/>
  <c r="J93" i="58"/>
  <c r="T126" i="58" s="1"/>
  <c r="I93" i="58"/>
  <c r="S126" i="58" s="1"/>
  <c r="H93" i="58"/>
  <c r="R126" i="58" s="1"/>
  <c r="G93" i="58"/>
  <c r="F93" i="58"/>
  <c r="E93" i="58"/>
  <c r="O126" i="58" s="1"/>
  <c r="D93" i="58"/>
  <c r="C93" i="58"/>
  <c r="M126" i="58" s="1"/>
  <c r="B93" i="58"/>
  <c r="AH92" i="58"/>
  <c r="N92" i="58"/>
  <c r="X125" i="58" s="1"/>
  <c r="M92" i="58"/>
  <c r="W125" i="58" s="1"/>
  <c r="L92" i="58"/>
  <c r="V125" i="58" s="1"/>
  <c r="K92" i="58"/>
  <c r="U125" i="58" s="1"/>
  <c r="J92" i="58"/>
  <c r="T125" i="58" s="1"/>
  <c r="I92" i="58"/>
  <c r="S125" i="58" s="1"/>
  <c r="H92" i="58"/>
  <c r="R125" i="58" s="1"/>
  <c r="G92" i="58"/>
  <c r="F92" i="58"/>
  <c r="E92" i="58"/>
  <c r="O125" i="58" s="1"/>
  <c r="D92" i="58"/>
  <c r="C92" i="58"/>
  <c r="M125" i="58" s="1"/>
  <c r="B92" i="58"/>
  <c r="AH91" i="58"/>
  <c r="N91" i="58"/>
  <c r="X124" i="58" s="1"/>
  <c r="M91" i="58"/>
  <c r="W124" i="58" s="1"/>
  <c r="L91" i="58"/>
  <c r="V124" i="58" s="1"/>
  <c r="K91" i="58"/>
  <c r="U124" i="58" s="1"/>
  <c r="J91" i="58"/>
  <c r="T124" i="58" s="1"/>
  <c r="I91" i="58"/>
  <c r="S124" i="58" s="1"/>
  <c r="H91" i="58"/>
  <c r="R124" i="58" s="1"/>
  <c r="G91" i="58"/>
  <c r="F91" i="58"/>
  <c r="E91" i="58"/>
  <c r="O124" i="58" s="1"/>
  <c r="D91" i="58"/>
  <c r="C91" i="58"/>
  <c r="M124" i="58" s="1"/>
  <c r="B91" i="58"/>
  <c r="AH90" i="58"/>
  <c r="N90" i="58"/>
  <c r="X123" i="58" s="1"/>
  <c r="M90" i="58"/>
  <c r="W123" i="58" s="1"/>
  <c r="L90" i="58"/>
  <c r="V123" i="58" s="1"/>
  <c r="K90" i="58"/>
  <c r="U123" i="58" s="1"/>
  <c r="J90" i="58"/>
  <c r="T123" i="58" s="1"/>
  <c r="I90" i="58"/>
  <c r="S123" i="58" s="1"/>
  <c r="H90" i="58"/>
  <c r="R123" i="58" s="1"/>
  <c r="G90" i="58"/>
  <c r="F90" i="58"/>
  <c r="E90" i="58"/>
  <c r="O123" i="58" s="1"/>
  <c r="D90" i="58"/>
  <c r="C90" i="58"/>
  <c r="M123" i="58" s="1"/>
  <c r="B90" i="58"/>
  <c r="AH89" i="58"/>
  <c r="N89" i="58"/>
  <c r="X122" i="58" s="1"/>
  <c r="M89" i="58"/>
  <c r="W122" i="58" s="1"/>
  <c r="L89" i="58"/>
  <c r="V122" i="58" s="1"/>
  <c r="K89" i="58"/>
  <c r="U122" i="58" s="1"/>
  <c r="J89" i="58"/>
  <c r="T122" i="58" s="1"/>
  <c r="I89" i="58"/>
  <c r="S122" i="58" s="1"/>
  <c r="H89" i="58"/>
  <c r="R122" i="58" s="1"/>
  <c r="G89" i="58"/>
  <c r="F89" i="58"/>
  <c r="E89" i="58"/>
  <c r="O122" i="58" s="1"/>
  <c r="D89" i="58"/>
  <c r="C89" i="58"/>
  <c r="M122" i="58" s="1"/>
  <c r="B89" i="58"/>
  <c r="AH88" i="58"/>
  <c r="N88" i="58"/>
  <c r="X121" i="58" s="1"/>
  <c r="M88" i="58"/>
  <c r="W121" i="58" s="1"/>
  <c r="L88" i="58"/>
  <c r="V121" i="58" s="1"/>
  <c r="K88" i="58"/>
  <c r="U121" i="58" s="1"/>
  <c r="J88" i="58"/>
  <c r="T121" i="58" s="1"/>
  <c r="I88" i="58"/>
  <c r="S121" i="58" s="1"/>
  <c r="H88" i="58"/>
  <c r="R121" i="58" s="1"/>
  <c r="G88" i="58"/>
  <c r="F88" i="58"/>
  <c r="E88" i="58"/>
  <c r="O121" i="58" s="1"/>
  <c r="D88" i="58"/>
  <c r="C88" i="58"/>
  <c r="M121" i="58" s="1"/>
  <c r="B88" i="58"/>
  <c r="AH87" i="58"/>
  <c r="N87" i="58"/>
  <c r="X120" i="58" s="1"/>
  <c r="M87" i="58"/>
  <c r="W120" i="58" s="1"/>
  <c r="L87" i="58"/>
  <c r="V120" i="58" s="1"/>
  <c r="K87" i="58"/>
  <c r="U120" i="58" s="1"/>
  <c r="J87" i="58"/>
  <c r="T120" i="58" s="1"/>
  <c r="I87" i="58"/>
  <c r="S120" i="58" s="1"/>
  <c r="H87" i="58"/>
  <c r="R120" i="58" s="1"/>
  <c r="G87" i="58"/>
  <c r="F87" i="58"/>
  <c r="E87" i="58"/>
  <c r="O120" i="58" s="1"/>
  <c r="D87" i="58"/>
  <c r="C87" i="58"/>
  <c r="M120" i="58" s="1"/>
  <c r="B87" i="58"/>
  <c r="AH86" i="58"/>
  <c r="N86" i="58"/>
  <c r="X119" i="58" s="1"/>
  <c r="M86" i="58"/>
  <c r="W119" i="58" s="1"/>
  <c r="L86" i="58"/>
  <c r="V119" i="58" s="1"/>
  <c r="K86" i="58"/>
  <c r="U119" i="58" s="1"/>
  <c r="J86" i="58"/>
  <c r="T119" i="58" s="1"/>
  <c r="I86" i="58"/>
  <c r="S119" i="58" s="1"/>
  <c r="H86" i="58"/>
  <c r="R119" i="58" s="1"/>
  <c r="G86" i="58"/>
  <c r="F86" i="58"/>
  <c r="E86" i="58"/>
  <c r="O119" i="58" s="1"/>
  <c r="D86" i="58"/>
  <c r="C86" i="58"/>
  <c r="M119" i="58" s="1"/>
  <c r="B86" i="58"/>
  <c r="AH85" i="58"/>
  <c r="N85" i="58"/>
  <c r="X118" i="58" s="1"/>
  <c r="M85" i="58"/>
  <c r="W118" i="58" s="1"/>
  <c r="L85" i="58"/>
  <c r="V118" i="58" s="1"/>
  <c r="K85" i="58"/>
  <c r="U118" i="58" s="1"/>
  <c r="J85" i="58"/>
  <c r="T118" i="58" s="1"/>
  <c r="I85" i="58"/>
  <c r="S118" i="58" s="1"/>
  <c r="H85" i="58"/>
  <c r="R118" i="58" s="1"/>
  <c r="G85" i="58"/>
  <c r="F85" i="58"/>
  <c r="E85" i="58"/>
  <c r="O118" i="58" s="1"/>
  <c r="D85" i="58"/>
  <c r="C85" i="58"/>
  <c r="M118" i="58" s="1"/>
  <c r="B85" i="58"/>
  <c r="AH84" i="58"/>
  <c r="N84" i="58"/>
  <c r="X117" i="58" s="1"/>
  <c r="M84" i="58"/>
  <c r="W117" i="58" s="1"/>
  <c r="L84" i="58"/>
  <c r="V117" i="58" s="1"/>
  <c r="K84" i="58"/>
  <c r="U117" i="58" s="1"/>
  <c r="J84" i="58"/>
  <c r="T117" i="58" s="1"/>
  <c r="I84" i="58"/>
  <c r="S117" i="58" s="1"/>
  <c r="H84" i="58"/>
  <c r="R117" i="58" s="1"/>
  <c r="G84" i="58"/>
  <c r="F84" i="58"/>
  <c r="E84" i="58"/>
  <c r="O117" i="58" s="1"/>
  <c r="D84" i="58"/>
  <c r="C84" i="58"/>
  <c r="M117" i="58" s="1"/>
  <c r="B84" i="58"/>
  <c r="AH83" i="58"/>
  <c r="N83" i="58"/>
  <c r="X116" i="58" s="1"/>
  <c r="M83" i="58"/>
  <c r="W116" i="58" s="1"/>
  <c r="L83" i="58"/>
  <c r="V116" i="58" s="1"/>
  <c r="K83" i="58"/>
  <c r="U116" i="58" s="1"/>
  <c r="J83" i="58"/>
  <c r="T116" i="58" s="1"/>
  <c r="I83" i="58"/>
  <c r="S116" i="58" s="1"/>
  <c r="H83" i="58"/>
  <c r="R116" i="58" s="1"/>
  <c r="G83" i="58"/>
  <c r="F83" i="58"/>
  <c r="E83" i="58"/>
  <c r="O116" i="58" s="1"/>
  <c r="D83" i="58"/>
  <c r="C83" i="58"/>
  <c r="M116" i="58" s="1"/>
  <c r="B83" i="58"/>
  <c r="AH82" i="58"/>
  <c r="N82" i="58"/>
  <c r="X115" i="58" s="1"/>
  <c r="M82" i="58"/>
  <c r="W115" i="58" s="1"/>
  <c r="L82" i="58"/>
  <c r="V115" i="58" s="1"/>
  <c r="K82" i="58"/>
  <c r="U115" i="58" s="1"/>
  <c r="J82" i="58"/>
  <c r="T115" i="58" s="1"/>
  <c r="I82" i="58"/>
  <c r="S115" i="58" s="1"/>
  <c r="H82" i="58"/>
  <c r="R115" i="58" s="1"/>
  <c r="G82" i="58"/>
  <c r="F82" i="58"/>
  <c r="E82" i="58"/>
  <c r="O115" i="58" s="1"/>
  <c r="D82" i="58"/>
  <c r="C82" i="58"/>
  <c r="M115" i="58" s="1"/>
  <c r="B82" i="58"/>
  <c r="AH81" i="58"/>
  <c r="N81" i="58"/>
  <c r="X114" i="58" s="1"/>
  <c r="M81" i="58"/>
  <c r="W114" i="58" s="1"/>
  <c r="L81" i="58"/>
  <c r="V114" i="58" s="1"/>
  <c r="K81" i="58"/>
  <c r="U114" i="58" s="1"/>
  <c r="J81" i="58"/>
  <c r="T114" i="58" s="1"/>
  <c r="I81" i="58"/>
  <c r="S114" i="58" s="1"/>
  <c r="H81" i="58"/>
  <c r="R114" i="58" s="1"/>
  <c r="G81" i="58"/>
  <c r="F81" i="58"/>
  <c r="E81" i="58"/>
  <c r="O114" i="58" s="1"/>
  <c r="D81" i="58"/>
  <c r="C81" i="58"/>
  <c r="M114" i="58" s="1"/>
  <c r="B81" i="58"/>
  <c r="AH80" i="58"/>
  <c r="N80" i="58"/>
  <c r="X113" i="58" s="1"/>
  <c r="M80" i="58"/>
  <c r="W113" i="58" s="1"/>
  <c r="L80" i="58"/>
  <c r="V113" i="58" s="1"/>
  <c r="K80" i="58"/>
  <c r="U113" i="58" s="1"/>
  <c r="J80" i="58"/>
  <c r="T113" i="58" s="1"/>
  <c r="I80" i="58"/>
  <c r="S113" i="58" s="1"/>
  <c r="H80" i="58"/>
  <c r="R113" i="58" s="1"/>
  <c r="G80" i="58"/>
  <c r="F80" i="58"/>
  <c r="E80" i="58"/>
  <c r="O113" i="58" s="1"/>
  <c r="D80" i="58"/>
  <c r="C80" i="58"/>
  <c r="M113" i="58" s="1"/>
  <c r="B80" i="58"/>
  <c r="AH79" i="58"/>
  <c r="N79" i="58"/>
  <c r="X112" i="58" s="1"/>
  <c r="M79" i="58"/>
  <c r="W112" i="58" s="1"/>
  <c r="L79" i="58"/>
  <c r="V112" i="58" s="1"/>
  <c r="K79" i="58"/>
  <c r="U112" i="58" s="1"/>
  <c r="J79" i="58"/>
  <c r="T112" i="58" s="1"/>
  <c r="I79" i="58"/>
  <c r="S112" i="58" s="1"/>
  <c r="H79" i="58"/>
  <c r="R112" i="58" s="1"/>
  <c r="G79" i="58"/>
  <c r="F79" i="58"/>
  <c r="E79" i="58"/>
  <c r="O112" i="58" s="1"/>
  <c r="D79" i="58"/>
  <c r="C79" i="58"/>
  <c r="M112" i="58" s="1"/>
  <c r="B79" i="58"/>
  <c r="AH78" i="58"/>
  <c r="N78" i="58"/>
  <c r="X111" i="58" s="1"/>
  <c r="M78" i="58"/>
  <c r="W111" i="58" s="1"/>
  <c r="L78" i="58"/>
  <c r="V111" i="58" s="1"/>
  <c r="K78" i="58"/>
  <c r="U111" i="58" s="1"/>
  <c r="J78" i="58"/>
  <c r="T111" i="58" s="1"/>
  <c r="I78" i="58"/>
  <c r="S111" i="58" s="1"/>
  <c r="H78" i="58"/>
  <c r="R111" i="58" s="1"/>
  <c r="G78" i="58"/>
  <c r="F78" i="58"/>
  <c r="E78" i="58"/>
  <c r="O111" i="58" s="1"/>
  <c r="D78" i="58"/>
  <c r="C78" i="58"/>
  <c r="M111" i="58" s="1"/>
  <c r="B78" i="58"/>
  <c r="AH77" i="58"/>
  <c r="N77" i="58"/>
  <c r="X110" i="58" s="1"/>
  <c r="M77" i="58"/>
  <c r="W110" i="58" s="1"/>
  <c r="L77" i="58"/>
  <c r="V110" i="58" s="1"/>
  <c r="K77" i="58"/>
  <c r="U110" i="58" s="1"/>
  <c r="J77" i="58"/>
  <c r="T110" i="58" s="1"/>
  <c r="I77" i="58"/>
  <c r="S110" i="58" s="1"/>
  <c r="H77" i="58"/>
  <c r="R110" i="58" s="1"/>
  <c r="G77" i="58"/>
  <c r="F77" i="58"/>
  <c r="E77" i="58"/>
  <c r="O110" i="58" s="1"/>
  <c r="D77" i="58"/>
  <c r="C77" i="58"/>
  <c r="M110" i="58" s="1"/>
  <c r="B77" i="58"/>
  <c r="AH76" i="58"/>
  <c r="N76" i="58"/>
  <c r="X109" i="58" s="1"/>
  <c r="M76" i="58"/>
  <c r="W109" i="58" s="1"/>
  <c r="L76" i="58"/>
  <c r="V109" i="58" s="1"/>
  <c r="K76" i="58"/>
  <c r="U109" i="58" s="1"/>
  <c r="J76" i="58"/>
  <c r="T109" i="58" s="1"/>
  <c r="I76" i="58"/>
  <c r="S109" i="58" s="1"/>
  <c r="H76" i="58"/>
  <c r="R109" i="58" s="1"/>
  <c r="G76" i="58"/>
  <c r="F76" i="58"/>
  <c r="E76" i="58"/>
  <c r="O109" i="58" s="1"/>
  <c r="D76" i="58"/>
  <c r="C76" i="58"/>
  <c r="M109" i="58" s="1"/>
  <c r="B76" i="58"/>
  <c r="AH75" i="58"/>
  <c r="N75" i="58"/>
  <c r="M75" i="58"/>
  <c r="L75" i="58"/>
  <c r="V108" i="58" s="1"/>
  <c r="K75" i="58"/>
  <c r="U108" i="58" s="1"/>
  <c r="J75" i="58"/>
  <c r="I75" i="58"/>
  <c r="H75" i="58"/>
  <c r="R108" i="58" s="1"/>
  <c r="G75" i="58"/>
  <c r="F75" i="58"/>
  <c r="AK75" i="58" s="1"/>
  <c r="E75" i="58"/>
  <c r="D75" i="58"/>
  <c r="C75" i="58"/>
  <c r="M108" i="58" s="1"/>
  <c r="B75" i="58"/>
  <c r="N67" i="58"/>
  <c r="M67" i="58"/>
  <c r="L67" i="58"/>
  <c r="K67" i="58"/>
  <c r="J67" i="58"/>
  <c r="I67" i="58"/>
  <c r="H67" i="58"/>
  <c r="G67" i="58"/>
  <c r="F67" i="58"/>
  <c r="E67" i="58"/>
  <c r="D67" i="58"/>
  <c r="C67" i="58"/>
  <c r="B67" i="58"/>
  <c r="AG66" i="58"/>
  <c r="AF66" i="58"/>
  <c r="AE66" i="58"/>
  <c r="AD66" i="58"/>
  <c r="AC66" i="58"/>
  <c r="AB66" i="58"/>
  <c r="AA66" i="58"/>
  <c r="Z66" i="58"/>
  <c r="Y66" i="58"/>
  <c r="X66" i="58"/>
  <c r="W66" i="58"/>
  <c r="AK66" i="58" s="1"/>
  <c r="V66" i="58"/>
  <c r="U66" i="58"/>
  <c r="T66" i="58"/>
  <c r="S66" i="58"/>
  <c r="O66" i="58"/>
  <c r="AG65" i="58"/>
  <c r="AF65" i="58"/>
  <c r="AE65" i="58"/>
  <c r="AD65" i="58"/>
  <c r="AC65" i="58"/>
  <c r="AB65" i="58"/>
  <c r="AA65" i="58"/>
  <c r="Z65" i="58"/>
  <c r="Y65" i="58"/>
  <c r="X65" i="58"/>
  <c r="W65" i="58"/>
  <c r="AK65" i="58" s="1"/>
  <c r="V65" i="58"/>
  <c r="U65" i="58"/>
  <c r="T65" i="58"/>
  <c r="S65" i="58"/>
  <c r="O65" i="58"/>
  <c r="AE64" i="58"/>
  <c r="AD64" i="58"/>
  <c r="AC64" i="58"/>
  <c r="AB64" i="58"/>
  <c r="AA64" i="58"/>
  <c r="Z64" i="58"/>
  <c r="Y64" i="58"/>
  <c r="X64" i="58"/>
  <c r="W64" i="58"/>
  <c r="AK64" i="58" s="1"/>
  <c r="V64" i="58"/>
  <c r="U64" i="58"/>
  <c r="T64" i="58"/>
  <c r="S64" i="58"/>
  <c r="O64" i="58"/>
  <c r="AG63" i="58"/>
  <c r="AF63" i="58"/>
  <c r="AE63" i="58"/>
  <c r="AD63" i="58"/>
  <c r="AC63" i="58"/>
  <c r="AB63" i="58"/>
  <c r="AA63" i="58"/>
  <c r="Z63" i="58"/>
  <c r="Y63" i="58"/>
  <c r="X63" i="58"/>
  <c r="W63" i="58"/>
  <c r="AK63" i="58" s="1"/>
  <c r="V63" i="58"/>
  <c r="U63" i="58"/>
  <c r="T63" i="58"/>
  <c r="S63" i="58"/>
  <c r="O63" i="58"/>
  <c r="AG62" i="58"/>
  <c r="AF62" i="58"/>
  <c r="AE62" i="58"/>
  <c r="AD62" i="58"/>
  <c r="AC62" i="58"/>
  <c r="AB62" i="58"/>
  <c r="AA62" i="58"/>
  <c r="Z62" i="58"/>
  <c r="Y62" i="58"/>
  <c r="X62" i="58"/>
  <c r="W62" i="58"/>
  <c r="AK62" i="58" s="1"/>
  <c r="V62" i="58"/>
  <c r="U62" i="58"/>
  <c r="T62" i="58"/>
  <c r="S62" i="58"/>
  <c r="O62" i="58"/>
  <c r="AG61" i="58"/>
  <c r="AF61" i="58"/>
  <c r="AE61" i="58"/>
  <c r="AD61" i="58"/>
  <c r="AC61" i="58"/>
  <c r="AB61" i="58"/>
  <c r="AA61" i="58"/>
  <c r="Z61" i="58"/>
  <c r="Y61" i="58"/>
  <c r="X61" i="58"/>
  <c r="W61" i="58"/>
  <c r="AK61" i="58" s="1"/>
  <c r="V61" i="58"/>
  <c r="U61" i="58"/>
  <c r="T61" i="58"/>
  <c r="S61" i="58"/>
  <c r="O61" i="58"/>
  <c r="AG60" i="58"/>
  <c r="AF60" i="58"/>
  <c r="AE60" i="58"/>
  <c r="AD60" i="58"/>
  <c r="AC60" i="58"/>
  <c r="AB60" i="58"/>
  <c r="AA60" i="58"/>
  <c r="Z60" i="58"/>
  <c r="Y60" i="58"/>
  <c r="X60" i="58"/>
  <c r="W60" i="58"/>
  <c r="AK60" i="58" s="1"/>
  <c r="V60" i="58"/>
  <c r="U60" i="58"/>
  <c r="T60" i="58"/>
  <c r="S60" i="58"/>
  <c r="O60" i="58"/>
  <c r="AG59" i="58"/>
  <c r="AF59" i="58"/>
  <c r="AE59" i="58"/>
  <c r="AD59" i="58"/>
  <c r="AC59" i="58"/>
  <c r="AB59" i="58"/>
  <c r="AA59" i="58"/>
  <c r="Z59" i="58"/>
  <c r="Y59" i="58"/>
  <c r="X59" i="58"/>
  <c r="W59" i="58"/>
  <c r="AK59" i="58" s="1"/>
  <c r="V59" i="58"/>
  <c r="U59" i="58"/>
  <c r="T59" i="58"/>
  <c r="S59" i="58"/>
  <c r="O59" i="58"/>
  <c r="AG58" i="58"/>
  <c r="AF58" i="58"/>
  <c r="AE58" i="58"/>
  <c r="AD58" i="58"/>
  <c r="AC58" i="58"/>
  <c r="AB58" i="58"/>
  <c r="AA58" i="58"/>
  <c r="Z58" i="58"/>
  <c r="Y58" i="58"/>
  <c r="X58" i="58"/>
  <c r="W58" i="58"/>
  <c r="AK58" i="58" s="1"/>
  <c r="V58" i="58"/>
  <c r="U58" i="58"/>
  <c r="T58" i="58"/>
  <c r="S58" i="58"/>
  <c r="O58" i="58"/>
  <c r="AE57" i="58"/>
  <c r="AD57" i="58"/>
  <c r="AC57" i="58"/>
  <c r="AB57" i="58"/>
  <c r="AA57" i="58"/>
  <c r="Z57" i="58"/>
  <c r="Y57" i="58"/>
  <c r="X57" i="58"/>
  <c r="W57" i="58"/>
  <c r="AK57" i="58" s="1"/>
  <c r="V57" i="58"/>
  <c r="U57" i="58"/>
  <c r="T57" i="58"/>
  <c r="S57" i="58"/>
  <c r="O57" i="58"/>
  <c r="AG56" i="58"/>
  <c r="AF56" i="58"/>
  <c r="AE56" i="58"/>
  <c r="AD56" i="58"/>
  <c r="AC56" i="58"/>
  <c r="AB56" i="58"/>
  <c r="AA56" i="58"/>
  <c r="Z56" i="58"/>
  <c r="Y56" i="58"/>
  <c r="X56" i="58"/>
  <c r="W56" i="58"/>
  <c r="AK56" i="58" s="1"/>
  <c r="V56" i="58"/>
  <c r="U56" i="58"/>
  <c r="T56" i="58"/>
  <c r="S56" i="58"/>
  <c r="O56" i="58"/>
  <c r="AG55" i="58"/>
  <c r="AF55" i="58"/>
  <c r="AE55" i="58"/>
  <c r="AD55" i="58"/>
  <c r="AC55" i="58"/>
  <c r="AB55" i="58"/>
  <c r="AA55" i="58"/>
  <c r="Z55" i="58"/>
  <c r="Y55" i="58"/>
  <c r="X55" i="58"/>
  <c r="W55" i="58"/>
  <c r="AK55" i="58" s="1"/>
  <c r="V55" i="58"/>
  <c r="U55" i="58"/>
  <c r="T55" i="58"/>
  <c r="S55" i="58"/>
  <c r="O55" i="58"/>
  <c r="AG54" i="58"/>
  <c r="AF54" i="58"/>
  <c r="AE54" i="58"/>
  <c r="AD54" i="58"/>
  <c r="AC54" i="58"/>
  <c r="AB54" i="58"/>
  <c r="AA54" i="58"/>
  <c r="Z54" i="58"/>
  <c r="Y54" i="58"/>
  <c r="X54" i="58"/>
  <c r="W54" i="58"/>
  <c r="AK54" i="58" s="1"/>
  <c r="V54" i="58"/>
  <c r="U54" i="58"/>
  <c r="T54" i="58"/>
  <c r="S54" i="58"/>
  <c r="O54" i="58"/>
  <c r="AG53" i="58"/>
  <c r="AF53" i="58"/>
  <c r="AE53" i="58"/>
  <c r="AD53" i="58"/>
  <c r="AC53" i="58"/>
  <c r="AB53" i="58"/>
  <c r="AA53" i="58"/>
  <c r="Z53" i="58"/>
  <c r="Y53" i="58"/>
  <c r="X53" i="58"/>
  <c r="W53" i="58"/>
  <c r="AK53" i="58" s="1"/>
  <c r="V53" i="58"/>
  <c r="U53" i="58"/>
  <c r="T53" i="58"/>
  <c r="S53" i="58"/>
  <c r="O53" i="58"/>
  <c r="AG52" i="58"/>
  <c r="AF52" i="58"/>
  <c r="AE52" i="58"/>
  <c r="AD52" i="58"/>
  <c r="AC52" i="58"/>
  <c r="AB52" i="58"/>
  <c r="AA52" i="58"/>
  <c r="Z52" i="58"/>
  <c r="Y52" i="58"/>
  <c r="X52" i="58"/>
  <c r="W52" i="58"/>
  <c r="AK52" i="58" s="1"/>
  <c r="V52" i="58"/>
  <c r="U52" i="58"/>
  <c r="T52" i="58"/>
  <c r="S52" i="58"/>
  <c r="O52" i="58"/>
  <c r="AG51" i="58"/>
  <c r="AF51" i="58"/>
  <c r="AE51" i="58"/>
  <c r="AD51" i="58"/>
  <c r="AC51" i="58"/>
  <c r="AB51" i="58"/>
  <c r="AA51" i="58"/>
  <c r="Z51" i="58"/>
  <c r="Y51" i="58"/>
  <c r="X51" i="58"/>
  <c r="W51" i="58"/>
  <c r="AK51" i="58" s="1"/>
  <c r="V51" i="58"/>
  <c r="U51" i="58"/>
  <c r="T51" i="58"/>
  <c r="S51" i="58"/>
  <c r="O51" i="58"/>
  <c r="AG50" i="58"/>
  <c r="AF50" i="58"/>
  <c r="AE50" i="58"/>
  <c r="AD50" i="58"/>
  <c r="AC50" i="58"/>
  <c r="AB50" i="58"/>
  <c r="AA50" i="58"/>
  <c r="Z50" i="58"/>
  <c r="Y50" i="58"/>
  <c r="X50" i="58"/>
  <c r="W50" i="58"/>
  <c r="AK50" i="58" s="1"/>
  <c r="V50" i="58"/>
  <c r="U50" i="58"/>
  <c r="T50" i="58"/>
  <c r="S50" i="58"/>
  <c r="O50" i="58"/>
  <c r="AG49" i="58"/>
  <c r="AF49" i="58"/>
  <c r="AE49" i="58"/>
  <c r="AD49" i="58"/>
  <c r="AC49" i="58"/>
  <c r="AB49" i="58"/>
  <c r="AA49" i="58"/>
  <c r="Z49" i="58"/>
  <c r="Y49" i="58"/>
  <c r="X49" i="58"/>
  <c r="W49" i="58"/>
  <c r="AK49" i="58" s="1"/>
  <c r="V49" i="58"/>
  <c r="U49" i="58"/>
  <c r="T49" i="58"/>
  <c r="S49" i="58"/>
  <c r="O49" i="58"/>
  <c r="AG48" i="58"/>
  <c r="AF48" i="58"/>
  <c r="AE48" i="58"/>
  <c r="AD48" i="58"/>
  <c r="AC48" i="58"/>
  <c r="AB48" i="58"/>
  <c r="AA48" i="58"/>
  <c r="Z48" i="58"/>
  <c r="Y48" i="58"/>
  <c r="X48" i="58"/>
  <c r="W48" i="58"/>
  <c r="AK48" i="58" s="1"/>
  <c r="V48" i="58"/>
  <c r="U48" i="58"/>
  <c r="T48" i="58"/>
  <c r="S48" i="58"/>
  <c r="O48" i="58"/>
  <c r="AG47" i="58"/>
  <c r="AF47" i="58"/>
  <c r="AE47" i="58"/>
  <c r="AD47" i="58"/>
  <c r="AC47" i="58"/>
  <c r="AB47" i="58"/>
  <c r="AA47" i="58"/>
  <c r="Z47" i="58"/>
  <c r="Y47" i="58"/>
  <c r="X47" i="58"/>
  <c r="W47" i="58"/>
  <c r="AK47" i="58" s="1"/>
  <c r="V47" i="58"/>
  <c r="U47" i="58"/>
  <c r="T47" i="58"/>
  <c r="S47" i="58"/>
  <c r="O47" i="58"/>
  <c r="AG46" i="58"/>
  <c r="AF46" i="58"/>
  <c r="AE46" i="58"/>
  <c r="AD46" i="58"/>
  <c r="AC46" i="58"/>
  <c r="AB46" i="58"/>
  <c r="AA46" i="58"/>
  <c r="Z46" i="58"/>
  <c r="Y46" i="58"/>
  <c r="X46" i="58"/>
  <c r="W46" i="58"/>
  <c r="AK46" i="58" s="1"/>
  <c r="V46" i="58"/>
  <c r="U46" i="58"/>
  <c r="T46" i="58"/>
  <c r="S46" i="58"/>
  <c r="O46" i="58"/>
  <c r="AG45" i="58"/>
  <c r="AF45" i="58"/>
  <c r="AE45" i="58"/>
  <c r="AD45" i="58"/>
  <c r="AC45" i="58"/>
  <c r="AB45" i="58"/>
  <c r="AA45" i="58"/>
  <c r="Z45" i="58"/>
  <c r="Y45" i="58"/>
  <c r="X45" i="58"/>
  <c r="W45" i="58"/>
  <c r="AK45" i="58" s="1"/>
  <c r="V45" i="58"/>
  <c r="U45" i="58"/>
  <c r="T45" i="58"/>
  <c r="S45" i="58"/>
  <c r="O45" i="58"/>
  <c r="AG44" i="58"/>
  <c r="AF44" i="58"/>
  <c r="AE44" i="58"/>
  <c r="AD44" i="58"/>
  <c r="AC44" i="58"/>
  <c r="AB44" i="58"/>
  <c r="AA44" i="58"/>
  <c r="Z44" i="58"/>
  <c r="Y44" i="58"/>
  <c r="X44" i="58"/>
  <c r="W44" i="58"/>
  <c r="AK44" i="58" s="1"/>
  <c r="V44" i="58"/>
  <c r="U44" i="58"/>
  <c r="T44" i="58"/>
  <c r="S44" i="58"/>
  <c r="O44" i="58"/>
  <c r="AE43" i="58"/>
  <c r="AD43" i="58"/>
  <c r="AC43" i="58"/>
  <c r="AB43" i="58"/>
  <c r="AA43" i="58"/>
  <c r="Z43" i="58"/>
  <c r="Y43" i="58"/>
  <c r="X43" i="58"/>
  <c r="W43" i="58"/>
  <c r="AK43" i="58" s="1"/>
  <c r="V43" i="58"/>
  <c r="U43" i="58"/>
  <c r="AJ43" i="58" s="1"/>
  <c r="T43" i="58"/>
  <c r="S43" i="58"/>
  <c r="O43" i="58"/>
  <c r="AG42" i="58"/>
  <c r="AF42" i="58"/>
  <c r="AE42" i="58"/>
  <c r="AD42" i="58"/>
  <c r="AC42" i="58"/>
  <c r="AB42" i="58"/>
  <c r="AA42" i="58"/>
  <c r="Z42" i="58"/>
  <c r="Y42" i="58"/>
  <c r="X42" i="58"/>
  <c r="W42" i="58"/>
  <c r="AK42" i="58" s="1"/>
  <c r="V42" i="58"/>
  <c r="U42" i="58"/>
  <c r="AJ42" i="58" s="1"/>
  <c r="T42" i="58"/>
  <c r="S42" i="58"/>
  <c r="O42" i="58"/>
  <c r="AG41" i="58"/>
  <c r="AF41" i="58"/>
  <c r="AE41" i="58"/>
  <c r="AD41" i="58"/>
  <c r="AC41" i="58"/>
  <c r="AB41" i="58"/>
  <c r="AA41" i="58"/>
  <c r="Z41" i="58"/>
  <c r="Y41" i="58"/>
  <c r="X41" i="58"/>
  <c r="W41" i="58"/>
  <c r="AK41" i="58" s="1"/>
  <c r="V41" i="58"/>
  <c r="U41" i="58"/>
  <c r="AJ41" i="58" s="1"/>
  <c r="T41" i="58"/>
  <c r="S41" i="58"/>
  <c r="O41" i="58"/>
  <c r="AG40" i="58"/>
  <c r="AF40" i="58"/>
  <c r="AE40" i="58"/>
  <c r="AD40" i="58"/>
  <c r="AC40" i="58"/>
  <c r="AB40" i="58"/>
  <c r="AA40" i="58"/>
  <c r="Z40" i="58"/>
  <c r="Y40" i="58"/>
  <c r="X40" i="58"/>
  <c r="W40" i="58"/>
  <c r="AK40" i="58" s="1"/>
  <c r="V40" i="58"/>
  <c r="U40" i="58"/>
  <c r="T40" i="58"/>
  <c r="S40" i="58"/>
  <c r="O40" i="58"/>
  <c r="N32" i="58"/>
  <c r="M32" i="58"/>
  <c r="L32" i="58"/>
  <c r="K32" i="58"/>
  <c r="J32" i="58"/>
  <c r="I32" i="58"/>
  <c r="H32" i="58"/>
  <c r="G32" i="58"/>
  <c r="F32" i="58"/>
  <c r="E32" i="58"/>
  <c r="D32" i="58"/>
  <c r="C32" i="58"/>
  <c r="B32" i="58"/>
  <c r="AG31" i="58"/>
  <c r="AF31" i="58"/>
  <c r="AE31" i="58"/>
  <c r="AD31" i="58"/>
  <c r="AC31" i="58"/>
  <c r="AB31" i="58"/>
  <c r="AA31" i="58"/>
  <c r="Z31" i="58"/>
  <c r="Y31" i="58"/>
  <c r="X31" i="58"/>
  <c r="W31" i="58"/>
  <c r="V31" i="58"/>
  <c r="U31" i="58"/>
  <c r="T31" i="58"/>
  <c r="S31" i="58"/>
  <c r="O31" i="58"/>
  <c r="AG30" i="58"/>
  <c r="AF30" i="58"/>
  <c r="AE30" i="58"/>
  <c r="AD30" i="58"/>
  <c r="AC30" i="58"/>
  <c r="AB30" i="58"/>
  <c r="AA30" i="58"/>
  <c r="Z30" i="58"/>
  <c r="Y30" i="58"/>
  <c r="X30" i="58"/>
  <c r="W30" i="58"/>
  <c r="V30" i="58"/>
  <c r="U30" i="58"/>
  <c r="T30" i="58"/>
  <c r="S30" i="58"/>
  <c r="O30" i="58"/>
  <c r="AG29" i="58"/>
  <c r="AF29" i="58"/>
  <c r="AE29" i="58"/>
  <c r="AD29" i="58"/>
  <c r="AC29" i="58"/>
  <c r="AB29" i="58"/>
  <c r="AA29" i="58"/>
  <c r="Z29" i="58"/>
  <c r="Y29" i="58"/>
  <c r="X29" i="58"/>
  <c r="W29" i="58"/>
  <c r="V29" i="58"/>
  <c r="U29" i="58"/>
  <c r="T29" i="58"/>
  <c r="S29" i="58"/>
  <c r="O29" i="58"/>
  <c r="AG28" i="58"/>
  <c r="AF28" i="58"/>
  <c r="AE28" i="58"/>
  <c r="AD28" i="58"/>
  <c r="AC28" i="58"/>
  <c r="AB28" i="58"/>
  <c r="AA28" i="58"/>
  <c r="Z28" i="58"/>
  <c r="Y28" i="58"/>
  <c r="X28" i="58"/>
  <c r="W28" i="58"/>
  <c r="V28" i="58"/>
  <c r="U28" i="58"/>
  <c r="T28" i="58"/>
  <c r="S28" i="58"/>
  <c r="O28" i="58"/>
  <c r="AG27" i="58"/>
  <c r="AF27" i="58"/>
  <c r="AE27" i="58"/>
  <c r="AD27" i="58"/>
  <c r="AC27" i="58"/>
  <c r="AB27" i="58"/>
  <c r="AA27" i="58"/>
  <c r="Z27" i="58"/>
  <c r="Y27" i="58"/>
  <c r="X27" i="58"/>
  <c r="W27" i="58"/>
  <c r="V27" i="58"/>
  <c r="U27" i="58"/>
  <c r="T27" i="58"/>
  <c r="S27" i="58"/>
  <c r="O27" i="58"/>
  <c r="AG26" i="58"/>
  <c r="AF26" i="58"/>
  <c r="AE26" i="58"/>
  <c r="AD26" i="58"/>
  <c r="AC26" i="58"/>
  <c r="AB26" i="58"/>
  <c r="AA26" i="58"/>
  <c r="Z26" i="58"/>
  <c r="Y26" i="58"/>
  <c r="X26" i="58"/>
  <c r="W26" i="58"/>
  <c r="V26" i="58"/>
  <c r="U26" i="58"/>
  <c r="T26" i="58"/>
  <c r="S26" i="58"/>
  <c r="O26" i="58"/>
  <c r="AG25" i="58"/>
  <c r="AF25" i="58"/>
  <c r="AE25" i="58"/>
  <c r="AD25" i="58"/>
  <c r="AC25" i="58"/>
  <c r="AB25" i="58"/>
  <c r="AA25" i="58"/>
  <c r="Z25" i="58"/>
  <c r="Y25" i="58"/>
  <c r="X25" i="58"/>
  <c r="W25" i="58"/>
  <c r="V25" i="58"/>
  <c r="U25" i="58"/>
  <c r="T25" i="58"/>
  <c r="S25" i="58"/>
  <c r="O25" i="58"/>
  <c r="AG24" i="58"/>
  <c r="AF24" i="58"/>
  <c r="AE24" i="58"/>
  <c r="AD24" i="58"/>
  <c r="AC24" i="58"/>
  <c r="AB24" i="58"/>
  <c r="AA24" i="58"/>
  <c r="Z24" i="58"/>
  <c r="Y24" i="58"/>
  <c r="X24" i="58"/>
  <c r="W24" i="58"/>
  <c r="V24" i="58"/>
  <c r="U24" i="58"/>
  <c r="T24" i="58"/>
  <c r="S24" i="58"/>
  <c r="O24" i="58"/>
  <c r="AG23" i="58"/>
  <c r="AF23" i="58"/>
  <c r="AE23" i="58"/>
  <c r="AD23" i="58"/>
  <c r="AC23" i="58"/>
  <c r="AB23" i="58"/>
  <c r="AA23" i="58"/>
  <c r="Z23" i="58"/>
  <c r="Y23" i="58"/>
  <c r="X23" i="58"/>
  <c r="W23" i="58"/>
  <c r="V23" i="58"/>
  <c r="U23" i="58"/>
  <c r="T23" i="58"/>
  <c r="S23" i="58"/>
  <c r="O23" i="58"/>
  <c r="AE22" i="58"/>
  <c r="AD22" i="58"/>
  <c r="AC22" i="58"/>
  <c r="AB22" i="58"/>
  <c r="AA22" i="58"/>
  <c r="Z22" i="58"/>
  <c r="Y22" i="58"/>
  <c r="X22" i="58"/>
  <c r="W22" i="58"/>
  <c r="V22" i="58"/>
  <c r="U22" i="58"/>
  <c r="T22" i="58"/>
  <c r="S22" i="58"/>
  <c r="O22" i="58"/>
  <c r="AG21" i="58"/>
  <c r="AF21" i="58"/>
  <c r="AE21" i="58"/>
  <c r="AD21" i="58"/>
  <c r="AC21" i="58"/>
  <c r="AB21" i="58"/>
  <c r="AA21" i="58"/>
  <c r="Z21" i="58"/>
  <c r="Y21" i="58"/>
  <c r="X21" i="58"/>
  <c r="W21" i="58"/>
  <c r="V21" i="58"/>
  <c r="U21" i="58"/>
  <c r="T21" i="58"/>
  <c r="S21" i="58"/>
  <c r="O21" i="58"/>
  <c r="AG20" i="58"/>
  <c r="AF20" i="58"/>
  <c r="AE20" i="58"/>
  <c r="AD20" i="58"/>
  <c r="AC20" i="58"/>
  <c r="AB20" i="58"/>
  <c r="AA20" i="58"/>
  <c r="Z20" i="58"/>
  <c r="Y20" i="58"/>
  <c r="X20" i="58"/>
  <c r="W20" i="58"/>
  <c r="V20" i="58"/>
  <c r="U20" i="58"/>
  <c r="T20" i="58"/>
  <c r="S20" i="58"/>
  <c r="O20" i="58"/>
  <c r="AG19" i="58"/>
  <c r="AF19" i="58"/>
  <c r="AE19" i="58"/>
  <c r="AD19" i="58"/>
  <c r="AC19" i="58"/>
  <c r="AB19" i="58"/>
  <c r="AA19" i="58"/>
  <c r="Z19" i="58"/>
  <c r="Y19" i="58"/>
  <c r="X19" i="58"/>
  <c r="W19" i="58"/>
  <c r="V19" i="58"/>
  <c r="U19" i="58"/>
  <c r="T19" i="58"/>
  <c r="S19" i="58"/>
  <c r="O19" i="58"/>
  <c r="AG18" i="58"/>
  <c r="AF18" i="58"/>
  <c r="AE18" i="58"/>
  <c r="AD18" i="58"/>
  <c r="AC18" i="58"/>
  <c r="AB18" i="58"/>
  <c r="AA18" i="58"/>
  <c r="Z18" i="58"/>
  <c r="Y18" i="58"/>
  <c r="X18" i="58"/>
  <c r="W18" i="58"/>
  <c r="V18" i="58"/>
  <c r="U18" i="58"/>
  <c r="T18" i="58"/>
  <c r="S18" i="58"/>
  <c r="O18" i="58"/>
  <c r="AG17" i="58"/>
  <c r="AF17" i="58"/>
  <c r="AE17" i="58"/>
  <c r="AD17" i="58"/>
  <c r="AC17" i="58"/>
  <c r="AB17" i="58"/>
  <c r="AA17" i="58"/>
  <c r="Z17" i="58"/>
  <c r="Y17" i="58"/>
  <c r="X17" i="58"/>
  <c r="W17" i="58"/>
  <c r="V17" i="58"/>
  <c r="U17" i="58"/>
  <c r="T17" i="58"/>
  <c r="S17" i="58"/>
  <c r="O17" i="58"/>
  <c r="AG16" i="58"/>
  <c r="AF16" i="58"/>
  <c r="AE16" i="58"/>
  <c r="AD16" i="58"/>
  <c r="AC16" i="58"/>
  <c r="AB16" i="58"/>
  <c r="AA16" i="58"/>
  <c r="Z16" i="58"/>
  <c r="Y16" i="58"/>
  <c r="X16" i="58"/>
  <c r="W16" i="58"/>
  <c r="V16" i="58"/>
  <c r="U16" i="58"/>
  <c r="T16" i="58"/>
  <c r="S16" i="58"/>
  <c r="O16" i="58"/>
  <c r="AG15" i="58"/>
  <c r="AF15" i="58"/>
  <c r="AE15" i="58"/>
  <c r="AD15" i="58"/>
  <c r="AC15" i="58"/>
  <c r="AB15" i="58"/>
  <c r="AA15" i="58"/>
  <c r="Z15" i="58"/>
  <c r="Y15" i="58"/>
  <c r="X15" i="58"/>
  <c r="W15" i="58"/>
  <c r="V15" i="58"/>
  <c r="U15" i="58"/>
  <c r="T15" i="58"/>
  <c r="S15" i="58"/>
  <c r="O15" i="58"/>
  <c r="AG14" i="58"/>
  <c r="AF14" i="58"/>
  <c r="AE14" i="58"/>
  <c r="AD14" i="58"/>
  <c r="AC14" i="58"/>
  <c r="AB14" i="58"/>
  <c r="AA14" i="58"/>
  <c r="Z14" i="58"/>
  <c r="Y14" i="58"/>
  <c r="X14" i="58"/>
  <c r="W14" i="58"/>
  <c r="V14" i="58"/>
  <c r="U14" i="58"/>
  <c r="T14" i="58"/>
  <c r="S14" i="58"/>
  <c r="O14" i="58"/>
  <c r="AG13" i="58"/>
  <c r="AF13" i="58"/>
  <c r="AE13" i="58"/>
  <c r="AD13" i="58"/>
  <c r="AC13" i="58"/>
  <c r="AB13" i="58"/>
  <c r="AA13" i="58"/>
  <c r="Z13" i="58"/>
  <c r="Y13" i="58"/>
  <c r="X13" i="58"/>
  <c r="W13" i="58"/>
  <c r="V13" i="58"/>
  <c r="U13" i="58"/>
  <c r="T13" i="58"/>
  <c r="S13" i="58"/>
  <c r="O13" i="58"/>
  <c r="AG12" i="58"/>
  <c r="AF12" i="58"/>
  <c r="AE12" i="58"/>
  <c r="AD12" i="58"/>
  <c r="AC12" i="58"/>
  <c r="AB12" i="58"/>
  <c r="AA12" i="58"/>
  <c r="Z12" i="58"/>
  <c r="Y12" i="58"/>
  <c r="X12" i="58"/>
  <c r="W12" i="58"/>
  <c r="V12" i="58"/>
  <c r="U12" i="58"/>
  <c r="T12" i="58"/>
  <c r="S12" i="58"/>
  <c r="O12" i="58"/>
  <c r="AG11" i="58"/>
  <c r="AF11" i="58"/>
  <c r="AE11" i="58"/>
  <c r="AD11" i="58"/>
  <c r="AC11" i="58"/>
  <c r="AB11" i="58"/>
  <c r="AA11" i="58"/>
  <c r="Z11" i="58"/>
  <c r="Y11" i="58"/>
  <c r="X11" i="58"/>
  <c r="W11" i="58"/>
  <c r="V11" i="58"/>
  <c r="U11" i="58"/>
  <c r="T11" i="58"/>
  <c r="S11" i="58"/>
  <c r="O11" i="58"/>
  <c r="AG10" i="58"/>
  <c r="AF10" i="58"/>
  <c r="AE10" i="58"/>
  <c r="AD10" i="58"/>
  <c r="AC10" i="58"/>
  <c r="AB10" i="58"/>
  <c r="AA10" i="58"/>
  <c r="Z10" i="58"/>
  <c r="Y10" i="58"/>
  <c r="X10" i="58"/>
  <c r="W10" i="58"/>
  <c r="V10" i="58"/>
  <c r="U10" i="58"/>
  <c r="T10" i="58"/>
  <c r="S10" i="58"/>
  <c r="O10" i="58"/>
  <c r="AG9" i="58"/>
  <c r="AF9" i="58"/>
  <c r="AE9" i="58"/>
  <c r="AD9" i="58"/>
  <c r="AC9" i="58"/>
  <c r="AB9" i="58"/>
  <c r="AA9" i="58"/>
  <c r="Z9" i="58"/>
  <c r="Y9" i="58"/>
  <c r="X9" i="58"/>
  <c r="W9" i="58"/>
  <c r="V9" i="58"/>
  <c r="U9" i="58"/>
  <c r="T9" i="58"/>
  <c r="S9" i="58"/>
  <c r="O9" i="58"/>
  <c r="AG8" i="58"/>
  <c r="AF8" i="58"/>
  <c r="AE8" i="58"/>
  <c r="AD8" i="58"/>
  <c r="AC8" i="58"/>
  <c r="AB8" i="58"/>
  <c r="AA8" i="58"/>
  <c r="Z8" i="58"/>
  <c r="Y8" i="58"/>
  <c r="X8" i="58"/>
  <c r="W8" i="58"/>
  <c r="V8" i="58"/>
  <c r="U8" i="58"/>
  <c r="T8" i="58"/>
  <c r="S8" i="58"/>
  <c r="O8" i="58"/>
  <c r="AG7" i="58"/>
  <c r="AF7" i="58"/>
  <c r="AE7" i="58"/>
  <c r="AD7" i="58"/>
  <c r="AC7" i="58"/>
  <c r="AB7" i="58"/>
  <c r="AA7" i="58"/>
  <c r="Z7" i="58"/>
  <c r="Y7" i="58"/>
  <c r="X7" i="58"/>
  <c r="W7" i="58"/>
  <c r="V7" i="58"/>
  <c r="U7" i="58"/>
  <c r="T7" i="58"/>
  <c r="S7" i="58"/>
  <c r="O7" i="58"/>
  <c r="AG6" i="58"/>
  <c r="AF6" i="58"/>
  <c r="AE6" i="58"/>
  <c r="AD6" i="58"/>
  <c r="AC6" i="58"/>
  <c r="AB6" i="58"/>
  <c r="AA6" i="58"/>
  <c r="Z6" i="58"/>
  <c r="Y6" i="58"/>
  <c r="X6" i="58"/>
  <c r="W6" i="58"/>
  <c r="V6" i="58"/>
  <c r="U6" i="58"/>
  <c r="T6" i="58"/>
  <c r="S6" i="58"/>
  <c r="O6" i="58"/>
  <c r="AG5" i="58"/>
  <c r="AF5" i="58"/>
  <c r="AE5" i="58"/>
  <c r="AD5" i="58"/>
  <c r="AC5" i="58"/>
  <c r="AB5" i="58"/>
  <c r="AA5" i="58"/>
  <c r="Z5" i="58"/>
  <c r="Y5" i="58"/>
  <c r="X5" i="58"/>
  <c r="W5" i="58"/>
  <c r="V5" i="58"/>
  <c r="U5" i="58"/>
  <c r="T5" i="58"/>
  <c r="S5" i="58"/>
  <c r="O5" i="58"/>
  <c r="Z134" i="59"/>
  <c r="Y134" i="59"/>
  <c r="Z133" i="59"/>
  <c r="Y133" i="59"/>
  <c r="Z132" i="59"/>
  <c r="Y132" i="59"/>
  <c r="Z131" i="59"/>
  <c r="Y131" i="59"/>
  <c r="Z130" i="59"/>
  <c r="Y130" i="59"/>
  <c r="Z129" i="59"/>
  <c r="Y129" i="59"/>
  <c r="Z128" i="59"/>
  <c r="Y128" i="59"/>
  <c r="Z127" i="59"/>
  <c r="Y127" i="59"/>
  <c r="Z126" i="59"/>
  <c r="Y126" i="59"/>
  <c r="Z125" i="59"/>
  <c r="Y125" i="59"/>
  <c r="Z124" i="59"/>
  <c r="Y124" i="59"/>
  <c r="Z123" i="59"/>
  <c r="Y123" i="59"/>
  <c r="Z122" i="59"/>
  <c r="Y122" i="59"/>
  <c r="Z121" i="59"/>
  <c r="Y121" i="59"/>
  <c r="Z120" i="59"/>
  <c r="Y120" i="59"/>
  <c r="Z119" i="59"/>
  <c r="Y119" i="59"/>
  <c r="Z118" i="59"/>
  <c r="Y118" i="59"/>
  <c r="Z117" i="59"/>
  <c r="Y117" i="59"/>
  <c r="Z116" i="59"/>
  <c r="Y116" i="59"/>
  <c r="Z115" i="59"/>
  <c r="Y115" i="59"/>
  <c r="Z114" i="59"/>
  <c r="Y114" i="59"/>
  <c r="Z113" i="59"/>
  <c r="Y113" i="59"/>
  <c r="Z112" i="59"/>
  <c r="Y112" i="59"/>
  <c r="Z111" i="59"/>
  <c r="Y111" i="59"/>
  <c r="Z110" i="59"/>
  <c r="Y110" i="59"/>
  <c r="Z109" i="59"/>
  <c r="Y109" i="59"/>
  <c r="Z108" i="59"/>
  <c r="Y108" i="59"/>
  <c r="AG102" i="59"/>
  <c r="AF102" i="59"/>
  <c r="AE102" i="59"/>
  <c r="AD102" i="59"/>
  <c r="AC102" i="59"/>
  <c r="AB102" i="59"/>
  <c r="AA102" i="59"/>
  <c r="Z102" i="59"/>
  <c r="Y102" i="59"/>
  <c r="X102" i="59"/>
  <c r="W102" i="59"/>
  <c r="V102" i="59"/>
  <c r="U102" i="59"/>
  <c r="T102" i="59"/>
  <c r="S102" i="59"/>
  <c r="AH101" i="59"/>
  <c r="N101" i="59"/>
  <c r="X134" i="59" s="1"/>
  <c r="M101" i="59"/>
  <c r="W134" i="59" s="1"/>
  <c r="L101" i="59"/>
  <c r="V134" i="59" s="1"/>
  <c r="K101" i="59"/>
  <c r="U134" i="59" s="1"/>
  <c r="J101" i="59"/>
  <c r="T134" i="59" s="1"/>
  <c r="I101" i="59"/>
  <c r="S134" i="59" s="1"/>
  <c r="H101" i="59"/>
  <c r="R134" i="59" s="1"/>
  <c r="G101" i="59"/>
  <c r="F101" i="59"/>
  <c r="O134" i="59"/>
  <c r="N134" i="59"/>
  <c r="L134" i="59"/>
  <c r="AH100" i="59"/>
  <c r="N100" i="59"/>
  <c r="X133" i="59" s="1"/>
  <c r="M100" i="59"/>
  <c r="W133" i="59" s="1"/>
  <c r="L100" i="59"/>
  <c r="V133" i="59" s="1"/>
  <c r="K100" i="59"/>
  <c r="U133" i="59" s="1"/>
  <c r="J100" i="59"/>
  <c r="T133" i="59" s="1"/>
  <c r="I100" i="59"/>
  <c r="S133" i="59" s="1"/>
  <c r="H100" i="59"/>
  <c r="R133" i="59" s="1"/>
  <c r="G100" i="59"/>
  <c r="F100" i="59"/>
  <c r="O133" i="59"/>
  <c r="N133" i="59"/>
  <c r="M133" i="59"/>
  <c r="L133" i="59"/>
  <c r="AH99" i="59"/>
  <c r="N99" i="59"/>
  <c r="X132" i="59" s="1"/>
  <c r="M99" i="59"/>
  <c r="W132" i="59" s="1"/>
  <c r="L99" i="59"/>
  <c r="V132" i="59" s="1"/>
  <c r="K99" i="59"/>
  <c r="U132" i="59" s="1"/>
  <c r="J99" i="59"/>
  <c r="T132" i="59" s="1"/>
  <c r="I99" i="59"/>
  <c r="S132" i="59" s="1"/>
  <c r="H99" i="59"/>
  <c r="R132" i="59" s="1"/>
  <c r="G99" i="59"/>
  <c r="F99" i="59"/>
  <c r="O132" i="59"/>
  <c r="N132" i="59"/>
  <c r="L132" i="59"/>
  <c r="AH98" i="59"/>
  <c r="N98" i="59"/>
  <c r="X131" i="59" s="1"/>
  <c r="M98" i="59"/>
  <c r="W131" i="59" s="1"/>
  <c r="L98" i="59"/>
  <c r="V131" i="59" s="1"/>
  <c r="K98" i="59"/>
  <c r="U131" i="59" s="1"/>
  <c r="J98" i="59"/>
  <c r="T131" i="59" s="1"/>
  <c r="I98" i="59"/>
  <c r="S131" i="59" s="1"/>
  <c r="H98" i="59"/>
  <c r="R131" i="59" s="1"/>
  <c r="G98" i="59"/>
  <c r="F98" i="59"/>
  <c r="O131" i="59"/>
  <c r="N131" i="59"/>
  <c r="M131" i="59"/>
  <c r="L131" i="59"/>
  <c r="AH97" i="59"/>
  <c r="N97" i="59"/>
  <c r="X130" i="59" s="1"/>
  <c r="M97" i="59"/>
  <c r="W130" i="59" s="1"/>
  <c r="L97" i="59"/>
  <c r="V130" i="59" s="1"/>
  <c r="K97" i="59"/>
  <c r="U130" i="59" s="1"/>
  <c r="J97" i="59"/>
  <c r="T130" i="59" s="1"/>
  <c r="I97" i="59"/>
  <c r="S130" i="59" s="1"/>
  <c r="H97" i="59"/>
  <c r="R130" i="59" s="1"/>
  <c r="G97" i="59"/>
  <c r="F97" i="59"/>
  <c r="AK97" i="59" s="1"/>
  <c r="O130" i="59"/>
  <c r="N130" i="59"/>
  <c r="L130" i="59"/>
  <c r="AH96" i="59"/>
  <c r="N96" i="59"/>
  <c r="X129" i="59" s="1"/>
  <c r="M96" i="59"/>
  <c r="W129" i="59" s="1"/>
  <c r="L96" i="59"/>
  <c r="V129" i="59" s="1"/>
  <c r="K96" i="59"/>
  <c r="U129" i="59" s="1"/>
  <c r="J96" i="59"/>
  <c r="T129" i="59" s="1"/>
  <c r="I96" i="59"/>
  <c r="S129" i="59" s="1"/>
  <c r="H96" i="59"/>
  <c r="R129" i="59" s="1"/>
  <c r="G96" i="59"/>
  <c r="F96" i="59"/>
  <c r="O129" i="59"/>
  <c r="N129" i="59"/>
  <c r="M129" i="59"/>
  <c r="L129" i="59"/>
  <c r="AH95" i="59"/>
  <c r="N95" i="59"/>
  <c r="X128" i="59" s="1"/>
  <c r="M95" i="59"/>
  <c r="W128" i="59" s="1"/>
  <c r="L95" i="59"/>
  <c r="V128" i="59" s="1"/>
  <c r="K95" i="59"/>
  <c r="U128" i="59" s="1"/>
  <c r="J95" i="59"/>
  <c r="T128" i="59" s="1"/>
  <c r="I95" i="59"/>
  <c r="S128" i="59" s="1"/>
  <c r="H95" i="59"/>
  <c r="R128" i="59" s="1"/>
  <c r="G95" i="59"/>
  <c r="F95" i="59"/>
  <c r="O128" i="59"/>
  <c r="N128" i="59"/>
  <c r="L128" i="59"/>
  <c r="AH94" i="59"/>
  <c r="N94" i="59"/>
  <c r="X127" i="59" s="1"/>
  <c r="M94" i="59"/>
  <c r="W127" i="59" s="1"/>
  <c r="L94" i="59"/>
  <c r="V127" i="59" s="1"/>
  <c r="K94" i="59"/>
  <c r="U127" i="59" s="1"/>
  <c r="J94" i="59"/>
  <c r="T127" i="59" s="1"/>
  <c r="I94" i="59"/>
  <c r="S127" i="59" s="1"/>
  <c r="H94" i="59"/>
  <c r="R127" i="59" s="1"/>
  <c r="G94" i="59"/>
  <c r="F94" i="59"/>
  <c r="O127" i="59"/>
  <c r="N127" i="59"/>
  <c r="M127" i="59"/>
  <c r="L127" i="59"/>
  <c r="AH93" i="59"/>
  <c r="N93" i="59"/>
  <c r="X126" i="59" s="1"/>
  <c r="M93" i="59"/>
  <c r="W126" i="59" s="1"/>
  <c r="L93" i="59"/>
  <c r="V126" i="59" s="1"/>
  <c r="K93" i="59"/>
  <c r="U126" i="59" s="1"/>
  <c r="J93" i="59"/>
  <c r="T126" i="59" s="1"/>
  <c r="I93" i="59"/>
  <c r="S126" i="59" s="1"/>
  <c r="H93" i="59"/>
  <c r="R126" i="59" s="1"/>
  <c r="G93" i="59"/>
  <c r="F93" i="59"/>
  <c r="O126" i="59"/>
  <c r="N126" i="59"/>
  <c r="L126" i="59"/>
  <c r="AH92" i="59"/>
  <c r="N92" i="59"/>
  <c r="X125" i="59" s="1"/>
  <c r="M92" i="59"/>
  <c r="W125" i="59" s="1"/>
  <c r="L92" i="59"/>
  <c r="V125" i="59" s="1"/>
  <c r="K92" i="59"/>
  <c r="U125" i="59" s="1"/>
  <c r="J92" i="59"/>
  <c r="T125" i="59" s="1"/>
  <c r="I92" i="59"/>
  <c r="S125" i="59" s="1"/>
  <c r="H92" i="59"/>
  <c r="R125" i="59" s="1"/>
  <c r="G92" i="59"/>
  <c r="F92" i="59"/>
  <c r="O125" i="59"/>
  <c r="N125" i="59"/>
  <c r="M125" i="59"/>
  <c r="L125" i="59"/>
  <c r="AH91" i="59"/>
  <c r="N91" i="59"/>
  <c r="X124" i="59" s="1"/>
  <c r="M91" i="59"/>
  <c r="W124" i="59" s="1"/>
  <c r="L91" i="59"/>
  <c r="V124" i="59" s="1"/>
  <c r="K91" i="59"/>
  <c r="U124" i="59" s="1"/>
  <c r="J91" i="59"/>
  <c r="T124" i="59" s="1"/>
  <c r="I91" i="59"/>
  <c r="S124" i="59" s="1"/>
  <c r="H91" i="59"/>
  <c r="R124" i="59" s="1"/>
  <c r="G91" i="59"/>
  <c r="F91" i="59"/>
  <c r="O124" i="59"/>
  <c r="N124" i="59"/>
  <c r="L124" i="59"/>
  <c r="AH90" i="59"/>
  <c r="N90" i="59"/>
  <c r="X123" i="59" s="1"/>
  <c r="M90" i="59"/>
  <c r="W123" i="59" s="1"/>
  <c r="L90" i="59"/>
  <c r="V123" i="59" s="1"/>
  <c r="K90" i="59"/>
  <c r="U123" i="59" s="1"/>
  <c r="J90" i="59"/>
  <c r="T123" i="59" s="1"/>
  <c r="I90" i="59"/>
  <c r="S123" i="59" s="1"/>
  <c r="H90" i="59"/>
  <c r="R123" i="59" s="1"/>
  <c r="G90" i="59"/>
  <c r="F90" i="59"/>
  <c r="O123" i="59"/>
  <c r="N123" i="59"/>
  <c r="M123" i="59"/>
  <c r="L123" i="59"/>
  <c r="AH89" i="59"/>
  <c r="N89" i="59"/>
  <c r="X122" i="59" s="1"/>
  <c r="M89" i="59"/>
  <c r="W122" i="59" s="1"/>
  <c r="L89" i="59"/>
  <c r="V122" i="59" s="1"/>
  <c r="K89" i="59"/>
  <c r="U122" i="59" s="1"/>
  <c r="J89" i="59"/>
  <c r="T122" i="59" s="1"/>
  <c r="I89" i="59"/>
  <c r="S122" i="59" s="1"/>
  <c r="H89" i="59"/>
  <c r="R122" i="59" s="1"/>
  <c r="G89" i="59"/>
  <c r="F89" i="59"/>
  <c r="O122" i="59"/>
  <c r="N122" i="59"/>
  <c r="L122" i="59"/>
  <c r="AH88" i="59"/>
  <c r="N88" i="59"/>
  <c r="X121" i="59" s="1"/>
  <c r="M88" i="59"/>
  <c r="W121" i="59" s="1"/>
  <c r="L88" i="59"/>
  <c r="V121" i="59" s="1"/>
  <c r="K88" i="59"/>
  <c r="U121" i="59" s="1"/>
  <c r="J88" i="59"/>
  <c r="T121" i="59" s="1"/>
  <c r="I88" i="59"/>
  <c r="S121" i="59" s="1"/>
  <c r="H88" i="59"/>
  <c r="R121" i="59" s="1"/>
  <c r="G88" i="59"/>
  <c r="F88" i="59"/>
  <c r="O121" i="59"/>
  <c r="N121" i="59"/>
  <c r="M121" i="59"/>
  <c r="AH87" i="59"/>
  <c r="N87" i="59"/>
  <c r="X120" i="59" s="1"/>
  <c r="M87" i="59"/>
  <c r="W120" i="59" s="1"/>
  <c r="L87" i="59"/>
  <c r="V120" i="59" s="1"/>
  <c r="K87" i="59"/>
  <c r="U120" i="59" s="1"/>
  <c r="J87" i="59"/>
  <c r="T120" i="59" s="1"/>
  <c r="I87" i="59"/>
  <c r="S120" i="59" s="1"/>
  <c r="H87" i="59"/>
  <c r="R120" i="59" s="1"/>
  <c r="G87" i="59"/>
  <c r="F87" i="59"/>
  <c r="O120" i="59"/>
  <c r="N120" i="59"/>
  <c r="M120" i="59"/>
  <c r="L120" i="59"/>
  <c r="AH86" i="59"/>
  <c r="N86" i="59"/>
  <c r="X119" i="59" s="1"/>
  <c r="M86" i="59"/>
  <c r="W119" i="59" s="1"/>
  <c r="L86" i="59"/>
  <c r="V119" i="59" s="1"/>
  <c r="K86" i="59"/>
  <c r="U119" i="59" s="1"/>
  <c r="J86" i="59"/>
  <c r="T119" i="59" s="1"/>
  <c r="I86" i="59"/>
  <c r="S119" i="59" s="1"/>
  <c r="H86" i="59"/>
  <c r="R119" i="59" s="1"/>
  <c r="G86" i="59"/>
  <c r="F86" i="59"/>
  <c r="O119" i="59"/>
  <c r="N119" i="59"/>
  <c r="M119" i="59"/>
  <c r="L119" i="59"/>
  <c r="AH85" i="59"/>
  <c r="N85" i="59"/>
  <c r="X118" i="59" s="1"/>
  <c r="M85" i="59"/>
  <c r="W118" i="59" s="1"/>
  <c r="L85" i="59"/>
  <c r="V118" i="59" s="1"/>
  <c r="K85" i="59"/>
  <c r="U118" i="59" s="1"/>
  <c r="J85" i="59"/>
  <c r="T118" i="59" s="1"/>
  <c r="I85" i="59"/>
  <c r="S118" i="59" s="1"/>
  <c r="H85" i="59"/>
  <c r="R118" i="59" s="1"/>
  <c r="G85" i="59"/>
  <c r="F85" i="59"/>
  <c r="O118" i="59"/>
  <c r="N118" i="59"/>
  <c r="M118" i="59"/>
  <c r="L118" i="59"/>
  <c r="AH84" i="59"/>
  <c r="N84" i="59"/>
  <c r="X117" i="59" s="1"/>
  <c r="M84" i="59"/>
  <c r="W117" i="59" s="1"/>
  <c r="L84" i="59"/>
  <c r="V117" i="59" s="1"/>
  <c r="K84" i="59"/>
  <c r="U117" i="59" s="1"/>
  <c r="J84" i="59"/>
  <c r="T117" i="59" s="1"/>
  <c r="I84" i="59"/>
  <c r="S117" i="59" s="1"/>
  <c r="H84" i="59"/>
  <c r="R117" i="59" s="1"/>
  <c r="G84" i="59"/>
  <c r="F84" i="59"/>
  <c r="O117" i="59"/>
  <c r="N117" i="59"/>
  <c r="M117" i="59"/>
  <c r="AH83" i="59"/>
  <c r="N83" i="59"/>
  <c r="X116" i="59" s="1"/>
  <c r="M83" i="59"/>
  <c r="W116" i="59" s="1"/>
  <c r="L83" i="59"/>
  <c r="V116" i="59" s="1"/>
  <c r="K83" i="59"/>
  <c r="U116" i="59" s="1"/>
  <c r="J83" i="59"/>
  <c r="T116" i="59" s="1"/>
  <c r="I83" i="59"/>
  <c r="S116" i="59" s="1"/>
  <c r="H83" i="59"/>
  <c r="R116" i="59" s="1"/>
  <c r="G83" i="59"/>
  <c r="F83" i="59"/>
  <c r="O116" i="59"/>
  <c r="N116" i="59"/>
  <c r="M116" i="59"/>
  <c r="L116" i="59"/>
  <c r="AH82" i="59"/>
  <c r="N82" i="59"/>
  <c r="X115" i="59" s="1"/>
  <c r="M82" i="59"/>
  <c r="W115" i="59" s="1"/>
  <c r="L82" i="59"/>
  <c r="V115" i="59" s="1"/>
  <c r="K82" i="59"/>
  <c r="U115" i="59" s="1"/>
  <c r="J82" i="59"/>
  <c r="T115" i="59" s="1"/>
  <c r="I82" i="59"/>
  <c r="S115" i="59" s="1"/>
  <c r="H82" i="59"/>
  <c r="R115" i="59" s="1"/>
  <c r="G82" i="59"/>
  <c r="F82" i="59"/>
  <c r="O115" i="59"/>
  <c r="N115" i="59"/>
  <c r="M115" i="59"/>
  <c r="L115" i="59"/>
  <c r="AH81" i="59"/>
  <c r="N81" i="59"/>
  <c r="X114" i="59" s="1"/>
  <c r="M81" i="59"/>
  <c r="W114" i="59" s="1"/>
  <c r="L81" i="59"/>
  <c r="V114" i="59" s="1"/>
  <c r="K81" i="59"/>
  <c r="U114" i="59" s="1"/>
  <c r="J81" i="59"/>
  <c r="T114" i="59" s="1"/>
  <c r="I81" i="59"/>
  <c r="S114" i="59" s="1"/>
  <c r="H81" i="59"/>
  <c r="R114" i="59" s="1"/>
  <c r="G81" i="59"/>
  <c r="F81" i="59"/>
  <c r="O114" i="59"/>
  <c r="N114" i="59"/>
  <c r="M114" i="59"/>
  <c r="L114" i="59"/>
  <c r="AH80" i="59"/>
  <c r="N80" i="59"/>
  <c r="X113" i="59" s="1"/>
  <c r="M80" i="59"/>
  <c r="W113" i="59" s="1"/>
  <c r="L80" i="59"/>
  <c r="V113" i="59" s="1"/>
  <c r="K80" i="59"/>
  <c r="U113" i="59" s="1"/>
  <c r="J80" i="59"/>
  <c r="T113" i="59" s="1"/>
  <c r="I80" i="59"/>
  <c r="S113" i="59" s="1"/>
  <c r="H80" i="59"/>
  <c r="R113" i="59" s="1"/>
  <c r="G80" i="59"/>
  <c r="F80" i="59"/>
  <c r="O113" i="59"/>
  <c r="N113" i="59"/>
  <c r="M113" i="59"/>
  <c r="AH79" i="59"/>
  <c r="N79" i="59"/>
  <c r="X112" i="59" s="1"/>
  <c r="M79" i="59"/>
  <c r="W112" i="59" s="1"/>
  <c r="L79" i="59"/>
  <c r="V112" i="59" s="1"/>
  <c r="K79" i="59"/>
  <c r="U112" i="59" s="1"/>
  <c r="J79" i="59"/>
  <c r="T112" i="59" s="1"/>
  <c r="I79" i="59"/>
  <c r="S112" i="59" s="1"/>
  <c r="H79" i="59"/>
  <c r="R112" i="59" s="1"/>
  <c r="G79" i="59"/>
  <c r="F79" i="59"/>
  <c r="O112" i="59"/>
  <c r="N112" i="59"/>
  <c r="M112" i="59"/>
  <c r="L112" i="59"/>
  <c r="AH78" i="59"/>
  <c r="N78" i="59"/>
  <c r="X111" i="59" s="1"/>
  <c r="M78" i="59"/>
  <c r="W111" i="59" s="1"/>
  <c r="L78" i="59"/>
  <c r="V111" i="59" s="1"/>
  <c r="K78" i="59"/>
  <c r="U111" i="59" s="1"/>
  <c r="J78" i="59"/>
  <c r="T111" i="59" s="1"/>
  <c r="I78" i="59"/>
  <c r="S111" i="59" s="1"/>
  <c r="H78" i="59"/>
  <c r="R111" i="59" s="1"/>
  <c r="G78" i="59"/>
  <c r="F78" i="59"/>
  <c r="O111" i="59"/>
  <c r="N111" i="59"/>
  <c r="M111" i="59"/>
  <c r="L111" i="59"/>
  <c r="AH77" i="59"/>
  <c r="N77" i="59"/>
  <c r="X110" i="59" s="1"/>
  <c r="M77" i="59"/>
  <c r="W110" i="59" s="1"/>
  <c r="L77" i="59"/>
  <c r="V110" i="59" s="1"/>
  <c r="K77" i="59"/>
  <c r="U110" i="59" s="1"/>
  <c r="J77" i="59"/>
  <c r="T110" i="59" s="1"/>
  <c r="I77" i="59"/>
  <c r="S110" i="59" s="1"/>
  <c r="H77" i="59"/>
  <c r="R110" i="59" s="1"/>
  <c r="G77" i="59"/>
  <c r="F77" i="59"/>
  <c r="O110" i="59"/>
  <c r="N110" i="59"/>
  <c r="M110" i="59"/>
  <c r="L110" i="59"/>
  <c r="AH76" i="59"/>
  <c r="N76" i="59"/>
  <c r="X109" i="59" s="1"/>
  <c r="M76" i="59"/>
  <c r="W109" i="59" s="1"/>
  <c r="L76" i="59"/>
  <c r="V109" i="59" s="1"/>
  <c r="K76" i="59"/>
  <c r="U109" i="59" s="1"/>
  <c r="J76" i="59"/>
  <c r="T109" i="59" s="1"/>
  <c r="I76" i="59"/>
  <c r="S109" i="59" s="1"/>
  <c r="H76" i="59"/>
  <c r="R109" i="59" s="1"/>
  <c r="G76" i="59"/>
  <c r="F76" i="59"/>
  <c r="O109" i="59"/>
  <c r="N109" i="59"/>
  <c r="M109" i="59"/>
  <c r="AH75" i="59"/>
  <c r="N75" i="59"/>
  <c r="X108" i="59" s="1"/>
  <c r="M75" i="59"/>
  <c r="L75" i="59"/>
  <c r="K75" i="59"/>
  <c r="J75" i="59"/>
  <c r="T108" i="59" s="1"/>
  <c r="I75" i="59"/>
  <c r="H75" i="59"/>
  <c r="G75" i="59"/>
  <c r="F75" i="59"/>
  <c r="E75" i="59"/>
  <c r="D75" i="59"/>
  <c r="AJ75" i="59" s="1"/>
  <c r="C75" i="59"/>
  <c r="B75" i="59"/>
  <c r="N67" i="59"/>
  <c r="M67" i="59"/>
  <c r="L67" i="59"/>
  <c r="K67" i="59"/>
  <c r="J67" i="59"/>
  <c r="I67" i="59"/>
  <c r="H67" i="59"/>
  <c r="G67" i="59"/>
  <c r="F67" i="59"/>
  <c r="E67" i="59"/>
  <c r="D67" i="59"/>
  <c r="C67" i="59"/>
  <c r="B67" i="59"/>
  <c r="AG66" i="59"/>
  <c r="AF66" i="59"/>
  <c r="AE66" i="59"/>
  <c r="AD66" i="59"/>
  <c r="AC66" i="59"/>
  <c r="AB66" i="59"/>
  <c r="AA66" i="59"/>
  <c r="Z66" i="59"/>
  <c r="Y66" i="59"/>
  <c r="X66" i="59"/>
  <c r="W66" i="59"/>
  <c r="AK66" i="59" s="1"/>
  <c r="V66" i="59"/>
  <c r="AJ66" i="59" s="1"/>
  <c r="T66" i="59"/>
  <c r="S66" i="59"/>
  <c r="O66" i="59"/>
  <c r="AG65" i="59"/>
  <c r="AF65" i="59"/>
  <c r="AE65" i="59"/>
  <c r="AD65" i="59"/>
  <c r="AC65" i="59"/>
  <c r="AB65" i="59"/>
  <c r="AA65" i="59"/>
  <c r="Z65" i="59"/>
  <c r="Y65" i="59"/>
  <c r="X65" i="59"/>
  <c r="W65" i="59"/>
  <c r="AK65" i="59" s="1"/>
  <c r="V65" i="59"/>
  <c r="AJ65" i="59" s="1"/>
  <c r="T65" i="59"/>
  <c r="S65" i="59"/>
  <c r="O65" i="59"/>
  <c r="AE64" i="59"/>
  <c r="AD64" i="59"/>
  <c r="AC64" i="59"/>
  <c r="AB64" i="59"/>
  <c r="AA64" i="59"/>
  <c r="Z64" i="59"/>
  <c r="Y64" i="59"/>
  <c r="X64" i="59"/>
  <c r="W64" i="59"/>
  <c r="AK64" i="59" s="1"/>
  <c r="V64" i="59"/>
  <c r="AJ64" i="59" s="1"/>
  <c r="T64" i="59"/>
  <c r="S64" i="59"/>
  <c r="AI64" i="59" s="1"/>
  <c r="O64" i="59"/>
  <c r="AG63" i="59"/>
  <c r="AF63" i="59"/>
  <c r="AE63" i="59"/>
  <c r="AD63" i="59"/>
  <c r="AC63" i="59"/>
  <c r="AB63" i="59"/>
  <c r="AA63" i="59"/>
  <c r="Z63" i="59"/>
  <c r="Y63" i="59"/>
  <c r="X63" i="59"/>
  <c r="W63" i="59"/>
  <c r="AK63" i="59" s="1"/>
  <c r="V63" i="59"/>
  <c r="AJ63" i="59" s="1"/>
  <c r="T63" i="59"/>
  <c r="S63" i="59"/>
  <c r="O63" i="59"/>
  <c r="AG62" i="59"/>
  <c r="AF62" i="59"/>
  <c r="AE62" i="59"/>
  <c r="AD62" i="59"/>
  <c r="AC62" i="59"/>
  <c r="AB62" i="59"/>
  <c r="AA62" i="59"/>
  <c r="Z62" i="59"/>
  <c r="Y62" i="59"/>
  <c r="X62" i="59"/>
  <c r="W62" i="59"/>
  <c r="AK62" i="59" s="1"/>
  <c r="V62" i="59"/>
  <c r="AJ62" i="59" s="1"/>
  <c r="T62" i="59"/>
  <c r="S62" i="59"/>
  <c r="O62" i="59"/>
  <c r="AG61" i="59"/>
  <c r="AF61" i="59"/>
  <c r="AE61" i="59"/>
  <c r="AD61" i="59"/>
  <c r="AC61" i="59"/>
  <c r="AB61" i="59"/>
  <c r="AA61" i="59"/>
  <c r="Z61" i="59"/>
  <c r="Y61" i="59"/>
  <c r="X61" i="59"/>
  <c r="W61" i="59"/>
  <c r="AK61" i="59" s="1"/>
  <c r="V61" i="59"/>
  <c r="AJ61" i="59" s="1"/>
  <c r="T61" i="59"/>
  <c r="S61" i="59"/>
  <c r="O61" i="59"/>
  <c r="AG60" i="59"/>
  <c r="AF60" i="59"/>
  <c r="AE60" i="59"/>
  <c r="AD60" i="59"/>
  <c r="AC60" i="59"/>
  <c r="AB60" i="59"/>
  <c r="AA60" i="59"/>
  <c r="Z60" i="59"/>
  <c r="Y60" i="59"/>
  <c r="X60" i="59"/>
  <c r="W60" i="59"/>
  <c r="AK60" i="59" s="1"/>
  <c r="V60" i="59"/>
  <c r="AJ60" i="59" s="1"/>
  <c r="T60" i="59"/>
  <c r="S60" i="59"/>
  <c r="O60" i="59"/>
  <c r="AG59" i="59"/>
  <c r="AF59" i="59"/>
  <c r="AE59" i="59"/>
  <c r="AD59" i="59"/>
  <c r="AC59" i="59"/>
  <c r="AB59" i="59"/>
  <c r="AA59" i="59"/>
  <c r="Z59" i="59"/>
  <c r="Y59" i="59"/>
  <c r="X59" i="59"/>
  <c r="W59" i="59"/>
  <c r="AK59" i="59" s="1"/>
  <c r="V59" i="59"/>
  <c r="AJ59" i="59" s="1"/>
  <c r="T59" i="59"/>
  <c r="S59" i="59"/>
  <c r="O59" i="59"/>
  <c r="AG58" i="59"/>
  <c r="AF58" i="59"/>
  <c r="AE58" i="59"/>
  <c r="AD58" i="59"/>
  <c r="AC58" i="59"/>
  <c r="AB58" i="59"/>
  <c r="AA58" i="59"/>
  <c r="Z58" i="59"/>
  <c r="Y58" i="59"/>
  <c r="X58" i="59"/>
  <c r="W58" i="59"/>
  <c r="AK58" i="59" s="1"/>
  <c r="V58" i="59"/>
  <c r="AJ58" i="59" s="1"/>
  <c r="T58" i="59"/>
  <c r="S58" i="59"/>
  <c r="O58" i="59"/>
  <c r="AE57" i="59"/>
  <c r="AD57" i="59"/>
  <c r="AC57" i="59"/>
  <c r="AB57" i="59"/>
  <c r="AA57" i="59"/>
  <c r="Z57" i="59"/>
  <c r="Y57" i="59"/>
  <c r="X57" i="59"/>
  <c r="W57" i="59"/>
  <c r="AK57" i="59" s="1"/>
  <c r="V57" i="59"/>
  <c r="AJ57" i="59" s="1"/>
  <c r="T57" i="59"/>
  <c r="S57" i="59"/>
  <c r="O57" i="59"/>
  <c r="AG56" i="59"/>
  <c r="AF56" i="59"/>
  <c r="AE56" i="59"/>
  <c r="AD56" i="59"/>
  <c r="AC56" i="59"/>
  <c r="AB56" i="59"/>
  <c r="AA56" i="59"/>
  <c r="Z56" i="59"/>
  <c r="Y56" i="59"/>
  <c r="X56" i="59"/>
  <c r="W56" i="59"/>
  <c r="AK56" i="59" s="1"/>
  <c r="V56" i="59"/>
  <c r="AJ56" i="59" s="1"/>
  <c r="O56" i="59"/>
  <c r="AG55" i="59"/>
  <c r="AF55" i="59"/>
  <c r="AE55" i="59"/>
  <c r="AD55" i="59"/>
  <c r="AC55" i="59"/>
  <c r="AB55" i="59"/>
  <c r="AA55" i="59"/>
  <c r="Z55" i="59"/>
  <c r="Y55" i="59"/>
  <c r="X55" i="59"/>
  <c r="W55" i="59"/>
  <c r="AK55" i="59" s="1"/>
  <c r="V55" i="59"/>
  <c r="AJ55" i="59" s="1"/>
  <c r="O55" i="59"/>
  <c r="AG54" i="59"/>
  <c r="AF54" i="59"/>
  <c r="AE54" i="59"/>
  <c r="AD54" i="59"/>
  <c r="AC54" i="59"/>
  <c r="AB54" i="59"/>
  <c r="AA54" i="59"/>
  <c r="Z54" i="59"/>
  <c r="Y54" i="59"/>
  <c r="X54" i="59"/>
  <c r="W54" i="59"/>
  <c r="AK54" i="59" s="1"/>
  <c r="V54" i="59"/>
  <c r="AJ54" i="59" s="1"/>
  <c r="O54" i="59"/>
  <c r="AG53" i="59"/>
  <c r="AF53" i="59"/>
  <c r="AE53" i="59"/>
  <c r="AD53" i="59"/>
  <c r="AC53" i="59"/>
  <c r="AB53" i="59"/>
  <c r="AA53" i="59"/>
  <c r="Z53" i="59"/>
  <c r="Y53" i="59"/>
  <c r="X53" i="59"/>
  <c r="W53" i="59"/>
  <c r="AK53" i="59" s="1"/>
  <c r="V53" i="59"/>
  <c r="AJ53" i="59" s="1"/>
  <c r="O53" i="59"/>
  <c r="AG52" i="59"/>
  <c r="AF52" i="59"/>
  <c r="AE52" i="59"/>
  <c r="AD52" i="59"/>
  <c r="AC52" i="59"/>
  <c r="AB52" i="59"/>
  <c r="AA52" i="59"/>
  <c r="Z52" i="59"/>
  <c r="Y52" i="59"/>
  <c r="X52" i="59"/>
  <c r="W52" i="59"/>
  <c r="AK52" i="59" s="1"/>
  <c r="V52" i="59"/>
  <c r="AJ52" i="59" s="1"/>
  <c r="O52" i="59"/>
  <c r="AG51" i="59"/>
  <c r="AF51" i="59"/>
  <c r="AE51" i="59"/>
  <c r="AD51" i="59"/>
  <c r="AC51" i="59"/>
  <c r="AB51" i="59"/>
  <c r="AA51" i="59"/>
  <c r="Z51" i="59"/>
  <c r="Y51" i="59"/>
  <c r="X51" i="59"/>
  <c r="W51" i="59"/>
  <c r="AK51" i="59" s="1"/>
  <c r="V51" i="59"/>
  <c r="AJ51" i="59" s="1"/>
  <c r="O51" i="59"/>
  <c r="AG50" i="59"/>
  <c r="AF50" i="59"/>
  <c r="AE50" i="59"/>
  <c r="AD50" i="59"/>
  <c r="AC50" i="59"/>
  <c r="AB50" i="59"/>
  <c r="AA50" i="59"/>
  <c r="Z50" i="59"/>
  <c r="Y50" i="59"/>
  <c r="X50" i="59"/>
  <c r="W50" i="59"/>
  <c r="AK50" i="59" s="1"/>
  <c r="V50" i="59"/>
  <c r="AJ50" i="59" s="1"/>
  <c r="O50" i="59"/>
  <c r="AG49" i="59"/>
  <c r="AF49" i="59"/>
  <c r="AE49" i="59"/>
  <c r="AD49" i="59"/>
  <c r="AC49" i="59"/>
  <c r="AB49" i="59"/>
  <c r="AA49" i="59"/>
  <c r="Z49" i="59"/>
  <c r="Y49" i="59"/>
  <c r="X49" i="59"/>
  <c r="W49" i="59"/>
  <c r="AK49" i="59" s="1"/>
  <c r="V49" i="59"/>
  <c r="AJ49" i="59" s="1"/>
  <c r="O49" i="59"/>
  <c r="AG48" i="59"/>
  <c r="AF48" i="59"/>
  <c r="AE48" i="59"/>
  <c r="AD48" i="59"/>
  <c r="AC48" i="59"/>
  <c r="AB48" i="59"/>
  <c r="AA48" i="59"/>
  <c r="Z48" i="59"/>
  <c r="Y48" i="59"/>
  <c r="X48" i="59"/>
  <c r="W48" i="59"/>
  <c r="AK48" i="59" s="1"/>
  <c r="V48" i="59"/>
  <c r="AJ48" i="59" s="1"/>
  <c r="O48" i="59"/>
  <c r="AG47" i="59"/>
  <c r="AF47" i="59"/>
  <c r="AE47" i="59"/>
  <c r="AD47" i="59"/>
  <c r="AC47" i="59"/>
  <c r="AB47" i="59"/>
  <c r="AA47" i="59"/>
  <c r="Z47" i="59"/>
  <c r="Y47" i="59"/>
  <c r="X47" i="59"/>
  <c r="W47" i="59"/>
  <c r="AK47" i="59" s="1"/>
  <c r="V47" i="59"/>
  <c r="AJ47" i="59" s="1"/>
  <c r="O47" i="59"/>
  <c r="AG46" i="59"/>
  <c r="AF46" i="59"/>
  <c r="AE46" i="59"/>
  <c r="AD46" i="59"/>
  <c r="AC46" i="59"/>
  <c r="AB46" i="59"/>
  <c r="AA46" i="59"/>
  <c r="Z46" i="59"/>
  <c r="Y46" i="59"/>
  <c r="X46" i="59"/>
  <c r="W46" i="59"/>
  <c r="AK46" i="59" s="1"/>
  <c r="V46" i="59"/>
  <c r="AJ46" i="59" s="1"/>
  <c r="O46" i="59"/>
  <c r="AG45" i="59"/>
  <c r="AF45" i="59"/>
  <c r="AE45" i="59"/>
  <c r="AD45" i="59"/>
  <c r="AC45" i="59"/>
  <c r="AB45" i="59"/>
  <c r="AA45" i="59"/>
  <c r="Z45" i="59"/>
  <c r="Y45" i="59"/>
  <c r="X45" i="59"/>
  <c r="W45" i="59"/>
  <c r="AK45" i="59" s="1"/>
  <c r="V45" i="59"/>
  <c r="AJ45" i="59" s="1"/>
  <c r="O45" i="59"/>
  <c r="AG44" i="59"/>
  <c r="AF44" i="59"/>
  <c r="AE44" i="59"/>
  <c r="AD44" i="59"/>
  <c r="AC44" i="59"/>
  <c r="AB44" i="59"/>
  <c r="AA44" i="59"/>
  <c r="Z44" i="59"/>
  <c r="Y44" i="59"/>
  <c r="X44" i="59"/>
  <c r="W44" i="59"/>
  <c r="AK44" i="59" s="1"/>
  <c r="V44" i="59"/>
  <c r="AJ44" i="59" s="1"/>
  <c r="O44" i="59"/>
  <c r="AE43" i="59"/>
  <c r="AD43" i="59"/>
  <c r="AC43" i="59"/>
  <c r="AB43" i="59"/>
  <c r="AA43" i="59"/>
  <c r="Z43" i="59"/>
  <c r="Y43" i="59"/>
  <c r="X43" i="59"/>
  <c r="W43" i="59"/>
  <c r="AK43" i="59" s="1"/>
  <c r="V43" i="59"/>
  <c r="AJ43" i="59" s="1"/>
  <c r="O43" i="59"/>
  <c r="AG42" i="59"/>
  <c r="AF42" i="59"/>
  <c r="AE42" i="59"/>
  <c r="AD42" i="59"/>
  <c r="AC42" i="59"/>
  <c r="AB42" i="59"/>
  <c r="AA42" i="59"/>
  <c r="Z42" i="59"/>
  <c r="Y42" i="59"/>
  <c r="X42" i="59"/>
  <c r="W42" i="59"/>
  <c r="AK42" i="59" s="1"/>
  <c r="V42" i="59"/>
  <c r="AJ42" i="59" s="1"/>
  <c r="O42" i="59"/>
  <c r="AG41" i="59"/>
  <c r="AF41" i="59"/>
  <c r="AE41" i="59"/>
  <c r="AD41" i="59"/>
  <c r="AC41" i="59"/>
  <c r="AB41" i="59"/>
  <c r="AA41" i="59"/>
  <c r="Z41" i="59"/>
  <c r="Y41" i="59"/>
  <c r="X41" i="59"/>
  <c r="W41" i="59"/>
  <c r="AK41" i="59" s="1"/>
  <c r="V41" i="59"/>
  <c r="AJ41" i="59" s="1"/>
  <c r="O41" i="59"/>
  <c r="AG40" i="59"/>
  <c r="AF40" i="59"/>
  <c r="AE40" i="59"/>
  <c r="AD40" i="59"/>
  <c r="AC40" i="59"/>
  <c r="AB40" i="59"/>
  <c r="AA40" i="59"/>
  <c r="Z40" i="59"/>
  <c r="Y40" i="59"/>
  <c r="X40" i="59"/>
  <c r="W40" i="59"/>
  <c r="AK40" i="59" s="1"/>
  <c r="V40" i="59"/>
  <c r="AJ40" i="59" s="1"/>
  <c r="T40" i="59"/>
  <c r="AI40" i="59" s="1"/>
  <c r="O40" i="59"/>
  <c r="N32" i="59"/>
  <c r="M32" i="59"/>
  <c r="L32" i="59"/>
  <c r="K32" i="59"/>
  <c r="J32" i="59"/>
  <c r="I32" i="59"/>
  <c r="H32" i="59"/>
  <c r="G32" i="59"/>
  <c r="F32" i="59"/>
  <c r="E32" i="59"/>
  <c r="D32" i="59"/>
  <c r="C32" i="59"/>
  <c r="AG31" i="59"/>
  <c r="AF31" i="59"/>
  <c r="AE31" i="59"/>
  <c r="AD31" i="59"/>
  <c r="AC31" i="59"/>
  <c r="AB31" i="59"/>
  <c r="AA31" i="59"/>
  <c r="Z31" i="59"/>
  <c r="Y31" i="59"/>
  <c r="X31" i="59"/>
  <c r="W31" i="59"/>
  <c r="V31" i="59"/>
  <c r="U31" i="59"/>
  <c r="T31" i="59"/>
  <c r="S31" i="59"/>
  <c r="AG30" i="59"/>
  <c r="AF30" i="59"/>
  <c r="AE30" i="59"/>
  <c r="AD30" i="59"/>
  <c r="AC30" i="59"/>
  <c r="AB30" i="59"/>
  <c r="AA30" i="59"/>
  <c r="Z30" i="59"/>
  <c r="Y30" i="59"/>
  <c r="X30" i="59"/>
  <c r="W30" i="59"/>
  <c r="V30" i="59"/>
  <c r="U30" i="59"/>
  <c r="T30" i="59"/>
  <c r="S30" i="59"/>
  <c r="AG29" i="59"/>
  <c r="AF29" i="59"/>
  <c r="AE29" i="59"/>
  <c r="AD29" i="59"/>
  <c r="AC29" i="59"/>
  <c r="AB29" i="59"/>
  <c r="AA29" i="59"/>
  <c r="Z29" i="59"/>
  <c r="Y29" i="59"/>
  <c r="X29" i="59"/>
  <c r="W29" i="59"/>
  <c r="V29" i="59"/>
  <c r="U29" i="59"/>
  <c r="T29" i="59"/>
  <c r="S29" i="59"/>
  <c r="AG28" i="59"/>
  <c r="AF28" i="59"/>
  <c r="AE28" i="59"/>
  <c r="AD28" i="59"/>
  <c r="AC28" i="59"/>
  <c r="AB28" i="59"/>
  <c r="AA28" i="59"/>
  <c r="Z28" i="59"/>
  <c r="Y28" i="59"/>
  <c r="X28" i="59"/>
  <c r="W28" i="59"/>
  <c r="V28" i="59"/>
  <c r="U28" i="59"/>
  <c r="T28" i="59"/>
  <c r="S28" i="59"/>
  <c r="AG27" i="59"/>
  <c r="AF27" i="59"/>
  <c r="AE27" i="59"/>
  <c r="AD27" i="59"/>
  <c r="AC27" i="59"/>
  <c r="AB27" i="59"/>
  <c r="AA27" i="59"/>
  <c r="Z27" i="59"/>
  <c r="Y27" i="59"/>
  <c r="X27" i="59"/>
  <c r="W27" i="59"/>
  <c r="V27" i="59"/>
  <c r="U27" i="59"/>
  <c r="T27" i="59"/>
  <c r="S27" i="59"/>
  <c r="AG26" i="59"/>
  <c r="AF26" i="59"/>
  <c r="AE26" i="59"/>
  <c r="AD26" i="59"/>
  <c r="AC26" i="59"/>
  <c r="AB26" i="59"/>
  <c r="AA26" i="59"/>
  <c r="Z26" i="59"/>
  <c r="Y26" i="59"/>
  <c r="X26" i="59"/>
  <c r="W26" i="59"/>
  <c r="V26" i="59"/>
  <c r="U26" i="59"/>
  <c r="T26" i="59"/>
  <c r="S26" i="59"/>
  <c r="AG25" i="59"/>
  <c r="AF25" i="59"/>
  <c r="AE25" i="59"/>
  <c r="AD25" i="59"/>
  <c r="AC25" i="59"/>
  <c r="AB25" i="59"/>
  <c r="AA25" i="59"/>
  <c r="Z25" i="59"/>
  <c r="Y25" i="59"/>
  <c r="X25" i="59"/>
  <c r="W25" i="59"/>
  <c r="V25" i="59"/>
  <c r="U25" i="59"/>
  <c r="T25" i="59"/>
  <c r="S25" i="59"/>
  <c r="AG24" i="59"/>
  <c r="AF24" i="59"/>
  <c r="AE24" i="59"/>
  <c r="AD24" i="59"/>
  <c r="AC24" i="59"/>
  <c r="AB24" i="59"/>
  <c r="AA24" i="59"/>
  <c r="Z24" i="59"/>
  <c r="Y24" i="59"/>
  <c r="X24" i="59"/>
  <c r="W24" i="59"/>
  <c r="V24" i="59"/>
  <c r="U24" i="59"/>
  <c r="T24" i="59"/>
  <c r="S24" i="59"/>
  <c r="AG23" i="59"/>
  <c r="AF23" i="59"/>
  <c r="AE23" i="59"/>
  <c r="AD23" i="59"/>
  <c r="AC23" i="59"/>
  <c r="AB23" i="59"/>
  <c r="AA23" i="59"/>
  <c r="Z23" i="59"/>
  <c r="Y23" i="59"/>
  <c r="X23" i="59"/>
  <c r="W23" i="59"/>
  <c r="V23" i="59"/>
  <c r="U23" i="59"/>
  <c r="T23" i="59"/>
  <c r="S23" i="59"/>
  <c r="AE22" i="59"/>
  <c r="AD22" i="59"/>
  <c r="AC22" i="59"/>
  <c r="AB22" i="59"/>
  <c r="AA22" i="59"/>
  <c r="Z22" i="59"/>
  <c r="Y22" i="59"/>
  <c r="X22" i="59"/>
  <c r="W22" i="59"/>
  <c r="V22" i="59"/>
  <c r="U22" i="59"/>
  <c r="T22" i="59"/>
  <c r="S22" i="59"/>
  <c r="AG21" i="59"/>
  <c r="AF21" i="59"/>
  <c r="AE21" i="59"/>
  <c r="AD21" i="59"/>
  <c r="AC21" i="59"/>
  <c r="AB21" i="59"/>
  <c r="AA21" i="59"/>
  <c r="Z21" i="59"/>
  <c r="Y21" i="59"/>
  <c r="X21" i="59"/>
  <c r="W21" i="59"/>
  <c r="V21" i="59"/>
  <c r="U21" i="59"/>
  <c r="T21" i="59"/>
  <c r="S21" i="59"/>
  <c r="AG20" i="59"/>
  <c r="AF20" i="59"/>
  <c r="AE20" i="59"/>
  <c r="AD20" i="59"/>
  <c r="AC20" i="59"/>
  <c r="AB20" i="59"/>
  <c r="AA20" i="59"/>
  <c r="Z20" i="59"/>
  <c r="Y20" i="59"/>
  <c r="X20" i="59"/>
  <c r="W20" i="59"/>
  <c r="V20" i="59"/>
  <c r="U20" i="59"/>
  <c r="T20" i="59"/>
  <c r="S20" i="59"/>
  <c r="AG19" i="59"/>
  <c r="AF19" i="59"/>
  <c r="AE19" i="59"/>
  <c r="AD19" i="59"/>
  <c r="AC19" i="59"/>
  <c r="AB19" i="59"/>
  <c r="AA19" i="59"/>
  <c r="Z19" i="59"/>
  <c r="Y19" i="59"/>
  <c r="X19" i="59"/>
  <c r="W19" i="59"/>
  <c r="V19" i="59"/>
  <c r="U19" i="59"/>
  <c r="T19" i="59"/>
  <c r="S19" i="59"/>
  <c r="AG18" i="59"/>
  <c r="AF18" i="59"/>
  <c r="AE18" i="59"/>
  <c r="AD18" i="59"/>
  <c r="AC18" i="59"/>
  <c r="AB18" i="59"/>
  <c r="AA18" i="59"/>
  <c r="Z18" i="59"/>
  <c r="Y18" i="59"/>
  <c r="X18" i="59"/>
  <c r="W18" i="59"/>
  <c r="V18" i="59"/>
  <c r="U18" i="59"/>
  <c r="T18" i="59"/>
  <c r="S18" i="59"/>
  <c r="AG17" i="59"/>
  <c r="AF17" i="59"/>
  <c r="AE17" i="59"/>
  <c r="AD17" i="59"/>
  <c r="AC17" i="59"/>
  <c r="AB17" i="59"/>
  <c r="AA17" i="59"/>
  <c r="Z17" i="59"/>
  <c r="Y17" i="59"/>
  <c r="X17" i="59"/>
  <c r="W17" i="59"/>
  <c r="V17" i="59"/>
  <c r="U17" i="59"/>
  <c r="T17" i="59"/>
  <c r="S17" i="59"/>
  <c r="AG16" i="59"/>
  <c r="AF16" i="59"/>
  <c r="AE16" i="59"/>
  <c r="AD16" i="59"/>
  <c r="AC16" i="59"/>
  <c r="AB16" i="59"/>
  <c r="AA16" i="59"/>
  <c r="Z16" i="59"/>
  <c r="Y16" i="59"/>
  <c r="X16" i="59"/>
  <c r="W16" i="59"/>
  <c r="V16" i="59"/>
  <c r="U16" i="59"/>
  <c r="T16" i="59"/>
  <c r="S16" i="59"/>
  <c r="AG15" i="59"/>
  <c r="AF15" i="59"/>
  <c r="AE15" i="59"/>
  <c r="AD15" i="59"/>
  <c r="AC15" i="59"/>
  <c r="AB15" i="59"/>
  <c r="AA15" i="59"/>
  <c r="Z15" i="59"/>
  <c r="Y15" i="59"/>
  <c r="X15" i="59"/>
  <c r="W15" i="59"/>
  <c r="V15" i="59"/>
  <c r="U15" i="59"/>
  <c r="T15" i="59"/>
  <c r="S15" i="59"/>
  <c r="AG14" i="59"/>
  <c r="AF14" i="59"/>
  <c r="AE14" i="59"/>
  <c r="AD14" i="59"/>
  <c r="AC14" i="59"/>
  <c r="AB14" i="59"/>
  <c r="AA14" i="59"/>
  <c r="Z14" i="59"/>
  <c r="Y14" i="59"/>
  <c r="X14" i="59"/>
  <c r="W14" i="59"/>
  <c r="V14" i="59"/>
  <c r="U14" i="59"/>
  <c r="T14" i="59"/>
  <c r="S14" i="59"/>
  <c r="AG13" i="59"/>
  <c r="AF13" i="59"/>
  <c r="AE13" i="59"/>
  <c r="AD13" i="59"/>
  <c r="AC13" i="59"/>
  <c r="AB13" i="59"/>
  <c r="AA13" i="59"/>
  <c r="Z13" i="59"/>
  <c r="Y13" i="59"/>
  <c r="X13" i="59"/>
  <c r="W13" i="59"/>
  <c r="V13" i="59"/>
  <c r="U13" i="59"/>
  <c r="T13" i="59"/>
  <c r="S13" i="59"/>
  <c r="AG12" i="59"/>
  <c r="AF12" i="59"/>
  <c r="AE12" i="59"/>
  <c r="AD12" i="59"/>
  <c r="AC12" i="59"/>
  <c r="AB12" i="59"/>
  <c r="AA12" i="59"/>
  <c r="Z12" i="59"/>
  <c r="Y12" i="59"/>
  <c r="X12" i="59"/>
  <c r="W12" i="59"/>
  <c r="V12" i="59"/>
  <c r="U12" i="59"/>
  <c r="T12" i="59"/>
  <c r="S12" i="59"/>
  <c r="AG11" i="59"/>
  <c r="AF11" i="59"/>
  <c r="AE11" i="59"/>
  <c r="AD11" i="59"/>
  <c r="AC11" i="59"/>
  <c r="AB11" i="59"/>
  <c r="AA11" i="59"/>
  <c r="Z11" i="59"/>
  <c r="Y11" i="59"/>
  <c r="X11" i="59"/>
  <c r="W11" i="59"/>
  <c r="V11" i="59"/>
  <c r="U11" i="59"/>
  <c r="T11" i="59"/>
  <c r="S11" i="59"/>
  <c r="AG10" i="59"/>
  <c r="AF10" i="59"/>
  <c r="AE10" i="59"/>
  <c r="AD10" i="59"/>
  <c r="AC10" i="59"/>
  <c r="AB10" i="59"/>
  <c r="AA10" i="59"/>
  <c r="Z10" i="59"/>
  <c r="Y10" i="59"/>
  <c r="X10" i="59"/>
  <c r="W10" i="59"/>
  <c r="V10" i="59"/>
  <c r="U10" i="59"/>
  <c r="T10" i="59"/>
  <c r="S10" i="59"/>
  <c r="AG9" i="59"/>
  <c r="AF9" i="59"/>
  <c r="AE9" i="59"/>
  <c r="AD9" i="59"/>
  <c r="AC9" i="59"/>
  <c r="AB9" i="59"/>
  <c r="AA9" i="59"/>
  <c r="Z9" i="59"/>
  <c r="Y9" i="59"/>
  <c r="X9" i="59"/>
  <c r="W9" i="59"/>
  <c r="V9" i="59"/>
  <c r="U9" i="59"/>
  <c r="T9" i="59"/>
  <c r="S9" i="59"/>
  <c r="AG8" i="59"/>
  <c r="AE8" i="59"/>
  <c r="AD8" i="59"/>
  <c r="AC8" i="59"/>
  <c r="AB8" i="59"/>
  <c r="AA8" i="59"/>
  <c r="Z8" i="59"/>
  <c r="Y8" i="59"/>
  <c r="X8" i="59"/>
  <c r="W8" i="59"/>
  <c r="V8" i="59"/>
  <c r="U8" i="59"/>
  <c r="T8" i="59"/>
  <c r="S8" i="59"/>
  <c r="AG7" i="59"/>
  <c r="AF7" i="59"/>
  <c r="AE7" i="59"/>
  <c r="AD7" i="59"/>
  <c r="AC7" i="59"/>
  <c r="AB7" i="59"/>
  <c r="AA7" i="59"/>
  <c r="Z7" i="59"/>
  <c r="Y7" i="59"/>
  <c r="X7" i="59"/>
  <c r="W7" i="59"/>
  <c r="V7" i="59"/>
  <c r="U7" i="59"/>
  <c r="T7" i="59"/>
  <c r="S7" i="59"/>
  <c r="AG6" i="59"/>
  <c r="AF6" i="59"/>
  <c r="AE6" i="59"/>
  <c r="AD6" i="59"/>
  <c r="AC6" i="59"/>
  <c r="AB6" i="59"/>
  <c r="AA6" i="59"/>
  <c r="Z6" i="59"/>
  <c r="Y6" i="59"/>
  <c r="X6" i="59"/>
  <c r="W6" i="59"/>
  <c r="V6" i="59"/>
  <c r="U6" i="59"/>
  <c r="T6" i="59"/>
  <c r="S6" i="59"/>
  <c r="AG5" i="59"/>
  <c r="AF5" i="59"/>
  <c r="AE5" i="59"/>
  <c r="AD5" i="59"/>
  <c r="AC5" i="59"/>
  <c r="AB5" i="59"/>
  <c r="AA5" i="59"/>
  <c r="Z5" i="59"/>
  <c r="Y5" i="59"/>
  <c r="X5" i="59"/>
  <c r="W5" i="59"/>
  <c r="V5" i="59"/>
  <c r="U5" i="59"/>
  <c r="T5" i="59"/>
  <c r="S5" i="59"/>
  <c r="O5" i="59"/>
  <c r="Z134" i="60"/>
  <c r="Y134" i="60"/>
  <c r="Z133" i="60"/>
  <c r="Y133" i="60"/>
  <c r="Z132" i="60"/>
  <c r="Y132" i="60"/>
  <c r="Z131" i="60"/>
  <c r="Y131" i="60"/>
  <c r="Z130" i="60"/>
  <c r="Y130" i="60"/>
  <c r="Z129" i="60"/>
  <c r="Y129" i="60"/>
  <c r="Z128" i="60"/>
  <c r="Y128" i="60"/>
  <c r="Z127" i="60"/>
  <c r="Y127" i="60"/>
  <c r="Z126" i="60"/>
  <c r="Y126" i="60"/>
  <c r="Z125" i="60"/>
  <c r="Y125" i="60"/>
  <c r="Z124" i="60"/>
  <c r="Y124" i="60"/>
  <c r="Z123" i="60"/>
  <c r="Y123" i="60"/>
  <c r="Z122" i="60"/>
  <c r="Y122" i="60"/>
  <c r="Z121" i="60"/>
  <c r="Y121" i="60"/>
  <c r="Z120" i="60"/>
  <c r="Y120" i="60"/>
  <c r="Z119" i="60"/>
  <c r="Y119" i="60"/>
  <c r="Z118" i="60"/>
  <c r="Y118" i="60"/>
  <c r="Z117" i="60"/>
  <c r="Y117" i="60"/>
  <c r="Z116" i="60"/>
  <c r="Y116" i="60"/>
  <c r="Z115" i="60"/>
  <c r="Y115" i="60"/>
  <c r="Z114" i="60"/>
  <c r="Y114" i="60"/>
  <c r="Z113" i="60"/>
  <c r="Y113" i="60"/>
  <c r="Z112" i="60"/>
  <c r="Y112" i="60"/>
  <c r="Z111" i="60"/>
  <c r="Y111" i="60"/>
  <c r="Z110" i="60"/>
  <c r="Y110" i="60"/>
  <c r="Z109" i="60"/>
  <c r="Y109" i="60"/>
  <c r="Z108" i="60"/>
  <c r="Y108" i="60"/>
  <c r="AG102" i="60"/>
  <c r="AF102" i="60"/>
  <c r="AE102" i="60"/>
  <c r="AD102" i="60"/>
  <c r="AC102" i="60"/>
  <c r="AB102" i="60"/>
  <c r="AA102" i="60"/>
  <c r="Z102" i="60"/>
  <c r="Y102" i="60"/>
  <c r="X102" i="60"/>
  <c r="W102" i="60"/>
  <c r="V102" i="60"/>
  <c r="U102" i="60"/>
  <c r="T102" i="60"/>
  <c r="S102" i="60"/>
  <c r="AH101" i="60"/>
  <c r="N101" i="60"/>
  <c r="X134" i="60" s="1"/>
  <c r="M101" i="60"/>
  <c r="W134" i="60" s="1"/>
  <c r="L101" i="60"/>
  <c r="V134" i="60" s="1"/>
  <c r="K101" i="60"/>
  <c r="U134" i="60" s="1"/>
  <c r="J101" i="60"/>
  <c r="T134" i="60" s="1"/>
  <c r="I101" i="60"/>
  <c r="S134" i="60" s="1"/>
  <c r="H101" i="60"/>
  <c r="R134" i="60" s="1"/>
  <c r="G101" i="60"/>
  <c r="F101" i="60"/>
  <c r="E101" i="60"/>
  <c r="O134" i="60" s="1"/>
  <c r="D101" i="60"/>
  <c r="C101" i="60"/>
  <c r="M134" i="60" s="1"/>
  <c r="B101" i="60"/>
  <c r="AH100" i="60"/>
  <c r="N100" i="60"/>
  <c r="X133" i="60" s="1"/>
  <c r="M100" i="60"/>
  <c r="W133" i="60" s="1"/>
  <c r="L100" i="60"/>
  <c r="V133" i="60" s="1"/>
  <c r="K100" i="60"/>
  <c r="U133" i="60" s="1"/>
  <c r="J100" i="60"/>
  <c r="T133" i="60" s="1"/>
  <c r="I100" i="60"/>
  <c r="S133" i="60" s="1"/>
  <c r="H100" i="60"/>
  <c r="R133" i="60" s="1"/>
  <c r="G100" i="60"/>
  <c r="F100" i="60"/>
  <c r="E100" i="60"/>
  <c r="O133" i="60" s="1"/>
  <c r="D100" i="60"/>
  <c r="C100" i="60"/>
  <c r="M133" i="60" s="1"/>
  <c r="B100" i="60"/>
  <c r="AH99" i="60"/>
  <c r="N99" i="60"/>
  <c r="X132" i="60" s="1"/>
  <c r="M99" i="60"/>
  <c r="W132" i="60" s="1"/>
  <c r="L99" i="60"/>
  <c r="V132" i="60" s="1"/>
  <c r="K99" i="60"/>
  <c r="U132" i="60" s="1"/>
  <c r="J99" i="60"/>
  <c r="T132" i="60" s="1"/>
  <c r="I99" i="60"/>
  <c r="S132" i="60" s="1"/>
  <c r="H99" i="60"/>
  <c r="R132" i="60" s="1"/>
  <c r="G99" i="60"/>
  <c r="F99" i="60"/>
  <c r="E99" i="60"/>
  <c r="O132" i="60" s="1"/>
  <c r="D99" i="60"/>
  <c r="C99" i="60"/>
  <c r="M132" i="60" s="1"/>
  <c r="B99" i="60"/>
  <c r="AH98" i="60"/>
  <c r="N98" i="60"/>
  <c r="X131" i="60" s="1"/>
  <c r="M98" i="60"/>
  <c r="W131" i="60" s="1"/>
  <c r="L98" i="60"/>
  <c r="V131" i="60" s="1"/>
  <c r="K98" i="60"/>
  <c r="U131" i="60" s="1"/>
  <c r="J98" i="60"/>
  <c r="T131" i="60" s="1"/>
  <c r="I98" i="60"/>
  <c r="S131" i="60" s="1"/>
  <c r="H98" i="60"/>
  <c r="R131" i="60" s="1"/>
  <c r="G98" i="60"/>
  <c r="F98" i="60"/>
  <c r="E98" i="60"/>
  <c r="O131" i="60" s="1"/>
  <c r="D98" i="60"/>
  <c r="C98" i="60"/>
  <c r="M131" i="60" s="1"/>
  <c r="B98" i="60"/>
  <c r="AI98" i="60" s="1"/>
  <c r="AH97" i="60"/>
  <c r="N97" i="60"/>
  <c r="X130" i="60" s="1"/>
  <c r="M97" i="60"/>
  <c r="W130" i="60" s="1"/>
  <c r="L97" i="60"/>
  <c r="V130" i="60" s="1"/>
  <c r="K97" i="60"/>
  <c r="U130" i="60" s="1"/>
  <c r="J97" i="60"/>
  <c r="T130" i="60" s="1"/>
  <c r="I97" i="60"/>
  <c r="S130" i="60" s="1"/>
  <c r="H97" i="60"/>
  <c r="R130" i="60" s="1"/>
  <c r="G97" i="60"/>
  <c r="F97" i="60"/>
  <c r="E97" i="60"/>
  <c r="O130" i="60" s="1"/>
  <c r="D97" i="60"/>
  <c r="C97" i="60"/>
  <c r="M130" i="60" s="1"/>
  <c r="B97" i="60"/>
  <c r="AH96" i="60"/>
  <c r="N96" i="60"/>
  <c r="X129" i="60" s="1"/>
  <c r="M96" i="60"/>
  <c r="W129" i="60" s="1"/>
  <c r="L96" i="60"/>
  <c r="V129" i="60" s="1"/>
  <c r="K96" i="60"/>
  <c r="U129" i="60" s="1"/>
  <c r="J96" i="60"/>
  <c r="T129" i="60" s="1"/>
  <c r="I96" i="60"/>
  <c r="S129" i="60" s="1"/>
  <c r="H96" i="60"/>
  <c r="R129" i="60" s="1"/>
  <c r="G96" i="60"/>
  <c r="F96" i="60"/>
  <c r="E96" i="60"/>
  <c r="O129" i="60" s="1"/>
  <c r="D96" i="60"/>
  <c r="C96" i="60"/>
  <c r="M129" i="60" s="1"/>
  <c r="B96" i="60"/>
  <c r="AH95" i="60"/>
  <c r="N95" i="60"/>
  <c r="X128" i="60" s="1"/>
  <c r="M95" i="60"/>
  <c r="W128" i="60" s="1"/>
  <c r="L95" i="60"/>
  <c r="V128" i="60" s="1"/>
  <c r="K95" i="60"/>
  <c r="U128" i="60" s="1"/>
  <c r="J95" i="60"/>
  <c r="T128" i="60" s="1"/>
  <c r="I95" i="60"/>
  <c r="S128" i="60" s="1"/>
  <c r="H95" i="60"/>
  <c r="R128" i="60" s="1"/>
  <c r="G95" i="60"/>
  <c r="F95" i="60"/>
  <c r="E95" i="60"/>
  <c r="O128" i="60" s="1"/>
  <c r="D95" i="60"/>
  <c r="C95" i="60"/>
  <c r="M128" i="60" s="1"/>
  <c r="B95" i="60"/>
  <c r="AH94" i="60"/>
  <c r="N94" i="60"/>
  <c r="X127" i="60" s="1"/>
  <c r="M94" i="60"/>
  <c r="W127" i="60" s="1"/>
  <c r="L94" i="60"/>
  <c r="V127" i="60" s="1"/>
  <c r="K94" i="60"/>
  <c r="U127" i="60" s="1"/>
  <c r="J94" i="60"/>
  <c r="T127" i="60" s="1"/>
  <c r="I94" i="60"/>
  <c r="S127" i="60" s="1"/>
  <c r="H94" i="60"/>
  <c r="R127" i="60" s="1"/>
  <c r="G94" i="60"/>
  <c r="F94" i="60"/>
  <c r="E94" i="60"/>
  <c r="O127" i="60" s="1"/>
  <c r="D94" i="60"/>
  <c r="C94" i="60"/>
  <c r="M127" i="60" s="1"/>
  <c r="B94" i="60"/>
  <c r="AI94" i="60" s="1"/>
  <c r="AH93" i="60"/>
  <c r="N93" i="60"/>
  <c r="X126" i="60" s="1"/>
  <c r="M93" i="60"/>
  <c r="W126" i="60" s="1"/>
  <c r="L93" i="60"/>
  <c r="V126" i="60" s="1"/>
  <c r="K93" i="60"/>
  <c r="U126" i="60" s="1"/>
  <c r="J93" i="60"/>
  <c r="T126" i="60" s="1"/>
  <c r="I93" i="60"/>
  <c r="S126" i="60" s="1"/>
  <c r="H93" i="60"/>
  <c r="R126" i="60" s="1"/>
  <c r="G93" i="60"/>
  <c r="F93" i="60"/>
  <c r="E93" i="60"/>
  <c r="O126" i="60" s="1"/>
  <c r="D93" i="60"/>
  <c r="C93" i="60"/>
  <c r="M126" i="60" s="1"/>
  <c r="B93" i="60"/>
  <c r="AH92" i="60"/>
  <c r="N92" i="60"/>
  <c r="X125" i="60" s="1"/>
  <c r="M92" i="60"/>
  <c r="W125" i="60" s="1"/>
  <c r="L92" i="60"/>
  <c r="V125" i="60" s="1"/>
  <c r="K92" i="60"/>
  <c r="U125" i="60" s="1"/>
  <c r="J92" i="60"/>
  <c r="T125" i="60" s="1"/>
  <c r="I92" i="60"/>
  <c r="S125" i="60" s="1"/>
  <c r="H92" i="60"/>
  <c r="R125" i="60" s="1"/>
  <c r="G92" i="60"/>
  <c r="F92" i="60"/>
  <c r="E92" i="60"/>
  <c r="O125" i="60" s="1"/>
  <c r="D92" i="60"/>
  <c r="C92" i="60"/>
  <c r="M125" i="60" s="1"/>
  <c r="B92" i="60"/>
  <c r="AH91" i="60"/>
  <c r="N91" i="60"/>
  <c r="X124" i="60" s="1"/>
  <c r="M91" i="60"/>
  <c r="W124" i="60" s="1"/>
  <c r="L91" i="60"/>
  <c r="V124" i="60" s="1"/>
  <c r="K91" i="60"/>
  <c r="U124" i="60" s="1"/>
  <c r="J91" i="60"/>
  <c r="T124" i="60" s="1"/>
  <c r="I91" i="60"/>
  <c r="S124" i="60" s="1"/>
  <c r="H91" i="60"/>
  <c r="R124" i="60" s="1"/>
  <c r="G91" i="60"/>
  <c r="F91" i="60"/>
  <c r="E91" i="60"/>
  <c r="O124" i="60" s="1"/>
  <c r="D91" i="60"/>
  <c r="C91" i="60"/>
  <c r="M124" i="60" s="1"/>
  <c r="B91" i="60"/>
  <c r="AH90" i="60"/>
  <c r="N90" i="60"/>
  <c r="X123" i="60" s="1"/>
  <c r="M90" i="60"/>
  <c r="W123" i="60" s="1"/>
  <c r="L90" i="60"/>
  <c r="V123" i="60" s="1"/>
  <c r="K90" i="60"/>
  <c r="U123" i="60" s="1"/>
  <c r="J90" i="60"/>
  <c r="T123" i="60" s="1"/>
  <c r="I90" i="60"/>
  <c r="S123" i="60" s="1"/>
  <c r="H90" i="60"/>
  <c r="R123" i="60" s="1"/>
  <c r="G90" i="60"/>
  <c r="F90" i="60"/>
  <c r="E90" i="60"/>
  <c r="O123" i="60" s="1"/>
  <c r="D90" i="60"/>
  <c r="C90" i="60"/>
  <c r="M123" i="60" s="1"/>
  <c r="B90" i="60"/>
  <c r="AI90" i="60" s="1"/>
  <c r="AH89" i="60"/>
  <c r="N89" i="60"/>
  <c r="X122" i="60" s="1"/>
  <c r="M89" i="60"/>
  <c r="W122" i="60" s="1"/>
  <c r="L89" i="60"/>
  <c r="V122" i="60" s="1"/>
  <c r="K89" i="60"/>
  <c r="U122" i="60" s="1"/>
  <c r="J89" i="60"/>
  <c r="T122" i="60" s="1"/>
  <c r="I89" i="60"/>
  <c r="S122" i="60" s="1"/>
  <c r="H89" i="60"/>
  <c r="R122" i="60" s="1"/>
  <c r="G89" i="60"/>
  <c r="F89" i="60"/>
  <c r="E89" i="60"/>
  <c r="O122" i="60" s="1"/>
  <c r="D89" i="60"/>
  <c r="C89" i="60"/>
  <c r="M122" i="60" s="1"/>
  <c r="B89" i="60"/>
  <c r="AH88" i="60"/>
  <c r="N88" i="60"/>
  <c r="X121" i="60" s="1"/>
  <c r="M88" i="60"/>
  <c r="W121" i="60" s="1"/>
  <c r="L88" i="60"/>
  <c r="V121" i="60" s="1"/>
  <c r="K88" i="60"/>
  <c r="U121" i="60" s="1"/>
  <c r="J88" i="60"/>
  <c r="T121" i="60" s="1"/>
  <c r="I88" i="60"/>
  <c r="S121" i="60" s="1"/>
  <c r="H88" i="60"/>
  <c r="R121" i="60" s="1"/>
  <c r="G88" i="60"/>
  <c r="F88" i="60"/>
  <c r="E88" i="60"/>
  <c r="O121" i="60" s="1"/>
  <c r="D88" i="60"/>
  <c r="C88" i="60"/>
  <c r="M121" i="60" s="1"/>
  <c r="B88" i="60"/>
  <c r="AH87" i="60"/>
  <c r="N87" i="60"/>
  <c r="X120" i="60" s="1"/>
  <c r="M87" i="60"/>
  <c r="W120" i="60" s="1"/>
  <c r="L87" i="60"/>
  <c r="V120" i="60" s="1"/>
  <c r="K87" i="60"/>
  <c r="U120" i="60" s="1"/>
  <c r="J87" i="60"/>
  <c r="T120" i="60" s="1"/>
  <c r="I87" i="60"/>
  <c r="S120" i="60" s="1"/>
  <c r="H87" i="60"/>
  <c r="R120" i="60" s="1"/>
  <c r="G87" i="60"/>
  <c r="F87" i="60"/>
  <c r="E87" i="60"/>
  <c r="O120" i="60" s="1"/>
  <c r="D87" i="60"/>
  <c r="C87" i="60"/>
  <c r="M120" i="60" s="1"/>
  <c r="B87" i="60"/>
  <c r="AH86" i="60"/>
  <c r="N86" i="60"/>
  <c r="X119" i="60" s="1"/>
  <c r="M86" i="60"/>
  <c r="W119" i="60" s="1"/>
  <c r="L86" i="60"/>
  <c r="V119" i="60" s="1"/>
  <c r="K86" i="60"/>
  <c r="U119" i="60" s="1"/>
  <c r="J86" i="60"/>
  <c r="T119" i="60" s="1"/>
  <c r="I86" i="60"/>
  <c r="S119" i="60" s="1"/>
  <c r="H86" i="60"/>
  <c r="R119" i="60" s="1"/>
  <c r="G86" i="60"/>
  <c r="F86" i="60"/>
  <c r="E86" i="60"/>
  <c r="O119" i="60" s="1"/>
  <c r="D86" i="60"/>
  <c r="C86" i="60"/>
  <c r="M119" i="60" s="1"/>
  <c r="B86" i="60"/>
  <c r="AI86" i="60" s="1"/>
  <c r="AH85" i="60"/>
  <c r="N85" i="60"/>
  <c r="X118" i="60" s="1"/>
  <c r="M85" i="60"/>
  <c r="W118" i="60" s="1"/>
  <c r="L85" i="60"/>
  <c r="V118" i="60" s="1"/>
  <c r="K85" i="60"/>
  <c r="U118" i="60" s="1"/>
  <c r="J85" i="60"/>
  <c r="T118" i="60" s="1"/>
  <c r="I85" i="60"/>
  <c r="S118" i="60" s="1"/>
  <c r="H85" i="60"/>
  <c r="R118" i="60" s="1"/>
  <c r="G85" i="60"/>
  <c r="F85" i="60"/>
  <c r="E85" i="60"/>
  <c r="O118" i="60" s="1"/>
  <c r="D85" i="60"/>
  <c r="C85" i="60"/>
  <c r="M118" i="60" s="1"/>
  <c r="B85" i="60"/>
  <c r="AH84" i="60"/>
  <c r="N84" i="60"/>
  <c r="X117" i="60" s="1"/>
  <c r="M84" i="60"/>
  <c r="W117" i="60" s="1"/>
  <c r="L84" i="60"/>
  <c r="V117" i="60" s="1"/>
  <c r="K84" i="60"/>
  <c r="U117" i="60" s="1"/>
  <c r="J84" i="60"/>
  <c r="T117" i="60" s="1"/>
  <c r="I84" i="60"/>
  <c r="S117" i="60" s="1"/>
  <c r="H84" i="60"/>
  <c r="R117" i="60" s="1"/>
  <c r="G84" i="60"/>
  <c r="F84" i="60"/>
  <c r="E84" i="60"/>
  <c r="O117" i="60" s="1"/>
  <c r="D84" i="60"/>
  <c r="C84" i="60"/>
  <c r="M117" i="60" s="1"/>
  <c r="B84" i="60"/>
  <c r="AH83" i="60"/>
  <c r="N83" i="60"/>
  <c r="X116" i="60" s="1"/>
  <c r="M83" i="60"/>
  <c r="W116" i="60" s="1"/>
  <c r="L83" i="60"/>
  <c r="V116" i="60" s="1"/>
  <c r="K83" i="60"/>
  <c r="U116" i="60" s="1"/>
  <c r="J83" i="60"/>
  <c r="T116" i="60" s="1"/>
  <c r="I83" i="60"/>
  <c r="S116" i="60" s="1"/>
  <c r="H83" i="60"/>
  <c r="R116" i="60" s="1"/>
  <c r="G83" i="60"/>
  <c r="F83" i="60"/>
  <c r="E83" i="60"/>
  <c r="O116" i="60" s="1"/>
  <c r="D83" i="60"/>
  <c r="C83" i="60"/>
  <c r="M116" i="60" s="1"/>
  <c r="B83" i="60"/>
  <c r="AH82" i="60"/>
  <c r="N82" i="60"/>
  <c r="X115" i="60" s="1"/>
  <c r="M82" i="60"/>
  <c r="W115" i="60" s="1"/>
  <c r="L82" i="60"/>
  <c r="V115" i="60" s="1"/>
  <c r="K82" i="60"/>
  <c r="U115" i="60" s="1"/>
  <c r="J82" i="60"/>
  <c r="T115" i="60" s="1"/>
  <c r="I82" i="60"/>
  <c r="S115" i="60" s="1"/>
  <c r="H82" i="60"/>
  <c r="R115" i="60" s="1"/>
  <c r="G82" i="60"/>
  <c r="F82" i="60"/>
  <c r="E82" i="60"/>
  <c r="O115" i="60" s="1"/>
  <c r="D82" i="60"/>
  <c r="C82" i="60"/>
  <c r="M115" i="60" s="1"/>
  <c r="B82" i="60"/>
  <c r="AI82" i="60" s="1"/>
  <c r="AH81" i="60"/>
  <c r="N81" i="60"/>
  <c r="X114" i="60" s="1"/>
  <c r="M81" i="60"/>
  <c r="W114" i="60" s="1"/>
  <c r="L81" i="60"/>
  <c r="V114" i="60" s="1"/>
  <c r="K81" i="60"/>
  <c r="U114" i="60" s="1"/>
  <c r="J81" i="60"/>
  <c r="T114" i="60" s="1"/>
  <c r="I81" i="60"/>
  <c r="S114" i="60" s="1"/>
  <c r="H81" i="60"/>
  <c r="R114" i="60" s="1"/>
  <c r="G81" i="60"/>
  <c r="F81" i="60"/>
  <c r="E81" i="60"/>
  <c r="O114" i="60" s="1"/>
  <c r="D81" i="60"/>
  <c r="C81" i="60"/>
  <c r="M114" i="60" s="1"/>
  <c r="B81" i="60"/>
  <c r="AH80" i="60"/>
  <c r="N80" i="60"/>
  <c r="X113" i="60" s="1"/>
  <c r="M80" i="60"/>
  <c r="W113" i="60" s="1"/>
  <c r="L80" i="60"/>
  <c r="V113" i="60" s="1"/>
  <c r="K80" i="60"/>
  <c r="U113" i="60" s="1"/>
  <c r="J80" i="60"/>
  <c r="T113" i="60" s="1"/>
  <c r="I80" i="60"/>
  <c r="S113" i="60" s="1"/>
  <c r="H80" i="60"/>
  <c r="R113" i="60" s="1"/>
  <c r="G80" i="60"/>
  <c r="F80" i="60"/>
  <c r="E80" i="60"/>
  <c r="O113" i="60" s="1"/>
  <c r="D80" i="60"/>
  <c r="C80" i="60"/>
  <c r="M113" i="60" s="1"/>
  <c r="B80" i="60"/>
  <c r="AH79" i="60"/>
  <c r="N79" i="60"/>
  <c r="X112" i="60" s="1"/>
  <c r="M79" i="60"/>
  <c r="W112" i="60" s="1"/>
  <c r="L79" i="60"/>
  <c r="V112" i="60" s="1"/>
  <c r="K79" i="60"/>
  <c r="U112" i="60" s="1"/>
  <c r="J79" i="60"/>
  <c r="T112" i="60" s="1"/>
  <c r="I79" i="60"/>
  <c r="S112" i="60" s="1"/>
  <c r="H79" i="60"/>
  <c r="R112" i="60" s="1"/>
  <c r="G79" i="60"/>
  <c r="F79" i="60"/>
  <c r="E79" i="60"/>
  <c r="O112" i="60" s="1"/>
  <c r="D79" i="60"/>
  <c r="C79" i="60"/>
  <c r="M112" i="60" s="1"/>
  <c r="B79" i="60"/>
  <c r="AH78" i="60"/>
  <c r="N78" i="60"/>
  <c r="X111" i="60" s="1"/>
  <c r="M78" i="60"/>
  <c r="W111" i="60" s="1"/>
  <c r="L78" i="60"/>
  <c r="V111" i="60" s="1"/>
  <c r="K78" i="60"/>
  <c r="U111" i="60" s="1"/>
  <c r="J78" i="60"/>
  <c r="T111" i="60" s="1"/>
  <c r="I78" i="60"/>
  <c r="S111" i="60" s="1"/>
  <c r="H78" i="60"/>
  <c r="R111" i="60" s="1"/>
  <c r="G78" i="60"/>
  <c r="F78" i="60"/>
  <c r="E78" i="60"/>
  <c r="O111" i="60" s="1"/>
  <c r="D78" i="60"/>
  <c r="C78" i="60"/>
  <c r="M111" i="60" s="1"/>
  <c r="B78" i="60"/>
  <c r="AI78" i="60" s="1"/>
  <c r="AH77" i="60"/>
  <c r="N77" i="60"/>
  <c r="X110" i="60" s="1"/>
  <c r="M77" i="60"/>
  <c r="W110" i="60" s="1"/>
  <c r="L77" i="60"/>
  <c r="V110" i="60" s="1"/>
  <c r="K77" i="60"/>
  <c r="U110" i="60" s="1"/>
  <c r="J77" i="60"/>
  <c r="T110" i="60" s="1"/>
  <c r="I77" i="60"/>
  <c r="S110" i="60" s="1"/>
  <c r="H77" i="60"/>
  <c r="R110" i="60" s="1"/>
  <c r="G77" i="60"/>
  <c r="F77" i="60"/>
  <c r="E77" i="60"/>
  <c r="O110" i="60" s="1"/>
  <c r="D77" i="60"/>
  <c r="C77" i="60"/>
  <c r="M110" i="60" s="1"/>
  <c r="B77" i="60"/>
  <c r="N76" i="60"/>
  <c r="X109" i="60" s="1"/>
  <c r="M76" i="60"/>
  <c r="W109" i="60" s="1"/>
  <c r="L76" i="60"/>
  <c r="V109" i="60" s="1"/>
  <c r="K76" i="60"/>
  <c r="U109" i="60" s="1"/>
  <c r="J76" i="60"/>
  <c r="T109" i="60" s="1"/>
  <c r="I76" i="60"/>
  <c r="S109" i="60" s="1"/>
  <c r="H76" i="60"/>
  <c r="R109" i="60" s="1"/>
  <c r="G76" i="60"/>
  <c r="F76" i="60"/>
  <c r="E76" i="60"/>
  <c r="O109" i="60" s="1"/>
  <c r="D76" i="60"/>
  <c r="C76" i="60"/>
  <c r="M109" i="60" s="1"/>
  <c r="B76" i="60"/>
  <c r="N75" i="60"/>
  <c r="X108" i="60" s="1"/>
  <c r="M75" i="60"/>
  <c r="L75" i="60"/>
  <c r="V108" i="60" s="1"/>
  <c r="K75" i="60"/>
  <c r="J75" i="60"/>
  <c r="T108" i="60" s="1"/>
  <c r="I75" i="60"/>
  <c r="S108" i="60" s="1"/>
  <c r="H75" i="60"/>
  <c r="R108" i="60" s="1"/>
  <c r="G75" i="60"/>
  <c r="F75" i="60"/>
  <c r="E75" i="60"/>
  <c r="O108" i="60" s="1"/>
  <c r="D75" i="60"/>
  <c r="C75" i="60"/>
  <c r="B75" i="60"/>
  <c r="N67" i="60"/>
  <c r="M67" i="60"/>
  <c r="L67" i="60"/>
  <c r="K67" i="60"/>
  <c r="J67" i="60"/>
  <c r="I67" i="60"/>
  <c r="H67" i="60"/>
  <c r="G67" i="60"/>
  <c r="F67" i="60"/>
  <c r="E67" i="60"/>
  <c r="D67" i="60"/>
  <c r="C67" i="60"/>
  <c r="B67" i="60"/>
  <c r="AG66" i="60"/>
  <c r="AF66" i="60"/>
  <c r="AL66" i="60" s="1"/>
  <c r="O66" i="60"/>
  <c r="AG65" i="60"/>
  <c r="AF65" i="60"/>
  <c r="O65" i="60"/>
  <c r="O64" i="60"/>
  <c r="AG63" i="60"/>
  <c r="AF63" i="60"/>
  <c r="O63" i="60"/>
  <c r="AG62" i="60"/>
  <c r="AF62" i="60"/>
  <c r="O62" i="60"/>
  <c r="AG61" i="60"/>
  <c r="AF61" i="60"/>
  <c r="O61" i="60"/>
  <c r="AG60" i="60"/>
  <c r="AF60" i="60"/>
  <c r="AL60" i="60" s="1"/>
  <c r="O60" i="60"/>
  <c r="AG59" i="60"/>
  <c r="AF59" i="60"/>
  <c r="O59" i="60"/>
  <c r="AG58" i="60"/>
  <c r="AF58" i="60"/>
  <c r="O58" i="60"/>
  <c r="AG57" i="60"/>
  <c r="AF57" i="60"/>
  <c r="O57" i="60"/>
  <c r="AG56" i="60"/>
  <c r="AF56" i="60"/>
  <c r="O56" i="60"/>
  <c r="AG55" i="60"/>
  <c r="AF55" i="60"/>
  <c r="O55" i="60"/>
  <c r="AG54" i="60"/>
  <c r="AF54" i="60"/>
  <c r="O54" i="60"/>
  <c r="AG53" i="60"/>
  <c r="AF53" i="60"/>
  <c r="O53" i="60"/>
  <c r="AG52" i="60"/>
  <c r="AF52" i="60"/>
  <c r="AL52" i="60" s="1"/>
  <c r="O52" i="60"/>
  <c r="AG51" i="60"/>
  <c r="AF51" i="60"/>
  <c r="O51" i="60"/>
  <c r="AG50" i="60"/>
  <c r="AF50" i="60"/>
  <c r="O50" i="60"/>
  <c r="AG49" i="60"/>
  <c r="AF49" i="60"/>
  <c r="O49" i="60"/>
  <c r="AG48" i="60"/>
  <c r="AF48" i="60"/>
  <c r="O48" i="60"/>
  <c r="AG47" i="60"/>
  <c r="AF47" i="60"/>
  <c r="O47" i="60"/>
  <c r="AG46" i="60"/>
  <c r="AF46" i="60"/>
  <c r="O46" i="60"/>
  <c r="AG45" i="60"/>
  <c r="AF45" i="60"/>
  <c r="O45" i="60"/>
  <c r="AG44" i="60"/>
  <c r="AF44" i="60"/>
  <c r="AL44" i="60" s="1"/>
  <c r="O44" i="60"/>
  <c r="O43" i="60"/>
  <c r="AG42" i="60"/>
  <c r="AF42" i="60"/>
  <c r="O42" i="60"/>
  <c r="AG41" i="60"/>
  <c r="AF41" i="60"/>
  <c r="O41" i="60"/>
  <c r="AG40" i="60"/>
  <c r="AF40" i="60"/>
  <c r="AD67" i="60"/>
  <c r="O40" i="60"/>
  <c r="N32" i="60"/>
  <c r="M32" i="60"/>
  <c r="L32" i="60"/>
  <c r="K32" i="60"/>
  <c r="J32" i="60"/>
  <c r="I32" i="60"/>
  <c r="H32" i="60"/>
  <c r="G32" i="60"/>
  <c r="F32" i="60"/>
  <c r="E32" i="60"/>
  <c r="D32" i="60"/>
  <c r="C32" i="60"/>
  <c r="B32" i="60"/>
  <c r="AG31" i="60"/>
  <c r="AF31" i="60"/>
  <c r="AE31" i="60"/>
  <c r="AD31" i="60"/>
  <c r="AC31" i="60"/>
  <c r="AB31" i="60"/>
  <c r="AA31" i="60"/>
  <c r="Z31" i="60"/>
  <c r="Y31" i="60"/>
  <c r="X31" i="60"/>
  <c r="W31" i="60"/>
  <c r="V31" i="60"/>
  <c r="U31" i="60"/>
  <c r="T31" i="60"/>
  <c r="S31" i="60"/>
  <c r="O31" i="60"/>
  <c r="AG30" i="60"/>
  <c r="AF30" i="60"/>
  <c r="AE30" i="60"/>
  <c r="AD30" i="60"/>
  <c r="AC30" i="60"/>
  <c r="AB30" i="60"/>
  <c r="AA30" i="60"/>
  <c r="Z30" i="60"/>
  <c r="Y30" i="60"/>
  <c r="X30" i="60"/>
  <c r="W30" i="60"/>
  <c r="V30" i="60"/>
  <c r="U30" i="60"/>
  <c r="T30" i="60"/>
  <c r="S30" i="60"/>
  <c r="O30" i="60"/>
  <c r="AG29" i="60"/>
  <c r="AF29" i="60"/>
  <c r="AE29" i="60"/>
  <c r="AD29" i="60"/>
  <c r="AC29" i="60"/>
  <c r="AB29" i="60"/>
  <c r="AA29" i="60"/>
  <c r="Z29" i="60"/>
  <c r="Y29" i="60"/>
  <c r="X29" i="60"/>
  <c r="W29" i="60"/>
  <c r="V29" i="60"/>
  <c r="U29" i="60"/>
  <c r="T29" i="60"/>
  <c r="S29" i="60"/>
  <c r="O29" i="60"/>
  <c r="AG28" i="60"/>
  <c r="AF28" i="60"/>
  <c r="AE28" i="60"/>
  <c r="AD28" i="60"/>
  <c r="AC28" i="60"/>
  <c r="AB28" i="60"/>
  <c r="AA28" i="60"/>
  <c r="Z28" i="60"/>
  <c r="Y28" i="60"/>
  <c r="X28" i="60"/>
  <c r="W28" i="60"/>
  <c r="V28" i="60"/>
  <c r="U28" i="60"/>
  <c r="T28" i="60"/>
  <c r="S28" i="60"/>
  <c r="O28" i="60"/>
  <c r="AG27" i="60"/>
  <c r="AF27" i="60"/>
  <c r="AE27" i="60"/>
  <c r="AD27" i="60"/>
  <c r="AC27" i="60"/>
  <c r="AB27" i="60"/>
  <c r="AA27" i="60"/>
  <c r="Z27" i="60"/>
  <c r="Y27" i="60"/>
  <c r="X27" i="60"/>
  <c r="W27" i="60"/>
  <c r="V27" i="60"/>
  <c r="U27" i="60"/>
  <c r="T27" i="60"/>
  <c r="S27" i="60"/>
  <c r="O27" i="60"/>
  <c r="AG26" i="60"/>
  <c r="AF26" i="60"/>
  <c r="AE26" i="60"/>
  <c r="AD26" i="60"/>
  <c r="AC26" i="60"/>
  <c r="AB26" i="60"/>
  <c r="AA26" i="60"/>
  <c r="Z26" i="60"/>
  <c r="Y26" i="60"/>
  <c r="X26" i="60"/>
  <c r="W26" i="60"/>
  <c r="V26" i="60"/>
  <c r="U26" i="60"/>
  <c r="T26" i="60"/>
  <c r="S26" i="60"/>
  <c r="O26" i="60"/>
  <c r="AG25" i="60"/>
  <c r="AF25" i="60"/>
  <c r="AE25" i="60"/>
  <c r="AD25" i="60"/>
  <c r="AC25" i="60"/>
  <c r="AB25" i="60"/>
  <c r="AA25" i="60"/>
  <c r="Z25" i="60"/>
  <c r="Y25" i="60"/>
  <c r="X25" i="60"/>
  <c r="W25" i="60"/>
  <c r="V25" i="60"/>
  <c r="U25" i="60"/>
  <c r="T25" i="60"/>
  <c r="S25" i="60"/>
  <c r="O25" i="60"/>
  <c r="AG24" i="60"/>
  <c r="AF24" i="60"/>
  <c r="AE24" i="60"/>
  <c r="AD24" i="60"/>
  <c r="AC24" i="60"/>
  <c r="AB24" i="60"/>
  <c r="AA24" i="60"/>
  <c r="Z24" i="60"/>
  <c r="Y24" i="60"/>
  <c r="X24" i="60"/>
  <c r="W24" i="60"/>
  <c r="V24" i="60"/>
  <c r="U24" i="60"/>
  <c r="T24" i="60"/>
  <c r="S24" i="60"/>
  <c r="O24" i="60"/>
  <c r="AG23" i="60"/>
  <c r="AF23" i="60"/>
  <c r="AE23" i="60"/>
  <c r="AD23" i="60"/>
  <c r="AC23" i="60"/>
  <c r="AB23" i="60"/>
  <c r="AA23" i="60"/>
  <c r="Z23" i="60"/>
  <c r="Y23" i="60"/>
  <c r="X23" i="60"/>
  <c r="W23" i="60"/>
  <c r="V23" i="60"/>
  <c r="U23" i="60"/>
  <c r="T23" i="60"/>
  <c r="S23" i="60"/>
  <c r="O23" i="60"/>
  <c r="AG22" i="60"/>
  <c r="AF22" i="60"/>
  <c r="AE22" i="60"/>
  <c r="AD22" i="60"/>
  <c r="AC22" i="60"/>
  <c r="AB22" i="60"/>
  <c r="AA22" i="60"/>
  <c r="Z22" i="60"/>
  <c r="Y22" i="60"/>
  <c r="X22" i="60"/>
  <c r="W22" i="60"/>
  <c r="V22" i="60"/>
  <c r="U22" i="60"/>
  <c r="T22" i="60"/>
  <c r="S22" i="60"/>
  <c r="O22" i="60"/>
  <c r="AG21" i="60"/>
  <c r="AF21" i="60"/>
  <c r="AE21" i="60"/>
  <c r="AD21" i="60"/>
  <c r="AC21" i="60"/>
  <c r="AB21" i="60"/>
  <c r="AA21" i="60"/>
  <c r="Z21" i="60"/>
  <c r="Y21" i="60"/>
  <c r="X21" i="60"/>
  <c r="W21" i="60"/>
  <c r="V21" i="60"/>
  <c r="U21" i="60"/>
  <c r="T21" i="60"/>
  <c r="S21" i="60"/>
  <c r="O21" i="60"/>
  <c r="AG20" i="60"/>
  <c r="AF20" i="60"/>
  <c r="AE20" i="60"/>
  <c r="AD20" i="60"/>
  <c r="AC20" i="60"/>
  <c r="AB20" i="60"/>
  <c r="AA20" i="60"/>
  <c r="Z20" i="60"/>
  <c r="Y20" i="60"/>
  <c r="X20" i="60"/>
  <c r="W20" i="60"/>
  <c r="V20" i="60"/>
  <c r="U20" i="60"/>
  <c r="T20" i="60"/>
  <c r="S20" i="60"/>
  <c r="O20" i="60"/>
  <c r="AG19" i="60"/>
  <c r="AF19" i="60"/>
  <c r="AE19" i="60"/>
  <c r="AD19" i="60"/>
  <c r="AC19" i="60"/>
  <c r="AB19" i="60"/>
  <c r="AA19" i="60"/>
  <c r="Z19" i="60"/>
  <c r="Y19" i="60"/>
  <c r="X19" i="60"/>
  <c r="W19" i="60"/>
  <c r="V19" i="60"/>
  <c r="U19" i="60"/>
  <c r="T19" i="60"/>
  <c r="S19" i="60"/>
  <c r="O19" i="60"/>
  <c r="AG18" i="60"/>
  <c r="AF18" i="60"/>
  <c r="AE18" i="60"/>
  <c r="AD18" i="60"/>
  <c r="AC18" i="60"/>
  <c r="AB18" i="60"/>
  <c r="AA18" i="60"/>
  <c r="Z18" i="60"/>
  <c r="Y18" i="60"/>
  <c r="X18" i="60"/>
  <c r="W18" i="60"/>
  <c r="V18" i="60"/>
  <c r="U18" i="60"/>
  <c r="T18" i="60"/>
  <c r="S18" i="60"/>
  <c r="O18" i="60"/>
  <c r="AG17" i="60"/>
  <c r="AF17" i="60"/>
  <c r="AE17" i="60"/>
  <c r="AD17" i="60"/>
  <c r="AC17" i="60"/>
  <c r="AB17" i="60"/>
  <c r="AA17" i="60"/>
  <c r="Z17" i="60"/>
  <c r="Y17" i="60"/>
  <c r="X17" i="60"/>
  <c r="W17" i="60"/>
  <c r="V17" i="60"/>
  <c r="U17" i="60"/>
  <c r="T17" i="60"/>
  <c r="S17" i="60"/>
  <c r="O17" i="60"/>
  <c r="AG16" i="60"/>
  <c r="AF16" i="60"/>
  <c r="AE16" i="60"/>
  <c r="AD16" i="60"/>
  <c r="AC16" i="60"/>
  <c r="AB16" i="60"/>
  <c r="AA16" i="60"/>
  <c r="Z16" i="60"/>
  <c r="Y16" i="60"/>
  <c r="X16" i="60"/>
  <c r="W16" i="60"/>
  <c r="V16" i="60"/>
  <c r="U16" i="60"/>
  <c r="T16" i="60"/>
  <c r="S16" i="60"/>
  <c r="O16" i="60"/>
  <c r="AG15" i="60"/>
  <c r="AF15" i="60"/>
  <c r="AE15" i="60"/>
  <c r="AD15" i="60"/>
  <c r="AC15" i="60"/>
  <c r="AB15" i="60"/>
  <c r="AA15" i="60"/>
  <c r="Z15" i="60"/>
  <c r="Y15" i="60"/>
  <c r="X15" i="60"/>
  <c r="W15" i="60"/>
  <c r="V15" i="60"/>
  <c r="U15" i="60"/>
  <c r="T15" i="60"/>
  <c r="S15" i="60"/>
  <c r="O15" i="60"/>
  <c r="AG14" i="60"/>
  <c r="AF14" i="60"/>
  <c r="AE14" i="60"/>
  <c r="AD14" i="60"/>
  <c r="AC14" i="60"/>
  <c r="AB14" i="60"/>
  <c r="AA14" i="60"/>
  <c r="Z14" i="60"/>
  <c r="Y14" i="60"/>
  <c r="X14" i="60"/>
  <c r="W14" i="60"/>
  <c r="V14" i="60"/>
  <c r="U14" i="60"/>
  <c r="T14" i="60"/>
  <c r="S14" i="60"/>
  <c r="O14" i="60"/>
  <c r="AG13" i="60"/>
  <c r="AF13" i="60"/>
  <c r="AE13" i="60"/>
  <c r="AD13" i="60"/>
  <c r="AC13" i="60"/>
  <c r="AB13" i="60"/>
  <c r="AA13" i="60"/>
  <c r="Z13" i="60"/>
  <c r="Y13" i="60"/>
  <c r="X13" i="60"/>
  <c r="W13" i="60"/>
  <c r="V13" i="60"/>
  <c r="U13" i="60"/>
  <c r="T13" i="60"/>
  <c r="S13" i="60"/>
  <c r="O13" i="60"/>
  <c r="AG12" i="60"/>
  <c r="AF12" i="60"/>
  <c r="AE12" i="60"/>
  <c r="AD12" i="60"/>
  <c r="AC12" i="60"/>
  <c r="AB12" i="60"/>
  <c r="AA12" i="60"/>
  <c r="Z12" i="60"/>
  <c r="Y12" i="60"/>
  <c r="X12" i="60"/>
  <c r="W12" i="60"/>
  <c r="V12" i="60"/>
  <c r="U12" i="60"/>
  <c r="T12" i="60"/>
  <c r="S12" i="60"/>
  <c r="O12" i="60"/>
  <c r="AG11" i="60"/>
  <c r="AF11" i="60"/>
  <c r="AE11" i="60"/>
  <c r="AD11" i="60"/>
  <c r="AC11" i="60"/>
  <c r="AB11" i="60"/>
  <c r="AA11" i="60"/>
  <c r="Z11" i="60"/>
  <c r="Y11" i="60"/>
  <c r="X11" i="60"/>
  <c r="W11" i="60"/>
  <c r="V11" i="60"/>
  <c r="U11" i="60"/>
  <c r="T11" i="60"/>
  <c r="S11" i="60"/>
  <c r="O11" i="60"/>
  <c r="AG10" i="60"/>
  <c r="AF10" i="60"/>
  <c r="AE10" i="60"/>
  <c r="AD10" i="60"/>
  <c r="AC10" i="60"/>
  <c r="AB10" i="60"/>
  <c r="AA10" i="60"/>
  <c r="Z10" i="60"/>
  <c r="Y10" i="60"/>
  <c r="X10" i="60"/>
  <c r="W10" i="60"/>
  <c r="V10" i="60"/>
  <c r="U10" i="60"/>
  <c r="T10" i="60"/>
  <c r="S10" i="60"/>
  <c r="O10" i="60"/>
  <c r="AG9" i="60"/>
  <c r="AF9" i="60"/>
  <c r="AE9" i="60"/>
  <c r="AD9" i="60"/>
  <c r="AC9" i="60"/>
  <c r="AB9" i="60"/>
  <c r="AA9" i="60"/>
  <c r="Z9" i="60"/>
  <c r="Y9" i="60"/>
  <c r="X9" i="60"/>
  <c r="W9" i="60"/>
  <c r="V9" i="60"/>
  <c r="U9" i="60"/>
  <c r="T9" i="60"/>
  <c r="S9" i="60"/>
  <c r="O9" i="60"/>
  <c r="AE8" i="60"/>
  <c r="AD8" i="60"/>
  <c r="AC8" i="60"/>
  <c r="AB8" i="60"/>
  <c r="AA8" i="60"/>
  <c r="Z8" i="60"/>
  <c r="Y8" i="60"/>
  <c r="X8" i="60"/>
  <c r="W8" i="60"/>
  <c r="V8" i="60"/>
  <c r="U8" i="60"/>
  <c r="T8" i="60"/>
  <c r="S8" i="60"/>
  <c r="O8" i="60"/>
  <c r="AG7" i="60"/>
  <c r="AF7" i="60"/>
  <c r="AE7" i="60"/>
  <c r="AD7" i="60"/>
  <c r="AC7" i="60"/>
  <c r="AB7" i="60"/>
  <c r="AA7" i="60"/>
  <c r="Z7" i="60"/>
  <c r="Y7" i="60"/>
  <c r="X7" i="60"/>
  <c r="W7" i="60"/>
  <c r="V7" i="60"/>
  <c r="U7" i="60"/>
  <c r="T7" i="60"/>
  <c r="S7" i="60"/>
  <c r="O7" i="60"/>
  <c r="AG6" i="60"/>
  <c r="AF6" i="60"/>
  <c r="AE6" i="60"/>
  <c r="AD6" i="60"/>
  <c r="AC6" i="60"/>
  <c r="AB6" i="60"/>
  <c r="AA6" i="60"/>
  <c r="Z6" i="60"/>
  <c r="Y6" i="60"/>
  <c r="X6" i="60"/>
  <c r="W6" i="60"/>
  <c r="V6" i="60"/>
  <c r="U6" i="60"/>
  <c r="T6" i="60"/>
  <c r="S6" i="60"/>
  <c r="O6" i="60"/>
  <c r="AG5" i="60"/>
  <c r="AF5" i="60"/>
  <c r="AE5" i="60"/>
  <c r="AD5" i="60"/>
  <c r="AC5" i="60"/>
  <c r="AB5" i="60"/>
  <c r="AA5" i="60"/>
  <c r="Z5" i="60"/>
  <c r="Y5" i="60"/>
  <c r="X5" i="60"/>
  <c r="W5" i="60"/>
  <c r="V5" i="60"/>
  <c r="U5" i="60"/>
  <c r="AG73" i="73" s="1"/>
  <c r="T5" i="60"/>
  <c r="S5" i="60"/>
  <c r="O5" i="60"/>
  <c r="S102" i="16"/>
  <c r="T102" i="16"/>
  <c r="U102" i="16"/>
  <c r="V102" i="16"/>
  <c r="W102" i="16"/>
  <c r="Y102" i="16"/>
  <c r="AA102" i="16"/>
  <c r="AB102" i="16"/>
  <c r="AC102" i="16"/>
  <c r="AD102" i="16"/>
  <c r="AE102" i="16"/>
  <c r="AF102" i="16"/>
  <c r="AG102" i="16"/>
  <c r="B75" i="16"/>
  <c r="Z134" i="16"/>
  <c r="Y134" i="16"/>
  <c r="Z133" i="16"/>
  <c r="Y133" i="16"/>
  <c r="Z132" i="16"/>
  <c r="Y132" i="16"/>
  <c r="Z131" i="16"/>
  <c r="Y131" i="16"/>
  <c r="Z130" i="16"/>
  <c r="Y130" i="16"/>
  <c r="Z129" i="16"/>
  <c r="Z24" i="16" s="1"/>
  <c r="Y129" i="16"/>
  <c r="Z128" i="16"/>
  <c r="Y128" i="16"/>
  <c r="Z127" i="16"/>
  <c r="AH92" i="16" s="1"/>
  <c r="Y127" i="16"/>
  <c r="Z126" i="16"/>
  <c r="Y126" i="16"/>
  <c r="Z125" i="16"/>
  <c r="Y125" i="16"/>
  <c r="Z124" i="16"/>
  <c r="Y124" i="16"/>
  <c r="Z123" i="16"/>
  <c r="Z18" i="16" s="1"/>
  <c r="Y123" i="16"/>
  <c r="Z122" i="16"/>
  <c r="Y122" i="16"/>
  <c r="Z121" i="16"/>
  <c r="Y121" i="16"/>
  <c r="Z120" i="16"/>
  <c r="Y120" i="16"/>
  <c r="Z119" i="16"/>
  <c r="Y119" i="16"/>
  <c r="Z118" i="16"/>
  <c r="Y118" i="16"/>
  <c r="Z117" i="16"/>
  <c r="Y117" i="16"/>
  <c r="Z116" i="16"/>
  <c r="Y116" i="16"/>
  <c r="Z115" i="16"/>
  <c r="Y115" i="16"/>
  <c r="Z114" i="16"/>
  <c r="Y114" i="16"/>
  <c r="Z113" i="16"/>
  <c r="Y113" i="16"/>
  <c r="Z112" i="16"/>
  <c r="Y112" i="16"/>
  <c r="Z111" i="16"/>
  <c r="Y111" i="16"/>
  <c r="Z110" i="16"/>
  <c r="Y110" i="16"/>
  <c r="Z109" i="16"/>
  <c r="Y109" i="16"/>
  <c r="Z108" i="16"/>
  <c r="Y108" i="16"/>
  <c r="AH101" i="16"/>
  <c r="N101" i="16"/>
  <c r="X134" i="16" s="1"/>
  <c r="M101" i="16"/>
  <c r="W134" i="16" s="1"/>
  <c r="L101" i="16"/>
  <c r="V134" i="16" s="1"/>
  <c r="K101" i="16"/>
  <c r="U134" i="16" s="1"/>
  <c r="J101" i="16"/>
  <c r="T134" i="16" s="1"/>
  <c r="I101" i="16"/>
  <c r="S134" i="16" s="1"/>
  <c r="G101" i="16"/>
  <c r="F101" i="16"/>
  <c r="E101" i="16"/>
  <c r="O134" i="16" s="1"/>
  <c r="D101" i="16"/>
  <c r="B101" i="16"/>
  <c r="N100" i="16"/>
  <c r="X133" i="16" s="1"/>
  <c r="M100" i="16"/>
  <c r="W133" i="16" s="1"/>
  <c r="L100" i="16"/>
  <c r="V133" i="16" s="1"/>
  <c r="K100" i="16"/>
  <c r="U133" i="16" s="1"/>
  <c r="J100" i="16"/>
  <c r="T133" i="16" s="1"/>
  <c r="I100" i="16"/>
  <c r="G100" i="16"/>
  <c r="F100" i="16"/>
  <c r="E100" i="16"/>
  <c r="D100" i="16"/>
  <c r="B100" i="16"/>
  <c r="AH99" i="16"/>
  <c r="N99" i="16"/>
  <c r="X132" i="16" s="1"/>
  <c r="X102" i="16" s="1"/>
  <c r="M99" i="16"/>
  <c r="W132" i="16" s="1"/>
  <c r="L99" i="16"/>
  <c r="V132" i="16" s="1"/>
  <c r="K99" i="16"/>
  <c r="U132" i="16" s="1"/>
  <c r="J99" i="16"/>
  <c r="T132" i="16" s="1"/>
  <c r="I99" i="16"/>
  <c r="S132" i="16" s="1"/>
  <c r="G99" i="16"/>
  <c r="F99" i="16"/>
  <c r="D99" i="16"/>
  <c r="B99" i="16"/>
  <c r="N98" i="16"/>
  <c r="X131" i="16" s="1"/>
  <c r="M98" i="16"/>
  <c r="W131" i="16" s="1"/>
  <c r="L98" i="16"/>
  <c r="V131" i="16" s="1"/>
  <c r="K98" i="16"/>
  <c r="U131" i="16" s="1"/>
  <c r="J98" i="16"/>
  <c r="T131" i="16" s="1"/>
  <c r="I98" i="16"/>
  <c r="G98" i="16"/>
  <c r="F98" i="16"/>
  <c r="D98" i="16"/>
  <c r="B98" i="16"/>
  <c r="AH97" i="16"/>
  <c r="N97" i="16"/>
  <c r="X130" i="16" s="1"/>
  <c r="M97" i="16"/>
  <c r="W130" i="16" s="1"/>
  <c r="L97" i="16"/>
  <c r="V130" i="16" s="1"/>
  <c r="K97" i="16"/>
  <c r="U130" i="16" s="1"/>
  <c r="J97" i="16"/>
  <c r="T130" i="16" s="1"/>
  <c r="I97" i="16"/>
  <c r="S130" i="16" s="1"/>
  <c r="H97" i="16"/>
  <c r="R130" i="16" s="1"/>
  <c r="G97" i="16"/>
  <c r="F97" i="16"/>
  <c r="E97" i="16"/>
  <c r="O130" i="16" s="1"/>
  <c r="D97" i="16"/>
  <c r="C97" i="16"/>
  <c r="M130" i="16" s="1"/>
  <c r="B97" i="16"/>
  <c r="AH96" i="16"/>
  <c r="N96" i="16"/>
  <c r="X129" i="16" s="1"/>
  <c r="M96" i="16"/>
  <c r="W129" i="16" s="1"/>
  <c r="L96" i="16"/>
  <c r="V129" i="16" s="1"/>
  <c r="K96" i="16"/>
  <c r="U129" i="16" s="1"/>
  <c r="J96" i="16"/>
  <c r="T129" i="16" s="1"/>
  <c r="I96" i="16"/>
  <c r="H96" i="16"/>
  <c r="R129" i="16" s="1"/>
  <c r="G96" i="16"/>
  <c r="F96" i="16"/>
  <c r="E96" i="16"/>
  <c r="O129" i="16" s="1"/>
  <c r="D96" i="16"/>
  <c r="C96" i="16"/>
  <c r="M129" i="16" s="1"/>
  <c r="B96" i="16"/>
  <c r="N95" i="16"/>
  <c r="X128" i="16" s="1"/>
  <c r="M95" i="16"/>
  <c r="W128" i="16" s="1"/>
  <c r="L95" i="16"/>
  <c r="V128" i="16" s="1"/>
  <c r="K95" i="16"/>
  <c r="U128" i="16" s="1"/>
  <c r="I95" i="16"/>
  <c r="S128" i="16" s="1"/>
  <c r="G95" i="16"/>
  <c r="F95" i="16"/>
  <c r="D95" i="16"/>
  <c r="B95" i="16"/>
  <c r="N94" i="16"/>
  <c r="X127" i="16" s="1"/>
  <c r="M94" i="16"/>
  <c r="W127" i="16" s="1"/>
  <c r="L94" i="16"/>
  <c r="V127" i="16" s="1"/>
  <c r="K94" i="16"/>
  <c r="U127" i="16" s="1"/>
  <c r="J94" i="16"/>
  <c r="T127" i="16" s="1"/>
  <c r="I94" i="16"/>
  <c r="S127" i="16" s="1"/>
  <c r="G94" i="16"/>
  <c r="F94" i="16"/>
  <c r="E94" i="16"/>
  <c r="O127" i="16" s="1"/>
  <c r="D94" i="16"/>
  <c r="B94" i="16"/>
  <c r="AH93" i="16"/>
  <c r="N93" i="16"/>
  <c r="X126" i="16" s="1"/>
  <c r="M93" i="16"/>
  <c r="W126" i="16" s="1"/>
  <c r="L93" i="16"/>
  <c r="V126" i="16" s="1"/>
  <c r="K93" i="16"/>
  <c r="U126" i="16" s="1"/>
  <c r="J93" i="16"/>
  <c r="T126" i="16" s="1"/>
  <c r="I93" i="16"/>
  <c r="S126" i="16" s="1"/>
  <c r="G93" i="16"/>
  <c r="F93" i="16"/>
  <c r="D93" i="16"/>
  <c r="B93" i="16"/>
  <c r="N92" i="16"/>
  <c r="X125" i="16" s="1"/>
  <c r="M92" i="16"/>
  <c r="W125" i="16" s="1"/>
  <c r="L92" i="16"/>
  <c r="V125" i="16" s="1"/>
  <c r="K92" i="16"/>
  <c r="U125" i="16" s="1"/>
  <c r="J92" i="16"/>
  <c r="T125" i="16" s="1"/>
  <c r="I92" i="16"/>
  <c r="G92" i="16"/>
  <c r="F92" i="16"/>
  <c r="E92" i="16"/>
  <c r="O125" i="16" s="1"/>
  <c r="D92" i="16"/>
  <c r="B92" i="16"/>
  <c r="AH91" i="16"/>
  <c r="N91" i="16"/>
  <c r="X124" i="16" s="1"/>
  <c r="M91" i="16"/>
  <c r="W124" i="16" s="1"/>
  <c r="L91" i="16"/>
  <c r="V124" i="16" s="1"/>
  <c r="K91" i="16"/>
  <c r="U124" i="16" s="1"/>
  <c r="J91" i="16"/>
  <c r="T124" i="16" s="1"/>
  <c r="I91" i="16"/>
  <c r="S124" i="16" s="1"/>
  <c r="G91" i="16"/>
  <c r="F91" i="16"/>
  <c r="D91" i="16"/>
  <c r="B91" i="16"/>
  <c r="AH90" i="16"/>
  <c r="N90" i="16"/>
  <c r="X123" i="16" s="1"/>
  <c r="M90" i="16"/>
  <c r="W123" i="16" s="1"/>
  <c r="L90" i="16"/>
  <c r="V123" i="16" s="1"/>
  <c r="K90" i="16"/>
  <c r="U123" i="16" s="1"/>
  <c r="J90" i="16"/>
  <c r="T123" i="16" s="1"/>
  <c r="I90" i="16"/>
  <c r="S123" i="16" s="1"/>
  <c r="G90" i="16"/>
  <c r="F90" i="16"/>
  <c r="D90" i="16"/>
  <c r="B90" i="16"/>
  <c r="AH89" i="16"/>
  <c r="N89" i="16"/>
  <c r="X122" i="16" s="1"/>
  <c r="M89" i="16"/>
  <c r="W122" i="16" s="1"/>
  <c r="L89" i="16"/>
  <c r="V122" i="16" s="1"/>
  <c r="K89" i="16"/>
  <c r="U122" i="16" s="1"/>
  <c r="J89" i="16"/>
  <c r="I89" i="16"/>
  <c r="S122" i="16" s="1"/>
  <c r="G89" i="16"/>
  <c r="F89" i="16"/>
  <c r="D89" i="16"/>
  <c r="B89" i="16"/>
  <c r="N88" i="16"/>
  <c r="X121" i="16" s="1"/>
  <c r="M88" i="16"/>
  <c r="W121" i="16" s="1"/>
  <c r="L88" i="16"/>
  <c r="V121" i="16" s="1"/>
  <c r="K88" i="16"/>
  <c r="U121" i="16" s="1"/>
  <c r="J88" i="16"/>
  <c r="T121" i="16" s="1"/>
  <c r="I88" i="16"/>
  <c r="S121" i="16" s="1"/>
  <c r="G88" i="16"/>
  <c r="F88" i="16"/>
  <c r="D88" i="16"/>
  <c r="B88" i="16"/>
  <c r="AH87" i="16"/>
  <c r="N87" i="16"/>
  <c r="X120" i="16" s="1"/>
  <c r="M87" i="16"/>
  <c r="W120" i="16" s="1"/>
  <c r="L87" i="16"/>
  <c r="V120" i="16" s="1"/>
  <c r="K87" i="16"/>
  <c r="U120" i="16" s="1"/>
  <c r="J87" i="16"/>
  <c r="T120" i="16" s="1"/>
  <c r="I87" i="16"/>
  <c r="S120" i="16" s="1"/>
  <c r="G87" i="16"/>
  <c r="F87" i="16"/>
  <c r="D87" i="16"/>
  <c r="B87" i="16"/>
  <c r="N86" i="16"/>
  <c r="X119" i="16" s="1"/>
  <c r="M86" i="16"/>
  <c r="W119" i="16" s="1"/>
  <c r="L86" i="16"/>
  <c r="V119" i="16" s="1"/>
  <c r="K86" i="16"/>
  <c r="U119" i="16" s="1"/>
  <c r="J86" i="16"/>
  <c r="T119" i="16" s="1"/>
  <c r="I86" i="16"/>
  <c r="S119" i="16" s="1"/>
  <c r="G86" i="16"/>
  <c r="F86" i="16"/>
  <c r="D86" i="16"/>
  <c r="B86" i="16"/>
  <c r="N85" i="16"/>
  <c r="X118" i="16" s="1"/>
  <c r="M85" i="16"/>
  <c r="W118" i="16" s="1"/>
  <c r="L85" i="16"/>
  <c r="V118" i="16" s="1"/>
  <c r="K85" i="16"/>
  <c r="U118" i="16" s="1"/>
  <c r="J85" i="16"/>
  <c r="T118" i="16" s="1"/>
  <c r="I85" i="16"/>
  <c r="S118" i="16" s="1"/>
  <c r="G85" i="16"/>
  <c r="F85" i="16"/>
  <c r="D85" i="16"/>
  <c r="B85" i="16"/>
  <c r="N84" i="16"/>
  <c r="X117" i="16" s="1"/>
  <c r="M84" i="16"/>
  <c r="W117" i="16" s="1"/>
  <c r="L84" i="16"/>
  <c r="V117" i="16" s="1"/>
  <c r="K84" i="16"/>
  <c r="U117" i="16" s="1"/>
  <c r="J84" i="16"/>
  <c r="T117" i="16" s="1"/>
  <c r="I84" i="16"/>
  <c r="G84" i="16"/>
  <c r="F84" i="16"/>
  <c r="E84" i="16"/>
  <c r="O117" i="16" s="1"/>
  <c r="D84" i="16"/>
  <c r="B84" i="16"/>
  <c r="N83" i="16"/>
  <c r="X116" i="16" s="1"/>
  <c r="M83" i="16"/>
  <c r="W116" i="16" s="1"/>
  <c r="L83" i="16"/>
  <c r="V116" i="16" s="1"/>
  <c r="K83" i="16"/>
  <c r="U116" i="16" s="1"/>
  <c r="J83" i="16"/>
  <c r="T116" i="16" s="1"/>
  <c r="I83" i="16"/>
  <c r="S116" i="16" s="1"/>
  <c r="G83" i="16"/>
  <c r="F83" i="16"/>
  <c r="D83" i="16"/>
  <c r="B83" i="16"/>
  <c r="N82" i="16"/>
  <c r="X115" i="16" s="1"/>
  <c r="M82" i="16"/>
  <c r="W115" i="16" s="1"/>
  <c r="L82" i="16"/>
  <c r="V115" i="16" s="1"/>
  <c r="K82" i="16"/>
  <c r="U115" i="16" s="1"/>
  <c r="J82" i="16"/>
  <c r="I82" i="16"/>
  <c r="S115" i="16" s="1"/>
  <c r="G82" i="16"/>
  <c r="F82" i="16"/>
  <c r="D82" i="16"/>
  <c r="B82" i="16"/>
  <c r="N81" i="16"/>
  <c r="X114" i="16" s="1"/>
  <c r="M81" i="16"/>
  <c r="W114" i="16" s="1"/>
  <c r="L81" i="16"/>
  <c r="V114" i="16" s="1"/>
  <c r="K81" i="16"/>
  <c r="U114" i="16" s="1"/>
  <c r="J81" i="16"/>
  <c r="T114" i="16" s="1"/>
  <c r="I81" i="16"/>
  <c r="S114" i="16" s="1"/>
  <c r="G81" i="16"/>
  <c r="F81" i="16"/>
  <c r="D81" i="16"/>
  <c r="B81" i="16"/>
  <c r="N80" i="16"/>
  <c r="X113" i="16" s="1"/>
  <c r="M80" i="16"/>
  <c r="W113" i="16" s="1"/>
  <c r="L80" i="16"/>
  <c r="V113" i="16" s="1"/>
  <c r="K80" i="16"/>
  <c r="U113" i="16" s="1"/>
  <c r="J80" i="16"/>
  <c r="T113" i="16" s="1"/>
  <c r="I80" i="16"/>
  <c r="S113" i="16" s="1"/>
  <c r="G80" i="16"/>
  <c r="F80" i="16"/>
  <c r="D80" i="16"/>
  <c r="B80" i="16"/>
  <c r="N79" i="16"/>
  <c r="X112" i="16" s="1"/>
  <c r="M79" i="16"/>
  <c r="W112" i="16" s="1"/>
  <c r="L79" i="16"/>
  <c r="V112" i="16" s="1"/>
  <c r="K79" i="16"/>
  <c r="U112" i="16" s="1"/>
  <c r="J79" i="16"/>
  <c r="T112" i="16" s="1"/>
  <c r="I79" i="16"/>
  <c r="S112" i="16" s="1"/>
  <c r="G79" i="16"/>
  <c r="F79" i="16"/>
  <c r="D79" i="16"/>
  <c r="B79" i="16"/>
  <c r="N78" i="16"/>
  <c r="X111" i="16" s="1"/>
  <c r="M78" i="16"/>
  <c r="W111" i="16" s="1"/>
  <c r="L78" i="16"/>
  <c r="V111" i="16" s="1"/>
  <c r="K78" i="16"/>
  <c r="U111" i="16" s="1"/>
  <c r="J78" i="16"/>
  <c r="T111" i="16" s="1"/>
  <c r="I78" i="16"/>
  <c r="G78" i="16"/>
  <c r="F78" i="16"/>
  <c r="D78" i="16"/>
  <c r="N77" i="16"/>
  <c r="X110" i="16" s="1"/>
  <c r="M77" i="16"/>
  <c r="W110" i="16" s="1"/>
  <c r="L77" i="16"/>
  <c r="V110" i="16" s="1"/>
  <c r="K77" i="16"/>
  <c r="U110" i="16" s="1"/>
  <c r="J77" i="16"/>
  <c r="T110" i="16" s="1"/>
  <c r="I77" i="16"/>
  <c r="S110" i="16" s="1"/>
  <c r="G77" i="16"/>
  <c r="F77" i="16"/>
  <c r="E77" i="16"/>
  <c r="O110" i="16" s="1"/>
  <c r="D77" i="16"/>
  <c r="N76" i="16"/>
  <c r="X109" i="16" s="1"/>
  <c r="M76" i="16"/>
  <c r="W109" i="16" s="1"/>
  <c r="L76" i="16"/>
  <c r="V109" i="16" s="1"/>
  <c r="K76" i="16"/>
  <c r="U109" i="16" s="1"/>
  <c r="J76" i="16"/>
  <c r="T109" i="16" s="1"/>
  <c r="I76" i="16"/>
  <c r="G76" i="16"/>
  <c r="F76" i="16"/>
  <c r="E76" i="16"/>
  <c r="O109" i="16" s="1"/>
  <c r="D76" i="16"/>
  <c r="N75" i="16"/>
  <c r="M75" i="16"/>
  <c r="L75" i="16"/>
  <c r="K75" i="16"/>
  <c r="J75" i="16"/>
  <c r="I75" i="16"/>
  <c r="G75" i="16"/>
  <c r="F75" i="16"/>
  <c r="AK75" i="16" s="1"/>
  <c r="E75" i="16"/>
  <c r="D75" i="16"/>
  <c r="AJ75" i="16" s="1"/>
  <c r="N67" i="16"/>
  <c r="M67" i="16"/>
  <c r="L67" i="16"/>
  <c r="K67" i="16"/>
  <c r="I67" i="16"/>
  <c r="G67" i="16"/>
  <c r="F67" i="16"/>
  <c r="D67" i="16"/>
  <c r="B67" i="16"/>
  <c r="O66" i="16"/>
  <c r="C100" i="16"/>
  <c r="O64" i="16"/>
  <c r="O63" i="16"/>
  <c r="O62" i="16"/>
  <c r="O61" i="16"/>
  <c r="J95" i="16"/>
  <c r="T128" i="16" s="1"/>
  <c r="O60" i="16"/>
  <c r="O59" i="16"/>
  <c r="O58" i="16"/>
  <c r="O57" i="16"/>
  <c r="O56" i="16"/>
  <c r="AH55" i="16"/>
  <c r="O55" i="16"/>
  <c r="O54" i="16"/>
  <c r="O53" i="16"/>
  <c r="O52" i="16"/>
  <c r="O51" i="16"/>
  <c r="O50" i="16"/>
  <c r="O49" i="16"/>
  <c r="O48" i="16"/>
  <c r="O47" i="16"/>
  <c r="O46" i="16"/>
  <c r="O45" i="16"/>
  <c r="O44" i="16"/>
  <c r="E67" i="16"/>
  <c r="O42" i="16"/>
  <c r="H67" i="16"/>
  <c r="O41" i="16"/>
  <c r="AE67" i="16"/>
  <c r="X67" i="16"/>
  <c r="T67" i="16"/>
  <c r="O40" i="16"/>
  <c r="C67" i="16"/>
  <c r="N32" i="16"/>
  <c r="M32" i="16"/>
  <c r="L32" i="16"/>
  <c r="K32" i="16"/>
  <c r="J32" i="16"/>
  <c r="I32" i="16"/>
  <c r="G32" i="16"/>
  <c r="F32" i="16"/>
  <c r="D32" i="16"/>
  <c r="B32" i="16"/>
  <c r="AG31" i="16"/>
  <c r="AF31" i="16"/>
  <c r="AE31" i="16"/>
  <c r="AD31" i="16"/>
  <c r="AC31" i="16"/>
  <c r="AB31" i="16"/>
  <c r="AA31" i="16"/>
  <c r="Z31" i="16"/>
  <c r="Y31" i="16"/>
  <c r="X31" i="16"/>
  <c r="W31" i="16"/>
  <c r="V31" i="16"/>
  <c r="U31" i="16"/>
  <c r="T31" i="16"/>
  <c r="S31" i="16"/>
  <c r="H101" i="16"/>
  <c r="R134" i="16" s="1"/>
  <c r="C101" i="16"/>
  <c r="M134" i="16" s="1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O30" i="16"/>
  <c r="H100" i="16"/>
  <c r="R133" i="16" s="1"/>
  <c r="AG29" i="16"/>
  <c r="AF29" i="16"/>
  <c r="AE29" i="16"/>
  <c r="AD29" i="16"/>
  <c r="AC29" i="16"/>
  <c r="AB29" i="16"/>
  <c r="AA29" i="16"/>
  <c r="Z29" i="16"/>
  <c r="Y29" i="16"/>
  <c r="X29" i="16"/>
  <c r="W29" i="16"/>
  <c r="V29" i="16"/>
  <c r="U29" i="16"/>
  <c r="T29" i="16"/>
  <c r="S29" i="16"/>
  <c r="H99" i="16"/>
  <c r="R132" i="16" s="1"/>
  <c r="E99" i="16"/>
  <c r="O132" i="16" s="1"/>
  <c r="C99" i="16"/>
  <c r="M132" i="16" s="1"/>
  <c r="AG28" i="16"/>
  <c r="AF28" i="16"/>
  <c r="AE28" i="16"/>
  <c r="AD28" i="16"/>
  <c r="AC28" i="16"/>
  <c r="AB28" i="16"/>
  <c r="AA28" i="16"/>
  <c r="Y28" i="16"/>
  <c r="X28" i="16"/>
  <c r="W28" i="16"/>
  <c r="V28" i="16"/>
  <c r="U28" i="16"/>
  <c r="T28" i="16"/>
  <c r="S28" i="16"/>
  <c r="H98" i="16"/>
  <c r="R131" i="16" s="1"/>
  <c r="O28" i="16"/>
  <c r="C98" i="16"/>
  <c r="AG27" i="16"/>
  <c r="AF27" i="16"/>
  <c r="AE27" i="16"/>
  <c r="AD27" i="16"/>
  <c r="AC27" i="16"/>
  <c r="AB27" i="16"/>
  <c r="AA27" i="16"/>
  <c r="Z27" i="16"/>
  <c r="Y27" i="16"/>
  <c r="X27" i="16"/>
  <c r="W27" i="16"/>
  <c r="V27" i="16"/>
  <c r="U27" i="16"/>
  <c r="T27" i="16"/>
  <c r="S27" i="16"/>
  <c r="O27" i="16"/>
  <c r="AG26" i="16"/>
  <c r="AF26" i="16"/>
  <c r="AE26" i="16"/>
  <c r="AD26" i="16"/>
  <c r="AC26" i="16"/>
  <c r="AB26" i="16"/>
  <c r="AA26" i="16"/>
  <c r="Y26" i="16"/>
  <c r="X26" i="16"/>
  <c r="W26" i="16"/>
  <c r="V26" i="16"/>
  <c r="U26" i="16"/>
  <c r="T26" i="16"/>
  <c r="S26" i="16"/>
  <c r="O26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E95" i="16"/>
  <c r="O128" i="16" s="1"/>
  <c r="C95" i="16"/>
  <c r="M128" i="16" s="1"/>
  <c r="AG24" i="16"/>
  <c r="AF24" i="16"/>
  <c r="AE24" i="16"/>
  <c r="AD24" i="16"/>
  <c r="AC24" i="16"/>
  <c r="AB24" i="16"/>
  <c r="AA24" i="16"/>
  <c r="Y24" i="16"/>
  <c r="X24" i="16"/>
  <c r="W24" i="16"/>
  <c r="V24" i="16"/>
  <c r="U24" i="16"/>
  <c r="T24" i="16"/>
  <c r="S24" i="16"/>
  <c r="O24" i="16"/>
  <c r="C94" i="16"/>
  <c r="M127" i="16" s="1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O23" i="16"/>
  <c r="H93" i="16"/>
  <c r="R126" i="16" s="1"/>
  <c r="E93" i="16"/>
  <c r="O126" i="16" s="1"/>
  <c r="C93" i="16"/>
  <c r="M126" i="16" s="1"/>
  <c r="AG22" i="16"/>
  <c r="AF22" i="16"/>
  <c r="AE22" i="16"/>
  <c r="AD22" i="16"/>
  <c r="AC22" i="16"/>
  <c r="AB22" i="16"/>
  <c r="AA22" i="16"/>
  <c r="Y22" i="16"/>
  <c r="X22" i="16"/>
  <c r="W22" i="16"/>
  <c r="V22" i="16"/>
  <c r="U22" i="16"/>
  <c r="T22" i="16"/>
  <c r="S22" i="16"/>
  <c r="O22" i="16"/>
  <c r="H92" i="16"/>
  <c r="R125" i="16" s="1"/>
  <c r="C92" i="16"/>
  <c r="AG21" i="16"/>
  <c r="AF21" i="16"/>
  <c r="AE21" i="16"/>
  <c r="AD21" i="16"/>
  <c r="AC21" i="16"/>
  <c r="AB21" i="16"/>
  <c r="AA21" i="16"/>
  <c r="Z21" i="16"/>
  <c r="Y21" i="16"/>
  <c r="X21" i="16"/>
  <c r="W21" i="16"/>
  <c r="V21" i="16"/>
  <c r="U21" i="16"/>
  <c r="T21" i="16"/>
  <c r="S21" i="16"/>
  <c r="H91" i="16"/>
  <c r="R124" i="16" s="1"/>
  <c r="E91" i="16"/>
  <c r="O124" i="16" s="1"/>
  <c r="C91" i="16"/>
  <c r="M124" i="16" s="1"/>
  <c r="AG20" i="16"/>
  <c r="AF20" i="16"/>
  <c r="AE20" i="16"/>
  <c r="AD20" i="16"/>
  <c r="AC20" i="16"/>
  <c r="AB20" i="16"/>
  <c r="AA20" i="16"/>
  <c r="Z20" i="16"/>
  <c r="Y20" i="16"/>
  <c r="X20" i="16"/>
  <c r="W20" i="16"/>
  <c r="V20" i="16"/>
  <c r="U20" i="16"/>
  <c r="T20" i="16"/>
  <c r="S20" i="16"/>
  <c r="H90" i="16"/>
  <c r="R123" i="16" s="1"/>
  <c r="E90" i="16"/>
  <c r="O123" i="16" s="1"/>
  <c r="AG19" i="16"/>
  <c r="AF19" i="16"/>
  <c r="AE19" i="16"/>
  <c r="AD19" i="16"/>
  <c r="AC19" i="16"/>
  <c r="AB19" i="16"/>
  <c r="AA19" i="16"/>
  <c r="Z19" i="16"/>
  <c r="Y19" i="16"/>
  <c r="X19" i="16"/>
  <c r="W19" i="16"/>
  <c r="V19" i="16"/>
  <c r="U19" i="16"/>
  <c r="T19" i="16"/>
  <c r="S19" i="16"/>
  <c r="H89" i="16"/>
  <c r="R122" i="16" s="1"/>
  <c r="E89" i="16"/>
  <c r="O122" i="16" s="1"/>
  <c r="AG18" i="16"/>
  <c r="AF18" i="16"/>
  <c r="AE18" i="16"/>
  <c r="AD18" i="16"/>
  <c r="AC18" i="16"/>
  <c r="AB18" i="16"/>
  <c r="AA18" i="16"/>
  <c r="Y18" i="16"/>
  <c r="X18" i="16"/>
  <c r="W18" i="16"/>
  <c r="V18" i="16"/>
  <c r="U18" i="16"/>
  <c r="T18" i="16"/>
  <c r="S18" i="16"/>
  <c r="H88" i="16"/>
  <c r="R121" i="16" s="1"/>
  <c r="E88" i="16"/>
  <c r="O121" i="16" s="1"/>
  <c r="C88" i="16"/>
  <c r="AG17" i="16"/>
  <c r="AF17" i="16"/>
  <c r="AE17" i="16"/>
  <c r="AD17" i="16"/>
  <c r="AC17" i="16"/>
  <c r="AB17" i="16"/>
  <c r="AA17" i="16"/>
  <c r="Z17" i="16"/>
  <c r="Y17" i="16"/>
  <c r="X17" i="16"/>
  <c r="W17" i="16"/>
  <c r="V17" i="16"/>
  <c r="U17" i="16"/>
  <c r="T17" i="16"/>
  <c r="S17" i="16"/>
  <c r="H87" i="16"/>
  <c r="R120" i="16" s="1"/>
  <c r="E87" i="16"/>
  <c r="O120" i="16" s="1"/>
  <c r="C87" i="16"/>
  <c r="M120" i="16" s="1"/>
  <c r="AG16" i="16"/>
  <c r="AD16" i="16"/>
  <c r="AC16" i="16"/>
  <c r="AA16" i="16"/>
  <c r="Z16" i="16"/>
  <c r="V16" i="16"/>
  <c r="T16" i="16"/>
  <c r="H86" i="16"/>
  <c r="R119" i="16" s="1"/>
  <c r="E86" i="16"/>
  <c r="O119" i="16" s="1"/>
  <c r="C86" i="16"/>
  <c r="M119" i="16" s="1"/>
  <c r="AG15" i="16"/>
  <c r="AF15" i="16"/>
  <c r="AD15" i="16"/>
  <c r="AC15" i="16"/>
  <c r="AA15" i="16"/>
  <c r="Z15" i="16"/>
  <c r="Y15" i="16"/>
  <c r="V15" i="16"/>
  <c r="T15" i="16"/>
  <c r="H85" i="16"/>
  <c r="R118" i="16" s="1"/>
  <c r="O15" i="16"/>
  <c r="C85" i="16"/>
  <c r="M118" i="16" s="1"/>
  <c r="AG14" i="16"/>
  <c r="AF14" i="16"/>
  <c r="AD14" i="16"/>
  <c r="AC14" i="16"/>
  <c r="AA14" i="16"/>
  <c r="Y14" i="16"/>
  <c r="V14" i="16"/>
  <c r="T14" i="16"/>
  <c r="H84" i="16"/>
  <c r="R117" i="16" s="1"/>
  <c r="O14" i="16"/>
  <c r="AG13" i="16"/>
  <c r="AF13" i="16"/>
  <c r="AD13" i="16"/>
  <c r="AC13" i="16"/>
  <c r="AA13" i="16"/>
  <c r="Z13" i="16"/>
  <c r="Y13" i="16"/>
  <c r="V13" i="16"/>
  <c r="T13" i="16"/>
  <c r="H83" i="16"/>
  <c r="R116" i="16" s="1"/>
  <c r="E83" i="16"/>
  <c r="O116" i="16" s="1"/>
  <c r="C83" i="16"/>
  <c r="M116" i="16" s="1"/>
  <c r="AG12" i="16"/>
  <c r="AF12" i="16"/>
  <c r="AD12" i="16"/>
  <c r="AC12" i="16"/>
  <c r="AA12" i="16"/>
  <c r="Y12" i="16"/>
  <c r="V12" i="16"/>
  <c r="T12" i="16"/>
  <c r="H82" i="16"/>
  <c r="R115" i="16" s="1"/>
  <c r="E82" i="16"/>
  <c r="O115" i="16" s="1"/>
  <c r="C82" i="16"/>
  <c r="M115" i="16" s="1"/>
  <c r="AG11" i="16"/>
  <c r="AF11" i="16"/>
  <c r="AD11" i="16"/>
  <c r="AC11" i="16"/>
  <c r="AA11" i="16"/>
  <c r="Z11" i="16"/>
  <c r="Y11" i="16"/>
  <c r="V11" i="16"/>
  <c r="T11" i="16"/>
  <c r="H81" i="16"/>
  <c r="R114" i="16" s="1"/>
  <c r="E81" i="16"/>
  <c r="O114" i="16" s="1"/>
  <c r="C81" i="16"/>
  <c r="M114" i="16" s="1"/>
  <c r="AG10" i="16"/>
  <c r="AF10" i="16"/>
  <c r="AD10" i="16"/>
  <c r="AC10" i="16"/>
  <c r="AA10" i="16"/>
  <c r="Z10" i="16"/>
  <c r="Y10" i="16"/>
  <c r="V10" i="16"/>
  <c r="T10" i="16"/>
  <c r="H80" i="16"/>
  <c r="R113" i="16" s="1"/>
  <c r="E80" i="16"/>
  <c r="O113" i="16" s="1"/>
  <c r="C80" i="16"/>
  <c r="AG9" i="16"/>
  <c r="AF9" i="16"/>
  <c r="AD9" i="16"/>
  <c r="AC9" i="16"/>
  <c r="AA9" i="16"/>
  <c r="Z9" i="16"/>
  <c r="Y9" i="16"/>
  <c r="V9" i="16"/>
  <c r="T9" i="16"/>
  <c r="H79" i="16"/>
  <c r="R112" i="16" s="1"/>
  <c r="E79" i="16"/>
  <c r="O112" i="16" s="1"/>
  <c r="C79" i="16"/>
  <c r="M112" i="16" s="1"/>
  <c r="AG8" i="16"/>
  <c r="AF8" i="16"/>
  <c r="AD8" i="16"/>
  <c r="AC8" i="16"/>
  <c r="AB8" i="16"/>
  <c r="AA8" i="16"/>
  <c r="Z8" i="16"/>
  <c r="Y8" i="16"/>
  <c r="V8" i="16"/>
  <c r="T8" i="16"/>
  <c r="H78" i="16"/>
  <c r="R111" i="16" s="1"/>
  <c r="E78" i="16"/>
  <c r="O111" i="16" s="1"/>
  <c r="C78" i="16"/>
  <c r="M111" i="16" s="1"/>
  <c r="B78" i="16"/>
  <c r="AI78" i="16" s="1"/>
  <c r="AG7" i="16"/>
  <c r="AF7" i="16"/>
  <c r="AE7" i="16"/>
  <c r="AD7" i="16"/>
  <c r="AC7" i="16"/>
  <c r="AB7" i="16"/>
  <c r="AA7" i="16"/>
  <c r="Z7" i="16"/>
  <c r="Y7" i="16"/>
  <c r="V7" i="16"/>
  <c r="T7" i="16"/>
  <c r="H77" i="16"/>
  <c r="R110" i="16" s="1"/>
  <c r="C77" i="16"/>
  <c r="M110" i="16" s="1"/>
  <c r="B77" i="16"/>
  <c r="AI77" i="16" s="1"/>
  <c r="AG6" i="16"/>
  <c r="AF6" i="16"/>
  <c r="AD6" i="16"/>
  <c r="AC6" i="16"/>
  <c r="AA6" i="16"/>
  <c r="Y6" i="16"/>
  <c r="V6" i="16"/>
  <c r="T6" i="16"/>
  <c r="H76" i="16"/>
  <c r="R109" i="16" s="1"/>
  <c r="O6" i="16"/>
  <c r="B76" i="16"/>
  <c r="AG5" i="16"/>
  <c r="AF5" i="16"/>
  <c r="AD5" i="16"/>
  <c r="AC5" i="16"/>
  <c r="AB5" i="16"/>
  <c r="AA5" i="16"/>
  <c r="Z5" i="16"/>
  <c r="V5" i="16"/>
  <c r="T5" i="16"/>
  <c r="H75" i="16"/>
  <c r="C75" i="16"/>
  <c r="AL8" i="59" l="1"/>
  <c r="AL50" i="59"/>
  <c r="AL58" i="58"/>
  <c r="AL59" i="58"/>
  <c r="AL60" i="58"/>
  <c r="AL61" i="58"/>
  <c r="AL62" i="58"/>
  <c r="AB32" i="56"/>
  <c r="AL29" i="59"/>
  <c r="Y32" i="60"/>
  <c r="AL79" i="16"/>
  <c r="U67" i="57"/>
  <c r="AL15" i="59"/>
  <c r="AL40" i="59"/>
  <c r="AL60" i="59"/>
  <c r="AL66" i="59"/>
  <c r="AG32" i="60"/>
  <c r="AC32" i="60"/>
  <c r="AI44" i="58"/>
  <c r="AI45" i="58"/>
  <c r="AI46" i="58"/>
  <c r="AI47" i="58"/>
  <c r="AI48" i="58"/>
  <c r="AI49" i="58"/>
  <c r="AI50" i="58"/>
  <c r="AI51" i="58"/>
  <c r="AI52" i="58"/>
  <c r="AI53" i="58"/>
  <c r="AI54" i="58"/>
  <c r="AI55" i="58"/>
  <c r="AI56" i="58"/>
  <c r="AI57" i="58"/>
  <c r="AJ58" i="58"/>
  <c r="AJ59" i="58"/>
  <c r="AJ60" i="58"/>
  <c r="AJ61" i="58"/>
  <c r="AJ62" i="58"/>
  <c r="AI75" i="58"/>
  <c r="AI58" i="59"/>
  <c r="AL12" i="16"/>
  <c r="AF182" i="73"/>
  <c r="AF28" i="73"/>
  <c r="B264" i="73" s="1"/>
  <c r="AI28" i="16"/>
  <c r="N109" i="16"/>
  <c r="AJ76" i="16"/>
  <c r="N113" i="16"/>
  <c r="AJ80" i="16"/>
  <c r="Q128" i="16"/>
  <c r="AJ20" i="59"/>
  <c r="AK28" i="59"/>
  <c r="AF175" i="73"/>
  <c r="AL5" i="16"/>
  <c r="AF47" i="73"/>
  <c r="B330" i="73" s="1"/>
  <c r="D11" i="65"/>
  <c r="AI13" i="16"/>
  <c r="AF185" i="73"/>
  <c r="AL15" i="16"/>
  <c r="AF153" i="73"/>
  <c r="AK17" i="16"/>
  <c r="AF86" i="73"/>
  <c r="B416" i="73" s="1"/>
  <c r="AJ18" i="16"/>
  <c r="AF87" i="73"/>
  <c r="B417" i="73" s="1"/>
  <c r="AJ19" i="16"/>
  <c r="AF54" i="73"/>
  <c r="B337" i="73" s="1"/>
  <c r="D18" i="65"/>
  <c r="AF125" i="73"/>
  <c r="B502" i="73" s="1"/>
  <c r="E21" i="65"/>
  <c r="AF92" i="73"/>
  <c r="B422" i="73" s="1"/>
  <c r="AJ24" i="16"/>
  <c r="AF93" i="73"/>
  <c r="B423" i="73" s="1"/>
  <c r="AJ25" i="16"/>
  <c r="AF94" i="73"/>
  <c r="B424" i="73" s="1"/>
  <c r="AJ26" i="16"/>
  <c r="AF129" i="73"/>
  <c r="B506" i="73" s="1"/>
  <c r="E25" i="65"/>
  <c r="AF62" i="73"/>
  <c r="B345" i="73" s="1"/>
  <c r="D26" i="65"/>
  <c r="AF29" i="73"/>
  <c r="B265" i="73" s="1"/>
  <c r="AI29" i="16"/>
  <c r="AL75" i="16"/>
  <c r="P113" i="16"/>
  <c r="AK80" i="16"/>
  <c r="AI81" i="16"/>
  <c r="Q120" i="16"/>
  <c r="AL87" i="16"/>
  <c r="L121" i="16"/>
  <c r="AI88" i="16"/>
  <c r="AL90" i="16"/>
  <c r="L124" i="16"/>
  <c r="AI91" i="16"/>
  <c r="P126" i="16"/>
  <c r="AK93" i="16"/>
  <c r="Q130" i="16"/>
  <c r="AL97" i="16"/>
  <c r="AI9" i="60"/>
  <c r="AG9" i="73"/>
  <c r="C245" i="73" s="1"/>
  <c r="AI10" i="60"/>
  <c r="AG10" i="73"/>
  <c r="C246" i="73" s="1"/>
  <c r="AI11" i="60"/>
  <c r="AG11" i="73"/>
  <c r="C247" i="73" s="1"/>
  <c r="AI12" i="60"/>
  <c r="AG12" i="73"/>
  <c r="C248" i="73" s="1"/>
  <c r="AI13" i="60"/>
  <c r="AG13" i="73"/>
  <c r="C249" i="73" s="1"/>
  <c r="AI14" i="60"/>
  <c r="AG14" i="73"/>
  <c r="C250" i="73" s="1"/>
  <c r="AI15" i="60"/>
  <c r="AG15" i="73"/>
  <c r="C251" i="73" s="1"/>
  <c r="AI16" i="60"/>
  <c r="AG16" i="73"/>
  <c r="C252" i="73" s="1"/>
  <c r="AI17" i="60"/>
  <c r="AI18" i="60"/>
  <c r="AI19" i="60"/>
  <c r="AI20" i="60"/>
  <c r="AI21" i="60"/>
  <c r="AI22" i="60"/>
  <c r="AI23" i="60"/>
  <c r="AI24" i="60"/>
  <c r="AI25" i="60"/>
  <c r="AI26" i="60"/>
  <c r="AI27" i="60"/>
  <c r="AI28" i="60"/>
  <c r="AG28" i="73"/>
  <c r="C264" i="73" s="1"/>
  <c r="AI29" i="60"/>
  <c r="AI30" i="60"/>
  <c r="AI31" i="60"/>
  <c r="I3" i="65"/>
  <c r="AK6" i="59"/>
  <c r="AL7" i="59"/>
  <c r="AI9" i="59"/>
  <c r="H8" i="65"/>
  <c r="AJ11" i="59"/>
  <c r="I10" i="65"/>
  <c r="AK13" i="59"/>
  <c r="AL14" i="59"/>
  <c r="AI17" i="59"/>
  <c r="H16" i="65"/>
  <c r="AJ19" i="59"/>
  <c r="I18" i="65"/>
  <c r="AK21" i="59"/>
  <c r="AL22" i="59"/>
  <c r="AI23" i="59"/>
  <c r="H22" i="65"/>
  <c r="AJ25" i="59"/>
  <c r="I24" i="65"/>
  <c r="AK27" i="59"/>
  <c r="AL28" i="59"/>
  <c r="AI31" i="59"/>
  <c r="AL47" i="59"/>
  <c r="AL55" i="59"/>
  <c r="AI57" i="59"/>
  <c r="AL59" i="59"/>
  <c r="AI63" i="59"/>
  <c r="AL65" i="59"/>
  <c r="Q109" i="59"/>
  <c r="AL76" i="59"/>
  <c r="P116" i="59"/>
  <c r="AK83" i="59"/>
  <c r="Q120" i="59"/>
  <c r="AL87" i="59"/>
  <c r="Q123" i="59"/>
  <c r="AL90" i="59"/>
  <c r="Q126" i="59"/>
  <c r="AL93" i="59"/>
  <c r="P129" i="59"/>
  <c r="AK96" i="59"/>
  <c r="P132" i="59"/>
  <c r="AK99" i="59"/>
  <c r="T32" i="56"/>
  <c r="AK39" i="73"/>
  <c r="AL175" i="73"/>
  <c r="AL176" i="73"/>
  <c r="H647" i="73" s="1"/>
  <c r="AL177" i="73"/>
  <c r="H648" i="73" s="1"/>
  <c r="AL178" i="73"/>
  <c r="H649" i="73" s="1"/>
  <c r="AL179" i="73"/>
  <c r="H650" i="73" s="1"/>
  <c r="AL180" i="73"/>
  <c r="H651" i="73" s="1"/>
  <c r="AL181" i="73"/>
  <c r="H652" i="73" s="1"/>
  <c r="AL182" i="73"/>
  <c r="H653" i="73" s="1"/>
  <c r="AL183" i="73"/>
  <c r="H654" i="73" s="1"/>
  <c r="AL184" i="73"/>
  <c r="H655" i="73" s="1"/>
  <c r="AL185" i="73"/>
  <c r="H656" i="73" s="1"/>
  <c r="AL186" i="73"/>
  <c r="H657" i="73" s="1"/>
  <c r="AL187" i="73"/>
  <c r="H658" i="73" s="1"/>
  <c r="AL188" i="73"/>
  <c r="H659" i="73" s="1"/>
  <c r="AL189" i="73"/>
  <c r="H660" i="73" s="1"/>
  <c r="AL190" i="73"/>
  <c r="H661" i="73" s="1"/>
  <c r="AL191" i="73"/>
  <c r="H662" i="73" s="1"/>
  <c r="AL192" i="73"/>
  <c r="H663" i="73" s="1"/>
  <c r="AL193" i="73"/>
  <c r="H664" i="73" s="1"/>
  <c r="AL194" i="73"/>
  <c r="H665" i="73" s="1"/>
  <c r="AL195" i="73"/>
  <c r="H666" i="73" s="1"/>
  <c r="AL196" i="73"/>
  <c r="H667" i="73" s="1"/>
  <c r="AL197" i="73"/>
  <c r="H668" i="73" s="1"/>
  <c r="AL198" i="73"/>
  <c r="H669" i="73" s="1"/>
  <c r="AL199" i="73"/>
  <c r="H670" i="73" s="1"/>
  <c r="AL200" i="73"/>
  <c r="H671" i="73" s="1"/>
  <c r="AL201" i="73"/>
  <c r="H672" i="73" s="1"/>
  <c r="AF117" i="73"/>
  <c r="B494" i="73" s="1"/>
  <c r="E13" i="65"/>
  <c r="AJ15" i="16"/>
  <c r="AF91" i="73"/>
  <c r="B421" i="73" s="1"/>
  <c r="AJ23" i="16"/>
  <c r="AF60" i="73"/>
  <c r="B343" i="73" s="1"/>
  <c r="D24" i="65"/>
  <c r="Q116" i="16"/>
  <c r="AL83" i="16"/>
  <c r="Q125" i="16"/>
  <c r="AL92" i="16"/>
  <c r="N129" i="16"/>
  <c r="AJ96" i="16"/>
  <c r="AJ12" i="59"/>
  <c r="P109" i="59"/>
  <c r="P135" i="59" s="1"/>
  <c r="F7" i="22" s="1"/>
  <c r="D90" i="62" s="1"/>
  <c r="D96" i="62" s="1"/>
  <c r="AK76" i="59"/>
  <c r="S32" i="56"/>
  <c r="AK5" i="73"/>
  <c r="AF43" i="73"/>
  <c r="B326" i="73" s="1"/>
  <c r="D7" i="65"/>
  <c r="AI9" i="16"/>
  <c r="AF45" i="73"/>
  <c r="B328" i="73" s="1"/>
  <c r="D9" i="65"/>
  <c r="AI11" i="16"/>
  <c r="AF115" i="73"/>
  <c r="B492" i="73" s="1"/>
  <c r="E11" i="65"/>
  <c r="AJ13" i="16"/>
  <c r="AF187" i="73"/>
  <c r="AL17" i="16"/>
  <c r="AF120" i="73"/>
  <c r="B497" i="73" s="1"/>
  <c r="E16" i="65"/>
  <c r="AF121" i="73"/>
  <c r="B498" i="73" s="1"/>
  <c r="E17" i="65"/>
  <c r="AF88" i="73"/>
  <c r="B418" i="73" s="1"/>
  <c r="AJ20" i="16"/>
  <c r="AF21" i="73"/>
  <c r="B257" i="73" s="1"/>
  <c r="AI21" i="16"/>
  <c r="AF159" i="73"/>
  <c r="B583" i="73" s="1"/>
  <c r="AK23" i="16"/>
  <c r="AF126" i="73"/>
  <c r="B503" i="73" s="1"/>
  <c r="E22" i="65"/>
  <c r="AF127" i="73"/>
  <c r="B504" i="73" s="1"/>
  <c r="E23" i="65"/>
  <c r="AF128" i="73"/>
  <c r="B505" i="73" s="1"/>
  <c r="E24" i="65"/>
  <c r="AF163" i="73"/>
  <c r="B587" i="73" s="1"/>
  <c r="AK27" i="16"/>
  <c r="AF96" i="73"/>
  <c r="B426" i="73" s="1"/>
  <c r="AJ28" i="16"/>
  <c r="AF63" i="73"/>
  <c r="B346" i="73" s="1"/>
  <c r="D27" i="65"/>
  <c r="AF30" i="73"/>
  <c r="B266" i="73" s="1"/>
  <c r="AI30" i="16"/>
  <c r="AF31" i="73"/>
  <c r="B267" i="73" s="1"/>
  <c r="AI31" i="16"/>
  <c r="P109" i="16"/>
  <c r="AK76" i="16"/>
  <c r="N110" i="16"/>
  <c r="AJ77" i="16"/>
  <c r="Q113" i="16"/>
  <c r="AL80" i="16"/>
  <c r="N114" i="16"/>
  <c r="AJ81" i="16"/>
  <c r="P117" i="16"/>
  <c r="AK84" i="16"/>
  <c r="AI85" i="16"/>
  <c r="N121" i="16"/>
  <c r="AJ88" i="16"/>
  <c r="N124" i="16"/>
  <c r="AJ91" i="16"/>
  <c r="AL93" i="16"/>
  <c r="L127" i="16"/>
  <c r="AI94" i="16"/>
  <c r="P129" i="16"/>
  <c r="AK96" i="16"/>
  <c r="L131" i="16"/>
  <c r="AI98" i="16"/>
  <c r="P133" i="16"/>
  <c r="AK100" i="16"/>
  <c r="AI101" i="16"/>
  <c r="AG43" i="73"/>
  <c r="C326" i="73" s="1"/>
  <c r="F7" i="65"/>
  <c r="F8" i="65"/>
  <c r="AG45" i="73"/>
  <c r="C328" i="73" s="1"/>
  <c r="F9" i="65"/>
  <c r="F10" i="65"/>
  <c r="AG47" i="73"/>
  <c r="C330" i="73" s="1"/>
  <c r="F11" i="65"/>
  <c r="F12" i="65"/>
  <c r="F13" i="65"/>
  <c r="F14" i="65"/>
  <c r="F15" i="65"/>
  <c r="F16" i="65"/>
  <c r="F17" i="65"/>
  <c r="AG54" i="73"/>
  <c r="C337" i="73" s="1"/>
  <c r="F18" i="65"/>
  <c r="F19" i="65"/>
  <c r="F20" i="65"/>
  <c r="F21" i="65"/>
  <c r="F22" i="65"/>
  <c r="F23" i="65"/>
  <c r="AG60" i="73"/>
  <c r="C343" i="73" s="1"/>
  <c r="F24" i="65"/>
  <c r="F25" i="65"/>
  <c r="AG62" i="73"/>
  <c r="C345" i="73" s="1"/>
  <c r="F26" i="65"/>
  <c r="AG63" i="73"/>
  <c r="C346" i="73" s="1"/>
  <c r="F27" i="65"/>
  <c r="F28" i="65"/>
  <c r="F29" i="65"/>
  <c r="AK5" i="59"/>
  <c r="AL6" i="59"/>
  <c r="AH43" i="73"/>
  <c r="D326" i="73" s="1"/>
  <c r="H7" i="65"/>
  <c r="AJ10" i="59"/>
  <c r="I9" i="65"/>
  <c r="AK12" i="59"/>
  <c r="AL13" i="59"/>
  <c r="AH16" i="73"/>
  <c r="D252" i="73" s="1"/>
  <c r="AI16" i="59"/>
  <c r="H15" i="65"/>
  <c r="AJ18" i="59"/>
  <c r="I17" i="65"/>
  <c r="AK20" i="59"/>
  <c r="AL21" i="59"/>
  <c r="H21" i="65"/>
  <c r="AJ24" i="59"/>
  <c r="I23" i="65"/>
  <c r="AK26" i="59"/>
  <c r="AL27" i="59"/>
  <c r="AI30" i="59"/>
  <c r="H29" i="65"/>
  <c r="AL42" i="59"/>
  <c r="AL44" i="59"/>
  <c r="AL52" i="59"/>
  <c r="AL58" i="59"/>
  <c r="AI62" i="59"/>
  <c r="P112" i="59"/>
  <c r="AK79" i="59"/>
  <c r="Q116" i="59"/>
  <c r="AL83" i="59"/>
  <c r="P119" i="59"/>
  <c r="AK86" i="59"/>
  <c r="P122" i="59"/>
  <c r="AK89" i="59"/>
  <c r="Q129" i="59"/>
  <c r="AL96" i="59"/>
  <c r="Q132" i="59"/>
  <c r="AL99" i="59"/>
  <c r="U32" i="56"/>
  <c r="AK73" i="73"/>
  <c r="AF107" i="73"/>
  <c r="E3" i="65"/>
  <c r="AJ5" i="16"/>
  <c r="AF53" i="73"/>
  <c r="B336" i="73" s="1"/>
  <c r="D17" i="65"/>
  <c r="AF158" i="73"/>
  <c r="B582" i="73" s="1"/>
  <c r="AK22" i="16"/>
  <c r="AF95" i="73"/>
  <c r="B425" i="73" s="1"/>
  <c r="AJ27" i="16"/>
  <c r="N133" i="16"/>
  <c r="AJ100" i="16"/>
  <c r="H17" i="65"/>
  <c r="I25" i="65"/>
  <c r="AF40" i="73"/>
  <c r="B323" i="73" s="1"/>
  <c r="D4" i="65"/>
  <c r="AI6" i="16"/>
  <c r="AF111" i="73"/>
  <c r="B488" i="73" s="1"/>
  <c r="E7" i="65"/>
  <c r="AJ9" i="16"/>
  <c r="AF113" i="73"/>
  <c r="B490" i="73" s="1"/>
  <c r="E9" i="65"/>
  <c r="AJ11" i="16"/>
  <c r="AF183" i="73"/>
  <c r="AL13" i="16"/>
  <c r="AF50" i="73"/>
  <c r="B333" i="73" s="1"/>
  <c r="D14" i="65"/>
  <c r="AI16" i="16"/>
  <c r="AF154" i="73"/>
  <c r="B578" i="73" s="1"/>
  <c r="AK18" i="16"/>
  <c r="AF155" i="73"/>
  <c r="B579" i="73" s="1"/>
  <c r="AK19" i="16"/>
  <c r="AF122" i="73"/>
  <c r="B499" i="73" s="1"/>
  <c r="E18" i="65"/>
  <c r="AF55" i="73"/>
  <c r="B338" i="73" s="1"/>
  <c r="D19" i="65"/>
  <c r="AF193" i="73"/>
  <c r="AL23" i="16"/>
  <c r="AF160" i="73"/>
  <c r="B584" i="73" s="1"/>
  <c r="AK24" i="16"/>
  <c r="AF161" i="73"/>
  <c r="B585" i="73" s="1"/>
  <c r="AK25" i="16"/>
  <c r="AF162" i="73"/>
  <c r="B586" i="73" s="1"/>
  <c r="AK26" i="16"/>
  <c r="AF197" i="73"/>
  <c r="AL27" i="16"/>
  <c r="AF130" i="73"/>
  <c r="B507" i="73" s="1"/>
  <c r="E26" i="65"/>
  <c r="AF97" i="73"/>
  <c r="B427" i="73" s="1"/>
  <c r="AJ29" i="16"/>
  <c r="AF64" i="73"/>
  <c r="B347" i="73" s="1"/>
  <c r="D28" i="65"/>
  <c r="AF65" i="73"/>
  <c r="B348" i="73" s="1"/>
  <c r="D29" i="65"/>
  <c r="AF68" i="73"/>
  <c r="B730" i="73" s="1"/>
  <c r="D31" i="65"/>
  <c r="Q109" i="16"/>
  <c r="AL76" i="16"/>
  <c r="P114" i="16"/>
  <c r="AK81" i="16"/>
  <c r="L115" i="16"/>
  <c r="AI82" i="16"/>
  <c r="Q117" i="16"/>
  <c r="AL84" i="16"/>
  <c r="N118" i="16"/>
  <c r="P121" i="16"/>
  <c r="AK88" i="16"/>
  <c r="P124" i="16"/>
  <c r="AK91" i="16"/>
  <c r="N127" i="16"/>
  <c r="AJ94" i="16"/>
  <c r="Q129" i="16"/>
  <c r="AL96" i="16"/>
  <c r="N131" i="16"/>
  <c r="Q133" i="16"/>
  <c r="AL100" i="16"/>
  <c r="N134" i="16"/>
  <c r="AJ101" i="16"/>
  <c r="AI5" i="60"/>
  <c r="AG5" i="73"/>
  <c r="AI6" i="60"/>
  <c r="AG6" i="73"/>
  <c r="C242" i="73" s="1"/>
  <c r="AI7" i="60"/>
  <c r="AG7" i="73"/>
  <c r="C243" i="73" s="1"/>
  <c r="AI8" i="60"/>
  <c r="AG8" i="73"/>
  <c r="C244" i="73" s="1"/>
  <c r="AJ9" i="60"/>
  <c r="AG77" i="73"/>
  <c r="C407" i="73" s="1"/>
  <c r="AJ10" i="60"/>
  <c r="AG78" i="73"/>
  <c r="C408" i="73" s="1"/>
  <c r="AJ11" i="60"/>
  <c r="AG79" i="73"/>
  <c r="C409" i="73" s="1"/>
  <c r="AJ12" i="60"/>
  <c r="AG80" i="73"/>
  <c r="C410" i="73" s="1"/>
  <c r="AJ13" i="60"/>
  <c r="AG81" i="73"/>
  <c r="C411" i="73" s="1"/>
  <c r="AJ14" i="60"/>
  <c r="AG82" i="73"/>
  <c r="C412" i="73" s="1"/>
  <c r="AJ15" i="60"/>
  <c r="AG83" i="73"/>
  <c r="C413" i="73" s="1"/>
  <c r="AJ16" i="60"/>
  <c r="AG84" i="73"/>
  <c r="C414" i="73" s="1"/>
  <c r="AJ17" i="60"/>
  <c r="AJ18" i="60"/>
  <c r="AG86" i="73"/>
  <c r="C416" i="73" s="1"/>
  <c r="AJ19" i="60"/>
  <c r="AJ20" i="60"/>
  <c r="AG88" i="73"/>
  <c r="C418" i="73" s="1"/>
  <c r="AJ21" i="60"/>
  <c r="AJ22" i="60"/>
  <c r="AJ23" i="60"/>
  <c r="AG91" i="73"/>
  <c r="C421" i="73" s="1"/>
  <c r="AJ24" i="60"/>
  <c r="AG92" i="73"/>
  <c r="C422" i="73" s="1"/>
  <c r="AJ25" i="60"/>
  <c r="AJ26" i="60"/>
  <c r="AG94" i="73"/>
  <c r="C424" i="73" s="1"/>
  <c r="AJ27" i="60"/>
  <c r="AG95" i="73"/>
  <c r="C425" i="73" s="1"/>
  <c r="AJ28" i="60"/>
  <c r="AG96" i="73"/>
  <c r="C426" i="73" s="1"/>
  <c r="AJ29" i="60"/>
  <c r="AJ30" i="60"/>
  <c r="AJ31" i="60"/>
  <c r="AL5" i="59"/>
  <c r="AH8" i="73"/>
  <c r="D244" i="73" s="1"/>
  <c r="AI8" i="59"/>
  <c r="AH77" i="73"/>
  <c r="D407" i="73" s="1"/>
  <c r="AJ9" i="59"/>
  <c r="I8" i="65"/>
  <c r="AK11" i="59"/>
  <c r="AL12" i="59"/>
  <c r="AH15" i="73"/>
  <c r="D251" i="73" s="1"/>
  <c r="AI15" i="59"/>
  <c r="H14" i="65"/>
  <c r="AJ17" i="59"/>
  <c r="I16" i="65"/>
  <c r="AK19" i="59"/>
  <c r="AL20" i="59"/>
  <c r="AJ23" i="59"/>
  <c r="I22" i="65"/>
  <c r="AK25" i="59"/>
  <c r="AL26" i="59"/>
  <c r="AI29" i="59"/>
  <c r="H28" i="65"/>
  <c r="AJ31" i="59"/>
  <c r="AL49" i="59"/>
  <c r="AI61" i="59"/>
  <c r="P108" i="59"/>
  <c r="AK75" i="59"/>
  <c r="Q112" i="59"/>
  <c r="AL79" i="59"/>
  <c r="P115" i="59"/>
  <c r="AK82" i="59"/>
  <c r="Q119" i="59"/>
  <c r="AL86" i="59"/>
  <c r="Q122" i="59"/>
  <c r="AL89" i="59"/>
  <c r="P125" i="59"/>
  <c r="AK92" i="59"/>
  <c r="P128" i="59"/>
  <c r="AK95" i="59"/>
  <c r="V32" i="56"/>
  <c r="AK107" i="73"/>
  <c r="AF177" i="73"/>
  <c r="AL7" i="16"/>
  <c r="AF20" i="73"/>
  <c r="B256" i="73" s="1"/>
  <c r="AI20" i="16"/>
  <c r="N117" i="16"/>
  <c r="AJ84" i="16"/>
  <c r="AK7" i="59"/>
  <c r="AH45" i="73"/>
  <c r="D328" i="73" s="1"/>
  <c r="H9" i="65"/>
  <c r="AK14" i="59"/>
  <c r="AI18" i="59"/>
  <c r="AK22" i="59"/>
  <c r="AH94" i="73"/>
  <c r="D424" i="73" s="1"/>
  <c r="AJ26" i="59"/>
  <c r="P126" i="59"/>
  <c r="AK93" i="59"/>
  <c r="Q133" i="59"/>
  <c r="AL100" i="59"/>
  <c r="W32" i="57"/>
  <c r="AJ141" i="73"/>
  <c r="AF108" i="73"/>
  <c r="B485" i="73" s="1"/>
  <c r="E4" i="65"/>
  <c r="AJ6" i="16"/>
  <c r="AF179" i="73"/>
  <c r="AL9" i="16"/>
  <c r="AF181" i="73"/>
  <c r="AL11" i="16"/>
  <c r="AF48" i="73"/>
  <c r="B331" i="73" s="1"/>
  <c r="D12" i="65"/>
  <c r="AI14" i="16"/>
  <c r="AF118" i="73"/>
  <c r="B495" i="73" s="1"/>
  <c r="E14" i="65"/>
  <c r="AJ16" i="16"/>
  <c r="AF188" i="73"/>
  <c r="AL18" i="16"/>
  <c r="AF189" i="73"/>
  <c r="AL19" i="16"/>
  <c r="AF156" i="73"/>
  <c r="B580" i="73" s="1"/>
  <c r="AK20" i="16"/>
  <c r="AF89" i="73"/>
  <c r="B419" i="73" s="1"/>
  <c r="AJ21" i="16"/>
  <c r="AF22" i="73"/>
  <c r="B258" i="73" s="1"/>
  <c r="AI22" i="16"/>
  <c r="AF194" i="73"/>
  <c r="AL24" i="16"/>
  <c r="AF195" i="73"/>
  <c r="AL25" i="16"/>
  <c r="AF164" i="73"/>
  <c r="B588" i="73" s="1"/>
  <c r="AK28" i="16"/>
  <c r="AF131" i="73"/>
  <c r="B508" i="73" s="1"/>
  <c r="E27" i="65"/>
  <c r="AF98" i="73"/>
  <c r="B428" i="73" s="1"/>
  <c r="AJ30" i="16"/>
  <c r="AF99" i="73"/>
  <c r="B429" i="73" s="1"/>
  <c r="AJ31" i="16"/>
  <c r="P110" i="16"/>
  <c r="AK77" i="16"/>
  <c r="N111" i="16"/>
  <c r="AJ78" i="16"/>
  <c r="AL81" i="16"/>
  <c r="N115" i="16"/>
  <c r="AJ82" i="16"/>
  <c r="P118" i="16"/>
  <c r="AK85" i="16"/>
  <c r="L119" i="16"/>
  <c r="AI86" i="16"/>
  <c r="Q121" i="16"/>
  <c r="AL88" i="16"/>
  <c r="N122" i="16"/>
  <c r="AJ89" i="16"/>
  <c r="Q124" i="16"/>
  <c r="AL91" i="16"/>
  <c r="L125" i="16"/>
  <c r="AI92" i="16"/>
  <c r="AI97" i="16"/>
  <c r="P131" i="16"/>
  <c r="AK98" i="16"/>
  <c r="AI99" i="16"/>
  <c r="L108" i="16"/>
  <c r="AI75" i="16"/>
  <c r="F3" i="65"/>
  <c r="AG40" i="73"/>
  <c r="C323" i="73" s="1"/>
  <c r="F4" i="65"/>
  <c r="F5" i="65"/>
  <c r="F6" i="65"/>
  <c r="AG111" i="73"/>
  <c r="C488" i="73" s="1"/>
  <c r="G7" i="65"/>
  <c r="G8" i="65"/>
  <c r="AG113" i="73"/>
  <c r="C490" i="73" s="1"/>
  <c r="G9" i="65"/>
  <c r="G10" i="65"/>
  <c r="AG115" i="73"/>
  <c r="C492" i="73" s="1"/>
  <c r="G11" i="65"/>
  <c r="G12" i="65"/>
  <c r="AG117" i="73"/>
  <c r="C494" i="73" s="1"/>
  <c r="G13" i="65"/>
  <c r="AG118" i="73"/>
  <c r="C495" i="73" s="1"/>
  <c r="G14" i="65"/>
  <c r="G15" i="65"/>
  <c r="AG120" i="73"/>
  <c r="C497" i="73" s="1"/>
  <c r="G16" i="65"/>
  <c r="AG121" i="73"/>
  <c r="C498" i="73" s="1"/>
  <c r="G17" i="65"/>
  <c r="AG122" i="73"/>
  <c r="C499" i="73" s="1"/>
  <c r="G18" i="65"/>
  <c r="G19" i="65"/>
  <c r="G20" i="65"/>
  <c r="AG125" i="73"/>
  <c r="C502" i="73" s="1"/>
  <c r="G21" i="65"/>
  <c r="AG126" i="73"/>
  <c r="C503" i="73" s="1"/>
  <c r="G22" i="65"/>
  <c r="AG127" i="73"/>
  <c r="C504" i="73" s="1"/>
  <c r="G23" i="65"/>
  <c r="AG128" i="73"/>
  <c r="C505" i="73" s="1"/>
  <c r="G24" i="65"/>
  <c r="AG129" i="73"/>
  <c r="C506" i="73" s="1"/>
  <c r="G25" i="65"/>
  <c r="AG130" i="73"/>
  <c r="C507" i="73" s="1"/>
  <c r="G26" i="65"/>
  <c r="AG131" i="73"/>
  <c r="C508" i="73" s="1"/>
  <c r="G27" i="65"/>
  <c r="G28" i="65"/>
  <c r="G29" i="65"/>
  <c r="AH7" i="73"/>
  <c r="D243" i="73" s="1"/>
  <c r="AI7" i="59"/>
  <c r="H6" i="65"/>
  <c r="I7" i="65"/>
  <c r="AK10" i="59"/>
  <c r="AL11" i="59"/>
  <c r="AH14" i="73"/>
  <c r="D250" i="73" s="1"/>
  <c r="AI14" i="59"/>
  <c r="H13" i="65"/>
  <c r="AH84" i="73"/>
  <c r="D414" i="73" s="1"/>
  <c r="AJ16" i="59"/>
  <c r="I15" i="65"/>
  <c r="AK18" i="59"/>
  <c r="AL19" i="59"/>
  <c r="AI22" i="59"/>
  <c r="I21" i="65"/>
  <c r="AK24" i="59"/>
  <c r="AL25" i="59"/>
  <c r="AH28" i="73"/>
  <c r="D264" i="73" s="1"/>
  <c r="AI28" i="59"/>
  <c r="AH63" i="73"/>
  <c r="D346" i="73" s="1"/>
  <c r="H27" i="65"/>
  <c r="AJ30" i="59"/>
  <c r="I29" i="65"/>
  <c r="AL46" i="59"/>
  <c r="AL54" i="59"/>
  <c r="AI60" i="59"/>
  <c r="AL64" i="59"/>
  <c r="AI66" i="59"/>
  <c r="AL75" i="59"/>
  <c r="P111" i="59"/>
  <c r="AK78" i="59"/>
  <c r="Q115" i="59"/>
  <c r="AL82" i="59"/>
  <c r="P118" i="59"/>
  <c r="AK85" i="59"/>
  <c r="Q125" i="59"/>
  <c r="AL92" i="59"/>
  <c r="Q128" i="59"/>
  <c r="AL95" i="59"/>
  <c r="P131" i="59"/>
  <c r="AK98" i="59"/>
  <c r="P134" i="59"/>
  <c r="AK101" i="59"/>
  <c r="AI14" i="73"/>
  <c r="AR14" i="73" s="1"/>
  <c r="AI15" i="73"/>
  <c r="AR15" i="73" s="1"/>
  <c r="AI94" i="73"/>
  <c r="AR94" i="73" s="1"/>
  <c r="S32" i="57"/>
  <c r="AJ5" i="73"/>
  <c r="W32" i="56"/>
  <c r="AK141" i="73"/>
  <c r="Z67" i="56"/>
  <c r="S32" i="52"/>
  <c r="AL5" i="73"/>
  <c r="AF59" i="73"/>
  <c r="B342" i="73" s="1"/>
  <c r="D23" i="65"/>
  <c r="P123" i="16"/>
  <c r="AK90" i="16"/>
  <c r="N126" i="16"/>
  <c r="AJ93" i="16"/>
  <c r="AH73" i="73"/>
  <c r="AJ5" i="59"/>
  <c r="AI24" i="59"/>
  <c r="H565" i="73"/>
  <c r="AL168" i="73"/>
  <c r="AF42" i="73"/>
  <c r="B325" i="73" s="1"/>
  <c r="D6" i="65"/>
  <c r="AI8" i="16"/>
  <c r="AF116" i="73"/>
  <c r="B493" i="73" s="1"/>
  <c r="E12" i="65"/>
  <c r="AJ14" i="16"/>
  <c r="AF186" i="73"/>
  <c r="AL16" i="16"/>
  <c r="AF17" i="73"/>
  <c r="AI17" i="16"/>
  <c r="AF190" i="73"/>
  <c r="AL20" i="16"/>
  <c r="AF123" i="73"/>
  <c r="B500" i="73" s="1"/>
  <c r="E19" i="65"/>
  <c r="AF56" i="73"/>
  <c r="B339" i="73" s="1"/>
  <c r="D20" i="65"/>
  <c r="AF165" i="73"/>
  <c r="B589" i="73" s="1"/>
  <c r="AK29" i="16"/>
  <c r="AF132" i="73"/>
  <c r="B509" i="73" s="1"/>
  <c r="E28" i="65"/>
  <c r="AF133" i="73"/>
  <c r="B510" i="73" s="1"/>
  <c r="E29" i="65"/>
  <c r="Q110" i="16"/>
  <c r="AL77" i="16"/>
  <c r="P111" i="16"/>
  <c r="AK78" i="16"/>
  <c r="L112" i="16"/>
  <c r="AI79" i="16"/>
  <c r="P115" i="16"/>
  <c r="AK82" i="16"/>
  <c r="L116" i="16"/>
  <c r="AI83" i="16"/>
  <c r="Q118" i="16"/>
  <c r="AL85" i="16"/>
  <c r="N119" i="16"/>
  <c r="AJ86" i="16"/>
  <c r="P122" i="16"/>
  <c r="AK89" i="16"/>
  <c r="N125" i="16"/>
  <c r="AJ92" i="16"/>
  <c r="P127" i="16"/>
  <c r="AK94" i="16"/>
  <c r="L128" i="16"/>
  <c r="AI95" i="16"/>
  <c r="Q131" i="16"/>
  <c r="AL98" i="16"/>
  <c r="N132" i="16"/>
  <c r="AJ99" i="16"/>
  <c r="P134" i="16"/>
  <c r="AK101" i="16"/>
  <c r="C403" i="73"/>
  <c r="AJ6" i="60"/>
  <c r="AG74" i="73"/>
  <c r="C404" i="73" s="1"/>
  <c r="AJ7" i="60"/>
  <c r="AG75" i="73"/>
  <c r="C405" i="73" s="1"/>
  <c r="AJ8" i="60"/>
  <c r="AG76" i="73"/>
  <c r="C406" i="73" s="1"/>
  <c r="AK9" i="60"/>
  <c r="AG145" i="73"/>
  <c r="C569" i="73" s="1"/>
  <c r="AK10" i="60"/>
  <c r="AG146" i="73"/>
  <c r="C570" i="73" s="1"/>
  <c r="AK11" i="60"/>
  <c r="AG147" i="73"/>
  <c r="C571" i="73" s="1"/>
  <c r="AK12" i="60"/>
  <c r="AG148" i="73"/>
  <c r="C572" i="73" s="1"/>
  <c r="AK13" i="60"/>
  <c r="AG149" i="73"/>
  <c r="C573" i="73" s="1"/>
  <c r="AK14" i="60"/>
  <c r="AG150" i="73"/>
  <c r="C574" i="73" s="1"/>
  <c r="AK15" i="60"/>
  <c r="AG151" i="73"/>
  <c r="C575" i="73" s="1"/>
  <c r="AK16" i="60"/>
  <c r="AG152" i="73"/>
  <c r="C576" i="73" s="1"/>
  <c r="AK17" i="60"/>
  <c r="AG153" i="73"/>
  <c r="C577" i="73" s="1"/>
  <c r="AK18" i="60"/>
  <c r="AG154" i="73"/>
  <c r="C578" i="73" s="1"/>
  <c r="AK19" i="60"/>
  <c r="AG155" i="73"/>
  <c r="C579" i="73" s="1"/>
  <c r="AK20" i="60"/>
  <c r="AG156" i="73"/>
  <c r="C580" i="73" s="1"/>
  <c r="AK21" i="60"/>
  <c r="AK22" i="60"/>
  <c r="AG158" i="73"/>
  <c r="C582" i="73" s="1"/>
  <c r="AK23" i="60"/>
  <c r="AG159" i="73"/>
  <c r="C583" i="73" s="1"/>
  <c r="AK24" i="60"/>
  <c r="AG160" i="73"/>
  <c r="C584" i="73" s="1"/>
  <c r="AK25" i="60"/>
  <c r="AK26" i="60"/>
  <c r="AG162" i="73"/>
  <c r="C586" i="73" s="1"/>
  <c r="AK27" i="60"/>
  <c r="AG163" i="73"/>
  <c r="C587" i="73" s="1"/>
  <c r="AK28" i="60"/>
  <c r="AK29" i="60"/>
  <c r="AG165" i="73"/>
  <c r="C589" i="73" s="1"/>
  <c r="AK30" i="60"/>
  <c r="AK31" i="60"/>
  <c r="AL56" i="60"/>
  <c r="AL75" i="60"/>
  <c r="AH6" i="73"/>
  <c r="D242" i="73" s="1"/>
  <c r="AI6" i="59"/>
  <c r="H5" i="65"/>
  <c r="AJ8" i="59"/>
  <c r="AK9" i="59"/>
  <c r="AL10" i="59"/>
  <c r="AH13" i="73"/>
  <c r="D249" i="73" s="1"/>
  <c r="AI13" i="59"/>
  <c r="H12" i="65"/>
  <c r="AH83" i="73"/>
  <c r="D413" i="73" s="1"/>
  <c r="AJ15" i="59"/>
  <c r="AH118" i="73"/>
  <c r="D495" i="73" s="1"/>
  <c r="I14" i="65"/>
  <c r="AK17" i="59"/>
  <c r="AL18" i="59"/>
  <c r="AI21" i="59"/>
  <c r="H20" i="65"/>
  <c r="AK23" i="59"/>
  <c r="AL24" i="59"/>
  <c r="AI27" i="59"/>
  <c r="AH62" i="73"/>
  <c r="D345" i="73" s="1"/>
  <c r="H26" i="65"/>
  <c r="AJ29" i="59"/>
  <c r="I28" i="65"/>
  <c r="AK31" i="59"/>
  <c r="AL41" i="59"/>
  <c r="AL51" i="59"/>
  <c r="AL57" i="59"/>
  <c r="AI59" i="59"/>
  <c r="AL63" i="59"/>
  <c r="AI65" i="59"/>
  <c r="Q111" i="59"/>
  <c r="AL78" i="59"/>
  <c r="P114" i="59"/>
  <c r="AK81" i="59"/>
  <c r="Q118" i="59"/>
  <c r="AL85" i="59"/>
  <c r="P121" i="59"/>
  <c r="AK88" i="59"/>
  <c r="P124" i="59"/>
  <c r="AK91" i="59"/>
  <c r="Q131" i="59"/>
  <c r="AL98" i="59"/>
  <c r="Q134" i="59"/>
  <c r="AL101" i="59"/>
  <c r="T32" i="57"/>
  <c r="AJ39" i="73"/>
  <c r="AB32" i="57"/>
  <c r="X32" i="56"/>
  <c r="AK175" i="73"/>
  <c r="AK176" i="73"/>
  <c r="G647" i="73" s="1"/>
  <c r="AK177" i="73"/>
  <c r="G648" i="73" s="1"/>
  <c r="AK178" i="73"/>
  <c r="G649" i="73" s="1"/>
  <c r="AK179" i="73"/>
  <c r="G650" i="73" s="1"/>
  <c r="AK180" i="73"/>
  <c r="G651" i="73" s="1"/>
  <c r="AK181" i="73"/>
  <c r="G652" i="73" s="1"/>
  <c r="AK182" i="73"/>
  <c r="G653" i="73" s="1"/>
  <c r="AK183" i="73"/>
  <c r="G654" i="73" s="1"/>
  <c r="AK184" i="73"/>
  <c r="G655" i="73" s="1"/>
  <c r="AK185" i="73"/>
  <c r="G656" i="73" s="1"/>
  <c r="AK186" i="73"/>
  <c r="G657" i="73" s="1"/>
  <c r="AK187" i="73"/>
  <c r="G658" i="73" s="1"/>
  <c r="AK188" i="73"/>
  <c r="G659" i="73" s="1"/>
  <c r="AK189" i="73"/>
  <c r="G660" i="73" s="1"/>
  <c r="AK190" i="73"/>
  <c r="G661" i="73" s="1"/>
  <c r="AK191" i="73"/>
  <c r="G662" i="73" s="1"/>
  <c r="AK192" i="73"/>
  <c r="G663" i="73" s="1"/>
  <c r="AK193" i="73"/>
  <c r="G664" i="73" s="1"/>
  <c r="AK194" i="73"/>
  <c r="G665" i="73" s="1"/>
  <c r="AK195" i="73"/>
  <c r="G666" i="73" s="1"/>
  <c r="AK196" i="73"/>
  <c r="G667" i="73" s="1"/>
  <c r="AK197" i="73"/>
  <c r="G668" i="73" s="1"/>
  <c r="AK198" i="73"/>
  <c r="G669" i="73" s="1"/>
  <c r="AK199" i="73"/>
  <c r="G670" i="73" s="1"/>
  <c r="AK200" i="73"/>
  <c r="G671" i="73" s="1"/>
  <c r="AK201" i="73"/>
  <c r="G672" i="73" s="1"/>
  <c r="H322" i="73"/>
  <c r="AL66" i="73"/>
  <c r="AF119" i="73"/>
  <c r="B496" i="73" s="1"/>
  <c r="E15" i="65"/>
  <c r="P120" i="16"/>
  <c r="AK87" i="16"/>
  <c r="P130" i="16"/>
  <c r="AK97" i="16"/>
  <c r="I4" i="65"/>
  <c r="AH10" i="73"/>
  <c r="D246" i="73" s="1"/>
  <c r="AI10" i="59"/>
  <c r="H23" i="65"/>
  <c r="AF157" i="73"/>
  <c r="B581" i="73" s="1"/>
  <c r="AK21" i="16"/>
  <c r="AF90" i="73"/>
  <c r="B420" i="73" s="1"/>
  <c r="AJ22" i="16"/>
  <c r="AF23" i="73"/>
  <c r="B259" i="73" s="1"/>
  <c r="AI23" i="16"/>
  <c r="AF167" i="73"/>
  <c r="B591" i="73" s="1"/>
  <c r="AK31" i="16"/>
  <c r="N116" i="16"/>
  <c r="AJ83" i="16"/>
  <c r="L120" i="16"/>
  <c r="AI87" i="16"/>
  <c r="L129" i="16"/>
  <c r="AI96" i="16"/>
  <c r="N130" i="16"/>
  <c r="AJ97" i="16"/>
  <c r="P132" i="16"/>
  <c r="AK99" i="16"/>
  <c r="Q134" i="16"/>
  <c r="AL101" i="16"/>
  <c r="AH5" i="73"/>
  <c r="AI5" i="73" s="1"/>
  <c r="AR5" i="73" s="1"/>
  <c r="AI5" i="59"/>
  <c r="AH40" i="73"/>
  <c r="D323" i="73" s="1"/>
  <c r="H4" i="65"/>
  <c r="AJ7" i="59"/>
  <c r="I6" i="65"/>
  <c r="AL9" i="59"/>
  <c r="AH12" i="73"/>
  <c r="D248" i="73" s="1"/>
  <c r="AI12" i="59"/>
  <c r="H11" i="65"/>
  <c r="AH82" i="73"/>
  <c r="D412" i="73" s="1"/>
  <c r="AJ14" i="59"/>
  <c r="AH117" i="73"/>
  <c r="D494" i="73" s="1"/>
  <c r="I13" i="65"/>
  <c r="AH152" i="73"/>
  <c r="D576" i="73" s="1"/>
  <c r="AK16" i="59"/>
  <c r="AL17" i="59"/>
  <c r="AI20" i="59"/>
  <c r="H19" i="65"/>
  <c r="AJ22" i="59"/>
  <c r="AL23" i="59"/>
  <c r="AI26" i="59"/>
  <c r="H25" i="65"/>
  <c r="AH96" i="73"/>
  <c r="D426" i="73" s="1"/>
  <c r="AJ28" i="59"/>
  <c r="I27" i="65"/>
  <c r="AK30" i="59"/>
  <c r="AL31" i="59"/>
  <c r="AD67" i="59"/>
  <c r="AL48" i="59"/>
  <c r="AL56" i="59"/>
  <c r="AL62" i="59"/>
  <c r="P110" i="59"/>
  <c r="AK77" i="59"/>
  <c r="Q114" i="59"/>
  <c r="AL81" i="59"/>
  <c r="P117" i="59"/>
  <c r="AK84" i="59"/>
  <c r="Q121" i="59"/>
  <c r="AL88" i="59"/>
  <c r="Q124" i="59"/>
  <c r="AL91" i="59"/>
  <c r="P127" i="59"/>
  <c r="AK94" i="59"/>
  <c r="Z135" i="59"/>
  <c r="P7" i="22" s="1"/>
  <c r="AI73" i="73"/>
  <c r="AR73" i="73" s="1"/>
  <c r="AI77" i="73"/>
  <c r="AR77" i="73" s="1"/>
  <c r="AI83" i="73"/>
  <c r="AR83" i="73" s="1"/>
  <c r="AI84" i="73"/>
  <c r="AR84" i="73" s="1"/>
  <c r="U32" i="57"/>
  <c r="AJ73" i="73"/>
  <c r="AJ102" i="73"/>
  <c r="F733" i="73" s="1"/>
  <c r="H403" i="73"/>
  <c r="AL100" i="73"/>
  <c r="AF180" i="73"/>
  <c r="AL10" i="16"/>
  <c r="AF52" i="73"/>
  <c r="B335" i="73" s="1"/>
  <c r="D16" i="65"/>
  <c r="AF58" i="73"/>
  <c r="B341" i="73" s="1"/>
  <c r="D22" i="65"/>
  <c r="AH115" i="73"/>
  <c r="D492" i="73" s="1"/>
  <c r="I11" i="65"/>
  <c r="I19" i="65"/>
  <c r="Q113" i="59"/>
  <c r="AL80" i="59"/>
  <c r="P120" i="59"/>
  <c r="AK87" i="59"/>
  <c r="P123" i="59"/>
  <c r="AA123" i="59" s="1"/>
  <c r="AK90" i="59"/>
  <c r="AF41" i="73"/>
  <c r="B324" i="73" s="1"/>
  <c r="D5" i="65"/>
  <c r="AI7" i="16"/>
  <c r="AF110" i="73"/>
  <c r="B487" i="73" s="1"/>
  <c r="E6" i="65"/>
  <c r="AJ8" i="16"/>
  <c r="AF44" i="73"/>
  <c r="B327" i="73" s="1"/>
  <c r="D8" i="65"/>
  <c r="AI10" i="16"/>
  <c r="AF46" i="73"/>
  <c r="B329" i="73" s="1"/>
  <c r="D10" i="65"/>
  <c r="AI12" i="16"/>
  <c r="AF51" i="73"/>
  <c r="B334" i="73" s="1"/>
  <c r="D15" i="65"/>
  <c r="AF27" i="73"/>
  <c r="B263" i="73" s="1"/>
  <c r="AI27" i="16"/>
  <c r="AF199" i="73"/>
  <c r="AL29" i="16"/>
  <c r="AF166" i="73"/>
  <c r="B590" i="73" s="1"/>
  <c r="AK30" i="16"/>
  <c r="Q111" i="16"/>
  <c r="AL78" i="16"/>
  <c r="N112" i="16"/>
  <c r="AJ79" i="16"/>
  <c r="Q115" i="16"/>
  <c r="AL82" i="16"/>
  <c r="P119" i="16"/>
  <c r="AK86" i="16"/>
  <c r="AL89" i="16"/>
  <c r="N128" i="16"/>
  <c r="AJ95" i="16"/>
  <c r="AG107" i="73"/>
  <c r="AH107" i="73" s="1"/>
  <c r="G3" i="65"/>
  <c r="AG108" i="73"/>
  <c r="C485" i="73" s="1"/>
  <c r="G4" i="65"/>
  <c r="G5" i="65"/>
  <c r="AG110" i="73"/>
  <c r="C487" i="73" s="1"/>
  <c r="G6" i="65"/>
  <c r="AF39" i="73"/>
  <c r="AG39" i="73" s="1"/>
  <c r="D3" i="65"/>
  <c r="AI5" i="16"/>
  <c r="AF109" i="73"/>
  <c r="B486" i="73" s="1"/>
  <c r="E5" i="65"/>
  <c r="AJ7" i="16"/>
  <c r="AF178" i="73"/>
  <c r="AL8" i="16"/>
  <c r="AF112" i="73"/>
  <c r="B489" i="73" s="1"/>
  <c r="E8" i="65"/>
  <c r="AJ10" i="16"/>
  <c r="AF114" i="73"/>
  <c r="B491" i="73" s="1"/>
  <c r="E10" i="65"/>
  <c r="AJ12" i="16"/>
  <c r="AF49" i="73"/>
  <c r="B332" i="73" s="1"/>
  <c r="D13" i="65"/>
  <c r="AI15" i="16"/>
  <c r="AF85" i="73"/>
  <c r="AG85" i="73" s="1"/>
  <c r="AJ17" i="16"/>
  <c r="AF18" i="73"/>
  <c r="B254" i="73" s="1"/>
  <c r="AI18" i="16"/>
  <c r="AF19" i="73"/>
  <c r="B255" i="73" s="1"/>
  <c r="AI19" i="16"/>
  <c r="AF191" i="73"/>
  <c r="AL21" i="16"/>
  <c r="AF124" i="73"/>
  <c r="B501" i="73" s="1"/>
  <c r="E20" i="65"/>
  <c r="AF57" i="73"/>
  <c r="B340" i="73" s="1"/>
  <c r="D21" i="65"/>
  <c r="AF24" i="73"/>
  <c r="B260" i="73" s="1"/>
  <c r="AI24" i="16"/>
  <c r="AF25" i="73"/>
  <c r="B261" i="73" s="1"/>
  <c r="AI25" i="16"/>
  <c r="AF26" i="73"/>
  <c r="B262" i="73" s="1"/>
  <c r="AI26" i="16"/>
  <c r="AF61" i="73"/>
  <c r="B344" i="73" s="1"/>
  <c r="D25" i="65"/>
  <c r="AF201" i="73"/>
  <c r="AL31" i="16"/>
  <c r="P112" i="16"/>
  <c r="AK79" i="16"/>
  <c r="L113" i="16"/>
  <c r="AI80" i="16"/>
  <c r="P116" i="16"/>
  <c r="AK83" i="16"/>
  <c r="L117" i="16"/>
  <c r="AL86" i="16"/>
  <c r="N120" i="16"/>
  <c r="AJ87" i="16"/>
  <c r="N123" i="16"/>
  <c r="AJ90" i="16"/>
  <c r="P125" i="16"/>
  <c r="AK92" i="16"/>
  <c r="AI93" i="16"/>
  <c r="P128" i="16"/>
  <c r="AK95" i="16"/>
  <c r="Q132" i="16"/>
  <c r="AL99" i="16"/>
  <c r="L133" i="16"/>
  <c r="AI100" i="16"/>
  <c r="AK5" i="60"/>
  <c r="AG141" i="73"/>
  <c r="AH141" i="73" s="1"/>
  <c r="AK6" i="60"/>
  <c r="AG142" i="73"/>
  <c r="C566" i="73" s="1"/>
  <c r="AK7" i="60"/>
  <c r="AG143" i="73"/>
  <c r="C567" i="73" s="1"/>
  <c r="AK8" i="60"/>
  <c r="AG144" i="73"/>
  <c r="C568" i="73" s="1"/>
  <c r="AL40" i="60"/>
  <c r="AL46" i="60"/>
  <c r="AL54" i="60"/>
  <c r="AL62" i="60"/>
  <c r="H3" i="65"/>
  <c r="AH74" i="73"/>
  <c r="D404" i="73" s="1"/>
  <c r="AJ6" i="59"/>
  <c r="I5" i="65"/>
  <c r="AK8" i="59"/>
  <c r="AH11" i="73"/>
  <c r="D247" i="73" s="1"/>
  <c r="AI11" i="59"/>
  <c r="H10" i="65"/>
  <c r="AH81" i="73"/>
  <c r="D411" i="73" s="1"/>
  <c r="AJ13" i="59"/>
  <c r="I12" i="65"/>
  <c r="AK15" i="59"/>
  <c r="AL16" i="59"/>
  <c r="AI19" i="59"/>
  <c r="H18" i="65"/>
  <c r="AJ21" i="59"/>
  <c r="I20" i="65"/>
  <c r="AI25" i="59"/>
  <c r="AH60" i="73"/>
  <c r="D343" i="73" s="1"/>
  <c r="H24" i="65"/>
  <c r="AJ27" i="59"/>
  <c r="AH130" i="73"/>
  <c r="D507" i="73" s="1"/>
  <c r="I26" i="65"/>
  <c r="AH165" i="73"/>
  <c r="D589" i="73" s="1"/>
  <c r="AK29" i="59"/>
  <c r="AL30" i="59"/>
  <c r="AL43" i="59"/>
  <c r="AL45" i="59"/>
  <c r="AL53" i="59"/>
  <c r="AL61" i="59"/>
  <c r="L108" i="59"/>
  <c r="AI75" i="59"/>
  <c r="Q110" i="59"/>
  <c r="AL77" i="59"/>
  <c r="P113" i="59"/>
  <c r="AK80" i="59"/>
  <c r="Q117" i="59"/>
  <c r="AL84" i="59"/>
  <c r="Q127" i="59"/>
  <c r="AL94" i="59"/>
  <c r="Q130" i="59"/>
  <c r="AL97" i="59"/>
  <c r="P133" i="59"/>
  <c r="AK100" i="59"/>
  <c r="V32" i="57"/>
  <c r="AJ107" i="73"/>
  <c r="V32" i="52"/>
  <c r="AL107" i="73"/>
  <c r="AL41" i="58"/>
  <c r="AL42" i="58"/>
  <c r="AL43" i="58"/>
  <c r="AL63" i="58"/>
  <c r="AL64" i="58"/>
  <c r="J3" i="65"/>
  <c r="J4" i="65"/>
  <c r="AB4" i="65" s="1"/>
  <c r="AD4" i="65" s="1"/>
  <c r="AI40" i="73"/>
  <c r="AR40" i="73" s="1"/>
  <c r="J5" i="65"/>
  <c r="AB5" i="65" s="1"/>
  <c r="AD5" i="65" s="1"/>
  <c r="J6" i="65"/>
  <c r="AB6" i="65" s="1"/>
  <c r="AD6" i="65" s="1"/>
  <c r="J7" i="65"/>
  <c r="AB7" i="65" s="1"/>
  <c r="AI43" i="73"/>
  <c r="AR43" i="73" s="1"/>
  <c r="J8" i="65"/>
  <c r="AI45" i="73"/>
  <c r="AR45" i="73" s="1"/>
  <c r="J9" i="65"/>
  <c r="J10" i="65"/>
  <c r="J11" i="65"/>
  <c r="J12" i="65"/>
  <c r="J13" i="65"/>
  <c r="AB13" i="65" s="1"/>
  <c r="AD13" i="65" s="1"/>
  <c r="J14" i="65"/>
  <c r="AB14" i="65" s="1"/>
  <c r="J15" i="65"/>
  <c r="AB15" i="65" s="1"/>
  <c r="J16" i="65"/>
  <c r="AB16" i="65" s="1"/>
  <c r="AD16" i="65" s="1"/>
  <c r="J17" i="65"/>
  <c r="AB17" i="65" s="1"/>
  <c r="J18" i="65"/>
  <c r="J19" i="65"/>
  <c r="AB19" i="65" s="1"/>
  <c r="J20" i="65"/>
  <c r="AB20" i="65" s="1"/>
  <c r="K21" i="65"/>
  <c r="AC21" i="65" s="1"/>
  <c r="K22" i="65"/>
  <c r="AC22" i="65" s="1"/>
  <c r="AE22" i="65" s="1"/>
  <c r="K23" i="65"/>
  <c r="AC23" i="65" s="1"/>
  <c r="AE23" i="65" s="1"/>
  <c r="K24" i="65"/>
  <c r="AC24" i="65" s="1"/>
  <c r="AE24" i="65" s="1"/>
  <c r="K25" i="65"/>
  <c r="AC25" i="65" s="1"/>
  <c r="AE25" i="65" s="1"/>
  <c r="K26" i="65"/>
  <c r="K27" i="65"/>
  <c r="AC27" i="65" s="1"/>
  <c r="K28" i="65"/>
  <c r="AC28" i="65" s="1"/>
  <c r="K29" i="65"/>
  <c r="AC29" i="65" s="1"/>
  <c r="AE29" i="65" s="1"/>
  <c r="K3" i="65"/>
  <c r="K4" i="65"/>
  <c r="AC4" i="65" s="1"/>
  <c r="K5" i="65"/>
  <c r="K6" i="65"/>
  <c r="AC6" i="65" s="1"/>
  <c r="K7" i="65"/>
  <c r="AC7" i="65" s="1"/>
  <c r="K8" i="65"/>
  <c r="K9" i="65"/>
  <c r="AC9" i="65" s="1"/>
  <c r="AE9" i="65" s="1"/>
  <c r="K10" i="65"/>
  <c r="AC10" i="65" s="1"/>
  <c r="K11" i="65"/>
  <c r="AC11" i="65" s="1"/>
  <c r="K12" i="65"/>
  <c r="K13" i="65"/>
  <c r="AI117" i="73"/>
  <c r="AR117" i="73" s="1"/>
  <c r="K14" i="65"/>
  <c r="AI118" i="73"/>
  <c r="AR118" i="73" s="1"/>
  <c r="K15" i="65"/>
  <c r="AC15" i="65" s="1"/>
  <c r="K16" i="65"/>
  <c r="K17" i="65"/>
  <c r="AC17" i="65" s="1"/>
  <c r="K18" i="65"/>
  <c r="AC18" i="65" s="1"/>
  <c r="AE18" i="65" s="1"/>
  <c r="K19" i="65"/>
  <c r="AC19" i="65" s="1"/>
  <c r="AE19" i="65" s="1"/>
  <c r="K20" i="65"/>
  <c r="AC20" i="65" s="1"/>
  <c r="J21" i="65"/>
  <c r="J22" i="65"/>
  <c r="AB22" i="65" s="1"/>
  <c r="AD22" i="65" s="1"/>
  <c r="J23" i="65"/>
  <c r="AI60" i="73"/>
  <c r="AR60" i="73" s="1"/>
  <c r="J24" i="65"/>
  <c r="J25" i="65"/>
  <c r="J26" i="65"/>
  <c r="AB26" i="65" s="1"/>
  <c r="AD26" i="65" s="1"/>
  <c r="AI62" i="73"/>
  <c r="AR62" i="73" s="1"/>
  <c r="AI63" i="73"/>
  <c r="AR63" i="73" s="1"/>
  <c r="J27" i="65"/>
  <c r="AB27" i="65" s="1"/>
  <c r="J28" i="65"/>
  <c r="AB28" i="65" s="1"/>
  <c r="J29" i="65"/>
  <c r="AB29" i="65" s="1"/>
  <c r="AD29" i="65" s="1"/>
  <c r="AK7" i="58"/>
  <c r="AI8" i="58"/>
  <c r="AI9" i="58"/>
  <c r="AI12" i="58"/>
  <c r="AI14" i="58"/>
  <c r="E250" i="73"/>
  <c r="AI16" i="58"/>
  <c r="AI17" i="58"/>
  <c r="AI18" i="58"/>
  <c r="AK20" i="58"/>
  <c r="AI21" i="58"/>
  <c r="AK22" i="58"/>
  <c r="AJ23" i="58"/>
  <c r="AJ26" i="58"/>
  <c r="E424" i="73"/>
  <c r="AJ30" i="58"/>
  <c r="AL6" i="58"/>
  <c r="AL7" i="58"/>
  <c r="AL8" i="58"/>
  <c r="AL9" i="58"/>
  <c r="AL10" i="58"/>
  <c r="AL11" i="58"/>
  <c r="AL12" i="58"/>
  <c r="AL13" i="58"/>
  <c r="AL14" i="58"/>
  <c r="AL15" i="58"/>
  <c r="AL16" i="58"/>
  <c r="AL17" i="58"/>
  <c r="AL18" i="58"/>
  <c r="AL19" i="58"/>
  <c r="AL20" i="58"/>
  <c r="AL21" i="58"/>
  <c r="AL22" i="58"/>
  <c r="AJ63" i="58"/>
  <c r="AJ64" i="58"/>
  <c r="AI65" i="58"/>
  <c r="AI66" i="58"/>
  <c r="AI6" i="58"/>
  <c r="AK8" i="58"/>
  <c r="AK9" i="58"/>
  <c r="AI10" i="58"/>
  <c r="AI11" i="58"/>
  <c r="AK12" i="58"/>
  <c r="AI13" i="58"/>
  <c r="AK15" i="58"/>
  <c r="AK16" i="58"/>
  <c r="AK19" i="58"/>
  <c r="AK21" i="58"/>
  <c r="AJ24" i="58"/>
  <c r="AJ27" i="58"/>
  <c r="AJ28" i="58"/>
  <c r="AJ31" i="58"/>
  <c r="AJ6" i="58"/>
  <c r="AJ7" i="58"/>
  <c r="AJ8" i="58"/>
  <c r="AJ9" i="58"/>
  <c r="E407" i="73"/>
  <c r="AJ10" i="58"/>
  <c r="AJ11" i="58"/>
  <c r="AJ12" i="58"/>
  <c r="AJ13" i="58"/>
  <c r="AJ14" i="58"/>
  <c r="AJ15" i="58"/>
  <c r="E413" i="73"/>
  <c r="AJ16" i="58"/>
  <c r="E414" i="73"/>
  <c r="AJ17" i="58"/>
  <c r="AJ18" i="58"/>
  <c r="AJ19" i="58"/>
  <c r="AJ20" i="58"/>
  <c r="AJ21" i="58"/>
  <c r="AJ22" i="58"/>
  <c r="AI23" i="58"/>
  <c r="AK23" i="58"/>
  <c r="AI24" i="58"/>
  <c r="AK24" i="58"/>
  <c r="AI25" i="58"/>
  <c r="AK25" i="58"/>
  <c r="AI26" i="58"/>
  <c r="AK26" i="58"/>
  <c r="AI27" i="58"/>
  <c r="AK27" i="58"/>
  <c r="AI28" i="58"/>
  <c r="AK28" i="58"/>
  <c r="AI29" i="58"/>
  <c r="AK29" i="58"/>
  <c r="AI30" i="58"/>
  <c r="AK30" i="58"/>
  <c r="AI31" i="58"/>
  <c r="AK31" i="58"/>
  <c r="AL44" i="58"/>
  <c r="AL45" i="58"/>
  <c r="AL46" i="58"/>
  <c r="AL47" i="58"/>
  <c r="AL48" i="58"/>
  <c r="AL49" i="58"/>
  <c r="AL50" i="58"/>
  <c r="AL51" i="58"/>
  <c r="AL52" i="58"/>
  <c r="AL53" i="58"/>
  <c r="AL54" i="58"/>
  <c r="AL55" i="58"/>
  <c r="AL56" i="58"/>
  <c r="AL57" i="58"/>
  <c r="AL65" i="58"/>
  <c r="AL66" i="58"/>
  <c r="AK6" i="58"/>
  <c r="AI7" i="58"/>
  <c r="AK10" i="58"/>
  <c r="AK11" i="58"/>
  <c r="AK13" i="58"/>
  <c r="AK14" i="58"/>
  <c r="AI15" i="58"/>
  <c r="E251" i="73"/>
  <c r="AK17" i="58"/>
  <c r="AK18" i="58"/>
  <c r="AI19" i="58"/>
  <c r="AI20" i="58"/>
  <c r="AI22" i="58"/>
  <c r="AJ25" i="58"/>
  <c r="AJ29" i="58"/>
  <c r="AL23" i="58"/>
  <c r="AL24" i="58"/>
  <c r="AL25" i="58"/>
  <c r="AL26" i="58"/>
  <c r="AL27" i="58"/>
  <c r="AL28" i="58"/>
  <c r="AL29" i="58"/>
  <c r="AL30" i="58"/>
  <c r="AL31" i="58"/>
  <c r="AI41" i="58"/>
  <c r="AI42" i="58"/>
  <c r="AI43" i="58"/>
  <c r="AJ44" i="58"/>
  <c r="AJ45" i="58"/>
  <c r="AJ46" i="58"/>
  <c r="AJ47" i="58"/>
  <c r="AJ48" i="58"/>
  <c r="AJ49" i="58"/>
  <c r="AJ50" i="58"/>
  <c r="AJ51" i="58"/>
  <c r="AJ52" i="58"/>
  <c r="AJ53" i="58"/>
  <c r="AJ54" i="58"/>
  <c r="AJ55" i="58"/>
  <c r="AJ56" i="58"/>
  <c r="AJ57" i="58"/>
  <c r="AI58" i="58"/>
  <c r="AI59" i="58"/>
  <c r="AI60" i="58"/>
  <c r="AI61" i="58"/>
  <c r="AI62" i="58"/>
  <c r="AI63" i="58"/>
  <c r="AI64" i="58"/>
  <c r="AJ65" i="58"/>
  <c r="AJ66" i="58"/>
  <c r="AJ5" i="58"/>
  <c r="AK5" i="58"/>
  <c r="AL40" i="58"/>
  <c r="AL5" i="58"/>
  <c r="AJ40" i="58"/>
  <c r="AI40" i="58"/>
  <c r="AI5" i="58"/>
  <c r="Q109" i="58"/>
  <c r="AL76" i="58"/>
  <c r="Q111" i="58"/>
  <c r="AL78" i="58"/>
  <c r="Q113" i="58"/>
  <c r="AL80" i="58"/>
  <c r="Q115" i="58"/>
  <c r="AL82" i="58"/>
  <c r="Q117" i="58"/>
  <c r="AL84" i="58"/>
  <c r="Q119" i="58"/>
  <c r="AL86" i="58"/>
  <c r="Q121" i="58"/>
  <c r="AL88" i="58"/>
  <c r="Q123" i="58"/>
  <c r="AL90" i="58"/>
  <c r="Q125" i="58"/>
  <c r="AL92" i="58"/>
  <c r="Q127" i="58"/>
  <c r="AL94" i="58"/>
  <c r="Q129" i="58"/>
  <c r="AL96" i="58"/>
  <c r="Q131" i="58"/>
  <c r="AL98" i="58"/>
  <c r="Q133" i="58"/>
  <c r="AL100" i="58"/>
  <c r="N109" i="58"/>
  <c r="AJ76" i="58"/>
  <c r="L110" i="58"/>
  <c r="AI77" i="58"/>
  <c r="P110" i="58"/>
  <c r="AK77" i="58"/>
  <c r="N111" i="58"/>
  <c r="AJ78" i="58"/>
  <c r="L112" i="58"/>
  <c r="AI79" i="58"/>
  <c r="P112" i="58"/>
  <c r="AK79" i="58"/>
  <c r="N113" i="58"/>
  <c r="AJ80" i="58"/>
  <c r="L114" i="58"/>
  <c r="AI81" i="58"/>
  <c r="P114" i="58"/>
  <c r="AK81" i="58"/>
  <c r="N115" i="58"/>
  <c r="AJ82" i="58"/>
  <c r="L116" i="58"/>
  <c r="AI83" i="58"/>
  <c r="P116" i="58"/>
  <c r="AK83" i="58"/>
  <c r="N117" i="58"/>
  <c r="AJ84" i="58"/>
  <c r="L118" i="58"/>
  <c r="AI85" i="58"/>
  <c r="P118" i="58"/>
  <c r="AK85" i="58"/>
  <c r="N119" i="58"/>
  <c r="AJ86" i="58"/>
  <c r="L120" i="58"/>
  <c r="AI87" i="58"/>
  <c r="P120" i="58"/>
  <c r="AK87" i="58"/>
  <c r="N121" i="58"/>
  <c r="AJ88" i="58"/>
  <c r="L122" i="58"/>
  <c r="AI89" i="58"/>
  <c r="P122" i="58"/>
  <c r="AK89" i="58"/>
  <c r="N123" i="58"/>
  <c r="AJ90" i="58"/>
  <c r="L124" i="58"/>
  <c r="AI91" i="58"/>
  <c r="P124" i="58"/>
  <c r="AK91" i="58"/>
  <c r="N125" i="58"/>
  <c r="AJ92" i="58"/>
  <c r="L126" i="58"/>
  <c r="AI93" i="58"/>
  <c r="P126" i="58"/>
  <c r="AK93" i="58"/>
  <c r="N127" i="58"/>
  <c r="AJ94" i="58"/>
  <c r="L128" i="58"/>
  <c r="AI95" i="58"/>
  <c r="P128" i="58"/>
  <c r="AK95" i="58"/>
  <c r="N129" i="58"/>
  <c r="AJ96" i="58"/>
  <c r="L130" i="58"/>
  <c r="AI97" i="58"/>
  <c r="P130" i="58"/>
  <c r="AK97" i="58"/>
  <c r="N131" i="58"/>
  <c r="AJ98" i="58"/>
  <c r="L132" i="58"/>
  <c r="AI99" i="58"/>
  <c r="P132" i="58"/>
  <c r="AK99" i="58"/>
  <c r="N133" i="58"/>
  <c r="AJ100" i="58"/>
  <c r="L134" i="58"/>
  <c r="AI101" i="58"/>
  <c r="P134" i="58"/>
  <c r="AK101" i="58"/>
  <c r="Q110" i="58"/>
  <c r="AL77" i="58"/>
  <c r="Q112" i="58"/>
  <c r="AL79" i="58"/>
  <c r="Q114" i="58"/>
  <c r="AL81" i="58"/>
  <c r="Q116" i="58"/>
  <c r="AL83" i="58"/>
  <c r="Q118" i="58"/>
  <c r="AL85" i="58"/>
  <c r="Q120" i="58"/>
  <c r="AL87" i="58"/>
  <c r="Q122" i="58"/>
  <c r="AL89" i="58"/>
  <c r="Q124" i="58"/>
  <c r="AL91" i="58"/>
  <c r="Q126" i="58"/>
  <c r="AL93" i="58"/>
  <c r="Q128" i="58"/>
  <c r="AL95" i="58"/>
  <c r="Q130" i="58"/>
  <c r="AL97" i="58"/>
  <c r="Q132" i="58"/>
  <c r="AL99" i="58"/>
  <c r="Q134" i="58"/>
  <c r="AL101" i="58"/>
  <c r="L109" i="58"/>
  <c r="AI76" i="58"/>
  <c r="P109" i="58"/>
  <c r="AK76" i="58"/>
  <c r="N110" i="58"/>
  <c r="AJ77" i="58"/>
  <c r="L111" i="58"/>
  <c r="AI78" i="58"/>
  <c r="P111" i="58"/>
  <c r="AK78" i="58"/>
  <c r="N112" i="58"/>
  <c r="AJ79" i="58"/>
  <c r="AI80" i="58"/>
  <c r="P113" i="58"/>
  <c r="AK80" i="58"/>
  <c r="N114" i="58"/>
  <c r="AJ81" i="58"/>
  <c r="L115" i="58"/>
  <c r="AI82" i="58"/>
  <c r="P115" i="58"/>
  <c r="AK82" i="58"/>
  <c r="N116" i="58"/>
  <c r="AJ83" i="58"/>
  <c r="AI84" i="58"/>
  <c r="P117" i="58"/>
  <c r="AK84" i="58"/>
  <c r="N118" i="58"/>
  <c r="AJ85" i="58"/>
  <c r="L119" i="58"/>
  <c r="AI86" i="58"/>
  <c r="P119" i="58"/>
  <c r="AK86" i="58"/>
  <c r="N120" i="58"/>
  <c r="AJ87" i="58"/>
  <c r="L121" i="58"/>
  <c r="AI88" i="58"/>
  <c r="P121" i="58"/>
  <c r="AK88" i="58"/>
  <c r="N122" i="58"/>
  <c r="AJ89" i="58"/>
  <c r="L123" i="58"/>
  <c r="AI90" i="58"/>
  <c r="P123" i="58"/>
  <c r="AK90" i="58"/>
  <c r="N124" i="58"/>
  <c r="AJ91" i="58"/>
  <c r="L125" i="58"/>
  <c r="AI92" i="58"/>
  <c r="P125" i="58"/>
  <c r="AK92" i="58"/>
  <c r="N126" i="58"/>
  <c r="AJ93" i="58"/>
  <c r="L127" i="58"/>
  <c r="AI94" i="58"/>
  <c r="P127" i="58"/>
  <c r="AK94" i="58"/>
  <c r="N128" i="58"/>
  <c r="AJ95" i="58"/>
  <c r="L129" i="58"/>
  <c r="AI96" i="58"/>
  <c r="P129" i="58"/>
  <c r="AK96" i="58"/>
  <c r="N130" i="58"/>
  <c r="AJ97" i="58"/>
  <c r="L131" i="58"/>
  <c r="AI98" i="58"/>
  <c r="P131" i="58"/>
  <c r="AK98" i="58"/>
  <c r="N132" i="58"/>
  <c r="AJ99" i="58"/>
  <c r="L133" i="58"/>
  <c r="AI100" i="58"/>
  <c r="P133" i="58"/>
  <c r="AK100" i="58"/>
  <c r="N134" i="58"/>
  <c r="AJ101" i="58"/>
  <c r="Q108" i="58"/>
  <c r="AL75" i="58"/>
  <c r="N108" i="58"/>
  <c r="AJ75" i="58"/>
  <c r="AL5" i="60"/>
  <c r="AL6" i="60"/>
  <c r="AL7" i="60"/>
  <c r="AL8" i="60"/>
  <c r="AL45" i="60"/>
  <c r="AL49" i="60"/>
  <c r="AL53" i="60"/>
  <c r="AL57" i="60"/>
  <c r="AL61" i="60"/>
  <c r="AH42" i="60"/>
  <c r="AL42" i="60"/>
  <c r="AH48" i="60"/>
  <c r="AL48" i="60"/>
  <c r="U32" i="60"/>
  <c r="AJ5" i="60"/>
  <c r="AL9" i="60"/>
  <c r="AL10" i="60"/>
  <c r="AL11" i="60"/>
  <c r="AL12" i="60"/>
  <c r="AL13" i="60"/>
  <c r="AL14" i="60"/>
  <c r="AL15" i="60"/>
  <c r="AL16" i="60"/>
  <c r="AL17" i="60"/>
  <c r="AL18" i="60"/>
  <c r="AL19" i="60"/>
  <c r="AL20" i="60"/>
  <c r="AL21" i="60"/>
  <c r="AL22" i="60"/>
  <c r="AL23" i="60"/>
  <c r="AL24" i="60"/>
  <c r="AL25" i="60"/>
  <c r="AL26" i="60"/>
  <c r="AL27" i="60"/>
  <c r="AL28" i="60"/>
  <c r="AL29" i="60"/>
  <c r="AL30" i="60"/>
  <c r="AL31" i="60"/>
  <c r="AH41" i="60"/>
  <c r="AL41" i="60"/>
  <c r="AH47" i="60"/>
  <c r="AL47" i="60"/>
  <c r="AH51" i="60"/>
  <c r="AL51" i="60"/>
  <c r="AH55" i="60"/>
  <c r="AL55" i="60"/>
  <c r="AH59" i="60"/>
  <c r="AL59" i="60"/>
  <c r="AH63" i="60"/>
  <c r="AL63" i="60"/>
  <c r="AH65" i="60"/>
  <c r="AL65" i="60"/>
  <c r="AH50" i="60"/>
  <c r="AL50" i="60"/>
  <c r="AH58" i="60"/>
  <c r="AL58" i="60"/>
  <c r="L108" i="60"/>
  <c r="AI75" i="60"/>
  <c r="P108" i="60"/>
  <c r="AK75" i="60"/>
  <c r="N110" i="60"/>
  <c r="AJ77" i="60"/>
  <c r="P111" i="60"/>
  <c r="AK78" i="60"/>
  <c r="N112" i="60"/>
  <c r="AJ79" i="60"/>
  <c r="L113" i="60"/>
  <c r="AI80" i="60"/>
  <c r="P113" i="60"/>
  <c r="AK80" i="60"/>
  <c r="N114" i="60"/>
  <c r="AJ81" i="60"/>
  <c r="P115" i="60"/>
  <c r="AK82" i="60"/>
  <c r="N116" i="60"/>
  <c r="AJ83" i="60"/>
  <c r="L117" i="60"/>
  <c r="AI84" i="60"/>
  <c r="P117" i="60"/>
  <c r="AK84" i="60"/>
  <c r="N118" i="60"/>
  <c r="AJ85" i="60"/>
  <c r="P119" i="60"/>
  <c r="AK86" i="60"/>
  <c r="N120" i="60"/>
  <c r="AJ87" i="60"/>
  <c r="L121" i="60"/>
  <c r="AI88" i="60"/>
  <c r="P121" i="60"/>
  <c r="AK88" i="60"/>
  <c r="N122" i="60"/>
  <c r="AJ89" i="60"/>
  <c r="P123" i="60"/>
  <c r="AK90" i="60"/>
  <c r="N124" i="60"/>
  <c r="AJ91" i="60"/>
  <c r="L125" i="60"/>
  <c r="AI92" i="60"/>
  <c r="P125" i="60"/>
  <c r="AK92" i="60"/>
  <c r="N126" i="60"/>
  <c r="AJ93" i="60"/>
  <c r="P127" i="60"/>
  <c r="AK94" i="60"/>
  <c r="N128" i="60"/>
  <c r="AJ95" i="60"/>
  <c r="L129" i="60"/>
  <c r="AI96" i="60"/>
  <c r="P129" i="60"/>
  <c r="AK96" i="60"/>
  <c r="N130" i="60"/>
  <c r="AJ97" i="60"/>
  <c r="P131" i="60"/>
  <c r="AK98" i="60"/>
  <c r="N132" i="60"/>
  <c r="AJ99" i="60"/>
  <c r="L133" i="60"/>
  <c r="AI100" i="60"/>
  <c r="P133" i="60"/>
  <c r="AK100" i="60"/>
  <c r="N134" i="60"/>
  <c r="AJ101" i="60"/>
  <c r="L109" i="60"/>
  <c r="AI76" i="60"/>
  <c r="P109" i="60"/>
  <c r="AK76" i="60"/>
  <c r="Q111" i="60"/>
  <c r="AL78" i="60"/>
  <c r="Q113" i="60"/>
  <c r="AL80" i="60"/>
  <c r="Q115" i="60"/>
  <c r="AL82" i="60"/>
  <c r="Q117" i="60"/>
  <c r="AL84" i="60"/>
  <c r="Q119" i="60"/>
  <c r="AL86" i="60"/>
  <c r="Q121" i="60"/>
  <c r="AL88" i="60"/>
  <c r="Q123" i="60"/>
  <c r="AL90" i="60"/>
  <c r="Q125" i="60"/>
  <c r="AL92" i="60"/>
  <c r="Q127" i="60"/>
  <c r="AL94" i="60"/>
  <c r="Q129" i="60"/>
  <c r="AL96" i="60"/>
  <c r="Q131" i="60"/>
  <c r="AL98" i="60"/>
  <c r="Q133" i="60"/>
  <c r="AL100" i="60"/>
  <c r="N108" i="60"/>
  <c r="AJ75" i="60"/>
  <c r="Q109" i="60"/>
  <c r="AL76" i="60"/>
  <c r="L110" i="60"/>
  <c r="AA110" i="60" s="1"/>
  <c r="AI77" i="60"/>
  <c r="P110" i="60"/>
  <c r="AK77" i="60"/>
  <c r="N111" i="60"/>
  <c r="AJ78" i="60"/>
  <c r="L112" i="60"/>
  <c r="AI79" i="60"/>
  <c r="P112" i="60"/>
  <c r="AA112" i="60" s="1"/>
  <c r="AK79" i="60"/>
  <c r="N113" i="60"/>
  <c r="AJ80" i="60"/>
  <c r="L114" i="60"/>
  <c r="AI81" i="60"/>
  <c r="P114" i="60"/>
  <c r="AK81" i="60"/>
  <c r="N115" i="60"/>
  <c r="AJ82" i="60"/>
  <c r="L116" i="60"/>
  <c r="AI83" i="60"/>
  <c r="P116" i="60"/>
  <c r="AK83" i="60"/>
  <c r="N117" i="60"/>
  <c r="AJ84" i="60"/>
  <c r="L118" i="60"/>
  <c r="AI85" i="60"/>
  <c r="P118" i="60"/>
  <c r="AK85" i="60"/>
  <c r="N119" i="60"/>
  <c r="AJ86" i="60"/>
  <c r="L120" i="60"/>
  <c r="AI87" i="60"/>
  <c r="P120" i="60"/>
  <c r="AA120" i="60" s="1"/>
  <c r="AK87" i="60"/>
  <c r="N121" i="60"/>
  <c r="AJ88" i="60"/>
  <c r="L122" i="60"/>
  <c r="AI89" i="60"/>
  <c r="P122" i="60"/>
  <c r="AK89" i="60"/>
  <c r="N123" i="60"/>
  <c r="AJ90" i="60"/>
  <c r="L124" i="60"/>
  <c r="AI91" i="60"/>
  <c r="P124" i="60"/>
  <c r="AK91" i="60"/>
  <c r="N125" i="60"/>
  <c r="AJ92" i="60"/>
  <c r="L126" i="60"/>
  <c r="AI93" i="60"/>
  <c r="P126" i="60"/>
  <c r="AK93" i="60"/>
  <c r="N127" i="60"/>
  <c r="AJ94" i="60"/>
  <c r="L128" i="60"/>
  <c r="AI95" i="60"/>
  <c r="P128" i="60"/>
  <c r="AA128" i="60" s="1"/>
  <c r="AK95" i="60"/>
  <c r="N129" i="60"/>
  <c r="AJ96" i="60"/>
  <c r="L130" i="60"/>
  <c r="AI97" i="60"/>
  <c r="P130" i="60"/>
  <c r="AK97" i="60"/>
  <c r="N131" i="60"/>
  <c r="AJ98" i="60"/>
  <c r="L132" i="60"/>
  <c r="AI99" i="60"/>
  <c r="P132" i="60"/>
  <c r="AK99" i="60"/>
  <c r="N133" i="60"/>
  <c r="AJ100" i="60"/>
  <c r="L134" i="60"/>
  <c r="AI101" i="60"/>
  <c r="P134" i="60"/>
  <c r="AK101" i="60"/>
  <c r="N109" i="60"/>
  <c r="AJ76" i="60"/>
  <c r="Q110" i="60"/>
  <c r="AL77" i="60"/>
  <c r="Q112" i="60"/>
  <c r="AL79" i="60"/>
  <c r="Q114" i="60"/>
  <c r="AL81" i="60"/>
  <c r="Q116" i="60"/>
  <c r="AL83" i="60"/>
  <c r="Q118" i="60"/>
  <c r="AL85" i="60"/>
  <c r="Q120" i="60"/>
  <c r="AL87" i="60"/>
  <c r="Q122" i="60"/>
  <c r="AL89" i="60"/>
  <c r="Q124" i="60"/>
  <c r="AL91" i="60"/>
  <c r="Q126" i="60"/>
  <c r="AL93" i="60"/>
  <c r="Q128" i="60"/>
  <c r="AL95" i="60"/>
  <c r="Q130" i="60"/>
  <c r="AL97" i="60"/>
  <c r="Q132" i="60"/>
  <c r="AL99" i="60"/>
  <c r="Q134" i="60"/>
  <c r="AA134" i="60" s="1"/>
  <c r="AL101" i="60"/>
  <c r="I102" i="52"/>
  <c r="AG32" i="58"/>
  <c r="AG67" i="59"/>
  <c r="AH49" i="60"/>
  <c r="AH56" i="60"/>
  <c r="X32" i="52"/>
  <c r="T32" i="52"/>
  <c r="AA67" i="52"/>
  <c r="AH102" i="52"/>
  <c r="AH42" i="52"/>
  <c r="AH43" i="52"/>
  <c r="S67" i="52"/>
  <c r="AL34" i="73" s="1"/>
  <c r="H727" i="73" s="1"/>
  <c r="P130" i="59"/>
  <c r="O97" i="59"/>
  <c r="AD32" i="59"/>
  <c r="O79" i="52"/>
  <c r="L112" i="52"/>
  <c r="AA112" i="52" s="1"/>
  <c r="Z135" i="60"/>
  <c r="P6" i="22" s="1"/>
  <c r="T32" i="60"/>
  <c r="AB32" i="60"/>
  <c r="AH26" i="60"/>
  <c r="AH45" i="60"/>
  <c r="AH53" i="60"/>
  <c r="AH61" i="60"/>
  <c r="AC32" i="59"/>
  <c r="AF67" i="59"/>
  <c r="Z135" i="56"/>
  <c r="P10" i="22" s="1"/>
  <c r="O32" i="52"/>
  <c r="U67" i="52"/>
  <c r="AL102" i="73" s="1"/>
  <c r="H733" i="73" s="1"/>
  <c r="AC67" i="52"/>
  <c r="O96" i="57"/>
  <c r="Z67" i="59"/>
  <c r="AC67" i="59"/>
  <c r="AD67" i="56"/>
  <c r="AH9" i="52"/>
  <c r="AH13" i="52"/>
  <c r="AH17" i="52"/>
  <c r="AH21" i="52"/>
  <c r="AH31" i="52"/>
  <c r="W67" i="52"/>
  <c r="AL170" i="73" s="1"/>
  <c r="H739" i="73" s="1"/>
  <c r="AE67" i="52"/>
  <c r="O81" i="52"/>
  <c r="W32" i="60"/>
  <c r="AK32" i="60" s="1"/>
  <c r="AE32" i="60"/>
  <c r="AF67" i="60"/>
  <c r="AH46" i="60"/>
  <c r="AH54" i="60"/>
  <c r="AH62" i="60"/>
  <c r="AF32" i="59"/>
  <c r="AH27" i="52"/>
  <c r="Y135" i="16"/>
  <c r="O5" i="22" s="1"/>
  <c r="AF32" i="60"/>
  <c r="AG32" i="59"/>
  <c r="X32" i="60"/>
  <c r="AH57" i="60"/>
  <c r="AH44" i="60"/>
  <c r="AH52" i="60"/>
  <c r="AH60" i="60"/>
  <c r="AH66" i="60"/>
  <c r="Y67" i="56"/>
  <c r="AG67" i="56"/>
  <c r="W32" i="52"/>
  <c r="AE32" i="52"/>
  <c r="AH45" i="52"/>
  <c r="AH51" i="52"/>
  <c r="AH57" i="52"/>
  <c r="AH59" i="52"/>
  <c r="AH65" i="52"/>
  <c r="AG67" i="57"/>
  <c r="W67" i="58"/>
  <c r="Z135" i="57"/>
  <c r="P9" i="22" s="1"/>
  <c r="AH41" i="52"/>
  <c r="AH47" i="52"/>
  <c r="AH53" i="52"/>
  <c r="AH55" i="52"/>
  <c r="AH61" i="52"/>
  <c r="AH63" i="52"/>
  <c r="Y135" i="59"/>
  <c r="O7" i="22" s="1"/>
  <c r="AH10" i="57"/>
  <c r="AJ180" i="73" s="1"/>
  <c r="F651" i="73" s="1"/>
  <c r="AH16" i="57"/>
  <c r="AJ186" i="73" s="1"/>
  <c r="F657" i="73" s="1"/>
  <c r="AH18" i="57"/>
  <c r="AJ188" i="73" s="1"/>
  <c r="F659" i="73" s="1"/>
  <c r="AH20" i="57"/>
  <c r="AJ190" i="73" s="1"/>
  <c r="F661" i="73" s="1"/>
  <c r="AH24" i="57"/>
  <c r="AJ194" i="73" s="1"/>
  <c r="F665" i="73" s="1"/>
  <c r="AH26" i="57"/>
  <c r="AJ196" i="73" s="1"/>
  <c r="F667" i="73" s="1"/>
  <c r="AH28" i="57"/>
  <c r="AJ198" i="73" s="1"/>
  <c r="F669" i="73" s="1"/>
  <c r="AH30" i="57"/>
  <c r="AJ200" i="73" s="1"/>
  <c r="F671" i="73" s="1"/>
  <c r="E102" i="57"/>
  <c r="M102" i="57"/>
  <c r="U67" i="56"/>
  <c r="AK102" i="73" s="1"/>
  <c r="G733" i="73" s="1"/>
  <c r="AC67" i="56"/>
  <c r="Y135" i="52"/>
  <c r="O11" i="22" s="1"/>
  <c r="Z135" i="58"/>
  <c r="P8" i="22" s="1"/>
  <c r="AF67" i="56"/>
  <c r="AH6" i="52"/>
  <c r="AH8" i="52"/>
  <c r="AH10" i="52"/>
  <c r="AH12" i="52"/>
  <c r="AH14" i="52"/>
  <c r="AH16" i="52"/>
  <c r="AH18" i="52"/>
  <c r="AH20" i="52"/>
  <c r="AH22" i="52"/>
  <c r="AH25" i="52"/>
  <c r="AH30" i="52"/>
  <c r="O135" i="52"/>
  <c r="E11" i="22" s="1"/>
  <c r="Y135" i="56"/>
  <c r="O10" i="22" s="1"/>
  <c r="AH7" i="52"/>
  <c r="AH11" i="52"/>
  <c r="AH15" i="52"/>
  <c r="AH19" i="52"/>
  <c r="AH23" i="52"/>
  <c r="AH26" i="52"/>
  <c r="AH29" i="52"/>
  <c r="Y67" i="52"/>
  <c r="AG67" i="52"/>
  <c r="AH46" i="52"/>
  <c r="AH49" i="52"/>
  <c r="AH52" i="52"/>
  <c r="AH58" i="52"/>
  <c r="AH60" i="52"/>
  <c r="AH27" i="56"/>
  <c r="AH23" i="56"/>
  <c r="AA67" i="56"/>
  <c r="W67" i="56"/>
  <c r="AK170" i="73" s="1"/>
  <c r="G739" i="73" s="1"/>
  <c r="AE67" i="56"/>
  <c r="AB67" i="56"/>
  <c r="Y32" i="56"/>
  <c r="X67" i="56"/>
  <c r="AK204" i="73" s="1"/>
  <c r="G742" i="73" s="1"/>
  <c r="V67" i="56"/>
  <c r="AK136" i="73" s="1"/>
  <c r="G736" i="73" s="1"/>
  <c r="AH31" i="56"/>
  <c r="T67" i="56"/>
  <c r="AK68" i="73" s="1"/>
  <c r="G730" i="73" s="1"/>
  <c r="AH44" i="56"/>
  <c r="AH46" i="56"/>
  <c r="AH48" i="56"/>
  <c r="AH53" i="56"/>
  <c r="AH55" i="56"/>
  <c r="AH56" i="56"/>
  <c r="AH61" i="56"/>
  <c r="AH64" i="56"/>
  <c r="AH66" i="56"/>
  <c r="AH43" i="56"/>
  <c r="AH6" i="56"/>
  <c r="AH8" i="56"/>
  <c r="AH10" i="56"/>
  <c r="AH12" i="56"/>
  <c r="AH14" i="56"/>
  <c r="AH16" i="56"/>
  <c r="AH18" i="56"/>
  <c r="AH20" i="56"/>
  <c r="AH22" i="56"/>
  <c r="AH24" i="56"/>
  <c r="AH26" i="56"/>
  <c r="AH28" i="56"/>
  <c r="AH30" i="56"/>
  <c r="AH42" i="56"/>
  <c r="AH7" i="56"/>
  <c r="AH11" i="56"/>
  <c r="AH15" i="56"/>
  <c r="AH19" i="56"/>
  <c r="AH41" i="56"/>
  <c r="AH45" i="56"/>
  <c r="AH49" i="56"/>
  <c r="AH54" i="56"/>
  <c r="AH58" i="56"/>
  <c r="AH60" i="56"/>
  <c r="AH9" i="56"/>
  <c r="AH13" i="56"/>
  <c r="AH17" i="56"/>
  <c r="AH21" i="56"/>
  <c r="AH25" i="56"/>
  <c r="AH29" i="56"/>
  <c r="S67" i="56"/>
  <c r="AK34" i="73" s="1"/>
  <c r="G727" i="73" s="1"/>
  <c r="AH50" i="56"/>
  <c r="AH47" i="56"/>
  <c r="AH52" i="56"/>
  <c r="AH57" i="56"/>
  <c r="AH62" i="56"/>
  <c r="O67" i="56"/>
  <c r="AA116" i="56"/>
  <c r="AA110" i="56"/>
  <c r="O32" i="56"/>
  <c r="AH66" i="57"/>
  <c r="AH27" i="57"/>
  <c r="AJ197" i="73" s="1"/>
  <c r="F668" i="73" s="1"/>
  <c r="AC67" i="57"/>
  <c r="AH60" i="57"/>
  <c r="AH22" i="57"/>
  <c r="AJ192" i="73" s="1"/>
  <c r="F663" i="73" s="1"/>
  <c r="AF67" i="57"/>
  <c r="Y135" i="57"/>
  <c r="O9" i="22" s="1"/>
  <c r="AH14" i="57"/>
  <c r="AJ184" i="73" s="1"/>
  <c r="F655" i="73" s="1"/>
  <c r="AH12" i="57"/>
  <c r="AJ182" i="73" s="1"/>
  <c r="F653" i="73" s="1"/>
  <c r="W67" i="57"/>
  <c r="AJ170" i="73" s="1"/>
  <c r="F739" i="73" s="1"/>
  <c r="X67" i="57"/>
  <c r="AE67" i="57"/>
  <c r="Y67" i="57"/>
  <c r="AA67" i="57"/>
  <c r="AH8" i="57"/>
  <c r="AJ178" i="73" s="1"/>
  <c r="F649" i="73" s="1"/>
  <c r="AH42" i="57"/>
  <c r="AH6" i="57"/>
  <c r="AJ176" i="73" s="1"/>
  <c r="F647" i="73" s="1"/>
  <c r="AB67" i="57"/>
  <c r="AH40" i="57"/>
  <c r="T67" i="57"/>
  <c r="AJ68" i="73" s="1"/>
  <c r="F730" i="73" s="1"/>
  <c r="AH62" i="57"/>
  <c r="AH44" i="57"/>
  <c r="AH46" i="57"/>
  <c r="AH47" i="57"/>
  <c r="AH52" i="57"/>
  <c r="AH55" i="57"/>
  <c r="AH63" i="57"/>
  <c r="AH11" i="57"/>
  <c r="AJ181" i="73" s="1"/>
  <c r="F652" i="73" s="1"/>
  <c r="AH25" i="57"/>
  <c r="AJ195" i="73" s="1"/>
  <c r="F666" i="73" s="1"/>
  <c r="AH31" i="57"/>
  <c r="AJ201" i="73" s="1"/>
  <c r="F672" i="73" s="1"/>
  <c r="AH29" i="57"/>
  <c r="AJ199" i="73" s="1"/>
  <c r="F670" i="73" s="1"/>
  <c r="AH65" i="57"/>
  <c r="AH61" i="57"/>
  <c r="AH23" i="57"/>
  <c r="AJ193" i="73" s="1"/>
  <c r="F664" i="73" s="1"/>
  <c r="AH59" i="57"/>
  <c r="AH21" i="57"/>
  <c r="AJ191" i="73" s="1"/>
  <c r="F662" i="73" s="1"/>
  <c r="AH57" i="57"/>
  <c r="AH56" i="57"/>
  <c r="AH19" i="57"/>
  <c r="AJ189" i="73" s="1"/>
  <c r="F660" i="73" s="1"/>
  <c r="AH53" i="57"/>
  <c r="AH15" i="57"/>
  <c r="AJ185" i="73" s="1"/>
  <c r="F656" i="73" s="1"/>
  <c r="AH51" i="57"/>
  <c r="AH17" i="57"/>
  <c r="AJ187" i="73" s="1"/>
  <c r="F658" i="73" s="1"/>
  <c r="AH45" i="57"/>
  <c r="AH49" i="57"/>
  <c r="AH9" i="57"/>
  <c r="AJ179" i="73" s="1"/>
  <c r="F650" i="73" s="1"/>
  <c r="AH13" i="57"/>
  <c r="AJ183" i="73" s="1"/>
  <c r="F654" i="73" s="1"/>
  <c r="AH48" i="57"/>
  <c r="AH43" i="57"/>
  <c r="AH7" i="57"/>
  <c r="AJ177" i="73" s="1"/>
  <c r="F648" i="73" s="1"/>
  <c r="AH41" i="57"/>
  <c r="O100" i="57"/>
  <c r="O98" i="57"/>
  <c r="O94" i="57"/>
  <c r="O92" i="57"/>
  <c r="O90" i="57"/>
  <c r="O88" i="57"/>
  <c r="O86" i="57"/>
  <c r="AA111" i="57"/>
  <c r="O32" i="58"/>
  <c r="AB32" i="58"/>
  <c r="AF32" i="58"/>
  <c r="U32" i="58"/>
  <c r="Y32" i="58"/>
  <c r="AC32" i="58"/>
  <c r="V67" i="58"/>
  <c r="Z67" i="58"/>
  <c r="AD67" i="58"/>
  <c r="Y135" i="58"/>
  <c r="O8" i="22" s="1"/>
  <c r="V32" i="58"/>
  <c r="Z32" i="58"/>
  <c r="AD32" i="58"/>
  <c r="W32" i="58"/>
  <c r="AK32" i="58" s="1"/>
  <c r="AH30" i="58"/>
  <c r="AH29" i="58"/>
  <c r="AH27" i="58"/>
  <c r="AH62" i="58"/>
  <c r="AA32" i="58"/>
  <c r="AH26" i="58"/>
  <c r="AH25" i="58"/>
  <c r="AH23" i="58"/>
  <c r="AH21" i="58"/>
  <c r="AH20" i="58"/>
  <c r="AH18" i="58"/>
  <c r="AH17" i="58"/>
  <c r="AH50" i="58"/>
  <c r="AH14" i="58"/>
  <c r="AH13" i="58"/>
  <c r="AH12" i="58"/>
  <c r="AA67" i="58"/>
  <c r="AH10" i="58"/>
  <c r="AH9" i="58"/>
  <c r="AH8" i="58"/>
  <c r="U135" i="58"/>
  <c r="K8" i="22" s="1"/>
  <c r="X32" i="58"/>
  <c r="AE67" i="58"/>
  <c r="AE32" i="58"/>
  <c r="AH31" i="58"/>
  <c r="AH65" i="58"/>
  <c r="AH64" i="58"/>
  <c r="AH28" i="58"/>
  <c r="AH63" i="58"/>
  <c r="AH61" i="58"/>
  <c r="AH60" i="58"/>
  <c r="AH24" i="58"/>
  <c r="AH59" i="58"/>
  <c r="AH58" i="58"/>
  <c r="S32" i="58"/>
  <c r="AH22" i="58"/>
  <c r="AH55" i="58"/>
  <c r="AH19" i="58"/>
  <c r="AH54" i="58"/>
  <c r="AH53" i="58"/>
  <c r="AH52" i="58"/>
  <c r="AH16" i="58"/>
  <c r="AH51" i="58"/>
  <c r="AH15" i="58"/>
  <c r="AH48" i="58"/>
  <c r="AH47" i="58"/>
  <c r="AH11" i="58"/>
  <c r="AH46" i="58"/>
  <c r="AH44" i="58"/>
  <c r="AH43" i="58"/>
  <c r="AH7" i="58"/>
  <c r="AH42" i="58"/>
  <c r="AH6" i="58"/>
  <c r="AH41" i="58"/>
  <c r="AH102" i="58"/>
  <c r="S67" i="58"/>
  <c r="O67" i="58"/>
  <c r="M135" i="58"/>
  <c r="C8" i="22" s="1"/>
  <c r="U32" i="62" s="1"/>
  <c r="AH62" i="59"/>
  <c r="AH61" i="59"/>
  <c r="AA129" i="59"/>
  <c r="AH56" i="59"/>
  <c r="AH55" i="59"/>
  <c r="AH54" i="59"/>
  <c r="AH53" i="59"/>
  <c r="Z32" i="59"/>
  <c r="X32" i="59"/>
  <c r="AH49" i="59"/>
  <c r="AE32" i="59"/>
  <c r="AH45" i="59"/>
  <c r="Y67" i="59"/>
  <c r="X67" i="59"/>
  <c r="X135" i="59"/>
  <c r="N7" i="22" s="1"/>
  <c r="Y32" i="59"/>
  <c r="W32" i="59"/>
  <c r="AK32" i="59" s="1"/>
  <c r="AA32" i="59"/>
  <c r="AB67" i="59"/>
  <c r="AB32" i="59"/>
  <c r="AH40" i="59"/>
  <c r="V67" i="59"/>
  <c r="I31" i="65" s="1"/>
  <c r="V32" i="59"/>
  <c r="AH66" i="59"/>
  <c r="AH31" i="59"/>
  <c r="AA133" i="59"/>
  <c r="AH30" i="59"/>
  <c r="AH64" i="59"/>
  <c r="AH29" i="59"/>
  <c r="AH28" i="59"/>
  <c r="AH27" i="59"/>
  <c r="AH26" i="59"/>
  <c r="AH60" i="59"/>
  <c r="AH25" i="59"/>
  <c r="AH24" i="59"/>
  <c r="AH59" i="59"/>
  <c r="AH58" i="59"/>
  <c r="AH23" i="59"/>
  <c r="AH22" i="59"/>
  <c r="AH57" i="59"/>
  <c r="AH44" i="59"/>
  <c r="AH46" i="59"/>
  <c r="AH52" i="59"/>
  <c r="AH41" i="59"/>
  <c r="AH42" i="59"/>
  <c r="AH48" i="59"/>
  <c r="AH50" i="59"/>
  <c r="U32" i="59"/>
  <c r="S32" i="59"/>
  <c r="AH6" i="59"/>
  <c r="T32" i="59"/>
  <c r="AH12" i="59"/>
  <c r="AH16" i="59"/>
  <c r="AH20" i="59"/>
  <c r="AH51" i="59"/>
  <c r="AH8" i="59"/>
  <c r="AH11" i="59"/>
  <c r="AH15" i="59"/>
  <c r="T67" i="59"/>
  <c r="H31" i="65" s="1"/>
  <c r="AH43" i="59"/>
  <c r="AH47" i="59"/>
  <c r="AH7" i="59"/>
  <c r="AH9" i="59"/>
  <c r="AH10" i="59"/>
  <c r="AH13" i="59"/>
  <c r="AH14" i="59"/>
  <c r="AH17" i="59"/>
  <c r="AH18" i="59"/>
  <c r="AH19" i="59"/>
  <c r="AH21" i="59"/>
  <c r="T135" i="59"/>
  <c r="J7" i="22" s="1"/>
  <c r="O101" i="59"/>
  <c r="AA114" i="59"/>
  <c r="O67" i="59"/>
  <c r="O99" i="59"/>
  <c r="AA131" i="59"/>
  <c r="O95" i="59"/>
  <c r="AA127" i="59"/>
  <c r="O93" i="59"/>
  <c r="AA125" i="59"/>
  <c r="O91" i="59"/>
  <c r="O32" i="59"/>
  <c r="AA111" i="59"/>
  <c r="AH28" i="60"/>
  <c r="AH20" i="60"/>
  <c r="AH14" i="60"/>
  <c r="AH13" i="60"/>
  <c r="AH12" i="60"/>
  <c r="V67" i="60"/>
  <c r="G31" i="65" s="1"/>
  <c r="AH10" i="60"/>
  <c r="Z67" i="60"/>
  <c r="AB67" i="60"/>
  <c r="AH9" i="60"/>
  <c r="T67" i="60"/>
  <c r="AG68" i="73" s="1"/>
  <c r="C730" i="73" s="1"/>
  <c r="AH8" i="60"/>
  <c r="AH6" i="60"/>
  <c r="X67" i="60"/>
  <c r="AA32" i="60"/>
  <c r="AH31" i="60"/>
  <c r="AH30" i="60"/>
  <c r="AH25" i="60"/>
  <c r="AH24" i="60"/>
  <c r="AH22" i="60"/>
  <c r="AH21" i="60"/>
  <c r="AH19" i="60"/>
  <c r="AH18" i="60"/>
  <c r="AH17" i="60"/>
  <c r="AH16" i="60"/>
  <c r="AH11" i="60"/>
  <c r="AH7" i="60"/>
  <c r="O67" i="60"/>
  <c r="AA117" i="60"/>
  <c r="AH44" i="16"/>
  <c r="AH54" i="16"/>
  <c r="AH59" i="16"/>
  <c r="AH62" i="16"/>
  <c r="AH42" i="16"/>
  <c r="AC67" i="16"/>
  <c r="AG67" i="16"/>
  <c r="AH56" i="16"/>
  <c r="AH63" i="16"/>
  <c r="Z102" i="16"/>
  <c r="Z28" i="16"/>
  <c r="AH28" i="16" s="1"/>
  <c r="S117" i="16"/>
  <c r="S125" i="16"/>
  <c r="AH98" i="16"/>
  <c r="AH21" i="16"/>
  <c r="Z22" i="16"/>
  <c r="AH22" i="16" s="1"/>
  <c r="AH57" i="16"/>
  <c r="S109" i="16"/>
  <c r="AH88" i="16"/>
  <c r="S129" i="16"/>
  <c r="S133" i="16"/>
  <c r="Z135" i="16"/>
  <c r="P5" i="22" s="1"/>
  <c r="Z6" i="16"/>
  <c r="AH6" i="16" s="1"/>
  <c r="Z14" i="16"/>
  <c r="AF184" i="73" s="1"/>
  <c r="Z26" i="16"/>
  <c r="AF196" i="73" s="1"/>
  <c r="S111" i="16"/>
  <c r="S131" i="16"/>
  <c r="O76" i="52"/>
  <c r="AA111" i="52"/>
  <c r="O84" i="52"/>
  <c r="L122" i="52"/>
  <c r="AA122" i="52" s="1"/>
  <c r="O89" i="52"/>
  <c r="O92" i="52"/>
  <c r="L130" i="52"/>
  <c r="AA130" i="52" s="1"/>
  <c r="O97" i="52"/>
  <c r="O100" i="52"/>
  <c r="C102" i="52"/>
  <c r="K102" i="52"/>
  <c r="N135" i="52"/>
  <c r="D11" i="22" s="1"/>
  <c r="W135" i="52"/>
  <c r="M11" i="22" s="1"/>
  <c r="AA115" i="52"/>
  <c r="AA123" i="52"/>
  <c r="AA131" i="52"/>
  <c r="U32" i="52"/>
  <c r="Y32" i="52"/>
  <c r="AC32" i="52"/>
  <c r="AG32" i="52"/>
  <c r="AH28" i="52"/>
  <c r="O67" i="52"/>
  <c r="V67" i="52"/>
  <c r="AL136" i="73" s="1"/>
  <c r="H736" i="73" s="1"/>
  <c r="Z67" i="52"/>
  <c r="AD67" i="52"/>
  <c r="AH40" i="52"/>
  <c r="AH54" i="52"/>
  <c r="AH62" i="52"/>
  <c r="AH66" i="52"/>
  <c r="B102" i="52"/>
  <c r="O75" i="52"/>
  <c r="F102" i="52"/>
  <c r="J102" i="52"/>
  <c r="X108" i="52"/>
  <c r="X135" i="52" s="1"/>
  <c r="N11" i="22" s="1"/>
  <c r="N102" i="52"/>
  <c r="O78" i="52"/>
  <c r="AA113" i="52"/>
  <c r="L116" i="52"/>
  <c r="AA116" i="52" s="1"/>
  <c r="O83" i="52"/>
  <c r="O86" i="52"/>
  <c r="L124" i="52"/>
  <c r="AA124" i="52" s="1"/>
  <c r="O91" i="52"/>
  <c r="O94" i="52"/>
  <c r="L132" i="52"/>
  <c r="AA132" i="52" s="1"/>
  <c r="O99" i="52"/>
  <c r="E102" i="52"/>
  <c r="M102" i="52"/>
  <c r="P108" i="52"/>
  <c r="P135" i="52" s="1"/>
  <c r="F11" i="22" s="1"/>
  <c r="L114" i="52"/>
  <c r="AA114" i="52" s="1"/>
  <c r="AA121" i="52"/>
  <c r="AA129" i="52"/>
  <c r="AH5" i="52"/>
  <c r="AH24" i="52"/>
  <c r="AH48" i="52"/>
  <c r="AH56" i="52"/>
  <c r="AH64" i="52"/>
  <c r="M135" i="52"/>
  <c r="C11" i="22" s="1"/>
  <c r="Q135" i="52"/>
  <c r="G11" i="22" s="1"/>
  <c r="O77" i="52"/>
  <c r="O80" i="52"/>
  <c r="L118" i="52"/>
  <c r="AA118" i="52" s="1"/>
  <c r="O85" i="52"/>
  <c r="O88" i="52"/>
  <c r="L126" i="52"/>
  <c r="AA126" i="52" s="1"/>
  <c r="O93" i="52"/>
  <c r="O96" i="52"/>
  <c r="L134" i="52"/>
  <c r="AA134" i="52" s="1"/>
  <c r="O101" i="52"/>
  <c r="G102" i="52"/>
  <c r="R135" i="52"/>
  <c r="H11" i="22" s="1"/>
  <c r="S109" i="52"/>
  <c r="S135" i="52" s="1"/>
  <c r="I11" i="22" s="1"/>
  <c r="Z135" i="52"/>
  <c r="P11" i="22" s="1"/>
  <c r="AA119" i="52"/>
  <c r="AA127" i="52"/>
  <c r="T67" i="52"/>
  <c r="AL68" i="73" s="1"/>
  <c r="H730" i="73" s="1"/>
  <c r="X67" i="52"/>
  <c r="AB67" i="52"/>
  <c r="AF67" i="52"/>
  <c r="AH44" i="52"/>
  <c r="AH50" i="52"/>
  <c r="D102" i="52"/>
  <c r="H102" i="52"/>
  <c r="L102" i="52"/>
  <c r="V108" i="52"/>
  <c r="V135" i="52" s="1"/>
  <c r="L11" i="22" s="1"/>
  <c r="O82" i="52"/>
  <c r="L120" i="52"/>
  <c r="AA120" i="52" s="1"/>
  <c r="O87" i="52"/>
  <c r="O90" i="52"/>
  <c r="L128" i="52"/>
  <c r="AA128" i="52" s="1"/>
  <c r="O95" i="52"/>
  <c r="O98" i="52"/>
  <c r="L108" i="52"/>
  <c r="T108" i="52"/>
  <c r="T135" i="52" s="1"/>
  <c r="J11" i="22" s="1"/>
  <c r="L110" i="52"/>
  <c r="AA110" i="52" s="1"/>
  <c r="AA117" i="52"/>
  <c r="AA125" i="52"/>
  <c r="AA133" i="52"/>
  <c r="U135" i="52"/>
  <c r="K11" i="22" s="1"/>
  <c r="AH51" i="56"/>
  <c r="AH65" i="56"/>
  <c r="D102" i="56"/>
  <c r="N108" i="56"/>
  <c r="N135" i="56" s="1"/>
  <c r="D10" i="22" s="1"/>
  <c r="H102" i="56"/>
  <c r="R108" i="56"/>
  <c r="R135" i="56" s="1"/>
  <c r="H10" i="22" s="1"/>
  <c r="L102" i="56"/>
  <c r="V108" i="56"/>
  <c r="V135" i="56" s="1"/>
  <c r="L10" i="22" s="1"/>
  <c r="AH102" i="56"/>
  <c r="O77" i="56"/>
  <c r="L113" i="56"/>
  <c r="AA113" i="56" s="1"/>
  <c r="O80" i="56"/>
  <c r="O83" i="56"/>
  <c r="AA118" i="56"/>
  <c r="AA120" i="56"/>
  <c r="AA122" i="56"/>
  <c r="AA124" i="56"/>
  <c r="AA126" i="56"/>
  <c r="AA128" i="56"/>
  <c r="AA130" i="56"/>
  <c r="AA132" i="56"/>
  <c r="AA134" i="56"/>
  <c r="AH5" i="56"/>
  <c r="AH63" i="56"/>
  <c r="O108" i="56"/>
  <c r="O135" i="56" s="1"/>
  <c r="E10" i="22" s="1"/>
  <c r="E102" i="56"/>
  <c r="S108" i="56"/>
  <c r="S135" i="56" s="1"/>
  <c r="I10" i="22" s="1"/>
  <c r="I102" i="56"/>
  <c r="W108" i="56"/>
  <c r="W135" i="56" s="1"/>
  <c r="M10" i="22" s="1"/>
  <c r="M102" i="56"/>
  <c r="L109" i="56"/>
  <c r="AA109" i="56" s="1"/>
  <c r="O76" i="56"/>
  <c r="AA112" i="56"/>
  <c r="L115" i="56"/>
  <c r="AA115" i="56" s="1"/>
  <c r="O82" i="56"/>
  <c r="AH40" i="56"/>
  <c r="AH59" i="56"/>
  <c r="B102" i="56"/>
  <c r="F102" i="56"/>
  <c r="J102" i="56"/>
  <c r="N102" i="56"/>
  <c r="AA111" i="56"/>
  <c r="O79" i="56"/>
  <c r="AA114" i="56"/>
  <c r="AA117" i="56"/>
  <c r="AA119" i="56"/>
  <c r="AA121" i="56"/>
  <c r="AA123" i="56"/>
  <c r="AA125" i="56"/>
  <c r="AA127" i="56"/>
  <c r="AA129" i="56"/>
  <c r="AA131" i="56"/>
  <c r="AA133" i="56"/>
  <c r="C102" i="56"/>
  <c r="M108" i="56"/>
  <c r="M135" i="56" s="1"/>
  <c r="C10" i="22" s="1"/>
  <c r="G102" i="56"/>
  <c r="Q108" i="56"/>
  <c r="Q135" i="56" s="1"/>
  <c r="G10" i="22" s="1"/>
  <c r="K102" i="56"/>
  <c r="U108" i="56"/>
  <c r="U135" i="56" s="1"/>
  <c r="K10" i="22" s="1"/>
  <c r="O75" i="56"/>
  <c r="O78" i="56"/>
  <c r="O81" i="56"/>
  <c r="O84" i="56"/>
  <c r="O88" i="56"/>
  <c r="O92" i="56"/>
  <c r="O96" i="56"/>
  <c r="O100" i="56"/>
  <c r="L108" i="56"/>
  <c r="P108" i="56"/>
  <c r="P135" i="56" s="1"/>
  <c r="F10" i="22" s="1"/>
  <c r="T108" i="56"/>
  <c r="T135" i="56" s="1"/>
  <c r="J10" i="22" s="1"/>
  <c r="X108" i="56"/>
  <c r="X135" i="56" s="1"/>
  <c r="N10" i="22" s="1"/>
  <c r="O87" i="56"/>
  <c r="O91" i="56"/>
  <c r="O95" i="56"/>
  <c r="O99" i="56"/>
  <c r="O86" i="56"/>
  <c r="O90" i="56"/>
  <c r="O94" i="56"/>
  <c r="O98" i="56"/>
  <c r="O85" i="56"/>
  <c r="O89" i="56"/>
  <c r="O93" i="56"/>
  <c r="O97" i="56"/>
  <c r="O101" i="56"/>
  <c r="AH58" i="57"/>
  <c r="AH64" i="57"/>
  <c r="S67" i="57"/>
  <c r="AJ34" i="73" s="1"/>
  <c r="F727" i="73" s="1"/>
  <c r="B102" i="57"/>
  <c r="O75" i="57"/>
  <c r="L108" i="57"/>
  <c r="F102" i="57"/>
  <c r="P108" i="57"/>
  <c r="P135" i="57" s="1"/>
  <c r="F9" i="22" s="1"/>
  <c r="J102" i="57"/>
  <c r="T108" i="57"/>
  <c r="T135" i="57" s="1"/>
  <c r="J9" i="22" s="1"/>
  <c r="N102" i="57"/>
  <c r="X108" i="57"/>
  <c r="X135" i="57" s="1"/>
  <c r="N9" i="22" s="1"/>
  <c r="O78" i="57"/>
  <c r="AA113" i="57"/>
  <c r="AA118" i="57"/>
  <c r="AA120" i="57"/>
  <c r="AA122" i="57"/>
  <c r="AA124" i="57"/>
  <c r="AA126" i="57"/>
  <c r="AA128" i="57"/>
  <c r="AA130" i="57"/>
  <c r="AA132" i="57"/>
  <c r="AA134" i="57"/>
  <c r="AH5" i="57"/>
  <c r="AJ175" i="73" s="1"/>
  <c r="AH54" i="57"/>
  <c r="C102" i="57"/>
  <c r="M108" i="57"/>
  <c r="G102" i="57"/>
  <c r="K102" i="57"/>
  <c r="AH102" i="57"/>
  <c r="L110" i="57"/>
  <c r="AA110" i="57" s="1"/>
  <c r="O77" i="57"/>
  <c r="O80" i="57"/>
  <c r="O67" i="57"/>
  <c r="V67" i="57"/>
  <c r="AJ136" i="73" s="1"/>
  <c r="F736" i="73" s="1"/>
  <c r="Z67" i="57"/>
  <c r="AD67" i="57"/>
  <c r="AH50" i="57"/>
  <c r="N108" i="57"/>
  <c r="N135" i="57" s="1"/>
  <c r="D9" i="22" s="1"/>
  <c r="D102" i="57"/>
  <c r="R108" i="57"/>
  <c r="R135" i="57" s="1"/>
  <c r="H9" i="22" s="1"/>
  <c r="H102" i="57"/>
  <c r="V108" i="57"/>
  <c r="V135" i="57" s="1"/>
  <c r="L9" i="22" s="1"/>
  <c r="L102" i="57"/>
  <c r="AA109" i="57"/>
  <c r="O79" i="57"/>
  <c r="L112" i="57"/>
  <c r="AA112" i="57" s="1"/>
  <c r="O82" i="57"/>
  <c r="M115" i="57"/>
  <c r="AA115" i="57" s="1"/>
  <c r="AA117" i="57"/>
  <c r="O84" i="57"/>
  <c r="O76" i="57"/>
  <c r="L114" i="57"/>
  <c r="AA114" i="57" s="1"/>
  <c r="O81" i="57"/>
  <c r="L116" i="57"/>
  <c r="AA116" i="57" s="1"/>
  <c r="O83" i="57"/>
  <c r="O85" i="57"/>
  <c r="O89" i="57"/>
  <c r="O93" i="57"/>
  <c r="O97" i="57"/>
  <c r="O101" i="57"/>
  <c r="O108" i="57"/>
  <c r="O135" i="57" s="1"/>
  <c r="E9" i="22" s="1"/>
  <c r="S108" i="57"/>
  <c r="S135" i="57" s="1"/>
  <c r="I9" i="22" s="1"/>
  <c r="W108" i="57"/>
  <c r="W135" i="57" s="1"/>
  <c r="M9" i="22" s="1"/>
  <c r="M119" i="57"/>
  <c r="AA119" i="57" s="1"/>
  <c r="M121" i="57"/>
  <c r="AA121" i="57" s="1"/>
  <c r="M123" i="57"/>
  <c r="AA123" i="57" s="1"/>
  <c r="M125" i="57"/>
  <c r="AA125" i="57" s="1"/>
  <c r="M127" i="57"/>
  <c r="AA127" i="57" s="1"/>
  <c r="M129" i="57"/>
  <c r="AA129" i="57" s="1"/>
  <c r="M131" i="57"/>
  <c r="AA131" i="57" s="1"/>
  <c r="M133" i="57"/>
  <c r="AA133" i="57" s="1"/>
  <c r="O87" i="57"/>
  <c r="O91" i="57"/>
  <c r="O95" i="57"/>
  <c r="O99" i="57"/>
  <c r="Q108" i="57"/>
  <c r="Q135" i="57" s="1"/>
  <c r="G9" i="22" s="1"/>
  <c r="U108" i="57"/>
  <c r="U135" i="57" s="1"/>
  <c r="K9" i="22" s="1"/>
  <c r="U67" i="58"/>
  <c r="Y67" i="58"/>
  <c r="AC67" i="58"/>
  <c r="AG67" i="58"/>
  <c r="AH49" i="58"/>
  <c r="AH57" i="58"/>
  <c r="O108" i="58"/>
  <c r="O135" i="58" s="1"/>
  <c r="E8" i="22" s="1"/>
  <c r="U61" i="62" s="1"/>
  <c r="E102" i="58"/>
  <c r="S108" i="58"/>
  <c r="S135" i="58" s="1"/>
  <c r="I8" i="22" s="1"/>
  <c r="I102" i="58"/>
  <c r="W108" i="58"/>
  <c r="W135" i="58" s="1"/>
  <c r="M8" i="22" s="1"/>
  <c r="M102" i="58"/>
  <c r="O76" i="58"/>
  <c r="O81" i="58"/>
  <c r="AH40" i="58"/>
  <c r="AH45" i="58"/>
  <c r="AH56" i="58"/>
  <c r="AH66" i="58"/>
  <c r="L108" i="58"/>
  <c r="B102" i="58"/>
  <c r="O75" i="58"/>
  <c r="P108" i="58"/>
  <c r="F102" i="58"/>
  <c r="AK102" i="58" s="1"/>
  <c r="T108" i="58"/>
  <c r="T135" i="58" s="1"/>
  <c r="J8" i="22" s="1"/>
  <c r="J102" i="58"/>
  <c r="X108" i="58"/>
  <c r="X135" i="58" s="1"/>
  <c r="N8" i="22" s="1"/>
  <c r="N102" i="58"/>
  <c r="L113" i="58"/>
  <c r="AA113" i="58" s="1"/>
  <c r="O80" i="58"/>
  <c r="AH5" i="58"/>
  <c r="T32" i="58"/>
  <c r="L117" i="58"/>
  <c r="O84" i="58"/>
  <c r="R135" i="58"/>
  <c r="H8" i="22" s="1"/>
  <c r="T67" i="58"/>
  <c r="J31" i="65" s="1"/>
  <c r="X67" i="58"/>
  <c r="AB67" i="58"/>
  <c r="AF67" i="58"/>
  <c r="O77" i="58"/>
  <c r="V135" i="58"/>
  <c r="L8" i="22" s="1"/>
  <c r="O78" i="58"/>
  <c r="O82" i="58"/>
  <c r="O86" i="58"/>
  <c r="O90" i="58"/>
  <c r="O94" i="58"/>
  <c r="O98" i="58"/>
  <c r="C102" i="58"/>
  <c r="G102" i="58"/>
  <c r="K102" i="58"/>
  <c r="O85" i="58"/>
  <c r="O89" i="58"/>
  <c r="O93" i="58"/>
  <c r="O97" i="58"/>
  <c r="O101" i="58"/>
  <c r="D102" i="58"/>
  <c r="H102" i="58"/>
  <c r="L102" i="58"/>
  <c r="O88" i="58"/>
  <c r="O92" i="58"/>
  <c r="O96" i="58"/>
  <c r="O100" i="58"/>
  <c r="O79" i="58"/>
  <c r="O83" i="58"/>
  <c r="O87" i="58"/>
  <c r="O91" i="58"/>
  <c r="O95" i="58"/>
  <c r="O99" i="58"/>
  <c r="AH5" i="59"/>
  <c r="M108" i="59"/>
  <c r="C102" i="59"/>
  <c r="Q108" i="59"/>
  <c r="Q135" i="59" s="1"/>
  <c r="G7" i="22" s="1"/>
  <c r="G102" i="59"/>
  <c r="U108" i="59"/>
  <c r="U135" i="59" s="1"/>
  <c r="K7" i="22" s="1"/>
  <c r="K102" i="59"/>
  <c r="O75" i="59"/>
  <c r="AA110" i="59"/>
  <c r="O78" i="59"/>
  <c r="O81" i="59"/>
  <c r="L117" i="59"/>
  <c r="AA117" i="59" s="1"/>
  <c r="O84" i="59"/>
  <c r="AA120" i="59"/>
  <c r="AH65" i="59"/>
  <c r="N108" i="59"/>
  <c r="N135" i="59" s="1"/>
  <c r="D7" i="22" s="1"/>
  <c r="D61" i="62" s="1"/>
  <c r="D67" i="62" s="1"/>
  <c r="D102" i="59"/>
  <c r="R108" i="59"/>
  <c r="R135" i="59" s="1"/>
  <c r="H7" i="22" s="1"/>
  <c r="H102" i="59"/>
  <c r="V108" i="59"/>
  <c r="V135" i="59" s="1"/>
  <c r="L7" i="22" s="1"/>
  <c r="L102" i="59"/>
  <c r="AH102" i="59"/>
  <c r="O77" i="59"/>
  <c r="L113" i="59"/>
  <c r="AA113" i="59" s="1"/>
  <c r="O80" i="59"/>
  <c r="AA116" i="59"/>
  <c r="AA119" i="59"/>
  <c r="O87" i="59"/>
  <c r="S67" i="59"/>
  <c r="AI67" i="59" s="1"/>
  <c r="W67" i="59"/>
  <c r="AK67" i="59" s="1"/>
  <c r="AA67" i="59"/>
  <c r="AE67" i="59"/>
  <c r="AH63" i="59"/>
  <c r="O108" i="59"/>
  <c r="O135" i="59" s="1"/>
  <c r="E102" i="59"/>
  <c r="S108" i="59"/>
  <c r="S135" i="59" s="1"/>
  <c r="I7" i="22" s="1"/>
  <c r="I102" i="59"/>
  <c r="W108" i="59"/>
  <c r="W135" i="59" s="1"/>
  <c r="M7" i="22" s="1"/>
  <c r="M102" i="59"/>
  <c r="L109" i="59"/>
  <c r="AA109" i="59" s="1"/>
  <c r="O76" i="59"/>
  <c r="AA112" i="59"/>
  <c r="AA115" i="59"/>
  <c r="O83" i="59"/>
  <c r="AA118" i="59"/>
  <c r="O86" i="59"/>
  <c r="O89" i="59"/>
  <c r="M122" i="59"/>
  <c r="AA122" i="59" s="1"/>
  <c r="O79" i="59"/>
  <c r="O82" i="59"/>
  <c r="O85" i="59"/>
  <c r="L121" i="59"/>
  <c r="O88" i="59"/>
  <c r="O92" i="59"/>
  <c r="O96" i="59"/>
  <c r="O100" i="59"/>
  <c r="M124" i="59"/>
  <c r="AA124" i="59" s="1"/>
  <c r="M126" i="59"/>
  <c r="AA126" i="59" s="1"/>
  <c r="M128" i="59"/>
  <c r="AA128" i="59" s="1"/>
  <c r="M130" i="59"/>
  <c r="AA130" i="59" s="1"/>
  <c r="M132" i="59"/>
  <c r="AA132" i="59" s="1"/>
  <c r="M134" i="59"/>
  <c r="AA134" i="59" s="1"/>
  <c r="B102" i="59"/>
  <c r="F102" i="59"/>
  <c r="AK102" i="59" s="1"/>
  <c r="J102" i="59"/>
  <c r="N102" i="59"/>
  <c r="O90" i="59"/>
  <c r="O94" i="59"/>
  <c r="O98" i="59"/>
  <c r="M108" i="60"/>
  <c r="M135" i="60" s="1"/>
  <c r="C102" i="60"/>
  <c r="O75" i="60"/>
  <c r="L119" i="60"/>
  <c r="AA119" i="60" s="1"/>
  <c r="O86" i="60"/>
  <c r="O91" i="60"/>
  <c r="B102" i="60"/>
  <c r="P135" i="60"/>
  <c r="F6" i="22" s="1"/>
  <c r="C90" i="62" s="1"/>
  <c r="C96" i="62" s="1"/>
  <c r="AA114" i="60"/>
  <c r="AH15" i="60"/>
  <c r="S67" i="60"/>
  <c r="AI67" i="60" s="1"/>
  <c r="W67" i="60"/>
  <c r="AK67" i="60" s="1"/>
  <c r="AA67" i="60"/>
  <c r="AE67" i="60"/>
  <c r="N135" i="60"/>
  <c r="D6" i="22" s="1"/>
  <c r="C61" i="62" s="1"/>
  <c r="C67" i="62" s="1"/>
  <c r="R135" i="60"/>
  <c r="H6" i="22" s="1"/>
  <c r="AH102" i="60"/>
  <c r="AH103" i="60" s="1"/>
  <c r="O79" i="60"/>
  <c r="AA116" i="60"/>
  <c r="AA121" i="60"/>
  <c r="L123" i="60"/>
  <c r="AA123" i="60" s="1"/>
  <c r="O90" i="60"/>
  <c r="O95" i="60"/>
  <c r="F102" i="60"/>
  <c r="AK102" i="60" s="1"/>
  <c r="T135" i="60"/>
  <c r="J6" i="22" s="1"/>
  <c r="S32" i="60"/>
  <c r="AI32" i="60" s="1"/>
  <c r="AH40" i="60"/>
  <c r="U108" i="60"/>
  <c r="U135" i="60" s="1"/>
  <c r="K6" i="22" s="1"/>
  <c r="K102" i="60"/>
  <c r="AA126" i="60"/>
  <c r="O32" i="60"/>
  <c r="V32" i="60"/>
  <c r="AJ32" i="60" s="1"/>
  <c r="Z32" i="60"/>
  <c r="AD32" i="60"/>
  <c r="AH5" i="60"/>
  <c r="AH27" i="60"/>
  <c r="O135" i="60"/>
  <c r="S135" i="60"/>
  <c r="I6" i="22" s="1"/>
  <c r="M102" i="60"/>
  <c r="AA109" i="60"/>
  <c r="L111" i="60"/>
  <c r="AA111" i="60" s="1"/>
  <c r="O78" i="60"/>
  <c r="O83" i="60"/>
  <c r="AA118" i="60"/>
  <c r="AA125" i="60"/>
  <c r="L127" i="60"/>
  <c r="AA127" i="60" s="1"/>
  <c r="O94" i="60"/>
  <c r="O99" i="60"/>
  <c r="J102" i="60"/>
  <c r="Y135" i="60"/>
  <c r="O6" i="22" s="1"/>
  <c r="Q108" i="60"/>
  <c r="G102" i="60"/>
  <c r="AH23" i="60"/>
  <c r="AH29" i="60"/>
  <c r="U67" i="60"/>
  <c r="AJ67" i="60" s="1"/>
  <c r="Y67" i="60"/>
  <c r="AC67" i="60"/>
  <c r="AG67" i="60"/>
  <c r="X135" i="60"/>
  <c r="N6" i="22" s="1"/>
  <c r="AA113" i="60"/>
  <c r="L115" i="60"/>
  <c r="AA115" i="60" s="1"/>
  <c r="O82" i="60"/>
  <c r="O87" i="60"/>
  <c r="AA122" i="60"/>
  <c r="AA124" i="60"/>
  <c r="AA129" i="60"/>
  <c r="L131" i="60"/>
  <c r="AA131" i="60" s="1"/>
  <c r="O98" i="60"/>
  <c r="N102" i="60"/>
  <c r="O77" i="60"/>
  <c r="O81" i="60"/>
  <c r="O85" i="60"/>
  <c r="O89" i="60"/>
  <c r="O93" i="60"/>
  <c r="O97" i="60"/>
  <c r="AA133" i="60"/>
  <c r="O101" i="60"/>
  <c r="D102" i="60"/>
  <c r="H102" i="60"/>
  <c r="L102" i="60"/>
  <c r="W108" i="60"/>
  <c r="W135" i="60" s="1"/>
  <c r="M6" i="22" s="1"/>
  <c r="O76" i="60"/>
  <c r="O80" i="60"/>
  <c r="O84" i="60"/>
  <c r="O88" i="60"/>
  <c r="O92" i="60"/>
  <c r="O96" i="60"/>
  <c r="AA132" i="60"/>
  <c r="O100" i="60"/>
  <c r="E102" i="60"/>
  <c r="I102" i="60"/>
  <c r="V135" i="60"/>
  <c r="L6" i="22" s="1"/>
  <c r="AA130" i="60"/>
  <c r="V32" i="16"/>
  <c r="AD32" i="16"/>
  <c r="AH8" i="16"/>
  <c r="W32" i="16"/>
  <c r="AK32" i="16" s="1"/>
  <c r="AA32" i="16"/>
  <c r="AE32" i="16"/>
  <c r="AH10" i="16"/>
  <c r="AH12" i="16"/>
  <c r="AH16" i="16"/>
  <c r="AH18" i="16"/>
  <c r="AH23" i="16"/>
  <c r="AH27" i="16"/>
  <c r="AH29" i="16"/>
  <c r="S67" i="16"/>
  <c r="AF34" i="73" s="1"/>
  <c r="B727" i="73" s="1"/>
  <c r="W67" i="16"/>
  <c r="AF170" i="73" s="1"/>
  <c r="AB67" i="16"/>
  <c r="AH41" i="16"/>
  <c r="AH45" i="16"/>
  <c r="AH64" i="16"/>
  <c r="AH31" i="16"/>
  <c r="T32" i="16"/>
  <c r="X32" i="16"/>
  <c r="AB32" i="16"/>
  <c r="AF32" i="16"/>
  <c r="AH7" i="16"/>
  <c r="AH9" i="16"/>
  <c r="AH11" i="16"/>
  <c r="AH13" i="16"/>
  <c r="AH15" i="16"/>
  <c r="AH17" i="16"/>
  <c r="AH19" i="16"/>
  <c r="AH24" i="16"/>
  <c r="U67" i="16"/>
  <c r="AF102" i="73" s="1"/>
  <c r="AD67" i="16"/>
  <c r="AH48" i="16"/>
  <c r="AH50" i="16"/>
  <c r="AH51" i="16"/>
  <c r="AH52" i="16"/>
  <c r="AH53" i="16"/>
  <c r="AH58" i="16"/>
  <c r="AH61" i="16"/>
  <c r="U32" i="16"/>
  <c r="Y32" i="16"/>
  <c r="AC32" i="16"/>
  <c r="AG32" i="16"/>
  <c r="AH20" i="16"/>
  <c r="AH25" i="16"/>
  <c r="V67" i="16"/>
  <c r="AF136" i="73" s="1"/>
  <c r="AH46" i="16"/>
  <c r="AH47" i="16"/>
  <c r="AH49" i="16"/>
  <c r="AH60" i="16"/>
  <c r="AH66" i="16"/>
  <c r="Q123" i="16"/>
  <c r="Q122" i="16"/>
  <c r="Q126" i="16"/>
  <c r="L111" i="16"/>
  <c r="O78" i="16"/>
  <c r="M121" i="16"/>
  <c r="O88" i="16"/>
  <c r="O92" i="16"/>
  <c r="M125" i="16"/>
  <c r="M113" i="16"/>
  <c r="O80" i="16"/>
  <c r="L110" i="16"/>
  <c r="O77" i="16"/>
  <c r="R108" i="16"/>
  <c r="L109" i="16"/>
  <c r="M108" i="16"/>
  <c r="O5" i="16"/>
  <c r="AH5" i="16"/>
  <c r="O7" i="16"/>
  <c r="O16" i="16"/>
  <c r="O17" i="16"/>
  <c r="O18" i="16"/>
  <c r="O20" i="16"/>
  <c r="O21" i="16"/>
  <c r="O29" i="16"/>
  <c r="H32" i="16"/>
  <c r="S32" i="16"/>
  <c r="O8" i="16"/>
  <c r="O9" i="16"/>
  <c r="O10" i="16"/>
  <c r="O11" i="16"/>
  <c r="O12" i="16"/>
  <c r="O13" i="16"/>
  <c r="C90" i="16"/>
  <c r="M123" i="16" s="1"/>
  <c r="H94" i="16"/>
  <c r="R127" i="16" s="1"/>
  <c r="H95" i="16"/>
  <c r="R128" i="16" s="1"/>
  <c r="AA128" i="16" s="1"/>
  <c r="M131" i="16"/>
  <c r="O31" i="16"/>
  <c r="E32" i="16"/>
  <c r="AJ32" i="16" s="1"/>
  <c r="Y67" i="16"/>
  <c r="AA67" i="16"/>
  <c r="O65" i="16"/>
  <c r="J67" i="16"/>
  <c r="N108" i="16"/>
  <c r="D102" i="16"/>
  <c r="V108" i="16"/>
  <c r="V135" i="16" s="1"/>
  <c r="L5" i="22" s="1"/>
  <c r="L102" i="16"/>
  <c r="L114" i="16"/>
  <c r="O81" i="16"/>
  <c r="Q114" i="16"/>
  <c r="T115" i="16"/>
  <c r="AA115" i="16" s="1"/>
  <c r="O86" i="16"/>
  <c r="L123" i="16"/>
  <c r="L126" i="16"/>
  <c r="O93" i="16"/>
  <c r="Q127" i="16"/>
  <c r="L132" i="16"/>
  <c r="O99" i="16"/>
  <c r="O133" i="16"/>
  <c r="O25" i="16"/>
  <c r="O108" i="16"/>
  <c r="S108" i="16"/>
  <c r="I102" i="16"/>
  <c r="W108" i="16"/>
  <c r="W135" i="16" s="1"/>
  <c r="M5" i="22" s="1"/>
  <c r="M102" i="16"/>
  <c r="O82" i="16"/>
  <c r="C84" i="16"/>
  <c r="AI84" i="16" s="1"/>
  <c r="E85" i="16"/>
  <c r="AJ85" i="16" s="1"/>
  <c r="Q119" i="16"/>
  <c r="AA119" i="16" s="1"/>
  <c r="AA120" i="16"/>
  <c r="O87" i="16"/>
  <c r="T122" i="16"/>
  <c r="AA124" i="16"/>
  <c r="O91" i="16"/>
  <c r="AH94" i="16"/>
  <c r="AH95" i="16"/>
  <c r="E98" i="16"/>
  <c r="O131" i="16" s="1"/>
  <c r="O100" i="16"/>
  <c r="M133" i="16"/>
  <c r="B102" i="16"/>
  <c r="P108" i="16"/>
  <c r="F102" i="16"/>
  <c r="AK102" i="16" s="1"/>
  <c r="T108" i="16"/>
  <c r="J102" i="16"/>
  <c r="X108" i="16"/>
  <c r="X135" i="16" s="1"/>
  <c r="N5" i="22" s="1"/>
  <c r="N102" i="16"/>
  <c r="C76" i="16"/>
  <c r="M109" i="16" s="1"/>
  <c r="AA116" i="16"/>
  <c r="O83" i="16"/>
  <c r="L122" i="16"/>
  <c r="O96" i="16"/>
  <c r="L134" i="16"/>
  <c r="AA134" i="16" s="1"/>
  <c r="O101" i="16"/>
  <c r="O43" i="16"/>
  <c r="Q108" i="16"/>
  <c r="G102" i="16"/>
  <c r="U108" i="16"/>
  <c r="U135" i="16" s="1"/>
  <c r="K5" i="22" s="1"/>
  <c r="K102" i="16"/>
  <c r="O75" i="16"/>
  <c r="Q112" i="16"/>
  <c r="O79" i="16"/>
  <c r="L118" i="16"/>
  <c r="L130" i="16"/>
  <c r="AA130" i="16" s="1"/>
  <c r="O97" i="16"/>
  <c r="P135" i="16" l="1"/>
  <c r="F5" i="22" s="1"/>
  <c r="B90" i="62" s="1"/>
  <c r="AA132" i="16"/>
  <c r="AA129" i="16"/>
  <c r="AI32" i="59"/>
  <c r="AC16" i="65"/>
  <c r="AE16" i="65" s="1"/>
  <c r="AI115" i="73"/>
  <c r="AR115" i="73" s="1"/>
  <c r="AH47" i="73"/>
  <c r="AG164" i="73"/>
  <c r="C588" i="73" s="1"/>
  <c r="AG87" i="73"/>
  <c r="C417" i="73" s="1"/>
  <c r="Q135" i="60"/>
  <c r="G6" i="22" s="1"/>
  <c r="AJ32" i="59"/>
  <c r="AL32" i="59"/>
  <c r="AB23" i="65"/>
  <c r="AB9" i="65"/>
  <c r="AI74" i="73"/>
  <c r="AI8" i="73"/>
  <c r="AC14" i="65"/>
  <c r="AC8" i="65"/>
  <c r="AB8" i="65"/>
  <c r="AH54" i="73"/>
  <c r="D337" i="73" s="1"/>
  <c r="AG29" i="73"/>
  <c r="AL204" i="73"/>
  <c r="H742" i="73" s="1"/>
  <c r="AH95" i="73"/>
  <c r="D425" i="73" s="1"/>
  <c r="AH153" i="73"/>
  <c r="AH91" i="73"/>
  <c r="AA121" i="16"/>
  <c r="AA112" i="16"/>
  <c r="N135" i="16"/>
  <c r="D5" i="22" s="1"/>
  <c r="B61" i="62" s="1"/>
  <c r="AA110" i="16"/>
  <c r="AA121" i="59"/>
  <c r="AC13" i="65"/>
  <c r="AE13" i="65" s="1"/>
  <c r="AC26" i="65"/>
  <c r="AE26" i="65" s="1"/>
  <c r="AB12" i="65"/>
  <c r="AI16" i="73"/>
  <c r="AH9" i="73"/>
  <c r="AB25" i="65"/>
  <c r="AD25" i="65" s="1"/>
  <c r="AI130" i="73"/>
  <c r="AR130" i="73" s="1"/>
  <c r="AH75" i="73"/>
  <c r="D405" i="73" s="1"/>
  <c r="AG161" i="73"/>
  <c r="C585" i="73" s="1"/>
  <c r="AG157" i="73"/>
  <c r="C581" i="73" s="1"/>
  <c r="AG97" i="73"/>
  <c r="AG93" i="73"/>
  <c r="C423" i="73" s="1"/>
  <c r="AL67" i="59"/>
  <c r="AA113" i="16"/>
  <c r="AB24" i="65"/>
  <c r="AD24" i="65" s="1"/>
  <c r="AB18" i="65"/>
  <c r="AD18" i="65" s="1"/>
  <c r="AB11" i="65"/>
  <c r="AH151" i="73"/>
  <c r="D575" i="73" s="1"/>
  <c r="AI82" i="73"/>
  <c r="AH131" i="73"/>
  <c r="AH125" i="73"/>
  <c r="C415" i="73"/>
  <c r="AH85" i="73"/>
  <c r="D484" i="73"/>
  <c r="AI107" i="73"/>
  <c r="F646" i="73"/>
  <c r="AJ202" i="73"/>
  <c r="C322" i="73"/>
  <c r="AH39" i="73"/>
  <c r="AG196" i="73"/>
  <c r="B667" i="73"/>
  <c r="AG184" i="73"/>
  <c r="B655" i="73"/>
  <c r="AG102" i="73"/>
  <c r="B733" i="73"/>
  <c r="D565" i="73"/>
  <c r="AI141" i="73"/>
  <c r="AR141" i="73" s="1"/>
  <c r="AG136" i="73"/>
  <c r="C736" i="73" s="1"/>
  <c r="B736" i="73"/>
  <c r="AG170" i="73"/>
  <c r="B739" i="73"/>
  <c r="AI102" i="59"/>
  <c r="AI54" i="73"/>
  <c r="AR54" i="73" s="1"/>
  <c r="H30" i="65"/>
  <c r="H32" i="65" s="1"/>
  <c r="AG178" i="73"/>
  <c r="B649" i="73"/>
  <c r="B670" i="73"/>
  <c r="AG199" i="73"/>
  <c r="G646" i="73"/>
  <c r="G760" i="73" s="1"/>
  <c r="AK202" i="73"/>
  <c r="AG166" i="73"/>
  <c r="AI67" i="16"/>
  <c r="AL28" i="16"/>
  <c r="AI13" i="73"/>
  <c r="AJ67" i="59"/>
  <c r="AG132" i="73"/>
  <c r="AG124" i="73"/>
  <c r="AG116" i="73"/>
  <c r="AG112" i="73"/>
  <c r="AG195" i="73"/>
  <c r="B666" i="73"/>
  <c r="AH68" i="73"/>
  <c r="D730" i="73" s="1"/>
  <c r="AH92" i="73"/>
  <c r="AH148" i="73"/>
  <c r="H646" i="73"/>
  <c r="H760" i="73" s="1"/>
  <c r="AL202" i="73"/>
  <c r="AH128" i="73"/>
  <c r="AH79" i="73"/>
  <c r="I30" i="65"/>
  <c r="I32" i="65" s="1"/>
  <c r="AG24" i="73"/>
  <c r="AG20" i="73"/>
  <c r="C6" i="22"/>
  <c r="S32" i="62" s="1"/>
  <c r="S38" i="62" s="1"/>
  <c r="AH103" i="59"/>
  <c r="AC12" i="65"/>
  <c r="AE12" i="65" s="1"/>
  <c r="F403" i="73"/>
  <c r="F751" i="73" s="1"/>
  <c r="AJ100" i="73"/>
  <c r="AF198" i="73"/>
  <c r="B253" i="73"/>
  <c r="B745" i="73" s="1"/>
  <c r="AF32" i="73"/>
  <c r="G565" i="73"/>
  <c r="G757" i="73" s="1"/>
  <c r="AK168" i="73"/>
  <c r="AI96" i="73"/>
  <c r="AI12" i="73"/>
  <c r="AH154" i="73"/>
  <c r="F30" i="65"/>
  <c r="F32" i="65" s="1"/>
  <c r="F33" i="65" s="1"/>
  <c r="AG98" i="73"/>
  <c r="AG90" i="73"/>
  <c r="AJ98" i="16"/>
  <c r="B654" i="73"/>
  <c r="AG183" i="73"/>
  <c r="AH129" i="73"/>
  <c r="G403" i="73"/>
  <c r="G751" i="73" s="1"/>
  <c r="AK100" i="73"/>
  <c r="AH86" i="73"/>
  <c r="AG58" i="73"/>
  <c r="AG50" i="73"/>
  <c r="AG46" i="73"/>
  <c r="AG185" i="73"/>
  <c r="B656" i="73"/>
  <c r="AL32" i="60"/>
  <c r="AL6" i="16"/>
  <c r="AI95" i="73"/>
  <c r="AI11" i="73"/>
  <c r="AH160" i="73"/>
  <c r="AG123" i="73"/>
  <c r="AG119" i="73"/>
  <c r="AG194" i="73"/>
  <c r="B665" i="73"/>
  <c r="AG189" i="73"/>
  <c r="B660" i="73"/>
  <c r="AH113" i="73"/>
  <c r="G322" i="73"/>
  <c r="G748" i="73" s="1"/>
  <c r="AK66" i="73"/>
  <c r="AH93" i="73"/>
  <c r="AG31" i="73"/>
  <c r="AG27" i="73"/>
  <c r="AG23" i="73"/>
  <c r="AG19" i="73"/>
  <c r="AL102" i="59"/>
  <c r="AH14" i="16"/>
  <c r="D119" i="62"/>
  <c r="D125" i="62" s="1"/>
  <c r="AH144" i="73"/>
  <c r="AG109" i="73"/>
  <c r="AJ67" i="16"/>
  <c r="AI152" i="73"/>
  <c r="AI75" i="73"/>
  <c r="AH108" i="73"/>
  <c r="AH159" i="73"/>
  <c r="AG186" i="73"/>
  <c r="B657" i="73"/>
  <c r="AF176" i="73"/>
  <c r="AI76" i="16"/>
  <c r="AI10" i="73"/>
  <c r="F31" i="65"/>
  <c r="F565" i="73"/>
  <c r="F757" i="73" s="1"/>
  <c r="AJ168" i="73"/>
  <c r="AH150" i="73"/>
  <c r="AH155" i="73"/>
  <c r="AG89" i="73"/>
  <c r="C241" i="73"/>
  <c r="AG65" i="73"/>
  <c r="AG61" i="73"/>
  <c r="AG57" i="73"/>
  <c r="AG53" i="73"/>
  <c r="AG49" i="73"/>
  <c r="AH122" i="73"/>
  <c r="H484" i="73"/>
  <c r="H754" i="73" s="1"/>
  <c r="AL134" i="73"/>
  <c r="C565" i="73"/>
  <c r="AK67" i="16"/>
  <c r="AG180" i="73"/>
  <c r="B651" i="73"/>
  <c r="H748" i="73"/>
  <c r="D403" i="73"/>
  <c r="F241" i="73"/>
  <c r="AJ32" i="73"/>
  <c r="AH146" i="73"/>
  <c r="AG114" i="73"/>
  <c r="AG42" i="73"/>
  <c r="AG188" i="73"/>
  <c r="B659" i="73"/>
  <c r="AG181" i="73"/>
  <c r="B652" i="73"/>
  <c r="AH161" i="73"/>
  <c r="AG197" i="73"/>
  <c r="B668" i="73"/>
  <c r="AG193" i="73"/>
  <c r="B664" i="73"/>
  <c r="AH162" i="73"/>
  <c r="AH78" i="73"/>
  <c r="AH149" i="73"/>
  <c r="AG30" i="73"/>
  <c r="AG26" i="73"/>
  <c r="AG22" i="73"/>
  <c r="AG18" i="73"/>
  <c r="D25" i="64"/>
  <c r="C25" i="64"/>
  <c r="B67" i="62"/>
  <c r="B25" i="64"/>
  <c r="D37" i="64"/>
  <c r="C37" i="64"/>
  <c r="B96" i="62"/>
  <c r="B37" i="64"/>
  <c r="E6" i="22"/>
  <c r="S61" i="62" s="1"/>
  <c r="S67" i="62" s="1"/>
  <c r="E7" i="22"/>
  <c r="T61" i="62" s="1"/>
  <c r="T67" i="62" s="1"/>
  <c r="I33" i="65"/>
  <c r="AL67" i="60"/>
  <c r="E507" i="73"/>
  <c r="B415" i="73"/>
  <c r="B751" i="73" s="1"/>
  <c r="AF100" i="73"/>
  <c r="D30" i="65"/>
  <c r="D32" i="65" s="1"/>
  <c r="AL14" i="16"/>
  <c r="AI165" i="73"/>
  <c r="AI81" i="73"/>
  <c r="D241" i="73"/>
  <c r="AH145" i="73"/>
  <c r="H757" i="73"/>
  <c r="H241" i="73"/>
  <c r="AL32" i="73"/>
  <c r="AL26" i="16"/>
  <c r="B648" i="73"/>
  <c r="AG177" i="73"/>
  <c r="AH120" i="73"/>
  <c r="AH156" i="73"/>
  <c r="AG64" i="73"/>
  <c r="AG56" i="73"/>
  <c r="AG52" i="73"/>
  <c r="AG48" i="73"/>
  <c r="AG44" i="73"/>
  <c r="AG187" i="73"/>
  <c r="B658" i="73"/>
  <c r="AH87" i="73"/>
  <c r="AH88" i="73"/>
  <c r="AJ102" i="59"/>
  <c r="AM102" i="59" s="1"/>
  <c r="B322" i="73"/>
  <c r="B748" i="73" s="1"/>
  <c r="AF66" i="73"/>
  <c r="G30" i="65"/>
  <c r="G32" i="65" s="1"/>
  <c r="G33" i="65" s="1"/>
  <c r="AL94" i="16"/>
  <c r="AG167" i="73"/>
  <c r="AI7" i="73"/>
  <c r="AH111" i="73"/>
  <c r="AG133" i="73"/>
  <c r="AG41" i="73"/>
  <c r="AG179" i="73"/>
  <c r="B650" i="73"/>
  <c r="AH126" i="73"/>
  <c r="AH147" i="73"/>
  <c r="AG34" i="73"/>
  <c r="E31" i="65"/>
  <c r="E30" i="65"/>
  <c r="E32" i="65" s="1"/>
  <c r="AI28" i="73"/>
  <c r="AH127" i="73"/>
  <c r="AH163" i="73"/>
  <c r="AG25" i="73"/>
  <c r="AG21" i="73"/>
  <c r="AG17" i="73"/>
  <c r="AL22" i="16"/>
  <c r="AG175" i="73"/>
  <c r="B646" i="73"/>
  <c r="AL95" i="16"/>
  <c r="B653" i="73"/>
  <c r="AG182" i="73"/>
  <c r="C119" i="62"/>
  <c r="C125" i="62" s="1"/>
  <c r="AB31" i="65"/>
  <c r="AD31" i="65" s="1"/>
  <c r="AB21" i="65"/>
  <c r="AC5" i="65"/>
  <c r="AG5" i="65" s="1"/>
  <c r="AB10" i="65"/>
  <c r="AD10" i="65" s="1"/>
  <c r="F484" i="73"/>
  <c r="F754" i="73" s="1"/>
  <c r="AJ134" i="73"/>
  <c r="AG201" i="73"/>
  <c r="B672" i="73"/>
  <c r="AG191" i="73"/>
  <c r="B662" i="73"/>
  <c r="C484" i="73"/>
  <c r="H751" i="73"/>
  <c r="AH110" i="73"/>
  <c r="AI90" i="16"/>
  <c r="F322" i="73"/>
  <c r="F748" i="73" s="1"/>
  <c r="AJ66" i="73"/>
  <c r="AH76" i="73"/>
  <c r="AG190" i="73"/>
  <c r="B661" i="73"/>
  <c r="AI6" i="73"/>
  <c r="AH158" i="73"/>
  <c r="AH143" i="73"/>
  <c r="G484" i="73"/>
  <c r="G754" i="73" s="1"/>
  <c r="AK134" i="73"/>
  <c r="AG99" i="73"/>
  <c r="B484" i="73"/>
  <c r="B754" i="73" s="1"/>
  <c r="AF134" i="73"/>
  <c r="AH121" i="73"/>
  <c r="AG59" i="73"/>
  <c r="AG55" i="73"/>
  <c r="AG51" i="73"/>
  <c r="G241" i="73"/>
  <c r="AK32" i="73"/>
  <c r="AH80" i="73"/>
  <c r="AH142" i="73"/>
  <c r="AF192" i="73"/>
  <c r="B577" i="73"/>
  <c r="AF168" i="73"/>
  <c r="AJ102" i="58"/>
  <c r="E492" i="73"/>
  <c r="AL67" i="58"/>
  <c r="E346" i="73"/>
  <c r="E345" i="73"/>
  <c r="E343" i="73"/>
  <c r="AI14" i="65"/>
  <c r="AE14" i="65"/>
  <c r="AG14" i="65"/>
  <c r="E494" i="73"/>
  <c r="AI11" i="65"/>
  <c r="AE11" i="65"/>
  <c r="AG11" i="65"/>
  <c r="AC3" i="65"/>
  <c r="K30" i="65"/>
  <c r="E337" i="73"/>
  <c r="E328" i="73"/>
  <c r="E326" i="73"/>
  <c r="E323" i="73"/>
  <c r="U67" i="62"/>
  <c r="AI20" i="65"/>
  <c r="AE20" i="65"/>
  <c r="AG20" i="65"/>
  <c r="AI15" i="65"/>
  <c r="AG15" i="65"/>
  <c r="AE15" i="65"/>
  <c r="E495" i="73"/>
  <c r="AI8" i="65"/>
  <c r="AG8" i="65"/>
  <c r="AE8" i="65"/>
  <c r="AI7" i="65"/>
  <c r="AG7" i="65"/>
  <c r="AE7" i="65"/>
  <c r="AI68" i="73"/>
  <c r="AR68" i="73" s="1"/>
  <c r="AI27" i="65"/>
  <c r="AG27" i="65"/>
  <c r="AE27" i="65"/>
  <c r="U38" i="62"/>
  <c r="AH28" i="65"/>
  <c r="AF28" i="65"/>
  <c r="AD28" i="65"/>
  <c r="AH27" i="65"/>
  <c r="AF27" i="65"/>
  <c r="AD27" i="65"/>
  <c r="AE5" i="65"/>
  <c r="AI5" i="65"/>
  <c r="AG4" i="65"/>
  <c r="AE4" i="65"/>
  <c r="AI4" i="65"/>
  <c r="AI28" i="65"/>
  <c r="AG28" i="65"/>
  <c r="AE28" i="65"/>
  <c r="AI21" i="65"/>
  <c r="AG21" i="65"/>
  <c r="AE21" i="65"/>
  <c r="AD19" i="65"/>
  <c r="AH19" i="65"/>
  <c r="AF19" i="65"/>
  <c r="AF15" i="65"/>
  <c r="AD15" i="65"/>
  <c r="AH15" i="65"/>
  <c r="AH12" i="65"/>
  <c r="AF12" i="65"/>
  <c r="AD12" i="65"/>
  <c r="AH9" i="65"/>
  <c r="AD9" i="65"/>
  <c r="AF9" i="65"/>
  <c r="AH8" i="65"/>
  <c r="AF8" i="65"/>
  <c r="AD8" i="65"/>
  <c r="AB3" i="65"/>
  <c r="J30" i="65"/>
  <c r="J32" i="65" s="1"/>
  <c r="AA130" i="58"/>
  <c r="AA116" i="58"/>
  <c r="K31" i="65"/>
  <c r="AC31" i="65" s="1"/>
  <c r="AH23" i="65"/>
  <c r="AD23" i="65"/>
  <c r="AF23" i="65"/>
  <c r="AH21" i="65"/>
  <c r="AF21" i="65"/>
  <c r="AD21" i="65"/>
  <c r="AI17" i="65"/>
  <c r="AG17" i="65"/>
  <c r="AE17" i="65"/>
  <c r="AI10" i="65"/>
  <c r="AG10" i="65"/>
  <c r="AE10" i="65"/>
  <c r="AG6" i="65"/>
  <c r="AE6" i="65"/>
  <c r="AI6" i="65"/>
  <c r="AH20" i="65"/>
  <c r="AF20" i="65"/>
  <c r="AD20" i="65"/>
  <c r="AD17" i="65"/>
  <c r="AF17" i="65"/>
  <c r="AH17" i="65"/>
  <c r="AH14" i="65"/>
  <c r="AF14" i="65"/>
  <c r="AD14" i="65"/>
  <c r="AF11" i="65"/>
  <c r="AD11" i="65"/>
  <c r="AH11" i="65"/>
  <c r="AH7" i="65"/>
  <c r="AD7" i="65"/>
  <c r="AF7" i="65"/>
  <c r="AA115" i="58"/>
  <c r="AA114" i="58"/>
  <c r="AA132" i="58"/>
  <c r="AA125" i="58"/>
  <c r="AA131" i="58"/>
  <c r="AI32" i="58"/>
  <c r="AA124" i="58"/>
  <c r="AL32" i="58"/>
  <c r="AJ32" i="58"/>
  <c r="AI67" i="58"/>
  <c r="Q135" i="58"/>
  <c r="G8" i="22" s="1"/>
  <c r="E119" i="62" s="1"/>
  <c r="AJ67" i="58"/>
  <c r="AK67" i="58"/>
  <c r="E565" i="73"/>
  <c r="E403" i="73"/>
  <c r="E241" i="73"/>
  <c r="B769" i="73" s="1"/>
  <c r="AA128" i="58"/>
  <c r="AA127" i="58"/>
  <c r="AA120" i="58"/>
  <c r="AA119" i="58"/>
  <c r="AA110" i="58"/>
  <c r="AA134" i="58"/>
  <c r="AA133" i="58"/>
  <c r="AA129" i="58"/>
  <c r="AA126" i="58"/>
  <c r="AA122" i="58"/>
  <c r="AA121" i="58"/>
  <c r="AA118" i="58"/>
  <c r="AA112" i="58"/>
  <c r="AA111" i="58"/>
  <c r="AA117" i="58"/>
  <c r="P135" i="58"/>
  <c r="F8" i="22" s="1"/>
  <c r="E90" i="62" s="1"/>
  <c r="AA123" i="58"/>
  <c r="AA109" i="58"/>
  <c r="N135" i="58"/>
  <c r="D8" i="22" s="1"/>
  <c r="E61" i="62" s="1"/>
  <c r="AL102" i="58"/>
  <c r="AI102" i="58"/>
  <c r="AJ102" i="60"/>
  <c r="AL102" i="60"/>
  <c r="AI102" i="60"/>
  <c r="AA109" i="52"/>
  <c r="AH26" i="16"/>
  <c r="S135" i="16"/>
  <c r="I5" i="22" s="1"/>
  <c r="O118" i="16"/>
  <c r="AA118" i="16" s="1"/>
  <c r="O85" i="16"/>
  <c r="O67" i="16"/>
  <c r="AH32" i="52"/>
  <c r="AA125" i="16"/>
  <c r="AH32" i="56"/>
  <c r="AH67" i="57"/>
  <c r="AJ204" i="73" s="1"/>
  <c r="F742" i="73" s="1"/>
  <c r="AH32" i="57"/>
  <c r="AH32" i="58"/>
  <c r="AH67" i="59"/>
  <c r="AH32" i="59"/>
  <c r="L135" i="59"/>
  <c r="B7" i="22" s="1"/>
  <c r="D32" i="62" s="1"/>
  <c r="AA111" i="16"/>
  <c r="AH100" i="16"/>
  <c r="AH102" i="16" s="1"/>
  <c r="AH65" i="16"/>
  <c r="Z30" i="16"/>
  <c r="AA123" i="16"/>
  <c r="O102" i="52"/>
  <c r="O104" i="52" s="1"/>
  <c r="AH67" i="52"/>
  <c r="AA108" i="52"/>
  <c r="AA135" i="52" s="1"/>
  <c r="L135" i="52"/>
  <c r="B11" i="22" s="1"/>
  <c r="L135" i="56"/>
  <c r="B10" i="22" s="1"/>
  <c r="AA108" i="56"/>
  <c r="AA135" i="56" s="1"/>
  <c r="O102" i="56"/>
  <c r="O104" i="56" s="1"/>
  <c r="AH67" i="56"/>
  <c r="M135" i="57"/>
  <c r="C9" i="22" s="1"/>
  <c r="L135" i="57"/>
  <c r="B9" i="22" s="1"/>
  <c r="AA108" i="57"/>
  <c r="AA135" i="57" s="1"/>
  <c r="O102" i="57"/>
  <c r="O104" i="57" s="1"/>
  <c r="L135" i="58"/>
  <c r="B8" i="22" s="1"/>
  <c r="E32" i="62" s="1"/>
  <c r="AA108" i="58"/>
  <c r="AH67" i="58"/>
  <c r="O102" i="58"/>
  <c r="O104" i="58" s="1"/>
  <c r="AA108" i="59"/>
  <c r="AA135" i="59" s="1"/>
  <c r="M135" i="59"/>
  <c r="O102" i="59"/>
  <c r="O104" i="59" s="1"/>
  <c r="L135" i="60"/>
  <c r="B6" i="22" s="1"/>
  <c r="C32" i="62" s="1"/>
  <c r="AH32" i="60"/>
  <c r="AH67" i="60"/>
  <c r="O102" i="60"/>
  <c r="O104" i="60" s="1"/>
  <c r="AA108" i="60"/>
  <c r="AA135" i="60" s="1"/>
  <c r="AA136" i="60" s="1"/>
  <c r="AA126" i="16"/>
  <c r="AH43" i="16"/>
  <c r="AA127" i="16"/>
  <c r="AA114" i="16"/>
  <c r="O95" i="16"/>
  <c r="E102" i="16"/>
  <c r="AJ102" i="16" s="1"/>
  <c r="Q135" i="16"/>
  <c r="G5" i="22" s="1"/>
  <c r="O90" i="16"/>
  <c r="O94" i="16"/>
  <c r="T135" i="16"/>
  <c r="J5" i="22" s="1"/>
  <c r="L135" i="16"/>
  <c r="B5" i="22" s="1"/>
  <c r="B32" i="62" s="1"/>
  <c r="AA108" i="16"/>
  <c r="O98" i="16"/>
  <c r="AA109" i="16"/>
  <c r="AA133" i="16"/>
  <c r="M117" i="16"/>
  <c r="AA117" i="16" s="1"/>
  <c r="O84" i="16"/>
  <c r="AH40" i="16"/>
  <c r="H102" i="16"/>
  <c r="AL102" i="16" s="1"/>
  <c r="R135" i="16"/>
  <c r="H5" i="22" s="1"/>
  <c r="AA131" i="16"/>
  <c r="O76" i="16"/>
  <c r="AR74" i="73" l="1"/>
  <c r="E404" i="73"/>
  <c r="D330" i="73"/>
  <c r="AI47" i="73"/>
  <c r="AH164" i="73"/>
  <c r="AG100" i="73"/>
  <c r="B757" i="73"/>
  <c r="C265" i="73"/>
  <c r="AH29" i="73"/>
  <c r="D577" i="73"/>
  <c r="AI153" i="73"/>
  <c r="AR8" i="73"/>
  <c r="E244" i="73"/>
  <c r="B119" i="62"/>
  <c r="D44" i="64" s="1"/>
  <c r="AH157" i="73"/>
  <c r="D502" i="73"/>
  <c r="AI125" i="73"/>
  <c r="D245" i="73"/>
  <c r="AI9" i="73"/>
  <c r="AI151" i="73"/>
  <c r="AG168" i="73"/>
  <c r="D508" i="73"/>
  <c r="AI131" i="73"/>
  <c r="AR16" i="73"/>
  <c r="E252" i="73"/>
  <c r="F760" i="73"/>
  <c r="AR82" i="73"/>
  <c r="E412" i="73"/>
  <c r="C427" i="73"/>
  <c r="AH97" i="73"/>
  <c r="D421" i="73"/>
  <c r="AI91" i="73"/>
  <c r="B669" i="73"/>
  <c r="AG198" i="73"/>
  <c r="AF31" i="65"/>
  <c r="D410" i="73"/>
  <c r="AI80" i="73"/>
  <c r="C661" i="73"/>
  <c r="AH190" i="73"/>
  <c r="D504" i="73"/>
  <c r="AI127" i="73"/>
  <c r="AH179" i="73"/>
  <c r="C650" i="73"/>
  <c r="C327" i="73"/>
  <c r="AH44" i="73"/>
  <c r="AH177" i="73"/>
  <c r="C648" i="73"/>
  <c r="B768" i="73"/>
  <c r="AA86" i="64"/>
  <c r="AC86" i="64" s="1"/>
  <c r="C38" i="64"/>
  <c r="C262" i="73"/>
  <c r="AH26" i="73"/>
  <c r="AH197" i="73"/>
  <c r="C668" i="73"/>
  <c r="D570" i="73"/>
  <c r="AI146" i="73"/>
  <c r="C336" i="73"/>
  <c r="AH53" i="73"/>
  <c r="D574" i="73"/>
  <c r="AI150" i="73"/>
  <c r="AH186" i="73"/>
  <c r="C657" i="73"/>
  <c r="D568" i="73"/>
  <c r="AI144" i="73"/>
  <c r="C267" i="73"/>
  <c r="AH31" i="73"/>
  <c r="C341" i="73"/>
  <c r="AH58" i="73"/>
  <c r="C420" i="73"/>
  <c r="AH90" i="73"/>
  <c r="D409" i="73"/>
  <c r="AI79" i="73"/>
  <c r="AH195" i="73"/>
  <c r="C666" i="73"/>
  <c r="AH31" i="65"/>
  <c r="C429" i="73"/>
  <c r="AH99" i="73"/>
  <c r="D406" i="73"/>
  <c r="AI76" i="73"/>
  <c r="AR28" i="73"/>
  <c r="E264" i="73"/>
  <c r="C324" i="73"/>
  <c r="AH41" i="73"/>
  <c r="C331" i="73"/>
  <c r="AH48" i="73"/>
  <c r="AA87" i="64"/>
  <c r="AC87" i="64" s="1"/>
  <c r="D38" i="64"/>
  <c r="C266" i="73"/>
  <c r="AH30" i="73"/>
  <c r="D585" i="73"/>
  <c r="AI161" i="73"/>
  <c r="C340" i="73"/>
  <c r="AH57" i="73"/>
  <c r="D423" i="73"/>
  <c r="AI93" i="73"/>
  <c r="AH194" i="73"/>
  <c r="C665" i="73"/>
  <c r="D416" i="73"/>
  <c r="AI86" i="73"/>
  <c r="C428" i="73"/>
  <c r="AH98" i="73"/>
  <c r="D505" i="73"/>
  <c r="AI128" i="73"/>
  <c r="C489" i="73"/>
  <c r="AH112" i="73"/>
  <c r="AH178" i="73"/>
  <c r="C649" i="73"/>
  <c r="AH184" i="73"/>
  <c r="C655" i="73"/>
  <c r="B771" i="73"/>
  <c r="G745" i="73"/>
  <c r="AH191" i="73"/>
  <c r="C662" i="73"/>
  <c r="C510" i="73"/>
  <c r="AH133" i="73"/>
  <c r="AA53" i="64"/>
  <c r="AX7" i="64"/>
  <c r="B26" i="64"/>
  <c r="AY7" i="64" s="1"/>
  <c r="C496" i="73"/>
  <c r="AH119" i="73"/>
  <c r="C493" i="73"/>
  <c r="AH116" i="73"/>
  <c r="C334" i="73"/>
  <c r="AH51" i="73"/>
  <c r="D488" i="73"/>
  <c r="AI111" i="73"/>
  <c r="C339" i="73"/>
  <c r="AH56" i="73"/>
  <c r="AR165" i="73"/>
  <c r="E589" i="73"/>
  <c r="C75" i="62"/>
  <c r="C76" i="62"/>
  <c r="C77" i="62"/>
  <c r="D408" i="73"/>
  <c r="AI78" i="73"/>
  <c r="AH181" i="73"/>
  <c r="C652" i="73"/>
  <c r="C348" i="73"/>
  <c r="AH65" i="73"/>
  <c r="D485" i="73"/>
  <c r="AI108" i="73"/>
  <c r="C500" i="73"/>
  <c r="AH123" i="73"/>
  <c r="D578" i="73"/>
  <c r="AI154" i="73"/>
  <c r="C501" i="73"/>
  <c r="AH124" i="73"/>
  <c r="AH136" i="73"/>
  <c r="AR107" i="73"/>
  <c r="E484" i="73"/>
  <c r="C335" i="73"/>
  <c r="AH52" i="73"/>
  <c r="D573" i="73"/>
  <c r="AI149" i="73"/>
  <c r="B770" i="73"/>
  <c r="F745" i="73"/>
  <c r="C344" i="73"/>
  <c r="AH61" i="73"/>
  <c r="C338" i="73"/>
  <c r="AH55" i="73"/>
  <c r="D567" i="73"/>
  <c r="AI143" i="73"/>
  <c r="AH201" i="73"/>
  <c r="C672" i="73"/>
  <c r="C253" i="73"/>
  <c r="AH17" i="73"/>
  <c r="AH34" i="73"/>
  <c r="C727" i="73"/>
  <c r="AR7" i="73"/>
  <c r="E243" i="73"/>
  <c r="D418" i="73"/>
  <c r="AI88" i="73"/>
  <c r="C347" i="73"/>
  <c r="AH64" i="73"/>
  <c r="B772" i="73"/>
  <c r="H745" i="73"/>
  <c r="AA54" i="64"/>
  <c r="C26" i="64"/>
  <c r="D586" i="73"/>
  <c r="AI162" i="73"/>
  <c r="AG32" i="73"/>
  <c r="AR10" i="73"/>
  <c r="E246" i="73"/>
  <c r="AR75" i="73"/>
  <c r="E405" i="73"/>
  <c r="AR151" i="73"/>
  <c r="E575" i="73"/>
  <c r="D584" i="73"/>
  <c r="AI160" i="73"/>
  <c r="AH185" i="73"/>
  <c r="C656" i="73"/>
  <c r="D506" i="73"/>
  <c r="AI129" i="73"/>
  <c r="AR12" i="73"/>
  <c r="E248" i="73"/>
  <c r="D572" i="73"/>
  <c r="AI148" i="73"/>
  <c r="C509" i="73"/>
  <c r="AH132" i="73"/>
  <c r="AH196" i="73"/>
  <c r="C667" i="73"/>
  <c r="AR81" i="73"/>
  <c r="E411" i="73"/>
  <c r="C3" i="62"/>
  <c r="C9" i="62" s="1"/>
  <c r="C38" i="62"/>
  <c r="C342" i="73"/>
  <c r="AH59" i="73"/>
  <c r="D582" i="73"/>
  <c r="AI158" i="73"/>
  <c r="D487" i="73"/>
  <c r="AI110" i="73"/>
  <c r="AH182" i="73"/>
  <c r="C653" i="73"/>
  <c r="C257" i="73"/>
  <c r="AH21" i="73"/>
  <c r="D571" i="73"/>
  <c r="AI147" i="73"/>
  <c r="C591" i="73"/>
  <c r="AH167" i="73"/>
  <c r="D417" i="73"/>
  <c r="AI87" i="73"/>
  <c r="D580" i="73"/>
  <c r="AI156" i="73"/>
  <c r="AA55" i="64"/>
  <c r="D26" i="64"/>
  <c r="AH188" i="73"/>
  <c r="C659" i="73"/>
  <c r="D588" i="73"/>
  <c r="AI164" i="73"/>
  <c r="B767" i="73"/>
  <c r="AR152" i="73"/>
  <c r="E576" i="73"/>
  <c r="C255" i="73"/>
  <c r="AH19" i="73"/>
  <c r="D490" i="73"/>
  <c r="AI113" i="73"/>
  <c r="AR11" i="73"/>
  <c r="E247" i="73"/>
  <c r="D581" i="73"/>
  <c r="AI157" i="73"/>
  <c r="AH183" i="73"/>
  <c r="C654" i="73"/>
  <c r="AR96" i="73"/>
  <c r="E426" i="73"/>
  <c r="C256" i="73"/>
  <c r="AH20" i="73"/>
  <c r="D422" i="73"/>
  <c r="AI92" i="73"/>
  <c r="AF200" i="73"/>
  <c r="AL30" i="16"/>
  <c r="C646" i="73"/>
  <c r="AH175" i="73"/>
  <c r="D583" i="73"/>
  <c r="AI159" i="73"/>
  <c r="AG192" i="73"/>
  <c r="B663" i="73"/>
  <c r="D498" i="73"/>
  <c r="AI121" i="73"/>
  <c r="AR6" i="73"/>
  <c r="E242" i="73"/>
  <c r="C261" i="73"/>
  <c r="AH25" i="73"/>
  <c r="D503" i="73"/>
  <c r="AI126" i="73"/>
  <c r="D569" i="73"/>
  <c r="AI145" i="73"/>
  <c r="AA85" i="64"/>
  <c r="AC85" i="64" s="1"/>
  <c r="AX9" i="64"/>
  <c r="B38" i="64"/>
  <c r="AY9" i="64" s="1"/>
  <c r="C254" i="73"/>
  <c r="AH18" i="73"/>
  <c r="AH193" i="73"/>
  <c r="C664" i="73"/>
  <c r="C325" i="73"/>
  <c r="AH42" i="73"/>
  <c r="AH66" i="73" s="1"/>
  <c r="D499" i="73"/>
  <c r="AI122" i="73"/>
  <c r="C419" i="73"/>
  <c r="AH89" i="73"/>
  <c r="B647" i="73"/>
  <c r="AG176" i="73"/>
  <c r="C259" i="73"/>
  <c r="AH23" i="73"/>
  <c r="AR95" i="73"/>
  <c r="E425" i="73"/>
  <c r="C329" i="73"/>
  <c r="AH46" i="73"/>
  <c r="C260" i="73"/>
  <c r="AH24" i="73"/>
  <c r="AR13" i="73"/>
  <c r="E249" i="73"/>
  <c r="AH199" i="73"/>
  <c r="C670" i="73"/>
  <c r="D322" i="73"/>
  <c r="AI39" i="73"/>
  <c r="D415" i="73"/>
  <c r="AI85" i="73"/>
  <c r="C590" i="73"/>
  <c r="C757" i="73" s="1"/>
  <c r="AH166" i="73"/>
  <c r="D12" i="64"/>
  <c r="C12" i="64"/>
  <c r="B38" i="62"/>
  <c r="B12" i="64"/>
  <c r="D38" i="62"/>
  <c r="C7" i="22"/>
  <c r="T32" i="62" s="1"/>
  <c r="T38" i="62" s="1"/>
  <c r="H33" i="65"/>
  <c r="D566" i="73"/>
  <c r="AI142" i="73"/>
  <c r="AG134" i="73"/>
  <c r="D587" i="73"/>
  <c r="AI163" i="73"/>
  <c r="AH187" i="73"/>
  <c r="C658" i="73"/>
  <c r="D497" i="73"/>
  <c r="AI120" i="73"/>
  <c r="C105" i="62"/>
  <c r="C104" i="62"/>
  <c r="C106" i="62"/>
  <c r="C258" i="73"/>
  <c r="AH22" i="73"/>
  <c r="C491" i="73"/>
  <c r="AH114" i="73"/>
  <c r="AH180" i="73"/>
  <c r="C651" i="73"/>
  <c r="C332" i="73"/>
  <c r="AH49" i="73"/>
  <c r="D579" i="73"/>
  <c r="AI155" i="73"/>
  <c r="C486" i="73"/>
  <c r="AH109" i="73"/>
  <c r="AH134" i="73" s="1"/>
  <c r="C263" i="73"/>
  <c r="AH27" i="73"/>
  <c r="AH189" i="73"/>
  <c r="C660" i="73"/>
  <c r="C333" i="73"/>
  <c r="AH50" i="73"/>
  <c r="AH170" i="73"/>
  <c r="C739" i="73"/>
  <c r="C733" i="73"/>
  <c r="AH102" i="73"/>
  <c r="AG66" i="73"/>
  <c r="E25" i="64"/>
  <c r="N61" i="62"/>
  <c r="E67" i="62"/>
  <c r="K25" i="64"/>
  <c r="K26" i="64" s="1"/>
  <c r="G25" i="64"/>
  <c r="G26" i="64" s="1"/>
  <c r="J25" i="64"/>
  <c r="J26" i="64" s="1"/>
  <c r="F25" i="64"/>
  <c r="F26" i="64" s="1"/>
  <c r="L25" i="64"/>
  <c r="L26" i="64" s="1"/>
  <c r="I25" i="64"/>
  <c r="I26" i="64" s="1"/>
  <c r="M25" i="64"/>
  <c r="M26" i="64" s="1"/>
  <c r="H25" i="64"/>
  <c r="H26" i="64" s="1"/>
  <c r="E730" i="73"/>
  <c r="AF3" i="65"/>
  <c r="AF30" i="65" s="1"/>
  <c r="AF32" i="65" s="1"/>
  <c r="AB30" i="65"/>
  <c r="AH3" i="65"/>
  <c r="AH30" i="65" s="1"/>
  <c r="AH32" i="65" s="1"/>
  <c r="AD3" i="65"/>
  <c r="AG30" i="65"/>
  <c r="E12" i="64"/>
  <c r="E3" i="62"/>
  <c r="M12" i="64"/>
  <c r="M13" i="64" s="1"/>
  <c r="E38" i="62"/>
  <c r="L12" i="64"/>
  <c r="L13" i="64" s="1"/>
  <c r="H12" i="64"/>
  <c r="H13" i="64" s="1"/>
  <c r="K12" i="64"/>
  <c r="K13" i="64" s="1"/>
  <c r="G12" i="64"/>
  <c r="G13" i="64" s="1"/>
  <c r="J12" i="64"/>
  <c r="J13" i="64" s="1"/>
  <c r="F12" i="64"/>
  <c r="F13" i="64" s="1"/>
  <c r="I12" i="64"/>
  <c r="I13" i="64" s="1"/>
  <c r="N32" i="62"/>
  <c r="E44" i="64"/>
  <c r="E125" i="62"/>
  <c r="M44" i="64"/>
  <c r="M45" i="64" s="1"/>
  <c r="K32" i="65"/>
  <c r="E37" i="64"/>
  <c r="N90" i="62"/>
  <c r="E96" i="62"/>
  <c r="J37" i="64"/>
  <c r="J38" i="64" s="1"/>
  <c r="F37" i="64"/>
  <c r="F38" i="64" s="1"/>
  <c r="M37" i="64"/>
  <c r="M38" i="64" s="1"/>
  <c r="I37" i="64"/>
  <c r="I38" i="64" s="1"/>
  <c r="L37" i="64"/>
  <c r="L38" i="64" s="1"/>
  <c r="H37" i="64"/>
  <c r="H38" i="64" s="1"/>
  <c r="K37" i="64"/>
  <c r="K38" i="64" s="1"/>
  <c r="G37" i="64"/>
  <c r="G38" i="64" s="1"/>
  <c r="AI31" i="65"/>
  <c r="AG31" i="65"/>
  <c r="AE31" i="65"/>
  <c r="AI30" i="65"/>
  <c r="AI32" i="65" s="1"/>
  <c r="AC30" i="65"/>
  <c r="AE3" i="65"/>
  <c r="AA135" i="58"/>
  <c r="O135" i="16"/>
  <c r="Z32" i="16"/>
  <c r="AL32" i="16" s="1"/>
  <c r="AH30" i="16"/>
  <c r="AH32" i="16" s="1"/>
  <c r="Z67" i="16"/>
  <c r="AH67" i="16"/>
  <c r="AH80" i="61"/>
  <c r="AH78" i="61"/>
  <c r="AH77" i="61"/>
  <c r="Z108" i="61"/>
  <c r="Y108" i="61"/>
  <c r="Z134" i="61"/>
  <c r="Y134" i="61"/>
  <c r="Z133" i="61"/>
  <c r="Y133" i="61"/>
  <c r="Z132" i="61"/>
  <c r="Y132" i="61"/>
  <c r="Z131" i="61"/>
  <c r="Y131" i="61"/>
  <c r="Z130" i="61"/>
  <c r="Y130" i="61"/>
  <c r="Z129" i="61"/>
  <c r="Y129" i="61"/>
  <c r="Z128" i="61"/>
  <c r="Y128" i="61"/>
  <c r="Z127" i="61"/>
  <c r="Y127" i="61"/>
  <c r="Z126" i="61"/>
  <c r="Y126" i="61"/>
  <c r="Z125" i="61"/>
  <c r="Y125" i="61"/>
  <c r="Z124" i="61"/>
  <c r="Y124" i="61"/>
  <c r="Z123" i="61"/>
  <c r="Y123" i="61"/>
  <c r="Z122" i="61"/>
  <c r="Y122" i="61"/>
  <c r="Z121" i="61"/>
  <c r="Y121" i="61"/>
  <c r="Z120" i="61"/>
  <c r="Y120" i="61"/>
  <c r="Z119" i="61"/>
  <c r="Y119" i="61"/>
  <c r="Z118" i="61"/>
  <c r="Y118" i="61"/>
  <c r="Z117" i="61"/>
  <c r="Y117" i="61"/>
  <c r="Z116" i="61"/>
  <c r="Y116" i="61"/>
  <c r="Z115" i="61"/>
  <c r="Y115" i="61"/>
  <c r="Z114" i="61"/>
  <c r="Y114" i="61"/>
  <c r="Z113" i="61"/>
  <c r="Y113" i="61"/>
  <c r="Z112" i="61"/>
  <c r="Y112" i="61"/>
  <c r="Z111" i="61"/>
  <c r="Y111" i="61"/>
  <c r="Z110" i="61"/>
  <c r="Y110" i="61"/>
  <c r="Z109" i="61"/>
  <c r="Y109" i="61"/>
  <c r="AH81" i="61"/>
  <c r="AH82" i="61"/>
  <c r="AH83" i="61"/>
  <c r="AH84" i="61"/>
  <c r="AH85" i="61"/>
  <c r="AH86" i="61"/>
  <c r="AH87" i="61"/>
  <c r="AH88" i="61"/>
  <c r="AH89" i="61"/>
  <c r="AH90" i="61"/>
  <c r="AH91" i="61"/>
  <c r="AH92" i="61"/>
  <c r="AH93" i="61"/>
  <c r="AH94" i="61"/>
  <c r="AH95" i="61"/>
  <c r="AH96" i="61"/>
  <c r="AH97" i="61"/>
  <c r="AH98" i="61"/>
  <c r="AH99" i="61"/>
  <c r="AH100" i="61"/>
  <c r="AH101" i="61"/>
  <c r="AG102" i="61"/>
  <c r="AF102" i="61"/>
  <c r="AG66" i="61"/>
  <c r="AF66" i="61"/>
  <c r="AG65" i="61"/>
  <c r="AF65" i="61"/>
  <c r="AG63" i="61"/>
  <c r="AF63" i="61"/>
  <c r="AG62" i="61"/>
  <c r="AF62" i="61"/>
  <c r="AG61" i="61"/>
  <c r="AF61" i="61"/>
  <c r="AG60" i="61"/>
  <c r="AF60" i="61"/>
  <c r="AG59" i="61"/>
  <c r="AF59" i="61"/>
  <c r="AG58" i="61"/>
  <c r="AF58" i="61"/>
  <c r="AG57" i="61"/>
  <c r="AF57" i="61"/>
  <c r="AG56" i="61"/>
  <c r="AF56" i="61"/>
  <c r="AG55" i="61"/>
  <c r="AF55" i="61"/>
  <c r="AG54" i="61"/>
  <c r="AF54" i="61"/>
  <c r="AG53" i="61"/>
  <c r="AF53" i="61"/>
  <c r="AG52" i="61"/>
  <c r="AF52" i="61"/>
  <c r="AG51" i="61"/>
  <c r="AF51" i="61"/>
  <c r="AG50" i="61"/>
  <c r="AF50" i="61"/>
  <c r="AG49" i="61"/>
  <c r="AF49" i="61"/>
  <c r="AG48" i="61"/>
  <c r="AF48" i="61"/>
  <c r="AG47" i="61"/>
  <c r="AF47" i="61"/>
  <c r="AG46" i="61"/>
  <c r="AF46" i="61"/>
  <c r="AG45" i="61"/>
  <c r="AF45" i="61"/>
  <c r="AG44" i="61"/>
  <c r="AF44" i="61"/>
  <c r="AG42" i="61"/>
  <c r="AF42" i="61"/>
  <c r="AG41" i="61"/>
  <c r="AF41" i="61"/>
  <c r="AG40" i="61"/>
  <c r="AF40" i="61"/>
  <c r="AG31" i="61"/>
  <c r="AF31" i="61"/>
  <c r="AG30" i="61"/>
  <c r="AF30" i="61"/>
  <c r="AG29" i="61"/>
  <c r="AF29" i="61"/>
  <c r="AG28" i="61"/>
  <c r="AF28" i="61"/>
  <c r="AG27" i="61"/>
  <c r="AF27" i="61"/>
  <c r="AG26" i="61"/>
  <c r="AF26" i="61"/>
  <c r="AG25" i="61"/>
  <c r="AF25" i="61"/>
  <c r="AG24" i="61"/>
  <c r="AF24" i="61"/>
  <c r="AG23" i="61"/>
  <c r="AF23" i="61"/>
  <c r="AG22" i="61"/>
  <c r="AF22" i="61"/>
  <c r="AG21" i="61"/>
  <c r="AF21" i="61"/>
  <c r="AG20" i="61"/>
  <c r="AF20" i="61"/>
  <c r="AG19" i="61"/>
  <c r="AF19" i="61"/>
  <c r="AG18" i="61"/>
  <c r="AF18" i="61"/>
  <c r="AG17" i="61"/>
  <c r="AF17" i="61"/>
  <c r="AG16" i="61"/>
  <c r="AF16" i="61"/>
  <c r="AG15" i="61"/>
  <c r="AF15" i="61"/>
  <c r="AG14" i="61"/>
  <c r="AF14" i="61"/>
  <c r="AG13" i="61"/>
  <c r="AF13" i="61"/>
  <c r="AG12" i="61"/>
  <c r="AF12" i="61"/>
  <c r="AG11" i="61"/>
  <c r="AF11" i="61"/>
  <c r="AG10" i="61"/>
  <c r="AF10" i="61"/>
  <c r="AG9" i="61"/>
  <c r="AF9" i="61"/>
  <c r="AG8" i="61"/>
  <c r="AF8" i="61"/>
  <c r="AG7" i="61"/>
  <c r="AF7" i="61"/>
  <c r="AG6" i="61"/>
  <c r="AF6" i="61"/>
  <c r="AG5" i="61"/>
  <c r="AF5" i="61"/>
  <c r="D427" i="73" l="1"/>
  <c r="AI97" i="73"/>
  <c r="N119" i="62"/>
  <c r="L44" i="64"/>
  <c r="L45" i="64" s="1"/>
  <c r="AR91" i="73"/>
  <c r="E421" i="73"/>
  <c r="I44" i="64"/>
  <c r="I45" i="64" s="1"/>
  <c r="AR131" i="73"/>
  <c r="E508" i="73"/>
  <c r="F44" i="64"/>
  <c r="F45" i="64" s="1"/>
  <c r="C751" i="73"/>
  <c r="C745" i="73"/>
  <c r="J44" i="64"/>
  <c r="J45" i="64" s="1"/>
  <c r="B44" i="64"/>
  <c r="AA101" i="64" s="1"/>
  <c r="AR47" i="73"/>
  <c r="E330" i="73"/>
  <c r="G44" i="64"/>
  <c r="G45" i="64" s="1"/>
  <c r="B125" i="62"/>
  <c r="AR9" i="73"/>
  <c r="E245" i="73"/>
  <c r="AR153" i="73"/>
  <c r="E577" i="73"/>
  <c r="C754" i="73"/>
  <c r="C44" i="64"/>
  <c r="C748" i="73"/>
  <c r="K44" i="64"/>
  <c r="K45" i="64" s="1"/>
  <c r="H44" i="64"/>
  <c r="H45" i="64" s="1"/>
  <c r="D3" i="62"/>
  <c r="D9" i="62" s="1"/>
  <c r="AR125" i="73"/>
  <c r="E502" i="73"/>
  <c r="D265" i="73"/>
  <c r="AI29" i="73"/>
  <c r="D733" i="73"/>
  <c r="AI102" i="73"/>
  <c r="D332" i="73"/>
  <c r="AI49" i="73"/>
  <c r="AA21" i="64"/>
  <c r="AX5" i="64"/>
  <c r="B13" i="64"/>
  <c r="AY5" i="64" s="1"/>
  <c r="D260" i="73"/>
  <c r="AI24" i="73"/>
  <c r="AH176" i="73"/>
  <c r="C647" i="73"/>
  <c r="D646" i="73"/>
  <c r="AI175" i="73"/>
  <c r="AA103" i="64"/>
  <c r="D45" i="64"/>
  <c r="D653" i="73"/>
  <c r="AI182" i="73"/>
  <c r="AR148" i="73"/>
  <c r="E572" i="73"/>
  <c r="AR160" i="73"/>
  <c r="E584" i="73"/>
  <c r="D347" i="73"/>
  <c r="AI64" i="73"/>
  <c r="D253" i="73"/>
  <c r="AI17" i="73"/>
  <c r="AH32" i="73"/>
  <c r="D344" i="73"/>
  <c r="AI61" i="73"/>
  <c r="D493" i="73"/>
  <c r="AI116" i="73"/>
  <c r="D649" i="73"/>
  <c r="AI178" i="73"/>
  <c r="D341" i="73"/>
  <c r="AI58" i="73"/>
  <c r="AR150" i="73"/>
  <c r="E574" i="73"/>
  <c r="D262" i="73"/>
  <c r="AI26" i="73"/>
  <c r="D327" i="73"/>
  <c r="AI44" i="73"/>
  <c r="D660" i="73"/>
  <c r="AI189" i="73"/>
  <c r="C47" i="62"/>
  <c r="C48" i="62"/>
  <c r="C46" i="62"/>
  <c r="AR39" i="73"/>
  <c r="E322" i="73"/>
  <c r="D664" i="73"/>
  <c r="AI193" i="73"/>
  <c r="AR121" i="73"/>
  <c r="E498" i="73"/>
  <c r="D255" i="73"/>
  <c r="AI19" i="73"/>
  <c r="D591" i="73"/>
  <c r="AI167" i="73"/>
  <c r="AR110" i="73"/>
  <c r="E487" i="73"/>
  <c r="D500" i="73"/>
  <c r="AI123" i="73"/>
  <c r="D652" i="73"/>
  <c r="AI181" i="73"/>
  <c r="D339" i="73"/>
  <c r="AI56" i="73"/>
  <c r="D489" i="73"/>
  <c r="AI112" i="73"/>
  <c r="D266" i="73"/>
  <c r="AI30" i="73"/>
  <c r="AR80" i="73"/>
  <c r="E410" i="73"/>
  <c r="AF204" i="73"/>
  <c r="AL67" i="16"/>
  <c r="D263" i="73"/>
  <c r="AI27" i="73"/>
  <c r="AR142" i="73"/>
  <c r="E566" i="73"/>
  <c r="D329" i="73"/>
  <c r="AI46" i="73"/>
  <c r="D419" i="73"/>
  <c r="AI89" i="73"/>
  <c r="D254" i="73"/>
  <c r="AI18" i="73"/>
  <c r="D654" i="73"/>
  <c r="AI183" i="73"/>
  <c r="D659" i="73"/>
  <c r="AI188" i="73"/>
  <c r="AR162" i="73"/>
  <c r="E586" i="73"/>
  <c r="AR88" i="73"/>
  <c r="E418" i="73"/>
  <c r="AR78" i="73"/>
  <c r="E408" i="73"/>
  <c r="D496" i="73"/>
  <c r="AI119" i="73"/>
  <c r="D662" i="73"/>
  <c r="AI191" i="73"/>
  <c r="D665" i="73"/>
  <c r="AI194" i="73"/>
  <c r="D267" i="73"/>
  <c r="AI31" i="73"/>
  <c r="D336" i="73"/>
  <c r="AI53" i="73"/>
  <c r="D739" i="73"/>
  <c r="AI170" i="73"/>
  <c r="D651" i="73"/>
  <c r="AI180" i="73"/>
  <c r="AR120" i="73"/>
  <c r="E497" i="73"/>
  <c r="AA22" i="64"/>
  <c r="C13" i="64"/>
  <c r="AR126" i="73"/>
  <c r="E503" i="73"/>
  <c r="AR92" i="73"/>
  <c r="E422" i="73"/>
  <c r="AR157" i="73"/>
  <c r="E581" i="73"/>
  <c r="AR147" i="73"/>
  <c r="E571" i="73"/>
  <c r="AR158" i="73"/>
  <c r="E582" i="73"/>
  <c r="D672" i="73"/>
  <c r="AI201" i="73"/>
  <c r="AR108" i="73"/>
  <c r="E485" i="73"/>
  <c r="AR111" i="73"/>
  <c r="E488" i="73"/>
  <c r="AR128" i="73"/>
  <c r="E505" i="73"/>
  <c r="AR93" i="73"/>
  <c r="E423" i="73"/>
  <c r="D666" i="73"/>
  <c r="AI195" i="73"/>
  <c r="D650" i="73"/>
  <c r="AI179" i="73"/>
  <c r="D486" i="73"/>
  <c r="AI109" i="73"/>
  <c r="D491" i="73"/>
  <c r="AI114" i="73"/>
  <c r="AA23" i="64"/>
  <c r="D13" i="64"/>
  <c r="AR122" i="73"/>
  <c r="E499" i="73"/>
  <c r="AH192" i="73"/>
  <c r="C663" i="73"/>
  <c r="AG200" i="73"/>
  <c r="B671" i="73"/>
  <c r="AC55" i="64"/>
  <c r="AD55" i="64"/>
  <c r="AR129" i="73"/>
  <c r="E506" i="73"/>
  <c r="AR143" i="73"/>
  <c r="E567" i="73"/>
  <c r="AR149" i="73"/>
  <c r="E573" i="73"/>
  <c r="D736" i="73"/>
  <c r="AI136" i="73"/>
  <c r="AR76" i="73"/>
  <c r="E406" i="73"/>
  <c r="AR79" i="73"/>
  <c r="E409" i="73"/>
  <c r="AR144" i="73"/>
  <c r="E568" i="73"/>
  <c r="AR146" i="73"/>
  <c r="E570" i="73"/>
  <c r="AR127" i="73"/>
  <c r="E504" i="73"/>
  <c r="C669" i="73"/>
  <c r="AH198" i="73"/>
  <c r="E5" i="22"/>
  <c r="R61" i="62" s="1"/>
  <c r="E33" i="65"/>
  <c r="D590" i="73"/>
  <c r="AI166" i="73"/>
  <c r="AI168" i="73" s="1"/>
  <c r="D670" i="73"/>
  <c r="AI199" i="73"/>
  <c r="D261" i="73"/>
  <c r="AI25" i="73"/>
  <c r="AR159" i="73"/>
  <c r="E583" i="73"/>
  <c r="D256" i="73"/>
  <c r="AI20" i="73"/>
  <c r="AR156" i="73"/>
  <c r="E580" i="73"/>
  <c r="D257" i="73"/>
  <c r="AI21" i="73"/>
  <c r="D342" i="73"/>
  <c r="AI59" i="73"/>
  <c r="D667" i="73"/>
  <c r="AI196" i="73"/>
  <c r="AC54" i="64"/>
  <c r="AD54" i="64"/>
  <c r="D501" i="73"/>
  <c r="AI124" i="73"/>
  <c r="D348" i="73"/>
  <c r="AI65" i="73"/>
  <c r="D334" i="73"/>
  <c r="AI51" i="73"/>
  <c r="D428" i="73"/>
  <c r="AI98" i="73"/>
  <c r="D340" i="73"/>
  <c r="AI57" i="73"/>
  <c r="D331" i="73"/>
  <c r="AI48" i="73"/>
  <c r="D333" i="73"/>
  <c r="AI50" i="73"/>
  <c r="AR155" i="73"/>
  <c r="E579" i="73"/>
  <c r="D258" i="73"/>
  <c r="AI22" i="73"/>
  <c r="D658" i="73"/>
  <c r="AI187" i="73"/>
  <c r="D259" i="73"/>
  <c r="AI23" i="73"/>
  <c r="D325" i="73"/>
  <c r="AI42" i="73"/>
  <c r="C133" i="62"/>
  <c r="C135" i="62"/>
  <c r="C134" i="62"/>
  <c r="D509" i="73"/>
  <c r="AI132" i="73"/>
  <c r="D338" i="73"/>
  <c r="AI55" i="73"/>
  <c r="D335" i="73"/>
  <c r="AI52" i="73"/>
  <c r="AC53" i="64"/>
  <c r="AD53" i="64"/>
  <c r="D655" i="73"/>
  <c r="AI184" i="73"/>
  <c r="D429" i="73"/>
  <c r="AI99" i="73"/>
  <c r="D420" i="73"/>
  <c r="AI90" i="73"/>
  <c r="AF202" i="73"/>
  <c r="AR163" i="73"/>
  <c r="E587" i="73"/>
  <c r="AR85" i="73"/>
  <c r="E415" i="73"/>
  <c r="AR145" i="73"/>
  <c r="E569" i="73"/>
  <c r="AA102" i="64"/>
  <c r="C45" i="64"/>
  <c r="AR113" i="73"/>
  <c r="E490" i="73"/>
  <c r="AR164" i="73"/>
  <c r="E588" i="73"/>
  <c r="AR87" i="73"/>
  <c r="E417" i="73"/>
  <c r="D656" i="73"/>
  <c r="AI185" i="73"/>
  <c r="D727" i="73"/>
  <c r="AI34" i="73"/>
  <c r="AR154" i="73"/>
  <c r="E578" i="73"/>
  <c r="AH100" i="73"/>
  <c r="D510" i="73"/>
  <c r="AI133" i="73"/>
  <c r="AR86" i="73"/>
  <c r="E416" i="73"/>
  <c r="AR161" i="73"/>
  <c r="E585" i="73"/>
  <c r="D324" i="73"/>
  <c r="AI41" i="73"/>
  <c r="D657" i="73"/>
  <c r="AI186" i="73"/>
  <c r="D668" i="73"/>
  <c r="AI197" i="73"/>
  <c r="D648" i="73"/>
  <c r="AI177" i="73"/>
  <c r="D661" i="73"/>
  <c r="AI190" i="73"/>
  <c r="AH168" i="73"/>
  <c r="C111" i="62"/>
  <c r="C114" i="62"/>
  <c r="C113" i="62"/>
  <c r="C108" i="62"/>
  <c r="C107" i="62"/>
  <c r="C110" i="62"/>
  <c r="C109" i="62"/>
  <c r="C115" i="62"/>
  <c r="C112" i="62"/>
  <c r="AA104" i="64"/>
  <c r="E45" i="64"/>
  <c r="AA24" i="64"/>
  <c r="E13" i="64"/>
  <c r="AD30" i="65"/>
  <c r="AB32" i="65"/>
  <c r="AD32" i="65" s="1"/>
  <c r="C82" i="62"/>
  <c r="C78" i="62"/>
  <c r="C83" i="62"/>
  <c r="C86" i="62"/>
  <c r="C79" i="62"/>
  <c r="C84" i="62"/>
  <c r="C80" i="62"/>
  <c r="C85" i="62"/>
  <c r="C81" i="62"/>
  <c r="P90" i="62"/>
  <c r="T6" i="62"/>
  <c r="U6" i="62" s="1"/>
  <c r="P32" i="62"/>
  <c r="T2" i="62"/>
  <c r="C53" i="62"/>
  <c r="C56" i="62"/>
  <c r="C49" i="62"/>
  <c r="C51" i="62"/>
  <c r="C52" i="62"/>
  <c r="C57" i="62"/>
  <c r="C55" i="62"/>
  <c r="C50" i="62"/>
  <c r="C54" i="62"/>
  <c r="AG32" i="65"/>
  <c r="T4" i="62"/>
  <c r="P61" i="62"/>
  <c r="AA88" i="64"/>
  <c r="AC88" i="64" s="1"/>
  <c r="E38" i="64"/>
  <c r="P119" i="62"/>
  <c r="T7" i="62"/>
  <c r="AA56" i="64"/>
  <c r="E26" i="64"/>
  <c r="AE30" i="65"/>
  <c r="AC32" i="65"/>
  <c r="AE32" i="65" s="1"/>
  <c r="C140" i="62"/>
  <c r="C143" i="62"/>
  <c r="C142" i="62"/>
  <c r="C144" i="62"/>
  <c r="C137" i="62"/>
  <c r="C136" i="62"/>
  <c r="C139" i="62"/>
  <c r="C138" i="62"/>
  <c r="C141" i="62"/>
  <c r="E9" i="62"/>
  <c r="Z135" i="61"/>
  <c r="P16" i="22" s="1"/>
  <c r="Y135" i="61"/>
  <c r="O16" i="22" s="1"/>
  <c r="AH79" i="61"/>
  <c r="AH76" i="61"/>
  <c r="AH75" i="61"/>
  <c r="AF32" i="61"/>
  <c r="AG32" i="61"/>
  <c r="AF67" i="61"/>
  <c r="AG67" i="61"/>
  <c r="D751" i="73" l="1"/>
  <c r="D745" i="73"/>
  <c r="E265" i="73"/>
  <c r="AR29" i="73"/>
  <c r="D748" i="73"/>
  <c r="B45" i="64"/>
  <c r="AY10" i="64" s="1"/>
  <c r="AX10" i="64"/>
  <c r="D757" i="73"/>
  <c r="AR97" i="73"/>
  <c r="E427" i="73"/>
  <c r="AI100" i="73"/>
  <c r="AR194" i="73"/>
  <c r="E665" i="73"/>
  <c r="AR181" i="73"/>
  <c r="E652" i="73"/>
  <c r="AR19" i="73"/>
  <c r="E255" i="73"/>
  <c r="AR44" i="73"/>
  <c r="E327" i="73"/>
  <c r="AR182" i="73"/>
  <c r="E653" i="73"/>
  <c r="AR23" i="73"/>
  <c r="E259" i="73"/>
  <c r="AR50" i="73"/>
  <c r="E333" i="73"/>
  <c r="AR51" i="73"/>
  <c r="E334" i="73"/>
  <c r="AR25" i="73"/>
  <c r="E261" i="73"/>
  <c r="D669" i="73"/>
  <c r="AI198" i="73"/>
  <c r="AH200" i="73"/>
  <c r="AH202" i="73" s="1"/>
  <c r="C671" i="73"/>
  <c r="AR64" i="73"/>
  <c r="E347" i="73"/>
  <c r="D647" i="73"/>
  <c r="AI176" i="73"/>
  <c r="AR102" i="73"/>
  <c r="E733" i="73"/>
  <c r="AR41" i="73"/>
  <c r="E324" i="73"/>
  <c r="AR177" i="73"/>
  <c r="E648" i="73"/>
  <c r="AR184" i="73"/>
  <c r="E655" i="73"/>
  <c r="AR132" i="73"/>
  <c r="E509" i="73"/>
  <c r="AR196" i="73"/>
  <c r="E667" i="73"/>
  <c r="AR20" i="73"/>
  <c r="E256" i="73"/>
  <c r="AR109" i="73"/>
  <c r="E486" i="73"/>
  <c r="AR170" i="73"/>
  <c r="E739" i="73"/>
  <c r="AR191" i="73"/>
  <c r="E662" i="73"/>
  <c r="AR18" i="73"/>
  <c r="E254" i="73"/>
  <c r="AR30" i="73"/>
  <c r="E266" i="73"/>
  <c r="AR123" i="73"/>
  <c r="E500" i="73"/>
  <c r="AG202" i="73"/>
  <c r="AR26" i="73"/>
  <c r="E262" i="73"/>
  <c r="AR116" i="73"/>
  <c r="E493" i="73"/>
  <c r="AR24" i="73"/>
  <c r="E260" i="73"/>
  <c r="AR190" i="73"/>
  <c r="E661" i="73"/>
  <c r="AR180" i="73"/>
  <c r="E651" i="73"/>
  <c r="AR178" i="73"/>
  <c r="E649" i="73"/>
  <c r="AR34" i="73"/>
  <c r="E727" i="73"/>
  <c r="AR187" i="73"/>
  <c r="E658" i="73"/>
  <c r="AR48" i="73"/>
  <c r="E331" i="73"/>
  <c r="AR65" i="73"/>
  <c r="E348" i="73"/>
  <c r="AR199" i="73"/>
  <c r="E670" i="73"/>
  <c r="D663" i="73"/>
  <c r="AI192" i="73"/>
  <c r="D754" i="73"/>
  <c r="AD103" i="64"/>
  <c r="AC103" i="64"/>
  <c r="AR201" i="73"/>
  <c r="E672" i="73"/>
  <c r="AR197" i="73"/>
  <c r="E668" i="73"/>
  <c r="AR59" i="73"/>
  <c r="E342" i="73"/>
  <c r="AR179" i="73"/>
  <c r="E650" i="73"/>
  <c r="AR53" i="73"/>
  <c r="E336" i="73"/>
  <c r="AR119" i="73"/>
  <c r="E496" i="73"/>
  <c r="AR89" i="73"/>
  <c r="E419" i="73"/>
  <c r="AR27" i="73"/>
  <c r="E263" i="73"/>
  <c r="AR112" i="73"/>
  <c r="E489" i="73"/>
  <c r="AR61" i="73"/>
  <c r="E344" i="73"/>
  <c r="AR175" i="73"/>
  <c r="E646" i="73"/>
  <c r="AR55" i="73"/>
  <c r="E338" i="73"/>
  <c r="D31" i="64"/>
  <c r="C31" i="64"/>
  <c r="R67" i="62"/>
  <c r="B31" i="64"/>
  <c r="L31" i="64"/>
  <c r="L32" i="64" s="1"/>
  <c r="H31" i="64"/>
  <c r="H32" i="64" s="1"/>
  <c r="K31" i="64"/>
  <c r="K32" i="64" s="1"/>
  <c r="G31" i="64"/>
  <c r="G32" i="64" s="1"/>
  <c r="E31" i="64"/>
  <c r="J31" i="64"/>
  <c r="J32" i="64" s="1"/>
  <c r="F31" i="64"/>
  <c r="F32" i="64" s="1"/>
  <c r="M31" i="64"/>
  <c r="M32" i="64" s="1"/>
  <c r="AD61" i="62"/>
  <c r="I31" i="64"/>
  <c r="I32" i="64" s="1"/>
  <c r="AR185" i="73"/>
  <c r="E656" i="73"/>
  <c r="AR22" i="73"/>
  <c r="E258" i="73"/>
  <c r="AR57" i="73"/>
  <c r="E340" i="73"/>
  <c r="AR124" i="73"/>
  <c r="E501" i="73"/>
  <c r="AR166" i="73"/>
  <c r="E590" i="73"/>
  <c r="AC22" i="64"/>
  <c r="AD22" i="64"/>
  <c r="AR188" i="73"/>
  <c r="E659" i="73"/>
  <c r="AR193" i="73"/>
  <c r="E664" i="73"/>
  <c r="AR189" i="73"/>
  <c r="E660" i="73"/>
  <c r="AI134" i="73"/>
  <c r="AR99" i="73"/>
  <c r="E429" i="73"/>
  <c r="E751" i="73" s="1"/>
  <c r="AR114" i="73"/>
  <c r="E491" i="73"/>
  <c r="AR186" i="73"/>
  <c r="E657" i="73"/>
  <c r="AR133" i="73"/>
  <c r="E510" i="73"/>
  <c r="AC102" i="64"/>
  <c r="AD102" i="64"/>
  <c r="AR90" i="73"/>
  <c r="E420" i="73"/>
  <c r="AR52" i="73"/>
  <c r="E335" i="73"/>
  <c r="AR21" i="73"/>
  <c r="E257" i="73"/>
  <c r="AD101" i="64"/>
  <c r="AC101" i="64"/>
  <c r="AR136" i="73"/>
  <c r="E736" i="73"/>
  <c r="AR195" i="73"/>
  <c r="E666" i="73"/>
  <c r="AR31" i="73"/>
  <c r="E267" i="73"/>
  <c r="AR46" i="73"/>
  <c r="E329" i="73"/>
  <c r="AR56" i="73"/>
  <c r="E339" i="73"/>
  <c r="AR167" i="73"/>
  <c r="AR168" i="73" s="1"/>
  <c r="E591" i="73"/>
  <c r="AR58" i="73"/>
  <c r="E341" i="73"/>
  <c r="AD21" i="64"/>
  <c r="AC21" i="64"/>
  <c r="AR42" i="73"/>
  <c r="AR66" i="73" s="1"/>
  <c r="E325" i="73"/>
  <c r="AR98" i="73"/>
  <c r="E428" i="73"/>
  <c r="AD23" i="64"/>
  <c r="AC23" i="64"/>
  <c r="AR183" i="73"/>
  <c r="E654" i="73"/>
  <c r="AG204" i="73"/>
  <c r="B742" i="73"/>
  <c r="B760" i="73" s="1"/>
  <c r="AI66" i="73"/>
  <c r="AR17" i="73"/>
  <c r="E253" i="73"/>
  <c r="AI32" i="73"/>
  <c r="AR49" i="73"/>
  <c r="E332" i="73"/>
  <c r="U7" i="62"/>
  <c r="W7" i="62"/>
  <c r="U2" i="62"/>
  <c r="W2" i="62"/>
  <c r="W4" i="62"/>
  <c r="U4" i="62"/>
  <c r="AC24" i="64"/>
  <c r="AD24" i="64"/>
  <c r="AC104" i="64"/>
  <c r="AD104" i="64"/>
  <c r="AD56" i="64"/>
  <c r="AC56" i="64"/>
  <c r="O25" i="61"/>
  <c r="T64" i="55"/>
  <c r="U64" i="55"/>
  <c r="V64" i="55"/>
  <c r="W64" i="55"/>
  <c r="X64" i="55"/>
  <c r="Y64" i="55"/>
  <c r="Z64" i="55"/>
  <c r="AA64" i="55"/>
  <c r="AB64" i="55"/>
  <c r="AC64" i="55"/>
  <c r="AD64" i="55"/>
  <c r="AE64" i="55"/>
  <c r="S64" i="55"/>
  <c r="AF102" i="55"/>
  <c r="AG102" i="55"/>
  <c r="AR100" i="73" l="1"/>
  <c r="AR32" i="73"/>
  <c r="E754" i="73"/>
  <c r="E748" i="73"/>
  <c r="AR176" i="73"/>
  <c r="E647" i="73"/>
  <c r="C742" i="73"/>
  <c r="C760" i="73" s="1"/>
  <c r="AH204" i="73"/>
  <c r="AR134" i="73"/>
  <c r="T5" i="62"/>
  <c r="U5" i="62" s="1"/>
  <c r="AF61" i="62"/>
  <c r="AA69" i="64"/>
  <c r="AX8" i="64"/>
  <c r="B32" i="64"/>
  <c r="AY8" i="64" s="1"/>
  <c r="E745" i="73"/>
  <c r="S77" i="62"/>
  <c r="S75" i="62"/>
  <c r="S76" i="62"/>
  <c r="S82" i="62"/>
  <c r="S83" i="62"/>
  <c r="S84" i="62"/>
  <c r="S86" i="62"/>
  <c r="S81" i="62"/>
  <c r="S80" i="62"/>
  <c r="S85" i="62"/>
  <c r="S79" i="62"/>
  <c r="S78" i="62"/>
  <c r="AR192" i="73"/>
  <c r="E663" i="73"/>
  <c r="AA70" i="64"/>
  <c r="C32" i="64"/>
  <c r="E757" i="73"/>
  <c r="D671" i="73"/>
  <c r="AI200" i="73"/>
  <c r="AA72" i="64"/>
  <c r="E32" i="64"/>
  <c r="AA71" i="64"/>
  <c r="D32" i="64"/>
  <c r="AR198" i="73"/>
  <c r="E669" i="73"/>
  <c r="AH64" i="55"/>
  <c r="AH100" i="55"/>
  <c r="AH98" i="55"/>
  <c r="AH95" i="55"/>
  <c r="AH94" i="55"/>
  <c r="AH93" i="55"/>
  <c r="AH91" i="55"/>
  <c r="AH90" i="55"/>
  <c r="AH87" i="55"/>
  <c r="AH86" i="55"/>
  <c r="AH83" i="55"/>
  <c r="AH80" i="55"/>
  <c r="AH78" i="55"/>
  <c r="N70" i="55"/>
  <c r="M70" i="55"/>
  <c r="L70" i="55"/>
  <c r="K70" i="55"/>
  <c r="J70" i="55"/>
  <c r="I70" i="55"/>
  <c r="H70" i="55"/>
  <c r="G70" i="55"/>
  <c r="F70" i="55"/>
  <c r="E70" i="55"/>
  <c r="D70" i="55"/>
  <c r="C70" i="55"/>
  <c r="B70" i="55"/>
  <c r="AG29" i="55"/>
  <c r="AF29" i="55"/>
  <c r="AG8" i="55"/>
  <c r="AF8" i="55"/>
  <c r="AH76" i="55"/>
  <c r="AH77" i="55"/>
  <c r="AH79" i="55"/>
  <c r="AH81" i="55"/>
  <c r="AH82" i="55"/>
  <c r="AH84" i="55"/>
  <c r="AH85" i="55"/>
  <c r="AH89" i="55"/>
  <c r="AH92" i="55"/>
  <c r="AH96" i="55"/>
  <c r="AH97" i="55"/>
  <c r="AH99" i="55"/>
  <c r="AH101" i="55"/>
  <c r="AH75" i="55"/>
  <c r="AE41" i="55"/>
  <c r="AF41" i="55"/>
  <c r="AG41" i="55"/>
  <c r="AE42" i="55"/>
  <c r="AF42" i="55"/>
  <c r="AG42" i="55"/>
  <c r="AE43" i="55"/>
  <c r="AE44" i="55"/>
  <c r="AF44" i="55"/>
  <c r="AG44" i="55"/>
  <c r="AE45" i="55"/>
  <c r="AF45" i="55"/>
  <c r="AG45" i="55"/>
  <c r="AE46" i="55"/>
  <c r="AF46" i="55"/>
  <c r="AG46" i="55"/>
  <c r="AE47" i="55"/>
  <c r="AF47" i="55"/>
  <c r="AG47" i="55"/>
  <c r="AE48" i="55"/>
  <c r="AF48" i="55"/>
  <c r="AG48" i="55"/>
  <c r="AE49" i="55"/>
  <c r="AF49" i="55"/>
  <c r="AG49" i="55"/>
  <c r="AE50" i="55"/>
  <c r="AF50" i="55"/>
  <c r="AG50" i="55"/>
  <c r="AE51" i="55"/>
  <c r="AF51" i="55"/>
  <c r="AG51" i="55"/>
  <c r="AE52" i="55"/>
  <c r="AF52" i="55"/>
  <c r="AG52" i="55"/>
  <c r="AE53" i="55"/>
  <c r="AF53" i="55"/>
  <c r="AG53" i="55"/>
  <c r="AE54" i="55"/>
  <c r="AF54" i="55"/>
  <c r="AG54" i="55"/>
  <c r="AE55" i="55"/>
  <c r="AF55" i="55"/>
  <c r="AG55" i="55"/>
  <c r="AE56" i="55"/>
  <c r="AF56" i="55"/>
  <c r="AG56" i="55"/>
  <c r="AE57" i="55"/>
  <c r="AF57" i="55"/>
  <c r="AG57" i="55"/>
  <c r="AE58" i="55"/>
  <c r="AF58" i="55"/>
  <c r="AG58" i="55"/>
  <c r="AE59" i="55"/>
  <c r="AF59" i="55"/>
  <c r="AG59" i="55"/>
  <c r="AE60" i="55"/>
  <c r="AF60" i="55"/>
  <c r="AG60" i="55"/>
  <c r="AE61" i="55"/>
  <c r="AF61" i="55"/>
  <c r="AG61" i="55"/>
  <c r="AE62" i="55"/>
  <c r="AF62" i="55"/>
  <c r="AG62" i="55"/>
  <c r="AE63" i="55"/>
  <c r="AF63" i="55"/>
  <c r="AG63" i="55"/>
  <c r="AE65" i="55"/>
  <c r="AF65" i="55"/>
  <c r="AG65" i="55"/>
  <c r="AE66" i="55"/>
  <c r="AF66" i="55"/>
  <c r="AG66" i="55"/>
  <c r="AF40" i="55"/>
  <c r="AG40" i="55"/>
  <c r="AF6" i="55"/>
  <c r="AG6" i="55"/>
  <c r="AF7" i="55"/>
  <c r="AG7" i="55"/>
  <c r="AF9" i="55"/>
  <c r="AG9" i="55"/>
  <c r="AF10" i="55"/>
  <c r="AG10" i="55"/>
  <c r="AF11" i="55"/>
  <c r="AG11" i="55"/>
  <c r="AF12" i="55"/>
  <c r="AG12" i="55"/>
  <c r="AF13" i="55"/>
  <c r="AG13" i="55"/>
  <c r="AF14" i="55"/>
  <c r="AG14" i="55"/>
  <c r="AF15" i="55"/>
  <c r="AG15" i="55"/>
  <c r="AF16" i="55"/>
  <c r="AG16" i="55"/>
  <c r="AF17" i="55"/>
  <c r="AG17" i="55"/>
  <c r="AF18" i="55"/>
  <c r="AG18" i="55"/>
  <c r="AF19" i="55"/>
  <c r="AG19" i="55"/>
  <c r="AF20" i="55"/>
  <c r="AG20" i="55"/>
  <c r="AF21" i="55"/>
  <c r="AG21" i="55"/>
  <c r="AF22" i="55"/>
  <c r="AG22" i="55"/>
  <c r="AF23" i="55"/>
  <c r="AG23" i="55"/>
  <c r="AF24" i="55"/>
  <c r="AG24" i="55"/>
  <c r="AF25" i="55"/>
  <c r="AG25" i="55"/>
  <c r="AF26" i="55"/>
  <c r="AG26" i="55"/>
  <c r="AF27" i="55"/>
  <c r="AG27" i="55"/>
  <c r="AF28" i="55"/>
  <c r="AG28" i="55"/>
  <c r="AF30" i="55"/>
  <c r="AG30" i="55"/>
  <c r="AF31" i="55"/>
  <c r="AG31" i="55"/>
  <c r="AF5" i="55"/>
  <c r="AG5" i="55"/>
  <c r="Y109" i="55"/>
  <c r="Z109" i="55"/>
  <c r="Y110" i="55"/>
  <c r="Z110" i="55"/>
  <c r="Y111" i="55"/>
  <c r="Z111" i="55"/>
  <c r="Y112" i="55"/>
  <c r="Z112" i="55"/>
  <c r="Y113" i="55"/>
  <c r="Z113" i="55"/>
  <c r="Y114" i="55"/>
  <c r="Z114" i="55"/>
  <c r="Y115" i="55"/>
  <c r="Z115" i="55"/>
  <c r="Y116" i="55"/>
  <c r="Z116" i="55"/>
  <c r="Y117" i="55"/>
  <c r="Z117" i="55"/>
  <c r="Y118" i="55"/>
  <c r="Z118" i="55"/>
  <c r="Y119" i="55"/>
  <c r="Z119" i="55"/>
  <c r="Y120" i="55"/>
  <c r="Z120" i="55"/>
  <c r="Y121" i="55"/>
  <c r="Z121" i="55"/>
  <c r="Y122" i="55"/>
  <c r="Z122" i="55"/>
  <c r="Y123" i="55"/>
  <c r="Z123" i="55"/>
  <c r="Y124" i="55"/>
  <c r="Z124" i="55"/>
  <c r="Y125" i="55"/>
  <c r="Z125" i="55"/>
  <c r="Y126" i="55"/>
  <c r="Z126" i="55"/>
  <c r="Y127" i="55"/>
  <c r="Z127" i="55"/>
  <c r="Y128" i="55"/>
  <c r="Z128" i="55"/>
  <c r="Y129" i="55"/>
  <c r="Z129" i="55"/>
  <c r="Y130" i="55"/>
  <c r="Z130" i="55"/>
  <c r="Y131" i="55"/>
  <c r="Z131" i="55"/>
  <c r="Y132" i="55"/>
  <c r="Z132" i="55"/>
  <c r="Y133" i="55"/>
  <c r="Z133" i="55"/>
  <c r="Y134" i="55"/>
  <c r="Z134" i="55"/>
  <c r="Z108" i="55"/>
  <c r="Y108" i="55"/>
  <c r="AC70" i="64" l="1"/>
  <c r="AD70" i="64"/>
  <c r="D742" i="73"/>
  <c r="D760" i="73" s="1"/>
  <c r="AI204" i="73"/>
  <c r="AC71" i="64"/>
  <c r="AD71" i="64"/>
  <c r="AC72" i="64"/>
  <c r="AD72" i="64"/>
  <c r="AC69" i="64"/>
  <c r="AD69" i="64"/>
  <c r="AR200" i="73"/>
  <c r="AR202" i="73" s="1"/>
  <c r="E671" i="73"/>
  <c r="AI202" i="73"/>
  <c r="AF67" i="55"/>
  <c r="AF32" i="55"/>
  <c r="O70" i="55"/>
  <c r="AG67" i="55"/>
  <c r="Z135" i="55"/>
  <c r="P15" i="22" s="1"/>
  <c r="AH88" i="55"/>
  <c r="Y135" i="55"/>
  <c r="O15" i="22" s="1"/>
  <c r="AG32" i="55"/>
  <c r="AR204" i="73" l="1"/>
  <c r="E742" i="73"/>
  <c r="E760" i="73" s="1"/>
  <c r="AH81" i="54"/>
  <c r="AH79" i="54"/>
  <c r="AH76" i="54"/>
  <c r="AH77" i="54"/>
  <c r="AH78" i="54"/>
  <c r="AH80" i="54"/>
  <c r="AH82" i="54"/>
  <c r="AH83" i="54"/>
  <c r="AH84" i="54"/>
  <c r="AH85" i="54"/>
  <c r="AH86" i="54"/>
  <c r="AH87" i="54"/>
  <c r="AH88" i="54"/>
  <c r="AH89" i="54"/>
  <c r="AH90" i="54"/>
  <c r="AH91" i="54"/>
  <c r="AH92" i="54"/>
  <c r="AH93" i="54"/>
  <c r="AH94" i="54"/>
  <c r="AH95" i="54"/>
  <c r="AH96" i="54"/>
  <c r="AH97" i="54"/>
  <c r="AH98" i="54"/>
  <c r="AH99" i="54"/>
  <c r="AH100" i="54"/>
  <c r="AH101" i="54"/>
  <c r="Z108" i="54"/>
  <c r="N70" i="54"/>
  <c r="M70" i="54"/>
  <c r="L70" i="54"/>
  <c r="K70" i="54"/>
  <c r="J70" i="54"/>
  <c r="I70" i="54"/>
  <c r="H70" i="54"/>
  <c r="G70" i="54"/>
  <c r="F70" i="54"/>
  <c r="E70" i="54"/>
  <c r="D70" i="54"/>
  <c r="C70" i="54"/>
  <c r="B70" i="54"/>
  <c r="O70" i="54" l="1"/>
  <c r="Z134" i="54"/>
  <c r="Y134" i="54"/>
  <c r="Z133" i="54"/>
  <c r="Y133" i="54"/>
  <c r="Z132" i="54"/>
  <c r="Y132" i="54"/>
  <c r="Z131" i="54"/>
  <c r="Y131" i="54"/>
  <c r="Z130" i="54"/>
  <c r="Y130" i="54"/>
  <c r="Z129" i="54"/>
  <c r="Y129" i="54"/>
  <c r="Z128" i="54"/>
  <c r="Y128" i="54"/>
  <c r="Z127" i="54"/>
  <c r="Y127" i="54"/>
  <c r="Z126" i="54"/>
  <c r="Y126" i="54"/>
  <c r="Z125" i="54"/>
  <c r="Y125" i="54"/>
  <c r="Z124" i="54"/>
  <c r="Y124" i="54"/>
  <c r="Z123" i="54"/>
  <c r="Y123" i="54"/>
  <c r="Z122" i="54"/>
  <c r="Y122" i="54"/>
  <c r="Z121" i="54"/>
  <c r="Y121" i="54"/>
  <c r="Z120" i="54"/>
  <c r="Y120" i="54"/>
  <c r="Z119" i="54"/>
  <c r="Y119" i="54"/>
  <c r="Z118" i="54"/>
  <c r="Y118" i="54"/>
  <c r="Z117" i="54"/>
  <c r="Y117" i="54"/>
  <c r="Z116" i="54"/>
  <c r="Y116" i="54"/>
  <c r="Z115" i="54"/>
  <c r="Y115" i="54"/>
  <c r="Z114" i="54"/>
  <c r="Y114" i="54"/>
  <c r="Z113" i="54"/>
  <c r="Y113" i="54"/>
  <c r="Z112" i="54"/>
  <c r="Y112" i="54"/>
  <c r="Z111" i="54"/>
  <c r="Y111" i="54"/>
  <c r="Z110" i="54"/>
  <c r="Y110" i="54"/>
  <c r="Z109" i="54"/>
  <c r="Y109" i="54"/>
  <c r="Y108" i="54"/>
  <c r="AH75" i="54"/>
  <c r="S102" i="54"/>
  <c r="T102" i="54"/>
  <c r="U102" i="54"/>
  <c r="V102" i="54"/>
  <c r="W102" i="54"/>
  <c r="X102" i="54"/>
  <c r="Y102" i="54"/>
  <c r="Z102" i="54"/>
  <c r="AA102" i="54"/>
  <c r="AB102" i="54"/>
  <c r="AC102" i="54"/>
  <c r="AD102" i="54"/>
  <c r="AE102" i="54"/>
  <c r="AF102" i="54"/>
  <c r="AG102" i="54"/>
  <c r="AF66" i="54"/>
  <c r="AB66" i="54"/>
  <c r="X66" i="54"/>
  <c r="AF65" i="54"/>
  <c r="AB64" i="54"/>
  <c r="U62" i="54" s="1"/>
  <c r="Z64" i="54"/>
  <c r="S62" i="54" s="1"/>
  <c r="AG63" i="54"/>
  <c r="Z26" i="54" s="1"/>
  <c r="AB27" i="54"/>
  <c r="Y62" i="54"/>
  <c r="AG61" i="54"/>
  <c r="Y61" i="54"/>
  <c r="AF60" i="54"/>
  <c r="Y58" i="54" s="1"/>
  <c r="AG24" i="54"/>
  <c r="Z59" i="54"/>
  <c r="S22" i="54" s="1"/>
  <c r="AO22" i="73" s="1"/>
  <c r="K258" i="73" s="1"/>
  <c r="U59" i="54"/>
  <c r="AE22" i="54" s="1"/>
  <c r="AF58" i="54"/>
  <c r="AB58" i="54"/>
  <c r="U21" i="54" s="1"/>
  <c r="AO89" i="73" s="1"/>
  <c r="K419" i="73" s="1"/>
  <c r="AF57" i="54"/>
  <c r="Y20" i="54" s="1"/>
  <c r="AF56" i="54"/>
  <c r="Y54" i="54" s="1"/>
  <c r="AB56" i="54"/>
  <c r="Y56" i="54"/>
  <c r="AG55" i="54"/>
  <c r="Z18" i="54" s="1"/>
  <c r="AG54" i="54"/>
  <c r="AF54" i="54"/>
  <c r="Y17" i="54" s="1"/>
  <c r="AB19" i="54"/>
  <c r="U54" i="54"/>
  <c r="Z52" i="54"/>
  <c r="AG51" i="54"/>
  <c r="Z49" i="54" s="1"/>
  <c r="AF51" i="54"/>
  <c r="AB51" i="54"/>
  <c r="U49" i="54" s="1"/>
  <c r="AE47" i="54" s="1"/>
  <c r="X45" i="54" s="1"/>
  <c r="AF50" i="54"/>
  <c r="AB15" i="54"/>
  <c r="U50" i="54"/>
  <c r="Y49" i="54"/>
  <c r="AF48" i="54"/>
  <c r="Y46" i="54" s="1"/>
  <c r="AB48" i="54"/>
  <c r="AG47" i="54"/>
  <c r="Z45" i="54" s="1"/>
  <c r="AB47" i="54"/>
  <c r="AF46" i="54"/>
  <c r="AB11" i="54"/>
  <c r="U46" i="54"/>
  <c r="AE44" i="54" s="1"/>
  <c r="X7" i="54" s="1"/>
  <c r="AG45" i="54"/>
  <c r="Z43" i="54" s="1"/>
  <c r="AF43" i="54"/>
  <c r="Y41" i="54" s="1"/>
  <c r="AB43" i="54"/>
  <c r="U41" i="54" s="1"/>
  <c r="AB7" i="54"/>
  <c r="Z41" i="54"/>
  <c r="AF5" i="54"/>
  <c r="AG66" i="54"/>
  <c r="AE66" i="54"/>
  <c r="AD66" i="54"/>
  <c r="AC66" i="54"/>
  <c r="AA66" i="54"/>
  <c r="Z66" i="54"/>
  <c r="Y66" i="54"/>
  <c r="V66" i="54"/>
  <c r="U66" i="54"/>
  <c r="S66" i="54"/>
  <c r="AC29" i="54" s="1"/>
  <c r="AG65" i="54"/>
  <c r="Z63" i="54" s="1"/>
  <c r="AB65" i="54"/>
  <c r="AE64" i="54"/>
  <c r="X62" i="54" s="1"/>
  <c r="AC64" i="54"/>
  <c r="V62" i="54" s="1"/>
  <c r="Y64" i="54"/>
  <c r="X64" i="54"/>
  <c r="T64" i="54"/>
  <c r="AD62" i="54" s="1"/>
  <c r="S64" i="54"/>
  <c r="AF63" i="54"/>
  <c r="AB63" i="54"/>
  <c r="U61" i="54" s="1"/>
  <c r="AE59" i="54" s="1"/>
  <c r="X57" i="54" s="1"/>
  <c r="AG62" i="54"/>
  <c r="AF62" i="54"/>
  <c r="AB62" i="54"/>
  <c r="Z62" i="54"/>
  <c r="AF61" i="54"/>
  <c r="AB61" i="54"/>
  <c r="Z61" i="54"/>
  <c r="AG60" i="54"/>
  <c r="AB60" i="54"/>
  <c r="U58" i="54" s="1"/>
  <c r="AG59" i="54"/>
  <c r="AF59" i="54"/>
  <c r="AB59" i="54"/>
  <c r="U57" i="54" s="1"/>
  <c r="AE55" i="54" s="1"/>
  <c r="X53" i="54" s="1"/>
  <c r="AG58" i="54"/>
  <c r="Z21" i="54" s="1"/>
  <c r="Z58" i="54"/>
  <c r="AG57" i="54"/>
  <c r="AE57" i="54"/>
  <c r="X55" i="54" s="1"/>
  <c r="AB57" i="54"/>
  <c r="S57" i="54"/>
  <c r="AC55" i="54" s="1"/>
  <c r="V18" i="54" s="1"/>
  <c r="AO120" i="73" s="1"/>
  <c r="K497" i="73" s="1"/>
  <c r="AG56" i="54"/>
  <c r="Z54" i="54" s="1"/>
  <c r="Z56" i="54"/>
  <c r="U56" i="54"/>
  <c r="AF55" i="54"/>
  <c r="Y53" i="54" s="1"/>
  <c r="AB55" i="54"/>
  <c r="Z55" i="54"/>
  <c r="Y55" i="54"/>
  <c r="AB54" i="54"/>
  <c r="AG53" i="54"/>
  <c r="Z51" i="54" s="1"/>
  <c r="AF53" i="54"/>
  <c r="AB53" i="54"/>
  <c r="Z53" i="54"/>
  <c r="V53" i="54"/>
  <c r="U53" i="54"/>
  <c r="AE51" i="54" s="1"/>
  <c r="X49" i="54" s="1"/>
  <c r="AG52" i="54"/>
  <c r="Z50" i="54" s="1"/>
  <c r="AF52" i="54"/>
  <c r="Y50" i="54" s="1"/>
  <c r="AE52" i="54"/>
  <c r="X15" i="54" s="1"/>
  <c r="AB52" i="54"/>
  <c r="Y52" i="54"/>
  <c r="S52" i="54"/>
  <c r="AC50" i="54" s="1"/>
  <c r="AG50" i="54"/>
  <c r="Z13" i="54" s="1"/>
  <c r="AB50" i="54"/>
  <c r="U13" i="54" s="1"/>
  <c r="AO81" i="73" s="1"/>
  <c r="K411" i="73" s="1"/>
  <c r="AG49" i="54"/>
  <c r="Z47" i="54" s="1"/>
  <c r="AF49" i="54"/>
  <c r="AB49" i="54"/>
  <c r="AG48" i="54"/>
  <c r="Z46" i="54" s="1"/>
  <c r="AE48" i="54"/>
  <c r="Z48" i="54"/>
  <c r="Y48" i="54"/>
  <c r="S48" i="54"/>
  <c r="AF47" i="54"/>
  <c r="Y45" i="54" s="1"/>
  <c r="AG46" i="54"/>
  <c r="AC46" i="54"/>
  <c r="AB46" i="54"/>
  <c r="U44" i="54" s="1"/>
  <c r="AE42" i="54" s="1"/>
  <c r="AF45" i="54"/>
  <c r="AB45" i="54"/>
  <c r="U8" i="54" s="1"/>
  <c r="AO76" i="73" s="1"/>
  <c r="K406" i="73" s="1"/>
  <c r="U45" i="54"/>
  <c r="AG44" i="54"/>
  <c r="Z42" i="54" s="1"/>
  <c r="AF44" i="54"/>
  <c r="AB44" i="54"/>
  <c r="Y44" i="54"/>
  <c r="AG43" i="54"/>
  <c r="AE43" i="54"/>
  <c r="X41" i="54" s="1"/>
  <c r="U43" i="54"/>
  <c r="AE6" i="54" s="1"/>
  <c r="AG42" i="54"/>
  <c r="Z40" i="54" s="1"/>
  <c r="AF42" i="54"/>
  <c r="AB42" i="54"/>
  <c r="Y42" i="54"/>
  <c r="X42" i="54"/>
  <c r="U42" i="54"/>
  <c r="AG41" i="54"/>
  <c r="AF41" i="54"/>
  <c r="AE41" i="54"/>
  <c r="AB41" i="54"/>
  <c r="AG40" i="54"/>
  <c r="AE40" i="54"/>
  <c r="AB40" i="54"/>
  <c r="S40" i="54"/>
  <c r="AG31" i="54"/>
  <c r="AE31" i="54"/>
  <c r="AD31" i="54"/>
  <c r="AC31" i="54"/>
  <c r="AA31" i="54"/>
  <c r="Z31" i="54"/>
  <c r="Y31" i="54"/>
  <c r="V31" i="54"/>
  <c r="AO133" i="73" s="1"/>
  <c r="K510" i="73" s="1"/>
  <c r="U31" i="54"/>
  <c r="AO99" i="73" s="1"/>
  <c r="K429" i="73" s="1"/>
  <c r="S31" i="54"/>
  <c r="AO31" i="73" s="1"/>
  <c r="K267" i="73" s="1"/>
  <c r="AG30" i="54"/>
  <c r="AF30" i="54"/>
  <c r="AB30" i="54"/>
  <c r="AG29" i="54"/>
  <c r="AF29" i="54"/>
  <c r="AE29" i="54"/>
  <c r="AB29" i="54"/>
  <c r="Y29" i="54"/>
  <c r="X29" i="54"/>
  <c r="T29" i="54"/>
  <c r="AO63" i="73" s="1"/>
  <c r="K346" i="73" s="1"/>
  <c r="S29" i="54"/>
  <c r="AO29" i="73" s="1"/>
  <c r="K265" i="73" s="1"/>
  <c r="AF28" i="54"/>
  <c r="AB28" i="54"/>
  <c r="Z28" i="54"/>
  <c r="AG27" i="54"/>
  <c r="AF27" i="54"/>
  <c r="AD27" i="54"/>
  <c r="Z27" i="54"/>
  <c r="Y27" i="54"/>
  <c r="V27" i="54"/>
  <c r="AO129" i="73" s="1"/>
  <c r="K506" i="73" s="1"/>
  <c r="U27" i="54"/>
  <c r="AO95" i="73" s="1"/>
  <c r="K425" i="73" s="1"/>
  <c r="S27" i="54"/>
  <c r="AO27" i="73" s="1"/>
  <c r="K263" i="73" s="1"/>
  <c r="AG26" i="54"/>
  <c r="AF26" i="54"/>
  <c r="AB26" i="54"/>
  <c r="Y26" i="54"/>
  <c r="U26" i="54"/>
  <c r="AO94" i="73" s="1"/>
  <c r="K424" i="73" s="1"/>
  <c r="AG25" i="54"/>
  <c r="AF25" i="54"/>
  <c r="AB25" i="54"/>
  <c r="AF24" i="54"/>
  <c r="AE24" i="54"/>
  <c r="AB24" i="54"/>
  <c r="Z24" i="54"/>
  <c r="S24" i="54"/>
  <c r="AO24" i="73" s="1"/>
  <c r="K260" i="73" s="1"/>
  <c r="AG23" i="54"/>
  <c r="AF23" i="54"/>
  <c r="Z23" i="54"/>
  <c r="U23" i="54"/>
  <c r="AO91" i="73" s="1"/>
  <c r="K421" i="73" s="1"/>
  <c r="AG22" i="54"/>
  <c r="AF22" i="54"/>
  <c r="AB22" i="54"/>
  <c r="X22" i="54"/>
  <c r="U22" i="54"/>
  <c r="AO90" i="73" s="1"/>
  <c r="K420" i="73" s="1"/>
  <c r="AG21" i="54"/>
  <c r="AF21" i="54"/>
  <c r="AB21" i="54"/>
  <c r="Y21" i="54"/>
  <c r="S21" i="54"/>
  <c r="AO21" i="73" s="1"/>
  <c r="K257" i="73" s="1"/>
  <c r="AF20" i="54"/>
  <c r="AE20" i="54"/>
  <c r="AB20" i="54"/>
  <c r="Z20" i="54"/>
  <c r="X20" i="54"/>
  <c r="AG19" i="54"/>
  <c r="Z19" i="54"/>
  <c r="Y19" i="54"/>
  <c r="U19" i="54"/>
  <c r="AO87" i="73" s="1"/>
  <c r="K417" i="73" s="1"/>
  <c r="AG18" i="54"/>
  <c r="AF18" i="54"/>
  <c r="AB18" i="54"/>
  <c r="X18" i="54"/>
  <c r="U18" i="54"/>
  <c r="AO86" i="73" s="1"/>
  <c r="K416" i="73" s="1"/>
  <c r="AG17" i="54"/>
  <c r="AF17" i="54"/>
  <c r="AE17" i="54"/>
  <c r="AB17" i="54"/>
  <c r="S17" i="54"/>
  <c r="AO17" i="73" s="1"/>
  <c r="K253" i="73" s="1"/>
  <c r="AF16" i="54"/>
  <c r="AE16" i="54"/>
  <c r="AB16" i="54"/>
  <c r="Z16" i="54"/>
  <c r="AG15" i="54"/>
  <c r="Z15" i="54"/>
  <c r="U15" i="54"/>
  <c r="AO83" i="73" s="1"/>
  <c r="K413" i="73" s="1"/>
  <c r="S15" i="54"/>
  <c r="AO15" i="73" s="1"/>
  <c r="K251" i="73" s="1"/>
  <c r="AG14" i="54"/>
  <c r="AF14" i="54"/>
  <c r="AB14" i="54"/>
  <c r="Z14" i="54"/>
  <c r="Y14" i="54"/>
  <c r="X14" i="54"/>
  <c r="U14" i="54"/>
  <c r="AO82" i="73" s="1"/>
  <c r="K412" i="73" s="1"/>
  <c r="AG13" i="54"/>
  <c r="AF13" i="54"/>
  <c r="AE13" i="54"/>
  <c r="AB13" i="54"/>
  <c r="Y13" i="54"/>
  <c r="S13" i="54"/>
  <c r="AO13" i="73" s="1"/>
  <c r="K249" i="73" s="1"/>
  <c r="AF12" i="54"/>
  <c r="AE12" i="54"/>
  <c r="AB12" i="54"/>
  <c r="S12" i="54"/>
  <c r="AO12" i="73" s="1"/>
  <c r="K248" i="73" s="1"/>
  <c r="AG11" i="54"/>
  <c r="AC11" i="54"/>
  <c r="Z11" i="54"/>
  <c r="Y11" i="54"/>
  <c r="U11" i="54"/>
  <c r="AO79" i="73" s="1"/>
  <c r="K409" i="73" s="1"/>
  <c r="AG10" i="54"/>
  <c r="AF10" i="54"/>
  <c r="AB10" i="54"/>
  <c r="Z10" i="54"/>
  <c r="Y10" i="54"/>
  <c r="X10" i="54"/>
  <c r="U10" i="54"/>
  <c r="AO78" i="73" s="1"/>
  <c r="K408" i="73" s="1"/>
  <c r="AG9" i="54"/>
  <c r="AF9" i="54"/>
  <c r="AE9" i="54"/>
  <c r="AB9" i="54"/>
  <c r="Y9" i="54"/>
  <c r="U9" i="54"/>
  <c r="AO77" i="73" s="1"/>
  <c r="K407" i="73" s="1"/>
  <c r="S9" i="54"/>
  <c r="AO9" i="73" s="1"/>
  <c r="K245" i="73" s="1"/>
  <c r="AG8" i="54"/>
  <c r="AF8" i="54"/>
  <c r="AE8" i="54"/>
  <c r="AB8" i="54"/>
  <c r="Z8" i="54"/>
  <c r="S8" i="54"/>
  <c r="AO8" i="73" s="1"/>
  <c r="K244" i="73" s="1"/>
  <c r="AG7" i="54"/>
  <c r="AF7" i="54"/>
  <c r="AE7" i="54"/>
  <c r="Z7" i="54"/>
  <c r="Y7" i="54"/>
  <c r="U7" i="54"/>
  <c r="AO75" i="73" s="1"/>
  <c r="K405" i="73" s="1"/>
  <c r="AG6" i="54"/>
  <c r="AF6" i="54"/>
  <c r="AB6" i="54"/>
  <c r="Z6" i="54"/>
  <c r="Y6" i="54"/>
  <c r="U6" i="54"/>
  <c r="AO74" i="73" s="1"/>
  <c r="K404" i="73" s="1"/>
  <c r="AG5" i="54"/>
  <c r="Z135" i="54" l="1"/>
  <c r="P14" i="22" s="1"/>
  <c r="Y135" i="54"/>
  <c r="O14" i="22" s="1"/>
  <c r="AH102" i="54"/>
  <c r="S6" i="54"/>
  <c r="AO6" i="73" s="1"/>
  <c r="K242" i="73" s="1"/>
  <c r="S41" i="54"/>
  <c r="X40" i="54"/>
  <c r="V64" i="54"/>
  <c r="V29" i="54"/>
  <c r="AO131" i="73" s="1"/>
  <c r="K508" i="73" s="1"/>
  <c r="S46" i="54"/>
  <c r="S11" i="54"/>
  <c r="AO11" i="73" s="1"/>
  <c r="K247" i="73" s="1"/>
  <c r="Y16" i="54"/>
  <c r="Y51" i="54"/>
  <c r="S56" i="54"/>
  <c r="AC15" i="54"/>
  <c r="Y18" i="54"/>
  <c r="X30" i="54"/>
  <c r="AE5" i="54"/>
  <c r="Y8" i="54"/>
  <c r="Y43" i="54"/>
  <c r="Z9" i="54"/>
  <c r="Z44" i="54"/>
  <c r="X11" i="54"/>
  <c r="X46" i="54"/>
  <c r="Y12" i="54"/>
  <c r="Y47" i="54"/>
  <c r="S60" i="54"/>
  <c r="S25" i="54"/>
  <c r="AO25" i="73" s="1"/>
  <c r="K261" i="73" s="1"/>
  <c r="U48" i="54"/>
  <c r="V48" i="54"/>
  <c r="V13" i="54"/>
  <c r="AO115" i="73" s="1"/>
  <c r="K492" i="73" s="1"/>
  <c r="U52" i="54"/>
  <c r="U17" i="54"/>
  <c r="AO85" i="73" s="1"/>
  <c r="K415" i="73" s="1"/>
  <c r="AE56" i="54"/>
  <c r="AE21" i="54"/>
  <c r="Z5" i="54"/>
  <c r="S26" i="54"/>
  <c r="AO26" i="73" s="1"/>
  <c r="K262" i="73" s="1"/>
  <c r="S61" i="54"/>
  <c r="AC25" i="54"/>
  <c r="AC60" i="54"/>
  <c r="U29" i="54"/>
  <c r="AO97" i="73" s="1"/>
  <c r="K427" i="73" s="1"/>
  <c r="U64" i="54"/>
  <c r="X6" i="54"/>
  <c r="Y23" i="54"/>
  <c r="Y57" i="54"/>
  <c r="Y22" i="54"/>
  <c r="AC62" i="54"/>
  <c r="AC27" i="54"/>
  <c r="AE60" i="54"/>
  <c r="AE25" i="54"/>
  <c r="U20" i="54"/>
  <c r="AO88" i="73" s="1"/>
  <c r="K418" i="73" s="1"/>
  <c r="U55" i="54"/>
  <c r="Y60" i="54"/>
  <c r="Y25" i="54"/>
  <c r="Z12" i="54"/>
  <c r="Y15" i="54"/>
  <c r="Y40" i="54"/>
  <c r="Y5" i="54"/>
  <c r="S5" i="54"/>
  <c r="AO5" i="73" s="1"/>
  <c r="S44" i="54"/>
  <c r="U47" i="54"/>
  <c r="U12" i="54"/>
  <c r="AO80" i="73" s="1"/>
  <c r="K410" i="73" s="1"/>
  <c r="X50" i="54"/>
  <c r="S51" i="54"/>
  <c r="U51" i="54"/>
  <c r="U16" i="54"/>
  <c r="AO84" i="73" s="1"/>
  <c r="K414" i="73" s="1"/>
  <c r="S54" i="54"/>
  <c r="S19" i="54"/>
  <c r="AO19" i="73" s="1"/>
  <c r="K255" i="73" s="1"/>
  <c r="Z60" i="54"/>
  <c r="Z25" i="54"/>
  <c r="U63" i="54"/>
  <c r="U28" i="54"/>
  <c r="AO96" i="73" s="1"/>
  <c r="K426" i="73" s="1"/>
  <c r="S43" i="54"/>
  <c r="S16" i="54"/>
  <c r="AO16" i="73" s="1"/>
  <c r="K252" i="73" s="1"/>
  <c r="U5" i="54"/>
  <c r="AO73" i="73" s="1"/>
  <c r="U40" i="54"/>
  <c r="V9" i="54"/>
  <c r="AO111" i="73" s="1"/>
  <c r="K488" i="73" s="1"/>
  <c r="V44" i="54"/>
  <c r="S45" i="54"/>
  <c r="S10" i="54"/>
  <c r="AO10" i="73" s="1"/>
  <c r="K246" i="73" s="1"/>
  <c r="S49" i="54"/>
  <c r="S14" i="54"/>
  <c r="AO14" i="73" s="1"/>
  <c r="K250" i="73" s="1"/>
  <c r="S53" i="54"/>
  <c r="S18" i="54"/>
  <c r="AO18" i="73" s="1"/>
  <c r="K254" i="73" s="1"/>
  <c r="AE54" i="54"/>
  <c r="AE19" i="54"/>
  <c r="Z57" i="54"/>
  <c r="Z22" i="54"/>
  <c r="S59" i="54"/>
  <c r="Y59" i="54"/>
  <c r="Y24" i="54"/>
  <c r="U25" i="54"/>
  <c r="AO93" i="73" s="1"/>
  <c r="K423" i="73" s="1"/>
  <c r="U60" i="54"/>
  <c r="S47" i="54"/>
  <c r="Y63" i="54"/>
  <c r="Y28" i="54"/>
  <c r="AF40" i="54"/>
  <c r="AF67" i="54" s="1"/>
  <c r="AB5" i="54"/>
  <c r="AF11" i="54"/>
  <c r="AG12" i="54"/>
  <c r="AF15" i="54"/>
  <c r="AG16" i="54"/>
  <c r="Z17" i="54"/>
  <c r="AF19" i="54"/>
  <c r="AC20" i="54"/>
  <c r="AG20" i="54"/>
  <c r="AB23" i="54"/>
  <c r="U24" i="54"/>
  <c r="AO92" i="73" s="1"/>
  <c r="K422" i="73" s="1"/>
  <c r="X27" i="54"/>
  <c r="AG28" i="54"/>
  <c r="Z29" i="54"/>
  <c r="T31" i="54"/>
  <c r="AO65" i="73" s="1"/>
  <c r="K348" i="73" s="1"/>
  <c r="X31" i="54"/>
  <c r="AO201" i="73" s="1"/>
  <c r="K672" i="73" s="1"/>
  <c r="AB31" i="54"/>
  <c r="AF31" i="54"/>
  <c r="S50" i="54"/>
  <c r="AB67" i="54"/>
  <c r="AG67" i="54"/>
  <c r="T66" i="54"/>
  <c r="K403" i="73" l="1"/>
  <c r="K241" i="73"/>
  <c r="AG32" i="54"/>
  <c r="AB32" i="54"/>
  <c r="AH31" i="54"/>
  <c r="AF32" i="54"/>
  <c r="AE30" i="54"/>
  <c r="AE65" i="54"/>
  <c r="AH66" i="54"/>
  <c r="AC24" i="54"/>
  <c r="AC59" i="54"/>
  <c r="U65" i="54"/>
  <c r="U67" i="54" s="1"/>
  <c r="U30" i="54"/>
  <c r="AE26" i="54"/>
  <c r="AE61" i="54"/>
  <c r="AC17" i="54"/>
  <c r="AC52" i="54"/>
  <c r="X58" i="54"/>
  <c r="X23" i="54"/>
  <c r="S42" i="54"/>
  <c r="S7" i="54"/>
  <c r="AO7" i="73" s="1"/>
  <c r="K243" i="73" s="1"/>
  <c r="AC44" i="54"/>
  <c r="AC9" i="54"/>
  <c r="X52" i="54"/>
  <c r="X17" i="54"/>
  <c r="AC8" i="54"/>
  <c r="AC43" i="54"/>
  <c r="AC49" i="54"/>
  <c r="AC14" i="54"/>
  <c r="V58" i="54"/>
  <c r="V23" i="54"/>
  <c r="AO125" i="73" s="1"/>
  <c r="K502" i="73" s="1"/>
  <c r="X19" i="54"/>
  <c r="X54" i="54"/>
  <c r="Z65" i="54"/>
  <c r="Z67" i="54" s="1"/>
  <c r="Z30" i="54"/>
  <c r="Z32" i="54" s="1"/>
  <c r="AC12" i="54"/>
  <c r="AC47" i="54"/>
  <c r="AC41" i="54"/>
  <c r="AC6" i="54"/>
  <c r="S58" i="54"/>
  <c r="S23" i="54"/>
  <c r="AO23" i="73" s="1"/>
  <c r="K259" i="73" s="1"/>
  <c r="V25" i="54"/>
  <c r="AO127" i="73" s="1"/>
  <c r="K504" i="73" s="1"/>
  <c r="V60" i="54"/>
  <c r="AE46" i="54"/>
  <c r="AE11" i="54"/>
  <c r="AE49" i="54"/>
  <c r="AE14" i="54"/>
  <c r="AE53" i="54"/>
  <c r="AE18" i="54"/>
  <c r="AE50" i="54"/>
  <c r="AE15" i="54"/>
  <c r="AC54" i="54"/>
  <c r="AC19" i="54"/>
  <c r="AE62" i="54"/>
  <c r="AE27" i="54"/>
  <c r="AE23" i="54"/>
  <c r="AE58" i="54"/>
  <c r="Y65" i="54"/>
  <c r="Y67" i="54" s="1"/>
  <c r="Y30" i="54"/>
  <c r="Y32" i="54" s="1"/>
  <c r="S55" i="54"/>
  <c r="S20" i="54"/>
  <c r="AO20" i="73" s="1"/>
  <c r="K256" i="73" s="1"/>
  <c r="AC57" i="54"/>
  <c r="AC22" i="54"/>
  <c r="AE45" i="54"/>
  <c r="AE10" i="54"/>
  <c r="AG29" i="53"/>
  <c r="AF29" i="53"/>
  <c r="AG29" i="51"/>
  <c r="P29" i="29" s="1"/>
  <c r="AF29" i="51"/>
  <c r="U32" i="54" l="1"/>
  <c r="AO98" i="73"/>
  <c r="B775" i="73"/>
  <c r="O29" i="29"/>
  <c r="AC58" i="54"/>
  <c r="AC23" i="54"/>
  <c r="AC7" i="54"/>
  <c r="AC42" i="54"/>
  <c r="X28" i="54"/>
  <c r="X63" i="54"/>
  <c r="S30" i="54"/>
  <c r="AO30" i="73" s="1"/>
  <c r="K266" i="73" s="1"/>
  <c r="S65" i="54"/>
  <c r="X60" i="54"/>
  <c r="X25" i="54"/>
  <c r="V17" i="54"/>
  <c r="AO119" i="73" s="1"/>
  <c r="K496" i="73" s="1"/>
  <c r="V52" i="54"/>
  <c r="X51" i="54"/>
  <c r="X16" i="54"/>
  <c r="AC45" i="54"/>
  <c r="AC10" i="54"/>
  <c r="S63" i="54"/>
  <c r="S28" i="54"/>
  <c r="AO28" i="73" s="1"/>
  <c r="K264" i="73" s="1"/>
  <c r="V47" i="54"/>
  <c r="V12" i="54"/>
  <c r="AO114" i="73" s="1"/>
  <c r="K491" i="73" s="1"/>
  <c r="V50" i="54"/>
  <c r="V15" i="54"/>
  <c r="AO117" i="73" s="1"/>
  <c r="K494" i="73" s="1"/>
  <c r="AD64" i="54"/>
  <c r="AD29" i="54"/>
  <c r="V20" i="54"/>
  <c r="AO122" i="73" s="1"/>
  <c r="K499" i="73" s="1"/>
  <c r="V55" i="54"/>
  <c r="AC53" i="54"/>
  <c r="AC18" i="54"/>
  <c r="X56" i="54"/>
  <c r="X21" i="54"/>
  <c r="AC16" i="54"/>
  <c r="AC51" i="54"/>
  <c r="V41" i="54"/>
  <c r="V6" i="54"/>
  <c r="AO108" i="73" s="1"/>
  <c r="K485" i="73" s="1"/>
  <c r="AC48" i="54"/>
  <c r="AC13" i="54"/>
  <c r="AE63" i="54"/>
  <c r="AE67" i="54" s="1"/>
  <c r="X65" i="54" s="1"/>
  <c r="AE28" i="54"/>
  <c r="AE32" i="54" s="1"/>
  <c r="AA64" i="54"/>
  <c r="AH64" i="54" s="1"/>
  <c r="AA29" i="54"/>
  <c r="X43" i="54"/>
  <c r="X8" i="54"/>
  <c r="AA62" i="54"/>
  <c r="AA27" i="54"/>
  <c r="AO197" i="73" s="1"/>
  <c r="K668" i="73" s="1"/>
  <c r="X48" i="54"/>
  <c r="X13" i="54"/>
  <c r="X12" i="54"/>
  <c r="X47" i="54"/>
  <c r="X44" i="54"/>
  <c r="X9" i="54"/>
  <c r="V10" i="54"/>
  <c r="AO112" i="73" s="1"/>
  <c r="K489" i="73" s="1"/>
  <c r="V45" i="54"/>
  <c r="V42" i="54"/>
  <c r="V7" i="54"/>
  <c r="AO109" i="73" s="1"/>
  <c r="K486" i="73" s="1"/>
  <c r="X59" i="54"/>
  <c r="X24" i="54"/>
  <c r="V57" i="54"/>
  <c r="V22" i="54"/>
  <c r="AO124" i="73" s="1"/>
  <c r="K501" i="73" s="1"/>
  <c r="N70" i="53"/>
  <c r="M70" i="53"/>
  <c r="L70" i="53"/>
  <c r="K70" i="53"/>
  <c r="J70" i="53"/>
  <c r="I70" i="53"/>
  <c r="H70" i="53"/>
  <c r="G70" i="53"/>
  <c r="F70" i="53"/>
  <c r="E70" i="53"/>
  <c r="D70" i="53"/>
  <c r="C70" i="53"/>
  <c r="B70" i="53"/>
  <c r="B32" i="51"/>
  <c r="AO32" i="73" l="1"/>
  <c r="AH29" i="54"/>
  <c r="AO199" i="73"/>
  <c r="K670" i="73" s="1"/>
  <c r="K428" i="73"/>
  <c r="AO100" i="73"/>
  <c r="O70" i="53"/>
  <c r="S67" i="54"/>
  <c r="S32" i="54"/>
  <c r="AC56" i="54"/>
  <c r="AC21" i="54"/>
  <c r="T60" i="54"/>
  <c r="T25" i="54"/>
  <c r="AO59" i="73" s="1"/>
  <c r="K342" i="73" s="1"/>
  <c r="T27" i="54"/>
  <c r="AO61" i="73" s="1"/>
  <c r="K344" i="73" s="1"/>
  <c r="T62" i="54"/>
  <c r="V46" i="54"/>
  <c r="V11" i="54"/>
  <c r="AO113" i="73" s="1"/>
  <c r="K490" i="73" s="1"/>
  <c r="V14" i="54"/>
  <c r="AO116" i="73" s="1"/>
  <c r="K493" i="73" s="1"/>
  <c r="V49" i="54"/>
  <c r="V43" i="54"/>
  <c r="V8" i="54"/>
  <c r="AO110" i="73" s="1"/>
  <c r="K487" i="73" s="1"/>
  <c r="V51" i="54"/>
  <c r="V16" i="54"/>
  <c r="AO118" i="73" s="1"/>
  <c r="K495" i="73" s="1"/>
  <c r="AC5" i="54"/>
  <c r="AC40" i="54"/>
  <c r="AC63" i="54"/>
  <c r="AC28" i="54"/>
  <c r="V21" i="54"/>
  <c r="AO123" i="73" s="1"/>
  <c r="K500" i="73" s="1"/>
  <c r="V56" i="54"/>
  <c r="AC65" i="54"/>
  <c r="AC30" i="54"/>
  <c r="X26" i="54"/>
  <c r="X61" i="54"/>
  <c r="X67" i="54" s="1"/>
  <c r="V5" i="54"/>
  <c r="AO107" i="73" s="1"/>
  <c r="V40" i="54"/>
  <c r="Z108" i="53"/>
  <c r="Z109" i="53"/>
  <c r="Z110" i="53"/>
  <c r="Z111" i="53"/>
  <c r="Z112" i="53"/>
  <c r="Z113" i="53"/>
  <c r="Z114" i="53"/>
  <c r="Z115" i="53"/>
  <c r="Z116" i="53"/>
  <c r="Z117" i="53"/>
  <c r="Z118" i="53"/>
  <c r="Z119" i="53"/>
  <c r="Z120" i="53"/>
  <c r="Z121" i="53"/>
  <c r="Z122" i="53"/>
  <c r="Z123" i="53"/>
  <c r="Z124" i="53"/>
  <c r="Z125" i="53"/>
  <c r="Z126" i="53"/>
  <c r="Z127" i="53"/>
  <c r="Z128" i="53"/>
  <c r="Z129" i="53"/>
  <c r="Z130" i="53"/>
  <c r="Z131" i="53"/>
  <c r="Z132" i="53"/>
  <c r="Z133" i="53"/>
  <c r="Z134" i="53"/>
  <c r="Y109" i="53"/>
  <c r="Y110" i="53"/>
  <c r="Y111" i="53"/>
  <c r="Y112" i="53"/>
  <c r="Y113" i="53"/>
  <c r="Y114" i="53"/>
  <c r="Y115" i="53"/>
  <c r="Y116" i="53"/>
  <c r="Y117" i="53"/>
  <c r="Y118" i="53"/>
  <c r="Y119" i="53"/>
  <c r="Y120" i="53"/>
  <c r="Y121" i="53"/>
  <c r="Y122" i="53"/>
  <c r="Y123" i="53"/>
  <c r="Y124" i="53"/>
  <c r="Y125" i="53"/>
  <c r="Y126" i="53"/>
  <c r="Y127" i="53"/>
  <c r="Y128" i="53"/>
  <c r="Y129" i="53"/>
  <c r="Y130" i="53"/>
  <c r="Y131" i="53"/>
  <c r="Y132" i="53"/>
  <c r="Y133" i="53"/>
  <c r="Y134" i="53"/>
  <c r="Y108" i="53"/>
  <c r="Y134" i="51"/>
  <c r="Z134" i="51"/>
  <c r="Y109" i="51"/>
  <c r="Z109" i="51"/>
  <c r="Y110" i="51"/>
  <c r="Z110" i="51"/>
  <c r="Y111" i="51"/>
  <c r="Z111" i="51"/>
  <c r="Y112" i="51"/>
  <c r="Z112" i="51"/>
  <c r="Y113" i="51"/>
  <c r="Z113" i="51"/>
  <c r="Y114" i="51"/>
  <c r="Z114" i="51"/>
  <c r="Y115" i="51"/>
  <c r="Z115" i="51"/>
  <c r="Y116" i="51"/>
  <c r="Z116" i="51"/>
  <c r="Y117" i="51"/>
  <c r="Z117" i="51"/>
  <c r="Y118" i="51"/>
  <c r="Z118" i="51"/>
  <c r="Y119" i="51"/>
  <c r="Z119" i="51"/>
  <c r="Y120" i="51"/>
  <c r="Z120" i="51"/>
  <c r="Y121" i="51"/>
  <c r="Z121" i="51"/>
  <c r="Y122" i="51"/>
  <c r="Z122" i="51"/>
  <c r="Y123" i="51"/>
  <c r="Z123" i="51"/>
  <c r="Y124" i="51"/>
  <c r="Z124" i="51"/>
  <c r="Y125" i="51"/>
  <c r="Z125" i="51"/>
  <c r="Y126" i="51"/>
  <c r="Z126" i="51"/>
  <c r="Y127" i="51"/>
  <c r="Z127" i="51"/>
  <c r="Y128" i="51"/>
  <c r="Z128" i="51"/>
  <c r="Y129" i="51"/>
  <c r="Z129" i="51"/>
  <c r="Y130" i="51"/>
  <c r="Z130" i="51"/>
  <c r="Y131" i="51"/>
  <c r="Z131" i="51"/>
  <c r="Y132" i="51"/>
  <c r="Z132" i="51"/>
  <c r="Y133" i="51"/>
  <c r="Z133" i="51"/>
  <c r="Z108" i="51"/>
  <c r="Y108" i="51"/>
  <c r="AF6" i="51"/>
  <c r="AF7" i="51"/>
  <c r="AF9" i="51"/>
  <c r="AF10" i="51"/>
  <c r="AF11" i="51"/>
  <c r="AF12" i="51"/>
  <c r="AF13" i="51"/>
  <c r="AF14" i="51"/>
  <c r="AF15" i="51"/>
  <c r="AF16" i="51"/>
  <c r="AF17" i="51"/>
  <c r="AF18" i="51"/>
  <c r="AF21" i="51"/>
  <c r="O22" i="29"/>
  <c r="AF23" i="51"/>
  <c r="AF24" i="51"/>
  <c r="AF25" i="51"/>
  <c r="AF26" i="51"/>
  <c r="AF27" i="51"/>
  <c r="AF28" i="51"/>
  <c r="AF30" i="51"/>
  <c r="AF31" i="51"/>
  <c r="AF5" i="51"/>
  <c r="AF41" i="51"/>
  <c r="AF42" i="51"/>
  <c r="AF44" i="51"/>
  <c r="AF45" i="51"/>
  <c r="AF46" i="51"/>
  <c r="AF47" i="51"/>
  <c r="AF48" i="51"/>
  <c r="AF49" i="51"/>
  <c r="AF50" i="51"/>
  <c r="AF51" i="51"/>
  <c r="AF52" i="51"/>
  <c r="AF53" i="51"/>
  <c r="AF56" i="51"/>
  <c r="AF58" i="51"/>
  <c r="AF59" i="51"/>
  <c r="AF60" i="51"/>
  <c r="AF61" i="51"/>
  <c r="AF62" i="51"/>
  <c r="AF63" i="51"/>
  <c r="AF65" i="51"/>
  <c r="AF66" i="51"/>
  <c r="AF40" i="51"/>
  <c r="AF102" i="51"/>
  <c r="AG102" i="51"/>
  <c r="AH91" i="53"/>
  <c r="AH86" i="53"/>
  <c r="AH84" i="53"/>
  <c r="AH82" i="53"/>
  <c r="AH81" i="53"/>
  <c r="AH79" i="53"/>
  <c r="AH76" i="53"/>
  <c r="AE6" i="53"/>
  <c r="AF6" i="53"/>
  <c r="AG6" i="53"/>
  <c r="AE7" i="53"/>
  <c r="AF7" i="53"/>
  <c r="AG7" i="53"/>
  <c r="AE8" i="53"/>
  <c r="AE9" i="53"/>
  <c r="AF9" i="53"/>
  <c r="AG9" i="53"/>
  <c r="AE10" i="53"/>
  <c r="AF10" i="53"/>
  <c r="AG10" i="53"/>
  <c r="AE11" i="53"/>
  <c r="AF11" i="53"/>
  <c r="AG11" i="53"/>
  <c r="AE12" i="53"/>
  <c r="AF12" i="53"/>
  <c r="AG12" i="53"/>
  <c r="AE13" i="53"/>
  <c r="AF13" i="53"/>
  <c r="AG13" i="53"/>
  <c r="AE14" i="53"/>
  <c r="AF14" i="53"/>
  <c r="AG14" i="53"/>
  <c r="AE15" i="53"/>
  <c r="AF15" i="53"/>
  <c r="AG15" i="53"/>
  <c r="AE16" i="53"/>
  <c r="AF16" i="53"/>
  <c r="AG16" i="53"/>
  <c r="AE17" i="53"/>
  <c r="AF17" i="53"/>
  <c r="AG17" i="53"/>
  <c r="AE18" i="53"/>
  <c r="AF18" i="53"/>
  <c r="AG18" i="53"/>
  <c r="AE19" i="53"/>
  <c r="AF19" i="53"/>
  <c r="AG19" i="53"/>
  <c r="AE20" i="53"/>
  <c r="AF20" i="53"/>
  <c r="AG20" i="53"/>
  <c r="AE21" i="53"/>
  <c r="AF21" i="53"/>
  <c r="AG21" i="53"/>
  <c r="AE22" i="53"/>
  <c r="AE23" i="53"/>
  <c r="AF23" i="53"/>
  <c r="AG23" i="53"/>
  <c r="AE24" i="53"/>
  <c r="AF24" i="53"/>
  <c r="AG24" i="53"/>
  <c r="AE25" i="53"/>
  <c r="AF25" i="53"/>
  <c r="AG25" i="53"/>
  <c r="AE26" i="53"/>
  <c r="AF26" i="53"/>
  <c r="AG26" i="53"/>
  <c r="AE27" i="53"/>
  <c r="AF27" i="53"/>
  <c r="AG27" i="53"/>
  <c r="AE28" i="53"/>
  <c r="AF28" i="53"/>
  <c r="AG28" i="53"/>
  <c r="AE29" i="53"/>
  <c r="AE30" i="53"/>
  <c r="AF30" i="53"/>
  <c r="AG30" i="53"/>
  <c r="AE31" i="53"/>
  <c r="AF31" i="53"/>
  <c r="AG31" i="53"/>
  <c r="AF5" i="53"/>
  <c r="AG5" i="53"/>
  <c r="AE41" i="53"/>
  <c r="AF41" i="53"/>
  <c r="AG41" i="53"/>
  <c r="AE42" i="53"/>
  <c r="AF42" i="53"/>
  <c r="AG42" i="53"/>
  <c r="AE43" i="53"/>
  <c r="AF43" i="53"/>
  <c r="O41" i="29" s="1"/>
  <c r="AG43" i="53"/>
  <c r="AE44" i="53"/>
  <c r="AF44" i="53"/>
  <c r="AG44" i="53"/>
  <c r="AE45" i="53"/>
  <c r="AF45" i="53"/>
  <c r="AG45" i="53"/>
  <c r="AE46" i="53"/>
  <c r="AF46" i="53"/>
  <c r="AG46" i="53"/>
  <c r="AE47" i="53"/>
  <c r="AF47" i="53"/>
  <c r="AG47" i="53"/>
  <c r="AE48" i="53"/>
  <c r="AF48" i="53"/>
  <c r="AG48" i="53"/>
  <c r="AE49" i="53"/>
  <c r="AF49" i="53"/>
  <c r="AG49" i="53"/>
  <c r="AE50" i="53"/>
  <c r="AF50" i="53"/>
  <c r="AG50" i="53"/>
  <c r="AE51" i="53"/>
  <c r="AF51" i="53"/>
  <c r="AG51" i="53"/>
  <c r="AE52" i="53"/>
  <c r="AF52" i="53"/>
  <c r="AG52" i="53"/>
  <c r="AE53" i="53"/>
  <c r="AF53" i="53"/>
  <c r="AG53" i="53"/>
  <c r="AE54" i="53"/>
  <c r="AF54" i="53"/>
  <c r="AG54" i="53"/>
  <c r="AE55" i="53"/>
  <c r="AF55" i="53"/>
  <c r="O53" i="29" s="1"/>
  <c r="AG55" i="53"/>
  <c r="AE56" i="53"/>
  <c r="AF56" i="53"/>
  <c r="AG56" i="53"/>
  <c r="AE57" i="53"/>
  <c r="AF57" i="53"/>
  <c r="AG57" i="53"/>
  <c r="AE58" i="53"/>
  <c r="AF58" i="53"/>
  <c r="AG58" i="53"/>
  <c r="AE59" i="53"/>
  <c r="AF59" i="53"/>
  <c r="AG59" i="53"/>
  <c r="AE60" i="53"/>
  <c r="AF60" i="53"/>
  <c r="AG60" i="53"/>
  <c r="AE61" i="53"/>
  <c r="AF61" i="53"/>
  <c r="AG61" i="53"/>
  <c r="AE62" i="53"/>
  <c r="AF62" i="53"/>
  <c r="AG62" i="53"/>
  <c r="AE63" i="53"/>
  <c r="AF63" i="53"/>
  <c r="AG63" i="53"/>
  <c r="AE64" i="53"/>
  <c r="AE65" i="53"/>
  <c r="AF65" i="53"/>
  <c r="AG65" i="53"/>
  <c r="AE66" i="53"/>
  <c r="AF66" i="53"/>
  <c r="AG66" i="53"/>
  <c r="AF40" i="53"/>
  <c r="AG40" i="53"/>
  <c r="AF102" i="53"/>
  <c r="AG102" i="53"/>
  <c r="AH77" i="53"/>
  <c r="AH80" i="53"/>
  <c r="AH88" i="53"/>
  <c r="AH89" i="53"/>
  <c r="AH90" i="53"/>
  <c r="K484" i="73" l="1"/>
  <c r="X32" i="54"/>
  <c r="O38" i="29"/>
  <c r="O56" i="29"/>
  <c r="O17" i="29"/>
  <c r="O9" i="29"/>
  <c r="O64" i="29"/>
  <c r="O45" i="29"/>
  <c r="O31" i="29"/>
  <c r="O26" i="29"/>
  <c r="O48" i="29"/>
  <c r="O40" i="29"/>
  <c r="O25" i="29"/>
  <c r="O6" i="29"/>
  <c r="O61" i="29"/>
  <c r="O57" i="29"/>
  <c r="O18" i="29"/>
  <c r="O14" i="29"/>
  <c r="O10" i="29"/>
  <c r="O49" i="29"/>
  <c r="O47" i="29"/>
  <c r="O39" i="29"/>
  <c r="O24" i="29"/>
  <c r="O16" i="29"/>
  <c r="O8" i="29"/>
  <c r="O74" i="29" s="1"/>
  <c r="O63" i="29"/>
  <c r="O54" i="29"/>
  <c r="O46" i="29"/>
  <c r="O5" i="29"/>
  <c r="O23" i="29"/>
  <c r="O15" i="29"/>
  <c r="O7" i="29"/>
  <c r="O60" i="29"/>
  <c r="O52" i="29"/>
  <c r="O44" i="29"/>
  <c r="O30" i="29"/>
  <c r="O21" i="29"/>
  <c r="O13" i="29"/>
  <c r="Y135" i="51"/>
  <c r="O12" i="22" s="1"/>
  <c r="O55" i="29"/>
  <c r="O88" i="29" s="1"/>
  <c r="O59" i="29"/>
  <c r="O51" i="29"/>
  <c r="O43" i="29"/>
  <c r="O28" i="29"/>
  <c r="O94" i="29" s="1"/>
  <c r="O20" i="29"/>
  <c r="O86" i="29" s="1"/>
  <c r="O12" i="29"/>
  <c r="O58" i="29"/>
  <c r="O50" i="29"/>
  <c r="O42" i="29"/>
  <c r="O27" i="29"/>
  <c r="O19" i="29"/>
  <c r="O11" i="29"/>
  <c r="Y135" i="53"/>
  <c r="Z135" i="53"/>
  <c r="P13" i="22" s="1"/>
  <c r="AH27" i="54"/>
  <c r="V28" i="54"/>
  <c r="AO130" i="73" s="1"/>
  <c r="K507" i="73" s="1"/>
  <c r="V63" i="54"/>
  <c r="AC61" i="54"/>
  <c r="AC67" i="54" s="1"/>
  <c r="AC26" i="54"/>
  <c r="AC32" i="54" s="1"/>
  <c r="AH62" i="54"/>
  <c r="V26" i="54"/>
  <c r="AO128" i="73" s="1"/>
  <c r="K505" i="73" s="1"/>
  <c r="V61" i="54"/>
  <c r="V54" i="54"/>
  <c r="V19" i="54"/>
  <c r="AO121" i="73" s="1"/>
  <c r="K498" i="73" s="1"/>
  <c r="O95" i="29"/>
  <c r="AF32" i="51"/>
  <c r="AH75" i="53"/>
  <c r="AH92" i="53"/>
  <c r="AH94" i="53"/>
  <c r="AH96" i="53"/>
  <c r="AH100" i="53"/>
  <c r="AF32" i="53"/>
  <c r="AH78" i="53"/>
  <c r="AH93" i="53"/>
  <c r="AH95" i="53"/>
  <c r="AH97" i="53"/>
  <c r="AH99" i="53"/>
  <c r="AH101" i="53"/>
  <c r="AH83" i="53"/>
  <c r="AH85" i="53"/>
  <c r="AH87" i="53"/>
  <c r="AH98" i="53"/>
  <c r="AF67" i="51"/>
  <c r="AG67" i="53"/>
  <c r="AF67" i="53"/>
  <c r="AG32" i="53"/>
  <c r="O97" i="29" l="1"/>
  <c r="O90" i="29"/>
  <c r="O72" i="29"/>
  <c r="O75" i="29"/>
  <c r="O91" i="29"/>
  <c r="O79" i="29"/>
  <c r="O96" i="29"/>
  <c r="O85" i="29"/>
  <c r="O65" i="29"/>
  <c r="O76" i="29"/>
  <c r="O13" i="22"/>
  <c r="O17" i="22" s="1"/>
  <c r="O77" i="29"/>
  <c r="O71" i="29"/>
  <c r="O78" i="29"/>
  <c r="O89" i="29"/>
  <c r="O92" i="29"/>
  <c r="O73" i="29"/>
  <c r="O83" i="29"/>
  <c r="O80" i="29"/>
  <c r="O82" i="29"/>
  <c r="O84" i="29"/>
  <c r="O87" i="29"/>
  <c r="O93" i="29"/>
  <c r="O81" i="29"/>
  <c r="O32" i="29"/>
  <c r="AD25" i="54"/>
  <c r="AD60" i="54"/>
  <c r="AA58" i="54"/>
  <c r="AA23" i="54"/>
  <c r="AO193" i="73" s="1"/>
  <c r="K664" i="73" s="1"/>
  <c r="AD58" i="54"/>
  <c r="AD23" i="54"/>
  <c r="V24" i="54"/>
  <c r="AO126" i="73" s="1"/>
  <c r="K503" i="73" s="1"/>
  <c r="V59" i="54"/>
  <c r="AA60" i="54"/>
  <c r="AA25" i="54"/>
  <c r="AO195" i="73" s="1"/>
  <c r="K666" i="73" s="1"/>
  <c r="V65" i="54"/>
  <c r="V30" i="54"/>
  <c r="AO132" i="73" s="1"/>
  <c r="K509" i="73" s="1"/>
  <c r="AO134" i="73" l="1"/>
  <c r="AH25" i="54"/>
  <c r="O98" i="29"/>
  <c r="O99" i="29" s="1"/>
  <c r="AH60" i="54"/>
  <c r="T23" i="54"/>
  <c r="AO57" i="73" s="1"/>
  <c r="K340" i="73" s="1"/>
  <c r="T58" i="54"/>
  <c r="V67" i="54"/>
  <c r="V32" i="54"/>
  <c r="T56" i="54"/>
  <c r="T21" i="54"/>
  <c r="AO55" i="73" s="1"/>
  <c r="K338" i="73" s="1"/>
  <c r="N70" i="51"/>
  <c r="M70" i="51"/>
  <c r="L70" i="51"/>
  <c r="K70" i="51"/>
  <c r="J70" i="51"/>
  <c r="I70" i="51"/>
  <c r="H70" i="51"/>
  <c r="G70" i="51"/>
  <c r="F70" i="51"/>
  <c r="D70" i="51"/>
  <c r="B70" i="51"/>
  <c r="AH101" i="51"/>
  <c r="AH95" i="51"/>
  <c r="AH93" i="51"/>
  <c r="AH91" i="51"/>
  <c r="AH90" i="51"/>
  <c r="AH89" i="51"/>
  <c r="AH84" i="51"/>
  <c r="AH81" i="51"/>
  <c r="AG41" i="51"/>
  <c r="P39" i="29" s="1"/>
  <c r="AG42" i="51"/>
  <c r="P40" i="29" s="1"/>
  <c r="P41" i="29"/>
  <c r="AG44" i="51"/>
  <c r="P42" i="29" s="1"/>
  <c r="AG45" i="51"/>
  <c r="P43" i="29" s="1"/>
  <c r="AG46" i="51"/>
  <c r="P44" i="29" s="1"/>
  <c r="AG47" i="51"/>
  <c r="P45" i="29" s="1"/>
  <c r="AG48" i="51"/>
  <c r="P46" i="29" s="1"/>
  <c r="AG49" i="51"/>
  <c r="P47" i="29" s="1"/>
  <c r="AG50" i="51"/>
  <c r="P48" i="29" s="1"/>
  <c r="AG51" i="51"/>
  <c r="P49" i="29" s="1"/>
  <c r="AG52" i="51"/>
  <c r="P50" i="29" s="1"/>
  <c r="AG53" i="51"/>
  <c r="P51" i="29" s="1"/>
  <c r="P52" i="29"/>
  <c r="P53" i="29"/>
  <c r="AG56" i="51"/>
  <c r="P54" i="29" s="1"/>
  <c r="P55" i="29"/>
  <c r="AG58" i="51"/>
  <c r="P56" i="29" s="1"/>
  <c r="AG59" i="51"/>
  <c r="P57" i="29" s="1"/>
  <c r="AG60" i="51"/>
  <c r="P58" i="29" s="1"/>
  <c r="AG61" i="51"/>
  <c r="P59" i="29" s="1"/>
  <c r="AG62" i="51"/>
  <c r="P60" i="29" s="1"/>
  <c r="AG63" i="51"/>
  <c r="P61" i="29" s="1"/>
  <c r="AG65" i="51"/>
  <c r="P63" i="29" s="1"/>
  <c r="AG66" i="51"/>
  <c r="P64" i="29" s="1"/>
  <c r="AG40" i="51"/>
  <c r="P38" i="29" s="1"/>
  <c r="AG6" i="51"/>
  <c r="P6" i="29" s="1"/>
  <c r="AG7" i="51"/>
  <c r="P7" i="29" s="1"/>
  <c r="P8" i="29"/>
  <c r="AG9" i="51"/>
  <c r="P9" i="29" s="1"/>
  <c r="AG10" i="51"/>
  <c r="P10" i="29" s="1"/>
  <c r="AG11" i="51"/>
  <c r="P11" i="29" s="1"/>
  <c r="AG12" i="51"/>
  <c r="P12" i="29" s="1"/>
  <c r="AG13" i="51"/>
  <c r="P13" i="29" s="1"/>
  <c r="AG14" i="51"/>
  <c r="P14" i="29" s="1"/>
  <c r="AG15" i="51"/>
  <c r="P15" i="29" s="1"/>
  <c r="AG16" i="51"/>
  <c r="P16" i="29" s="1"/>
  <c r="AG17" i="51"/>
  <c r="P17" i="29" s="1"/>
  <c r="AG18" i="51"/>
  <c r="P18" i="29" s="1"/>
  <c r="P19" i="29"/>
  <c r="P20" i="29"/>
  <c r="AG21" i="51"/>
  <c r="P21" i="29" s="1"/>
  <c r="P22" i="29"/>
  <c r="AG23" i="51"/>
  <c r="P23" i="29" s="1"/>
  <c r="AG24" i="51"/>
  <c r="P24" i="29" s="1"/>
  <c r="AG25" i="51"/>
  <c r="P25" i="29" s="1"/>
  <c r="AG26" i="51"/>
  <c r="P26" i="29" s="1"/>
  <c r="AG27" i="51"/>
  <c r="P27" i="29" s="1"/>
  <c r="AG28" i="51"/>
  <c r="P28" i="29" s="1"/>
  <c r="AG30" i="51"/>
  <c r="P30" i="29" s="1"/>
  <c r="AG31" i="51"/>
  <c r="P31" i="29" s="1"/>
  <c r="AG5" i="51"/>
  <c r="P5" i="29" s="1"/>
  <c r="AH77" i="51"/>
  <c r="AH79" i="51"/>
  <c r="AH83" i="51"/>
  <c r="AH85" i="51"/>
  <c r="AH86" i="51"/>
  <c r="AH87" i="51"/>
  <c r="AH88" i="51"/>
  <c r="AH94" i="51"/>
  <c r="AH96" i="51"/>
  <c r="AH97" i="51"/>
  <c r="AH98" i="51"/>
  <c r="AH100" i="51"/>
  <c r="P91" i="29" l="1"/>
  <c r="P87" i="29"/>
  <c r="P83" i="29"/>
  <c r="P79" i="29"/>
  <c r="P75" i="29"/>
  <c r="P89" i="29"/>
  <c r="P85" i="29"/>
  <c r="P81" i="29"/>
  <c r="P77" i="29"/>
  <c r="P73" i="29"/>
  <c r="P93" i="29"/>
  <c r="P97" i="29"/>
  <c r="P94" i="29"/>
  <c r="P90" i="29"/>
  <c r="P82" i="29"/>
  <c r="AH23" i="54"/>
  <c r="AH58" i="54"/>
  <c r="P95" i="29"/>
  <c r="AH75" i="51"/>
  <c r="P71" i="29"/>
  <c r="P86" i="29"/>
  <c r="P74" i="29"/>
  <c r="P96" i="29"/>
  <c r="P92" i="29"/>
  <c r="P88" i="29"/>
  <c r="P84" i="29"/>
  <c r="P80" i="29"/>
  <c r="P76" i="29"/>
  <c r="P72" i="29"/>
  <c r="AH78" i="51"/>
  <c r="AH82" i="51"/>
  <c r="AH92" i="51"/>
  <c r="AH76" i="51"/>
  <c r="AH99" i="51"/>
  <c r="AH80" i="51"/>
  <c r="AG32" i="51"/>
  <c r="AG67" i="51"/>
  <c r="Z135" i="51"/>
  <c r="O53" i="51"/>
  <c r="E70" i="51"/>
  <c r="C70" i="51"/>
  <c r="P12" i="22" l="1"/>
  <c r="P17" i="22" s="1"/>
  <c r="O70" i="51"/>
  <c r="P65" i="29"/>
  <c r="P32" i="29"/>
  <c r="P78" i="29"/>
  <c r="P98" i="29" s="1"/>
  <c r="P99" i="29" s="1"/>
  <c r="AA19" i="54"/>
  <c r="AA54" i="54"/>
  <c r="AD54" i="54"/>
  <c r="AD19" i="54"/>
  <c r="AA21" i="54"/>
  <c r="AA56" i="54"/>
  <c r="AD56" i="54"/>
  <c r="AD21" i="54"/>
  <c r="C32" i="51"/>
  <c r="AE102" i="61"/>
  <c r="AD102" i="61"/>
  <c r="AC102" i="61"/>
  <c r="AB102" i="61"/>
  <c r="AA102" i="61"/>
  <c r="Z102" i="61"/>
  <c r="Y102" i="61"/>
  <c r="X102" i="61"/>
  <c r="W102" i="61"/>
  <c r="V102" i="61"/>
  <c r="U102" i="61"/>
  <c r="T102" i="61"/>
  <c r="S102" i="61"/>
  <c r="AH102" i="61"/>
  <c r="AE66" i="61"/>
  <c r="AD66" i="61"/>
  <c r="AC66" i="61"/>
  <c r="AB66" i="61"/>
  <c r="AA66" i="61"/>
  <c r="Z66" i="61"/>
  <c r="Y66" i="61"/>
  <c r="X66" i="61"/>
  <c r="W66" i="61"/>
  <c r="V66" i="61"/>
  <c r="U66" i="61"/>
  <c r="T66" i="61"/>
  <c r="S66" i="61"/>
  <c r="AE65" i="61"/>
  <c r="AD65" i="61"/>
  <c r="AC65" i="61"/>
  <c r="AB65" i="61"/>
  <c r="AA65" i="61"/>
  <c r="Z65" i="61"/>
  <c r="Y65" i="61"/>
  <c r="X65" i="61"/>
  <c r="W65" i="61"/>
  <c r="V65" i="61"/>
  <c r="U65" i="61"/>
  <c r="T65" i="61"/>
  <c r="S65" i="61"/>
  <c r="AE64" i="61"/>
  <c r="AD64" i="61"/>
  <c r="AC64" i="61"/>
  <c r="AB64" i="61"/>
  <c r="AA64" i="61"/>
  <c r="Z64" i="61"/>
  <c r="Y64" i="61"/>
  <c r="X64" i="61"/>
  <c r="W64" i="61"/>
  <c r="V64" i="61"/>
  <c r="U64" i="61"/>
  <c r="T64" i="61"/>
  <c r="S64" i="61"/>
  <c r="AE63" i="61"/>
  <c r="AD63" i="61"/>
  <c r="AC63" i="61"/>
  <c r="AB63" i="61"/>
  <c r="AA63" i="61"/>
  <c r="Z63" i="61"/>
  <c r="Y63" i="61"/>
  <c r="X63" i="61"/>
  <c r="W63" i="61"/>
  <c r="V63" i="61"/>
  <c r="U63" i="61"/>
  <c r="T63" i="61"/>
  <c r="S63" i="61"/>
  <c r="AE62" i="61"/>
  <c r="AD62" i="61"/>
  <c r="AC62" i="61"/>
  <c r="AB62" i="61"/>
  <c r="AA62" i="61"/>
  <c r="Z62" i="61"/>
  <c r="Y62" i="61"/>
  <c r="X62" i="61"/>
  <c r="W62" i="61"/>
  <c r="V62" i="61"/>
  <c r="U62" i="61"/>
  <c r="T62" i="61"/>
  <c r="S62" i="61"/>
  <c r="AE61" i="61"/>
  <c r="AD61" i="61"/>
  <c r="AC61" i="61"/>
  <c r="AB61" i="61"/>
  <c r="AA61" i="61"/>
  <c r="Z61" i="61"/>
  <c r="Y61" i="61"/>
  <c r="X61" i="61"/>
  <c r="W61" i="61"/>
  <c r="V61" i="61"/>
  <c r="U61" i="61"/>
  <c r="T61" i="61"/>
  <c r="S61" i="61"/>
  <c r="AE60" i="61"/>
  <c r="AD60" i="61"/>
  <c r="AC60" i="61"/>
  <c r="AB60" i="61"/>
  <c r="AA60" i="61"/>
  <c r="Z60" i="61"/>
  <c r="Y60" i="61"/>
  <c r="X60" i="61"/>
  <c r="W60" i="61"/>
  <c r="V60" i="61"/>
  <c r="U60" i="61"/>
  <c r="T60" i="61"/>
  <c r="S60" i="61"/>
  <c r="AE59" i="61"/>
  <c r="AD59" i="61"/>
  <c r="AC59" i="61"/>
  <c r="AB59" i="61"/>
  <c r="AA59" i="61"/>
  <c r="Z59" i="61"/>
  <c r="Y59" i="61"/>
  <c r="X59" i="61"/>
  <c r="W59" i="61"/>
  <c r="V59" i="61"/>
  <c r="U59" i="61"/>
  <c r="T59" i="61"/>
  <c r="S59" i="61"/>
  <c r="AE58" i="61"/>
  <c r="AD58" i="61"/>
  <c r="AC58" i="61"/>
  <c r="AB58" i="61"/>
  <c r="AA58" i="61"/>
  <c r="Z58" i="61"/>
  <c r="Y58" i="61"/>
  <c r="X58" i="61"/>
  <c r="W58" i="61"/>
  <c r="V58" i="61"/>
  <c r="U58" i="61"/>
  <c r="T58" i="61"/>
  <c r="S58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AE56" i="61"/>
  <c r="AD56" i="61"/>
  <c r="AC56" i="61"/>
  <c r="AB56" i="61"/>
  <c r="AA56" i="61"/>
  <c r="Z56" i="61"/>
  <c r="Y56" i="61"/>
  <c r="X56" i="61"/>
  <c r="W56" i="61"/>
  <c r="V56" i="61"/>
  <c r="U56" i="61"/>
  <c r="T56" i="61"/>
  <c r="S56" i="61"/>
  <c r="AE55" i="61"/>
  <c r="N53" i="29" s="1"/>
  <c r="AD55" i="61"/>
  <c r="AC55" i="61"/>
  <c r="AA55" i="61"/>
  <c r="Z55" i="61"/>
  <c r="Y55" i="61"/>
  <c r="X55" i="61"/>
  <c r="W55" i="61"/>
  <c r="V55" i="61"/>
  <c r="U55" i="61"/>
  <c r="T55" i="61"/>
  <c r="S55" i="61"/>
  <c r="AE54" i="61"/>
  <c r="N52" i="29" s="1"/>
  <c r="AD54" i="61"/>
  <c r="AC54" i="61"/>
  <c r="AA54" i="61"/>
  <c r="Z54" i="61"/>
  <c r="Y54" i="61"/>
  <c r="X54" i="61"/>
  <c r="W54" i="61"/>
  <c r="V54" i="61"/>
  <c r="U54" i="61"/>
  <c r="T54" i="61"/>
  <c r="S54" i="61"/>
  <c r="AE53" i="61"/>
  <c r="AD53" i="61"/>
  <c r="AC53" i="61"/>
  <c r="AB53" i="61"/>
  <c r="AA53" i="61"/>
  <c r="Z53" i="61"/>
  <c r="Y53" i="61"/>
  <c r="X53" i="61"/>
  <c r="W53" i="61"/>
  <c r="V53" i="61"/>
  <c r="U53" i="61"/>
  <c r="T53" i="61"/>
  <c r="S53" i="61"/>
  <c r="AE52" i="61"/>
  <c r="AD52" i="61"/>
  <c r="AC52" i="61"/>
  <c r="AB52" i="61"/>
  <c r="AA52" i="61"/>
  <c r="Z52" i="61"/>
  <c r="Y52" i="61"/>
  <c r="X52" i="61"/>
  <c r="W52" i="61"/>
  <c r="V52" i="61"/>
  <c r="U52" i="61"/>
  <c r="T52" i="61"/>
  <c r="S52" i="61"/>
  <c r="AE51" i="61"/>
  <c r="AD51" i="61"/>
  <c r="AC51" i="61"/>
  <c r="AB51" i="61"/>
  <c r="AA51" i="61"/>
  <c r="Z51" i="61"/>
  <c r="Y51" i="61"/>
  <c r="X51" i="61"/>
  <c r="W51" i="61"/>
  <c r="V51" i="61"/>
  <c r="U51" i="61"/>
  <c r="T51" i="61"/>
  <c r="S51" i="61"/>
  <c r="AE50" i="61"/>
  <c r="AD50" i="61"/>
  <c r="AC50" i="61"/>
  <c r="AB50" i="61"/>
  <c r="AA50" i="61"/>
  <c r="Z50" i="61"/>
  <c r="Y50" i="61"/>
  <c r="X50" i="61"/>
  <c r="W50" i="61"/>
  <c r="V50" i="61"/>
  <c r="U50" i="61"/>
  <c r="T50" i="61"/>
  <c r="S50" i="61"/>
  <c r="AE49" i="61"/>
  <c r="AD49" i="61"/>
  <c r="AC49" i="61"/>
  <c r="AB49" i="61"/>
  <c r="AA49" i="61"/>
  <c r="Z49" i="61"/>
  <c r="Y49" i="61"/>
  <c r="X49" i="61"/>
  <c r="W49" i="61"/>
  <c r="V49" i="61"/>
  <c r="U49" i="61"/>
  <c r="T49" i="61"/>
  <c r="S49" i="61"/>
  <c r="AE48" i="61"/>
  <c r="AD48" i="61"/>
  <c r="AC48" i="61"/>
  <c r="AB48" i="61"/>
  <c r="AA48" i="61"/>
  <c r="Z48" i="61"/>
  <c r="Y48" i="61"/>
  <c r="X48" i="61"/>
  <c r="W48" i="61"/>
  <c r="V48" i="61"/>
  <c r="U48" i="61"/>
  <c r="T48" i="61"/>
  <c r="S48" i="61"/>
  <c r="AE47" i="61"/>
  <c r="AD47" i="61"/>
  <c r="AC47" i="61"/>
  <c r="AB47" i="61"/>
  <c r="AA47" i="61"/>
  <c r="Z47" i="61"/>
  <c r="Y47" i="61"/>
  <c r="X47" i="61"/>
  <c r="W47" i="61"/>
  <c r="V47" i="61"/>
  <c r="U47" i="61"/>
  <c r="T47" i="61"/>
  <c r="S47" i="61"/>
  <c r="AE46" i="61"/>
  <c r="AD46" i="61"/>
  <c r="AC46" i="61"/>
  <c r="AB46" i="61"/>
  <c r="AA46" i="61"/>
  <c r="Z46" i="61"/>
  <c r="Y46" i="61"/>
  <c r="X46" i="61"/>
  <c r="W46" i="61"/>
  <c r="V46" i="61"/>
  <c r="U46" i="61"/>
  <c r="T46" i="61"/>
  <c r="S46" i="61"/>
  <c r="AE45" i="61"/>
  <c r="AD45" i="61"/>
  <c r="AC45" i="61"/>
  <c r="AB45" i="61"/>
  <c r="AA45" i="61"/>
  <c r="Z45" i="61"/>
  <c r="Y45" i="61"/>
  <c r="X45" i="61"/>
  <c r="W45" i="61"/>
  <c r="V45" i="61"/>
  <c r="U45" i="61"/>
  <c r="T45" i="61"/>
  <c r="S45" i="61"/>
  <c r="AE44" i="61"/>
  <c r="AD44" i="61"/>
  <c r="AC44" i="61"/>
  <c r="AB44" i="61"/>
  <c r="AA44" i="61"/>
  <c r="Z44" i="61"/>
  <c r="Y44" i="61"/>
  <c r="X44" i="61"/>
  <c r="W44" i="61"/>
  <c r="V44" i="61"/>
  <c r="U44" i="61"/>
  <c r="T44" i="61"/>
  <c r="S44" i="61"/>
  <c r="AE43" i="61"/>
  <c r="AD43" i="61"/>
  <c r="AC43" i="61"/>
  <c r="AB43" i="61"/>
  <c r="AA43" i="61"/>
  <c r="Z43" i="61"/>
  <c r="Y43" i="61"/>
  <c r="X43" i="61"/>
  <c r="W43" i="61"/>
  <c r="V43" i="61"/>
  <c r="U43" i="61"/>
  <c r="T43" i="61"/>
  <c r="S43" i="61"/>
  <c r="AE42" i="61"/>
  <c r="AD42" i="61"/>
  <c r="AC42" i="61"/>
  <c r="AB42" i="61"/>
  <c r="AA42" i="61"/>
  <c r="Z42" i="61"/>
  <c r="Y42" i="61"/>
  <c r="X42" i="61"/>
  <c r="W42" i="61"/>
  <c r="V42" i="61"/>
  <c r="U42" i="61"/>
  <c r="T42" i="61"/>
  <c r="S42" i="61"/>
  <c r="AE41" i="61"/>
  <c r="AD41" i="61"/>
  <c r="AC41" i="61"/>
  <c r="AB41" i="61"/>
  <c r="AA41" i="61"/>
  <c r="Z41" i="61"/>
  <c r="Y41" i="61"/>
  <c r="X41" i="61"/>
  <c r="W41" i="61"/>
  <c r="V41" i="61"/>
  <c r="U41" i="61"/>
  <c r="T41" i="61"/>
  <c r="S41" i="61"/>
  <c r="AE40" i="61"/>
  <c r="AD40" i="61"/>
  <c r="AC40" i="61"/>
  <c r="AB40" i="61"/>
  <c r="AA40" i="61"/>
  <c r="Z40" i="61"/>
  <c r="Y40" i="61"/>
  <c r="X40" i="61"/>
  <c r="W40" i="61"/>
  <c r="V40" i="61"/>
  <c r="U40" i="61"/>
  <c r="T40" i="61"/>
  <c r="S40" i="61"/>
  <c r="AE31" i="61"/>
  <c r="AD31" i="61"/>
  <c r="AC31" i="61"/>
  <c r="AB31" i="61"/>
  <c r="AA31" i="61"/>
  <c r="Z31" i="61"/>
  <c r="Y31" i="61"/>
  <c r="X31" i="61"/>
  <c r="W31" i="61"/>
  <c r="AQ167" i="73" s="1"/>
  <c r="M591" i="73" s="1"/>
  <c r="V31" i="61"/>
  <c r="AQ133" i="73" s="1"/>
  <c r="M510" i="73" s="1"/>
  <c r="U31" i="61"/>
  <c r="AQ99" i="73" s="1"/>
  <c r="M429" i="73" s="1"/>
  <c r="T31" i="61"/>
  <c r="AQ65" i="73" s="1"/>
  <c r="M348" i="73" s="1"/>
  <c r="S31" i="61"/>
  <c r="AQ31" i="73" s="1"/>
  <c r="M267" i="73" s="1"/>
  <c r="AE30" i="61"/>
  <c r="AD30" i="61"/>
  <c r="AC30" i="61"/>
  <c r="AB30" i="61"/>
  <c r="AA30" i="61"/>
  <c r="Z30" i="61"/>
  <c r="Y30" i="61"/>
  <c r="X30" i="61"/>
  <c r="W30" i="61"/>
  <c r="AQ166" i="73" s="1"/>
  <c r="M590" i="73" s="1"/>
  <c r="V30" i="61"/>
  <c r="AQ132" i="73" s="1"/>
  <c r="M509" i="73" s="1"/>
  <c r="U30" i="61"/>
  <c r="AQ98" i="73" s="1"/>
  <c r="M428" i="73" s="1"/>
  <c r="T30" i="61"/>
  <c r="AQ64" i="73" s="1"/>
  <c r="M347" i="73" s="1"/>
  <c r="S30" i="61"/>
  <c r="AQ30" i="73" s="1"/>
  <c r="M266" i="73" s="1"/>
  <c r="AE29" i="61"/>
  <c r="AD29" i="61"/>
  <c r="AC29" i="61"/>
  <c r="AB29" i="61"/>
  <c r="AA29" i="61"/>
  <c r="Z29" i="61"/>
  <c r="Y29" i="61"/>
  <c r="X29" i="61"/>
  <c r="W29" i="61"/>
  <c r="AQ165" i="73" s="1"/>
  <c r="M589" i="73" s="1"/>
  <c r="V29" i="61"/>
  <c r="AQ131" i="73" s="1"/>
  <c r="M508" i="73" s="1"/>
  <c r="U29" i="61"/>
  <c r="AQ97" i="73" s="1"/>
  <c r="M427" i="73" s="1"/>
  <c r="T29" i="61"/>
  <c r="AQ63" i="73" s="1"/>
  <c r="M346" i="73" s="1"/>
  <c r="S29" i="61"/>
  <c r="AQ29" i="73" s="1"/>
  <c r="M265" i="73" s="1"/>
  <c r="AE28" i="61"/>
  <c r="AD28" i="61"/>
  <c r="AC28" i="61"/>
  <c r="AB28" i="61"/>
  <c r="AA28" i="61"/>
  <c r="Z28" i="61"/>
  <c r="Y28" i="61"/>
  <c r="X28" i="61"/>
  <c r="W28" i="61"/>
  <c r="AQ164" i="73" s="1"/>
  <c r="M588" i="73" s="1"/>
  <c r="V28" i="61"/>
  <c r="AQ130" i="73" s="1"/>
  <c r="M507" i="73" s="1"/>
  <c r="U28" i="61"/>
  <c r="AQ96" i="73" s="1"/>
  <c r="M426" i="73" s="1"/>
  <c r="T28" i="61"/>
  <c r="AQ62" i="73" s="1"/>
  <c r="M345" i="73" s="1"/>
  <c r="S28" i="61"/>
  <c r="AQ28" i="73" s="1"/>
  <c r="M264" i="73" s="1"/>
  <c r="AE27" i="61"/>
  <c r="AD27" i="61"/>
  <c r="AC27" i="61"/>
  <c r="AB27" i="61"/>
  <c r="AA27" i="61"/>
  <c r="Z27" i="61"/>
  <c r="Y27" i="61"/>
  <c r="X27" i="61"/>
  <c r="W27" i="61"/>
  <c r="AQ163" i="73" s="1"/>
  <c r="M587" i="73" s="1"/>
  <c r="V27" i="61"/>
  <c r="AQ129" i="73" s="1"/>
  <c r="M506" i="73" s="1"/>
  <c r="U27" i="61"/>
  <c r="AQ95" i="73" s="1"/>
  <c r="M425" i="73" s="1"/>
  <c r="T27" i="61"/>
  <c r="AQ61" i="73" s="1"/>
  <c r="M344" i="73" s="1"/>
  <c r="S27" i="61"/>
  <c r="AQ27" i="73" s="1"/>
  <c r="M263" i="73" s="1"/>
  <c r="AE26" i="61"/>
  <c r="AD26" i="61"/>
  <c r="AC26" i="61"/>
  <c r="AB26" i="61"/>
  <c r="AA26" i="61"/>
  <c r="Z26" i="61"/>
  <c r="Y26" i="61"/>
  <c r="X26" i="61"/>
  <c r="W26" i="61"/>
  <c r="AQ162" i="73" s="1"/>
  <c r="M586" i="73" s="1"/>
  <c r="V26" i="61"/>
  <c r="AQ128" i="73" s="1"/>
  <c r="M505" i="73" s="1"/>
  <c r="U26" i="61"/>
  <c r="AQ94" i="73" s="1"/>
  <c r="M424" i="73" s="1"/>
  <c r="T26" i="61"/>
  <c r="AQ60" i="73" s="1"/>
  <c r="M343" i="73" s="1"/>
  <c r="S26" i="61"/>
  <c r="AQ26" i="73" s="1"/>
  <c r="M262" i="73" s="1"/>
  <c r="AE25" i="61"/>
  <c r="AD25" i="61"/>
  <c r="AC25" i="61"/>
  <c r="AB25" i="61"/>
  <c r="AA25" i="61"/>
  <c r="Z25" i="61"/>
  <c r="Y25" i="61"/>
  <c r="X25" i="61"/>
  <c r="W25" i="61"/>
  <c r="AQ161" i="73" s="1"/>
  <c r="M585" i="73" s="1"/>
  <c r="V25" i="61"/>
  <c r="AQ127" i="73" s="1"/>
  <c r="M504" i="73" s="1"/>
  <c r="U25" i="61"/>
  <c r="AQ93" i="73" s="1"/>
  <c r="M423" i="73" s="1"/>
  <c r="T25" i="61"/>
  <c r="AQ59" i="73" s="1"/>
  <c r="M342" i="73" s="1"/>
  <c r="S25" i="61"/>
  <c r="AQ25" i="73" s="1"/>
  <c r="M261" i="73" s="1"/>
  <c r="AE24" i="61"/>
  <c r="AD24" i="61"/>
  <c r="AC24" i="61"/>
  <c r="AB24" i="61"/>
  <c r="AA24" i="61"/>
  <c r="Z24" i="61"/>
  <c r="Y24" i="61"/>
  <c r="X24" i="61"/>
  <c r="W24" i="61"/>
  <c r="AQ160" i="73" s="1"/>
  <c r="M584" i="73" s="1"/>
  <c r="V24" i="61"/>
  <c r="AQ126" i="73" s="1"/>
  <c r="M503" i="73" s="1"/>
  <c r="U24" i="61"/>
  <c r="AQ92" i="73" s="1"/>
  <c r="M422" i="73" s="1"/>
  <c r="T24" i="61"/>
  <c r="AQ58" i="73" s="1"/>
  <c r="M341" i="73" s="1"/>
  <c r="S24" i="61"/>
  <c r="AQ24" i="73" s="1"/>
  <c r="M260" i="73" s="1"/>
  <c r="AE23" i="61"/>
  <c r="AD23" i="61"/>
  <c r="AC23" i="61"/>
  <c r="AB23" i="61"/>
  <c r="AA23" i="61"/>
  <c r="Z23" i="61"/>
  <c r="Y23" i="61"/>
  <c r="X23" i="61"/>
  <c r="W23" i="61"/>
  <c r="AQ159" i="73" s="1"/>
  <c r="M583" i="73" s="1"/>
  <c r="V23" i="61"/>
  <c r="AQ125" i="73" s="1"/>
  <c r="M502" i="73" s="1"/>
  <c r="U23" i="61"/>
  <c r="AQ91" i="73" s="1"/>
  <c r="M421" i="73" s="1"/>
  <c r="T23" i="61"/>
  <c r="AQ57" i="73" s="1"/>
  <c r="M340" i="73" s="1"/>
  <c r="S23" i="61"/>
  <c r="AQ23" i="73" s="1"/>
  <c r="M259" i="73" s="1"/>
  <c r="AE22" i="61"/>
  <c r="AD22" i="61"/>
  <c r="AC22" i="61"/>
  <c r="AB22" i="61"/>
  <c r="AA22" i="61"/>
  <c r="Z22" i="61"/>
  <c r="Y22" i="61"/>
  <c r="X22" i="61"/>
  <c r="W22" i="61"/>
  <c r="AQ158" i="73" s="1"/>
  <c r="M582" i="73" s="1"/>
  <c r="V22" i="61"/>
  <c r="AQ124" i="73" s="1"/>
  <c r="M501" i="73" s="1"/>
  <c r="U22" i="61"/>
  <c r="AQ90" i="73" s="1"/>
  <c r="M420" i="73" s="1"/>
  <c r="T22" i="61"/>
  <c r="AQ56" i="73" s="1"/>
  <c r="M339" i="73" s="1"/>
  <c r="S22" i="61"/>
  <c r="AQ22" i="73" s="1"/>
  <c r="M258" i="73" s="1"/>
  <c r="AE21" i="61"/>
  <c r="AD21" i="61"/>
  <c r="AC21" i="61"/>
  <c r="AB21" i="61"/>
  <c r="AA21" i="61"/>
  <c r="Z21" i="61"/>
  <c r="Y21" i="61"/>
  <c r="X21" i="61"/>
  <c r="W21" i="61"/>
  <c r="AQ157" i="73" s="1"/>
  <c r="M581" i="73" s="1"/>
  <c r="V21" i="61"/>
  <c r="AQ123" i="73" s="1"/>
  <c r="M500" i="73" s="1"/>
  <c r="U21" i="61"/>
  <c r="AQ89" i="73" s="1"/>
  <c r="M419" i="73" s="1"/>
  <c r="T21" i="61"/>
  <c r="AQ55" i="73" s="1"/>
  <c r="M338" i="73" s="1"/>
  <c r="S21" i="61"/>
  <c r="AQ21" i="73" s="1"/>
  <c r="M257" i="73" s="1"/>
  <c r="AE20" i="61"/>
  <c r="AD20" i="61"/>
  <c r="AC20" i="61"/>
  <c r="AA20" i="61"/>
  <c r="Z20" i="61"/>
  <c r="Y20" i="61"/>
  <c r="X20" i="61"/>
  <c r="W20" i="61"/>
  <c r="AQ156" i="73" s="1"/>
  <c r="M580" i="73" s="1"/>
  <c r="V20" i="61"/>
  <c r="AQ122" i="73" s="1"/>
  <c r="M499" i="73" s="1"/>
  <c r="U20" i="61"/>
  <c r="AQ88" i="73" s="1"/>
  <c r="M418" i="73" s="1"/>
  <c r="T20" i="61"/>
  <c r="AQ54" i="73" s="1"/>
  <c r="M337" i="73" s="1"/>
  <c r="S20" i="61"/>
  <c r="AQ20" i="73" s="1"/>
  <c r="M256" i="73" s="1"/>
  <c r="AE19" i="61"/>
  <c r="AD19" i="61"/>
  <c r="AC19" i="61"/>
  <c r="AA19" i="61"/>
  <c r="Z19" i="61"/>
  <c r="Y19" i="61"/>
  <c r="X19" i="61"/>
  <c r="W19" i="61"/>
  <c r="AQ155" i="73" s="1"/>
  <c r="M579" i="73" s="1"/>
  <c r="V19" i="61"/>
  <c r="AQ121" i="73" s="1"/>
  <c r="M498" i="73" s="1"/>
  <c r="U19" i="61"/>
  <c r="AQ87" i="73" s="1"/>
  <c r="M417" i="73" s="1"/>
  <c r="T19" i="61"/>
  <c r="AQ53" i="73" s="1"/>
  <c r="M336" i="73" s="1"/>
  <c r="S19" i="61"/>
  <c r="AQ19" i="73" s="1"/>
  <c r="M255" i="73" s="1"/>
  <c r="AE18" i="61"/>
  <c r="AD18" i="61"/>
  <c r="AC18" i="61"/>
  <c r="AB18" i="61"/>
  <c r="AA18" i="61"/>
  <c r="Z18" i="61"/>
  <c r="Y18" i="61"/>
  <c r="X18" i="61"/>
  <c r="W18" i="61"/>
  <c r="AQ154" i="73" s="1"/>
  <c r="M578" i="73" s="1"/>
  <c r="V18" i="61"/>
  <c r="AQ120" i="73" s="1"/>
  <c r="M497" i="73" s="1"/>
  <c r="U18" i="61"/>
  <c r="AQ86" i="73" s="1"/>
  <c r="M416" i="73" s="1"/>
  <c r="T18" i="61"/>
  <c r="AQ52" i="73" s="1"/>
  <c r="M335" i="73" s="1"/>
  <c r="S18" i="61"/>
  <c r="AQ18" i="73" s="1"/>
  <c r="M254" i="73" s="1"/>
  <c r="AE17" i="61"/>
  <c r="AD17" i="61"/>
  <c r="AC17" i="61"/>
  <c r="AB17" i="61"/>
  <c r="AA17" i="61"/>
  <c r="Z17" i="61"/>
  <c r="Y17" i="61"/>
  <c r="X17" i="61"/>
  <c r="W17" i="61"/>
  <c r="AQ153" i="73" s="1"/>
  <c r="M577" i="73" s="1"/>
  <c r="V17" i="61"/>
  <c r="AQ119" i="73" s="1"/>
  <c r="M496" i="73" s="1"/>
  <c r="U17" i="61"/>
  <c r="AQ85" i="73" s="1"/>
  <c r="M415" i="73" s="1"/>
  <c r="T17" i="61"/>
  <c r="AQ51" i="73" s="1"/>
  <c r="M334" i="73" s="1"/>
  <c r="S17" i="61"/>
  <c r="AQ17" i="73" s="1"/>
  <c r="M253" i="73" s="1"/>
  <c r="AE16" i="61"/>
  <c r="AD16" i="61"/>
  <c r="AC16" i="61"/>
  <c r="AB16" i="61"/>
  <c r="AA16" i="61"/>
  <c r="Z16" i="61"/>
  <c r="Y16" i="61"/>
  <c r="X16" i="61"/>
  <c r="W16" i="61"/>
  <c r="AQ152" i="73" s="1"/>
  <c r="M576" i="73" s="1"/>
  <c r="V16" i="61"/>
  <c r="AQ118" i="73" s="1"/>
  <c r="M495" i="73" s="1"/>
  <c r="U16" i="61"/>
  <c r="AQ84" i="73" s="1"/>
  <c r="M414" i="73" s="1"/>
  <c r="T16" i="61"/>
  <c r="AQ50" i="73" s="1"/>
  <c r="M333" i="73" s="1"/>
  <c r="S16" i="61"/>
  <c r="AQ16" i="73" s="1"/>
  <c r="M252" i="73" s="1"/>
  <c r="AE15" i="61"/>
  <c r="AD15" i="61"/>
  <c r="AC15" i="61"/>
  <c r="AB15" i="61"/>
  <c r="AA15" i="61"/>
  <c r="Z15" i="61"/>
  <c r="Y15" i="61"/>
  <c r="X15" i="61"/>
  <c r="W15" i="61"/>
  <c r="AQ151" i="73" s="1"/>
  <c r="M575" i="73" s="1"/>
  <c r="V15" i="61"/>
  <c r="AQ117" i="73" s="1"/>
  <c r="M494" i="73" s="1"/>
  <c r="U15" i="61"/>
  <c r="AQ83" i="73" s="1"/>
  <c r="M413" i="73" s="1"/>
  <c r="T15" i="61"/>
  <c r="AQ49" i="73" s="1"/>
  <c r="M332" i="73" s="1"/>
  <c r="S15" i="61"/>
  <c r="AQ15" i="73" s="1"/>
  <c r="M251" i="73" s="1"/>
  <c r="AE14" i="61"/>
  <c r="AD14" i="61"/>
  <c r="AC14" i="61"/>
  <c r="AB14" i="61"/>
  <c r="AA14" i="61"/>
  <c r="Z14" i="61"/>
  <c r="Y14" i="61"/>
  <c r="X14" i="61"/>
  <c r="W14" i="61"/>
  <c r="AQ150" i="73" s="1"/>
  <c r="M574" i="73" s="1"/>
  <c r="V14" i="61"/>
  <c r="AQ116" i="73" s="1"/>
  <c r="M493" i="73" s="1"/>
  <c r="U14" i="61"/>
  <c r="AQ82" i="73" s="1"/>
  <c r="M412" i="73" s="1"/>
  <c r="T14" i="61"/>
  <c r="AQ48" i="73" s="1"/>
  <c r="M331" i="73" s="1"/>
  <c r="S14" i="61"/>
  <c r="AQ14" i="73" s="1"/>
  <c r="M250" i="73" s="1"/>
  <c r="AE13" i="61"/>
  <c r="AD13" i="61"/>
  <c r="AC13" i="61"/>
  <c r="AB13" i="61"/>
  <c r="AA13" i="61"/>
  <c r="Z13" i="61"/>
  <c r="Y13" i="61"/>
  <c r="X13" i="61"/>
  <c r="W13" i="61"/>
  <c r="AQ149" i="73" s="1"/>
  <c r="M573" i="73" s="1"/>
  <c r="V13" i="61"/>
  <c r="AQ115" i="73" s="1"/>
  <c r="M492" i="73" s="1"/>
  <c r="U13" i="61"/>
  <c r="AQ81" i="73" s="1"/>
  <c r="M411" i="73" s="1"/>
  <c r="T13" i="61"/>
  <c r="AQ47" i="73" s="1"/>
  <c r="M330" i="73" s="1"/>
  <c r="S13" i="61"/>
  <c r="AQ13" i="73" s="1"/>
  <c r="M249" i="73" s="1"/>
  <c r="AE12" i="61"/>
  <c r="AD12" i="61"/>
  <c r="AC12" i="61"/>
  <c r="AB12" i="61"/>
  <c r="AA12" i="61"/>
  <c r="Z12" i="61"/>
  <c r="Y12" i="61"/>
  <c r="X12" i="61"/>
  <c r="W12" i="61"/>
  <c r="AQ148" i="73" s="1"/>
  <c r="M572" i="73" s="1"/>
  <c r="V12" i="61"/>
  <c r="AQ114" i="73" s="1"/>
  <c r="M491" i="73" s="1"/>
  <c r="U12" i="61"/>
  <c r="AQ80" i="73" s="1"/>
  <c r="M410" i="73" s="1"/>
  <c r="T12" i="61"/>
  <c r="AQ46" i="73" s="1"/>
  <c r="M329" i="73" s="1"/>
  <c r="S12" i="61"/>
  <c r="AQ12" i="73" s="1"/>
  <c r="M248" i="73" s="1"/>
  <c r="AE11" i="61"/>
  <c r="AD11" i="61"/>
  <c r="AC11" i="61"/>
  <c r="AB11" i="61"/>
  <c r="AA11" i="61"/>
  <c r="Z11" i="61"/>
  <c r="Y11" i="61"/>
  <c r="X11" i="61"/>
  <c r="W11" i="61"/>
  <c r="AQ147" i="73" s="1"/>
  <c r="M571" i="73" s="1"/>
  <c r="V11" i="61"/>
  <c r="AQ113" i="73" s="1"/>
  <c r="M490" i="73" s="1"/>
  <c r="U11" i="61"/>
  <c r="AQ79" i="73" s="1"/>
  <c r="M409" i="73" s="1"/>
  <c r="T11" i="61"/>
  <c r="AQ45" i="73" s="1"/>
  <c r="M328" i="73" s="1"/>
  <c r="S11" i="61"/>
  <c r="AQ11" i="73" s="1"/>
  <c r="M247" i="73" s="1"/>
  <c r="AE10" i="61"/>
  <c r="AD10" i="61"/>
  <c r="AC10" i="61"/>
  <c r="AB10" i="61"/>
  <c r="AA10" i="61"/>
  <c r="Z10" i="61"/>
  <c r="Y10" i="61"/>
  <c r="X10" i="61"/>
  <c r="W10" i="61"/>
  <c r="AQ146" i="73" s="1"/>
  <c r="M570" i="73" s="1"/>
  <c r="V10" i="61"/>
  <c r="AQ112" i="73" s="1"/>
  <c r="M489" i="73" s="1"/>
  <c r="U10" i="61"/>
  <c r="AQ78" i="73" s="1"/>
  <c r="M408" i="73" s="1"/>
  <c r="T10" i="61"/>
  <c r="AQ44" i="73" s="1"/>
  <c r="M327" i="73" s="1"/>
  <c r="S10" i="61"/>
  <c r="AQ10" i="73" s="1"/>
  <c r="M246" i="73" s="1"/>
  <c r="AE9" i="61"/>
  <c r="AD9" i="61"/>
  <c r="AC9" i="61"/>
  <c r="AB9" i="61"/>
  <c r="AA9" i="61"/>
  <c r="Z9" i="61"/>
  <c r="Y9" i="61"/>
  <c r="X9" i="61"/>
  <c r="W9" i="61"/>
  <c r="AQ145" i="73" s="1"/>
  <c r="M569" i="73" s="1"/>
  <c r="V9" i="61"/>
  <c r="AQ111" i="73" s="1"/>
  <c r="M488" i="73" s="1"/>
  <c r="U9" i="61"/>
  <c r="AQ77" i="73" s="1"/>
  <c r="M407" i="73" s="1"/>
  <c r="T9" i="61"/>
  <c r="AQ43" i="73" s="1"/>
  <c r="M326" i="73" s="1"/>
  <c r="S9" i="61"/>
  <c r="AQ9" i="73" s="1"/>
  <c r="M245" i="73" s="1"/>
  <c r="AE8" i="61"/>
  <c r="AD8" i="61"/>
  <c r="AC8" i="61"/>
  <c r="AB8" i="61"/>
  <c r="AA8" i="61"/>
  <c r="Z8" i="61"/>
  <c r="Y8" i="61"/>
  <c r="X8" i="61"/>
  <c r="W8" i="61"/>
  <c r="AQ144" i="73" s="1"/>
  <c r="M568" i="73" s="1"/>
  <c r="V8" i="61"/>
  <c r="AQ110" i="73" s="1"/>
  <c r="M487" i="73" s="1"/>
  <c r="U8" i="61"/>
  <c r="AQ76" i="73" s="1"/>
  <c r="M406" i="73" s="1"/>
  <c r="T8" i="61"/>
  <c r="AQ42" i="73" s="1"/>
  <c r="M325" i="73" s="1"/>
  <c r="S8" i="61"/>
  <c r="AQ8" i="73" s="1"/>
  <c r="M244" i="73" s="1"/>
  <c r="AE7" i="61"/>
  <c r="AD7" i="61"/>
  <c r="AC7" i="61"/>
  <c r="AB7" i="61"/>
  <c r="AA7" i="61"/>
  <c r="Z7" i="61"/>
  <c r="Y7" i="61"/>
  <c r="X7" i="61"/>
  <c r="W7" i="61"/>
  <c r="AQ143" i="73" s="1"/>
  <c r="M567" i="73" s="1"/>
  <c r="V7" i="61"/>
  <c r="AQ109" i="73" s="1"/>
  <c r="M486" i="73" s="1"/>
  <c r="U7" i="61"/>
  <c r="AQ75" i="73" s="1"/>
  <c r="M405" i="73" s="1"/>
  <c r="T7" i="61"/>
  <c r="AQ41" i="73" s="1"/>
  <c r="M324" i="73" s="1"/>
  <c r="S7" i="61"/>
  <c r="AQ7" i="73" s="1"/>
  <c r="M243" i="73" s="1"/>
  <c r="AE6" i="61"/>
  <c r="AD6" i="61"/>
  <c r="AC6" i="61"/>
  <c r="AB6" i="61"/>
  <c r="AA6" i="61"/>
  <c r="Z6" i="61"/>
  <c r="Y6" i="61"/>
  <c r="X6" i="61"/>
  <c r="W6" i="61"/>
  <c r="AQ142" i="73" s="1"/>
  <c r="M566" i="73" s="1"/>
  <c r="V6" i="61"/>
  <c r="AQ108" i="73" s="1"/>
  <c r="M485" i="73" s="1"/>
  <c r="U6" i="61"/>
  <c r="AQ74" i="73" s="1"/>
  <c r="M404" i="73" s="1"/>
  <c r="T6" i="61"/>
  <c r="AQ40" i="73" s="1"/>
  <c r="M323" i="73" s="1"/>
  <c r="S6" i="61"/>
  <c r="AQ6" i="73" s="1"/>
  <c r="M242" i="73" s="1"/>
  <c r="AE5" i="61"/>
  <c r="AD5" i="61"/>
  <c r="AC5" i="61"/>
  <c r="AB5" i="61"/>
  <c r="AA5" i="61"/>
  <c r="Z5" i="61"/>
  <c r="Y5" i="61"/>
  <c r="X5" i="61"/>
  <c r="W5" i="61"/>
  <c r="AQ141" i="73" s="1"/>
  <c r="V5" i="61"/>
  <c r="AQ107" i="73" s="1"/>
  <c r="U5" i="61"/>
  <c r="AQ73" i="73" s="1"/>
  <c r="T5" i="61"/>
  <c r="AQ39" i="73" s="1"/>
  <c r="S5" i="61"/>
  <c r="AQ5" i="73" s="1"/>
  <c r="AE102" i="55"/>
  <c r="AD102" i="55"/>
  <c r="AC102" i="55"/>
  <c r="AB102" i="55"/>
  <c r="AA102" i="55"/>
  <c r="Z102" i="55"/>
  <c r="Y102" i="55"/>
  <c r="X102" i="55"/>
  <c r="W102" i="55"/>
  <c r="V102" i="55"/>
  <c r="U102" i="55"/>
  <c r="T102" i="55"/>
  <c r="S102" i="55"/>
  <c r="AD66" i="55"/>
  <c r="AC66" i="55"/>
  <c r="AB66" i="55"/>
  <c r="AA66" i="55"/>
  <c r="Z66" i="55"/>
  <c r="Y66" i="55"/>
  <c r="X66" i="55"/>
  <c r="W66" i="55"/>
  <c r="V66" i="55"/>
  <c r="U66" i="55"/>
  <c r="T66" i="55"/>
  <c r="S66" i="55"/>
  <c r="AD65" i="55"/>
  <c r="AC65" i="55"/>
  <c r="AB65" i="55"/>
  <c r="AA65" i="55"/>
  <c r="Z65" i="55"/>
  <c r="Y65" i="55"/>
  <c r="X65" i="55"/>
  <c r="W65" i="55"/>
  <c r="V65" i="55"/>
  <c r="U65" i="55"/>
  <c r="T65" i="55"/>
  <c r="S65" i="55"/>
  <c r="AD63" i="55"/>
  <c r="AC63" i="55"/>
  <c r="AB63" i="55"/>
  <c r="AA63" i="55"/>
  <c r="Z63" i="55"/>
  <c r="Y63" i="55"/>
  <c r="X63" i="55"/>
  <c r="W63" i="55"/>
  <c r="V63" i="55"/>
  <c r="U63" i="55"/>
  <c r="T63" i="55"/>
  <c r="S63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AD61" i="55"/>
  <c r="AC61" i="55"/>
  <c r="AB61" i="55"/>
  <c r="AA61" i="55"/>
  <c r="Z61" i="55"/>
  <c r="Y61" i="55"/>
  <c r="X61" i="55"/>
  <c r="W61" i="55"/>
  <c r="V61" i="55"/>
  <c r="U61" i="55"/>
  <c r="T61" i="55"/>
  <c r="S61" i="55"/>
  <c r="AD60" i="55"/>
  <c r="AC60" i="55"/>
  <c r="AB60" i="55"/>
  <c r="AA60" i="55"/>
  <c r="Z60" i="55"/>
  <c r="Y60" i="55"/>
  <c r="X60" i="55"/>
  <c r="W60" i="55"/>
  <c r="V60" i="55"/>
  <c r="U60" i="55"/>
  <c r="T60" i="55"/>
  <c r="S60" i="55"/>
  <c r="AD59" i="55"/>
  <c r="AC59" i="55"/>
  <c r="AB59" i="55"/>
  <c r="AA59" i="55"/>
  <c r="Z59" i="55"/>
  <c r="Y59" i="55"/>
  <c r="X59" i="55"/>
  <c r="W59" i="55"/>
  <c r="V59" i="55"/>
  <c r="U59" i="55"/>
  <c r="T59" i="55"/>
  <c r="S59" i="55"/>
  <c r="AD58" i="55"/>
  <c r="AC58" i="55"/>
  <c r="AB58" i="55"/>
  <c r="AA58" i="55"/>
  <c r="Z58" i="55"/>
  <c r="Y58" i="55"/>
  <c r="X58" i="55"/>
  <c r="W58" i="55"/>
  <c r="V58" i="55"/>
  <c r="U58" i="55"/>
  <c r="T58" i="55"/>
  <c r="S58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AD55" i="55"/>
  <c r="AC55" i="55"/>
  <c r="AB55" i="55"/>
  <c r="AA55" i="55"/>
  <c r="Z55" i="55"/>
  <c r="Y55" i="55"/>
  <c r="X55" i="55"/>
  <c r="W55" i="55"/>
  <c r="V55" i="55"/>
  <c r="U55" i="55"/>
  <c r="T55" i="55"/>
  <c r="S55" i="55"/>
  <c r="AD54" i="55"/>
  <c r="AC54" i="55"/>
  <c r="AB54" i="55"/>
  <c r="AA54" i="55"/>
  <c r="Z54" i="55"/>
  <c r="Y54" i="55"/>
  <c r="X54" i="55"/>
  <c r="W54" i="55"/>
  <c r="V54" i="55"/>
  <c r="U54" i="55"/>
  <c r="T54" i="55"/>
  <c r="S54" i="55"/>
  <c r="AD53" i="55"/>
  <c r="AC53" i="55"/>
  <c r="AB53" i="55"/>
  <c r="AA53" i="55"/>
  <c r="Z53" i="55"/>
  <c r="Y53" i="55"/>
  <c r="X53" i="55"/>
  <c r="W53" i="55"/>
  <c r="V53" i="55"/>
  <c r="U53" i="55"/>
  <c r="T53" i="55"/>
  <c r="S53" i="55"/>
  <c r="AD52" i="55"/>
  <c r="AC52" i="55"/>
  <c r="AB52" i="55"/>
  <c r="AA52" i="55"/>
  <c r="Z52" i="55"/>
  <c r="Y52" i="55"/>
  <c r="X52" i="55"/>
  <c r="W52" i="55"/>
  <c r="V52" i="55"/>
  <c r="U52" i="55"/>
  <c r="T52" i="55"/>
  <c r="S52" i="55"/>
  <c r="AD51" i="55"/>
  <c r="AC51" i="55"/>
  <c r="AB51" i="55"/>
  <c r="AA51" i="55"/>
  <c r="Z51" i="55"/>
  <c r="Y51" i="55"/>
  <c r="X51" i="55"/>
  <c r="W51" i="55"/>
  <c r="V51" i="55"/>
  <c r="U51" i="55"/>
  <c r="T51" i="55"/>
  <c r="S51" i="55"/>
  <c r="AD50" i="55"/>
  <c r="AC50" i="55"/>
  <c r="AB50" i="55"/>
  <c r="AA50" i="55"/>
  <c r="Z50" i="55"/>
  <c r="Y50" i="55"/>
  <c r="X50" i="55"/>
  <c r="W50" i="55"/>
  <c r="V50" i="55"/>
  <c r="U50" i="55"/>
  <c r="T50" i="55"/>
  <c r="S50" i="55"/>
  <c r="AD49" i="55"/>
  <c r="AC49" i="55"/>
  <c r="AB49" i="55"/>
  <c r="AA49" i="55"/>
  <c r="Z49" i="55"/>
  <c r="Y49" i="55"/>
  <c r="X49" i="55"/>
  <c r="W49" i="55"/>
  <c r="V49" i="55"/>
  <c r="U49" i="55"/>
  <c r="T49" i="55"/>
  <c r="S49" i="55"/>
  <c r="AD48" i="55"/>
  <c r="AC48" i="55"/>
  <c r="AB48" i="55"/>
  <c r="AA48" i="55"/>
  <c r="Z48" i="55"/>
  <c r="Y48" i="55"/>
  <c r="X48" i="55"/>
  <c r="W48" i="55"/>
  <c r="V48" i="55"/>
  <c r="U48" i="55"/>
  <c r="T48" i="55"/>
  <c r="S48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AD46" i="55"/>
  <c r="AC46" i="55"/>
  <c r="AB46" i="55"/>
  <c r="AA46" i="55"/>
  <c r="Z46" i="55"/>
  <c r="Y46" i="55"/>
  <c r="X46" i="55"/>
  <c r="W46" i="55"/>
  <c r="V46" i="55"/>
  <c r="U46" i="55"/>
  <c r="T46" i="55"/>
  <c r="S46" i="55"/>
  <c r="AD45" i="55"/>
  <c r="AC45" i="55"/>
  <c r="AB45" i="55"/>
  <c r="AA45" i="55"/>
  <c r="Z45" i="55"/>
  <c r="Y45" i="55"/>
  <c r="X45" i="55"/>
  <c r="W45" i="55"/>
  <c r="V45" i="55"/>
  <c r="U45" i="55"/>
  <c r="T45" i="55"/>
  <c r="S45" i="55"/>
  <c r="AD44" i="55"/>
  <c r="AC44" i="55"/>
  <c r="AB44" i="55"/>
  <c r="AA44" i="55"/>
  <c r="Z44" i="55"/>
  <c r="Y44" i="55"/>
  <c r="X44" i="55"/>
  <c r="W44" i="55"/>
  <c r="V44" i="55"/>
  <c r="U44" i="55"/>
  <c r="T44" i="55"/>
  <c r="S44" i="55"/>
  <c r="AD43" i="55"/>
  <c r="AC43" i="55"/>
  <c r="AB43" i="55"/>
  <c r="AA43" i="55"/>
  <c r="Z43" i="55"/>
  <c r="Y43" i="55"/>
  <c r="X43" i="55"/>
  <c r="W43" i="55"/>
  <c r="V43" i="55"/>
  <c r="U43" i="55"/>
  <c r="T43" i="55"/>
  <c r="S43" i="55"/>
  <c r="AD42" i="55"/>
  <c r="AC42" i="55"/>
  <c r="AB42" i="55"/>
  <c r="AA42" i="55"/>
  <c r="Z42" i="55"/>
  <c r="Y42" i="55"/>
  <c r="X42" i="55"/>
  <c r="W42" i="55"/>
  <c r="V42" i="55"/>
  <c r="U42" i="55"/>
  <c r="T42" i="55"/>
  <c r="S42" i="55"/>
  <c r="AD41" i="55"/>
  <c r="AC41" i="55"/>
  <c r="AB41" i="55"/>
  <c r="AA41" i="55"/>
  <c r="Z41" i="55"/>
  <c r="Y41" i="55"/>
  <c r="X41" i="55"/>
  <c r="W41" i="55"/>
  <c r="V41" i="55"/>
  <c r="U41" i="55"/>
  <c r="T41" i="55"/>
  <c r="S41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AE31" i="55"/>
  <c r="AD31" i="55"/>
  <c r="AC31" i="55"/>
  <c r="AB31" i="55"/>
  <c r="AA31" i="55"/>
  <c r="Z31" i="55"/>
  <c r="Y31" i="55"/>
  <c r="X31" i="55"/>
  <c r="W31" i="55"/>
  <c r="AP167" i="73" s="1"/>
  <c r="L591" i="73" s="1"/>
  <c r="V31" i="55"/>
  <c r="AP133" i="73" s="1"/>
  <c r="L510" i="73" s="1"/>
  <c r="U31" i="55"/>
  <c r="AP99" i="73" s="1"/>
  <c r="L429" i="73" s="1"/>
  <c r="T31" i="55"/>
  <c r="AP65" i="73" s="1"/>
  <c r="L348" i="73" s="1"/>
  <c r="S31" i="55"/>
  <c r="AP31" i="73" s="1"/>
  <c r="L267" i="73" s="1"/>
  <c r="AE30" i="55"/>
  <c r="AD30" i="55"/>
  <c r="AC30" i="55"/>
  <c r="AB30" i="55"/>
  <c r="AA30" i="55"/>
  <c r="Z30" i="55"/>
  <c r="Y30" i="55"/>
  <c r="X30" i="55"/>
  <c r="W30" i="55"/>
  <c r="AP166" i="73" s="1"/>
  <c r="L590" i="73" s="1"/>
  <c r="V30" i="55"/>
  <c r="AP132" i="73" s="1"/>
  <c r="L509" i="73" s="1"/>
  <c r="U30" i="55"/>
  <c r="AP98" i="73" s="1"/>
  <c r="L428" i="73" s="1"/>
  <c r="T30" i="55"/>
  <c r="AP64" i="73" s="1"/>
  <c r="L347" i="73" s="1"/>
  <c r="S30" i="55"/>
  <c r="AP30" i="73" s="1"/>
  <c r="L266" i="73" s="1"/>
  <c r="AE29" i="55"/>
  <c r="AD29" i="55"/>
  <c r="AC29" i="55"/>
  <c r="AB29" i="55"/>
  <c r="AA29" i="55"/>
  <c r="Z29" i="55"/>
  <c r="Y29" i="55"/>
  <c r="X29" i="55"/>
  <c r="W29" i="55"/>
  <c r="AP165" i="73" s="1"/>
  <c r="L589" i="73" s="1"/>
  <c r="V29" i="55"/>
  <c r="AP131" i="73" s="1"/>
  <c r="L508" i="73" s="1"/>
  <c r="U29" i="55"/>
  <c r="AP97" i="73" s="1"/>
  <c r="L427" i="73" s="1"/>
  <c r="T29" i="55"/>
  <c r="AP63" i="73" s="1"/>
  <c r="L346" i="73" s="1"/>
  <c r="S29" i="55"/>
  <c r="AP29" i="73" s="1"/>
  <c r="L265" i="73" s="1"/>
  <c r="AE28" i="55"/>
  <c r="AD28" i="55"/>
  <c r="AC28" i="55"/>
  <c r="AB28" i="55"/>
  <c r="AA28" i="55"/>
  <c r="Z28" i="55"/>
  <c r="Y28" i="55"/>
  <c r="X28" i="55"/>
  <c r="W28" i="55"/>
  <c r="AP164" i="73" s="1"/>
  <c r="L588" i="73" s="1"/>
  <c r="V28" i="55"/>
  <c r="AP130" i="73" s="1"/>
  <c r="L507" i="73" s="1"/>
  <c r="U28" i="55"/>
  <c r="AP96" i="73" s="1"/>
  <c r="L426" i="73" s="1"/>
  <c r="T28" i="55"/>
  <c r="AP62" i="73" s="1"/>
  <c r="L345" i="73" s="1"/>
  <c r="S28" i="55"/>
  <c r="AP28" i="73" s="1"/>
  <c r="L264" i="73" s="1"/>
  <c r="AE27" i="55"/>
  <c r="AD27" i="55"/>
  <c r="AC27" i="55"/>
  <c r="AB27" i="55"/>
  <c r="AA27" i="55"/>
  <c r="Z27" i="55"/>
  <c r="Y27" i="55"/>
  <c r="X27" i="55"/>
  <c r="W27" i="55"/>
  <c r="AP163" i="73" s="1"/>
  <c r="L587" i="73" s="1"/>
  <c r="V27" i="55"/>
  <c r="AP129" i="73" s="1"/>
  <c r="L506" i="73" s="1"/>
  <c r="U27" i="55"/>
  <c r="AP95" i="73" s="1"/>
  <c r="L425" i="73" s="1"/>
  <c r="T27" i="55"/>
  <c r="AP61" i="73" s="1"/>
  <c r="L344" i="73" s="1"/>
  <c r="S27" i="55"/>
  <c r="AP27" i="73" s="1"/>
  <c r="L263" i="73" s="1"/>
  <c r="AE26" i="55"/>
  <c r="AD26" i="55"/>
  <c r="AC26" i="55"/>
  <c r="AB26" i="55"/>
  <c r="AA26" i="55"/>
  <c r="Z26" i="55"/>
  <c r="Y26" i="55"/>
  <c r="X26" i="55"/>
  <c r="W26" i="55"/>
  <c r="AP162" i="73" s="1"/>
  <c r="L586" i="73" s="1"/>
  <c r="V26" i="55"/>
  <c r="AP128" i="73" s="1"/>
  <c r="L505" i="73" s="1"/>
  <c r="U26" i="55"/>
  <c r="AP94" i="73" s="1"/>
  <c r="L424" i="73" s="1"/>
  <c r="T26" i="55"/>
  <c r="AP60" i="73" s="1"/>
  <c r="L343" i="73" s="1"/>
  <c r="S26" i="55"/>
  <c r="AP26" i="73" s="1"/>
  <c r="L262" i="73" s="1"/>
  <c r="AE25" i="55"/>
  <c r="AD25" i="55"/>
  <c r="AC25" i="55"/>
  <c r="AB25" i="55"/>
  <c r="AA25" i="55"/>
  <c r="Z25" i="55"/>
  <c r="Y25" i="55"/>
  <c r="X25" i="55"/>
  <c r="W25" i="55"/>
  <c r="AP161" i="73" s="1"/>
  <c r="L585" i="73" s="1"/>
  <c r="V25" i="55"/>
  <c r="AP127" i="73" s="1"/>
  <c r="L504" i="73" s="1"/>
  <c r="U25" i="55"/>
  <c r="AP93" i="73" s="1"/>
  <c r="L423" i="73" s="1"/>
  <c r="T25" i="55"/>
  <c r="AP59" i="73" s="1"/>
  <c r="L342" i="73" s="1"/>
  <c r="S25" i="55"/>
  <c r="AP25" i="73" s="1"/>
  <c r="L261" i="73" s="1"/>
  <c r="AE24" i="55"/>
  <c r="AD24" i="55"/>
  <c r="AC24" i="55"/>
  <c r="AB24" i="55"/>
  <c r="AA24" i="55"/>
  <c r="Z24" i="55"/>
  <c r="Y24" i="55"/>
  <c r="X24" i="55"/>
  <c r="W24" i="55"/>
  <c r="AP160" i="73" s="1"/>
  <c r="L584" i="73" s="1"/>
  <c r="V24" i="55"/>
  <c r="AP126" i="73" s="1"/>
  <c r="L503" i="73" s="1"/>
  <c r="U24" i="55"/>
  <c r="AP92" i="73" s="1"/>
  <c r="L422" i="73" s="1"/>
  <c r="T24" i="55"/>
  <c r="AP58" i="73" s="1"/>
  <c r="L341" i="73" s="1"/>
  <c r="S24" i="55"/>
  <c r="AP24" i="73" s="1"/>
  <c r="L260" i="73" s="1"/>
  <c r="AE23" i="55"/>
  <c r="AD23" i="55"/>
  <c r="AC23" i="55"/>
  <c r="AB23" i="55"/>
  <c r="AA23" i="55"/>
  <c r="Z23" i="55"/>
  <c r="Y23" i="55"/>
  <c r="X23" i="55"/>
  <c r="W23" i="55"/>
  <c r="AP159" i="73" s="1"/>
  <c r="L583" i="73" s="1"/>
  <c r="V23" i="55"/>
  <c r="AP125" i="73" s="1"/>
  <c r="L502" i="73" s="1"/>
  <c r="U23" i="55"/>
  <c r="AP91" i="73" s="1"/>
  <c r="L421" i="73" s="1"/>
  <c r="T23" i="55"/>
  <c r="AP57" i="73" s="1"/>
  <c r="L340" i="73" s="1"/>
  <c r="S23" i="55"/>
  <c r="AP23" i="73" s="1"/>
  <c r="L259" i="73" s="1"/>
  <c r="AE22" i="55"/>
  <c r="AD22" i="55"/>
  <c r="AC22" i="55"/>
  <c r="AB22" i="55"/>
  <c r="AA22" i="55"/>
  <c r="Z22" i="55"/>
  <c r="Y22" i="55"/>
  <c r="X22" i="55"/>
  <c r="W22" i="55"/>
  <c r="AP158" i="73" s="1"/>
  <c r="L582" i="73" s="1"/>
  <c r="V22" i="55"/>
  <c r="AP124" i="73" s="1"/>
  <c r="L501" i="73" s="1"/>
  <c r="U22" i="55"/>
  <c r="AP90" i="73" s="1"/>
  <c r="L420" i="73" s="1"/>
  <c r="T22" i="55"/>
  <c r="AP56" i="73" s="1"/>
  <c r="L339" i="73" s="1"/>
  <c r="S22" i="55"/>
  <c r="AP22" i="73" s="1"/>
  <c r="L258" i="73" s="1"/>
  <c r="AE21" i="55"/>
  <c r="AD21" i="55"/>
  <c r="AC21" i="55"/>
  <c r="AB21" i="55"/>
  <c r="AA21" i="55"/>
  <c r="Z21" i="55"/>
  <c r="Y21" i="55"/>
  <c r="X21" i="55"/>
  <c r="W21" i="55"/>
  <c r="AP157" i="73" s="1"/>
  <c r="L581" i="73" s="1"/>
  <c r="V21" i="55"/>
  <c r="AP123" i="73" s="1"/>
  <c r="L500" i="73" s="1"/>
  <c r="U21" i="55"/>
  <c r="AP89" i="73" s="1"/>
  <c r="L419" i="73" s="1"/>
  <c r="T21" i="55"/>
  <c r="AP55" i="73" s="1"/>
  <c r="L338" i="73" s="1"/>
  <c r="S21" i="55"/>
  <c r="AP21" i="73" s="1"/>
  <c r="L257" i="73" s="1"/>
  <c r="AE20" i="55"/>
  <c r="N20" i="29" s="1"/>
  <c r="AD20" i="55"/>
  <c r="AC20" i="55"/>
  <c r="AB20" i="55"/>
  <c r="AA20" i="55"/>
  <c r="Z20" i="55"/>
  <c r="Y20" i="55"/>
  <c r="X20" i="55"/>
  <c r="W20" i="55"/>
  <c r="AP156" i="73" s="1"/>
  <c r="L580" i="73" s="1"/>
  <c r="V20" i="55"/>
  <c r="AP122" i="73" s="1"/>
  <c r="L499" i="73" s="1"/>
  <c r="U20" i="55"/>
  <c r="AP88" i="73" s="1"/>
  <c r="L418" i="73" s="1"/>
  <c r="T20" i="55"/>
  <c r="AP54" i="73" s="1"/>
  <c r="L337" i="73" s="1"/>
  <c r="S20" i="55"/>
  <c r="AP20" i="73" s="1"/>
  <c r="L256" i="73" s="1"/>
  <c r="AE19" i="55"/>
  <c r="AD19" i="55"/>
  <c r="AC19" i="55"/>
  <c r="AB19" i="55"/>
  <c r="AA19" i="55"/>
  <c r="Z19" i="55"/>
  <c r="Y19" i="55"/>
  <c r="X19" i="55"/>
  <c r="W19" i="55"/>
  <c r="AP155" i="73" s="1"/>
  <c r="L579" i="73" s="1"/>
  <c r="V19" i="55"/>
  <c r="AP121" i="73" s="1"/>
  <c r="L498" i="73" s="1"/>
  <c r="U19" i="55"/>
  <c r="AP87" i="73" s="1"/>
  <c r="L417" i="73" s="1"/>
  <c r="T19" i="55"/>
  <c r="AP53" i="73" s="1"/>
  <c r="L336" i="73" s="1"/>
  <c r="S19" i="55"/>
  <c r="AP19" i="73" s="1"/>
  <c r="L255" i="73" s="1"/>
  <c r="AE18" i="55"/>
  <c r="AD18" i="55"/>
  <c r="AC18" i="55"/>
  <c r="AB18" i="55"/>
  <c r="AA18" i="55"/>
  <c r="Z18" i="55"/>
  <c r="Y18" i="55"/>
  <c r="X18" i="55"/>
  <c r="W18" i="55"/>
  <c r="AP154" i="73" s="1"/>
  <c r="L578" i="73" s="1"/>
  <c r="V18" i="55"/>
  <c r="AP120" i="73" s="1"/>
  <c r="L497" i="73" s="1"/>
  <c r="U18" i="55"/>
  <c r="AP86" i="73" s="1"/>
  <c r="L416" i="73" s="1"/>
  <c r="T18" i="55"/>
  <c r="AP52" i="73" s="1"/>
  <c r="L335" i="73" s="1"/>
  <c r="S18" i="55"/>
  <c r="AP18" i="73" s="1"/>
  <c r="L254" i="73" s="1"/>
  <c r="AE17" i="55"/>
  <c r="AD17" i="55"/>
  <c r="AC17" i="55"/>
  <c r="AB17" i="55"/>
  <c r="AA17" i="55"/>
  <c r="Z17" i="55"/>
  <c r="Y17" i="55"/>
  <c r="X17" i="55"/>
  <c r="W17" i="55"/>
  <c r="AP153" i="73" s="1"/>
  <c r="L577" i="73" s="1"/>
  <c r="V17" i="55"/>
  <c r="AP119" i="73" s="1"/>
  <c r="L496" i="73" s="1"/>
  <c r="U17" i="55"/>
  <c r="AP85" i="73" s="1"/>
  <c r="L415" i="73" s="1"/>
  <c r="T17" i="55"/>
  <c r="AP51" i="73" s="1"/>
  <c r="L334" i="73" s="1"/>
  <c r="S17" i="55"/>
  <c r="AP17" i="73" s="1"/>
  <c r="L253" i="73" s="1"/>
  <c r="AE16" i="55"/>
  <c r="AD16" i="55"/>
  <c r="AC16" i="55"/>
  <c r="AB16" i="55"/>
  <c r="AA16" i="55"/>
  <c r="Z16" i="55"/>
  <c r="Y16" i="55"/>
  <c r="X16" i="55"/>
  <c r="W16" i="55"/>
  <c r="AP152" i="73" s="1"/>
  <c r="L576" i="73" s="1"/>
  <c r="V16" i="55"/>
  <c r="AP118" i="73" s="1"/>
  <c r="L495" i="73" s="1"/>
  <c r="U16" i="55"/>
  <c r="AP84" i="73" s="1"/>
  <c r="L414" i="73" s="1"/>
  <c r="T16" i="55"/>
  <c r="AP50" i="73" s="1"/>
  <c r="L333" i="73" s="1"/>
  <c r="S16" i="55"/>
  <c r="AP16" i="73" s="1"/>
  <c r="L252" i="73" s="1"/>
  <c r="AE15" i="55"/>
  <c r="AD15" i="55"/>
  <c r="AC15" i="55"/>
  <c r="AB15" i="55"/>
  <c r="AA15" i="55"/>
  <c r="Z15" i="55"/>
  <c r="Y15" i="55"/>
  <c r="X15" i="55"/>
  <c r="W15" i="55"/>
  <c r="AP151" i="73" s="1"/>
  <c r="L575" i="73" s="1"/>
  <c r="V15" i="55"/>
  <c r="AP117" i="73" s="1"/>
  <c r="L494" i="73" s="1"/>
  <c r="U15" i="55"/>
  <c r="AP83" i="73" s="1"/>
  <c r="L413" i="73" s="1"/>
  <c r="T15" i="55"/>
  <c r="AP49" i="73" s="1"/>
  <c r="L332" i="73" s="1"/>
  <c r="S15" i="55"/>
  <c r="AP15" i="73" s="1"/>
  <c r="L251" i="73" s="1"/>
  <c r="AE14" i="55"/>
  <c r="AD14" i="55"/>
  <c r="AC14" i="55"/>
  <c r="AB14" i="55"/>
  <c r="AA14" i="55"/>
  <c r="Z14" i="55"/>
  <c r="Y14" i="55"/>
  <c r="X14" i="55"/>
  <c r="W14" i="55"/>
  <c r="AP150" i="73" s="1"/>
  <c r="L574" i="73" s="1"/>
  <c r="V14" i="55"/>
  <c r="AP116" i="73" s="1"/>
  <c r="L493" i="73" s="1"/>
  <c r="U14" i="55"/>
  <c r="AP82" i="73" s="1"/>
  <c r="L412" i="73" s="1"/>
  <c r="T14" i="55"/>
  <c r="AP48" i="73" s="1"/>
  <c r="L331" i="73" s="1"/>
  <c r="S14" i="55"/>
  <c r="AP14" i="73" s="1"/>
  <c r="L250" i="73" s="1"/>
  <c r="AE13" i="55"/>
  <c r="AD13" i="55"/>
  <c r="AC13" i="55"/>
  <c r="AB13" i="55"/>
  <c r="AA13" i="55"/>
  <c r="Z13" i="55"/>
  <c r="Y13" i="55"/>
  <c r="X13" i="55"/>
  <c r="W13" i="55"/>
  <c r="AP149" i="73" s="1"/>
  <c r="L573" i="73" s="1"/>
  <c r="V13" i="55"/>
  <c r="AP115" i="73" s="1"/>
  <c r="L492" i="73" s="1"/>
  <c r="U13" i="55"/>
  <c r="AP81" i="73" s="1"/>
  <c r="L411" i="73" s="1"/>
  <c r="T13" i="55"/>
  <c r="AP47" i="73" s="1"/>
  <c r="L330" i="73" s="1"/>
  <c r="S13" i="55"/>
  <c r="AP13" i="73" s="1"/>
  <c r="L249" i="73" s="1"/>
  <c r="AE12" i="55"/>
  <c r="AD12" i="55"/>
  <c r="AC12" i="55"/>
  <c r="AB12" i="55"/>
  <c r="AA12" i="55"/>
  <c r="Z12" i="55"/>
  <c r="Y12" i="55"/>
  <c r="X12" i="55"/>
  <c r="W12" i="55"/>
  <c r="AP148" i="73" s="1"/>
  <c r="L572" i="73" s="1"/>
  <c r="V12" i="55"/>
  <c r="AP114" i="73" s="1"/>
  <c r="L491" i="73" s="1"/>
  <c r="U12" i="55"/>
  <c r="AP80" i="73" s="1"/>
  <c r="L410" i="73" s="1"/>
  <c r="T12" i="55"/>
  <c r="AP46" i="73" s="1"/>
  <c r="L329" i="73" s="1"/>
  <c r="S12" i="55"/>
  <c r="AP12" i="73" s="1"/>
  <c r="L248" i="73" s="1"/>
  <c r="AE11" i="55"/>
  <c r="AD11" i="55"/>
  <c r="AC11" i="55"/>
  <c r="AB11" i="55"/>
  <c r="AA11" i="55"/>
  <c r="Z11" i="55"/>
  <c r="Y11" i="55"/>
  <c r="X11" i="55"/>
  <c r="W11" i="55"/>
  <c r="AP147" i="73" s="1"/>
  <c r="L571" i="73" s="1"/>
  <c r="V11" i="55"/>
  <c r="AP113" i="73" s="1"/>
  <c r="L490" i="73" s="1"/>
  <c r="U11" i="55"/>
  <c r="AP79" i="73" s="1"/>
  <c r="L409" i="73" s="1"/>
  <c r="T11" i="55"/>
  <c r="AP45" i="73" s="1"/>
  <c r="L328" i="73" s="1"/>
  <c r="S11" i="55"/>
  <c r="AP11" i="73" s="1"/>
  <c r="L247" i="73" s="1"/>
  <c r="AE10" i="55"/>
  <c r="AD10" i="55"/>
  <c r="AC10" i="55"/>
  <c r="AB10" i="55"/>
  <c r="AA10" i="55"/>
  <c r="Z10" i="55"/>
  <c r="Y10" i="55"/>
  <c r="X10" i="55"/>
  <c r="W10" i="55"/>
  <c r="AP146" i="73" s="1"/>
  <c r="L570" i="73" s="1"/>
  <c r="V10" i="55"/>
  <c r="AP112" i="73" s="1"/>
  <c r="L489" i="73" s="1"/>
  <c r="U10" i="55"/>
  <c r="AP78" i="73" s="1"/>
  <c r="L408" i="73" s="1"/>
  <c r="T10" i="55"/>
  <c r="AP44" i="73" s="1"/>
  <c r="L327" i="73" s="1"/>
  <c r="S10" i="55"/>
  <c r="AP10" i="73" s="1"/>
  <c r="L246" i="73" s="1"/>
  <c r="AE9" i="55"/>
  <c r="AD9" i="55"/>
  <c r="AC9" i="55"/>
  <c r="AB9" i="55"/>
  <c r="AA9" i="55"/>
  <c r="Z9" i="55"/>
  <c r="Y9" i="55"/>
  <c r="X9" i="55"/>
  <c r="W9" i="55"/>
  <c r="AP145" i="73" s="1"/>
  <c r="L569" i="73" s="1"/>
  <c r="V9" i="55"/>
  <c r="AP111" i="73" s="1"/>
  <c r="L488" i="73" s="1"/>
  <c r="U9" i="55"/>
  <c r="AP77" i="73" s="1"/>
  <c r="L407" i="73" s="1"/>
  <c r="T9" i="55"/>
  <c r="AP43" i="73" s="1"/>
  <c r="L326" i="73" s="1"/>
  <c r="S9" i="55"/>
  <c r="AP9" i="73" s="1"/>
  <c r="L245" i="73" s="1"/>
  <c r="AE8" i="55"/>
  <c r="AD8" i="55"/>
  <c r="AC8" i="55"/>
  <c r="AB8" i="55"/>
  <c r="AA8" i="55"/>
  <c r="Z8" i="55"/>
  <c r="Y8" i="55"/>
  <c r="X8" i="55"/>
  <c r="W8" i="55"/>
  <c r="AP144" i="73" s="1"/>
  <c r="L568" i="73" s="1"/>
  <c r="V8" i="55"/>
  <c r="AP110" i="73" s="1"/>
  <c r="L487" i="73" s="1"/>
  <c r="U8" i="55"/>
  <c r="AP76" i="73" s="1"/>
  <c r="L406" i="73" s="1"/>
  <c r="T8" i="55"/>
  <c r="AP42" i="73" s="1"/>
  <c r="L325" i="73" s="1"/>
  <c r="S8" i="55"/>
  <c r="AP8" i="73" s="1"/>
  <c r="L244" i="73" s="1"/>
  <c r="AE7" i="55"/>
  <c r="AD7" i="55"/>
  <c r="AC7" i="55"/>
  <c r="AB7" i="55"/>
  <c r="AA7" i="55"/>
  <c r="Z7" i="55"/>
  <c r="Y7" i="55"/>
  <c r="X7" i="55"/>
  <c r="W7" i="55"/>
  <c r="AP143" i="73" s="1"/>
  <c r="L567" i="73" s="1"/>
  <c r="V7" i="55"/>
  <c r="AP109" i="73" s="1"/>
  <c r="L486" i="73" s="1"/>
  <c r="U7" i="55"/>
  <c r="AP75" i="73" s="1"/>
  <c r="L405" i="73" s="1"/>
  <c r="T7" i="55"/>
  <c r="AP41" i="73" s="1"/>
  <c r="L324" i="73" s="1"/>
  <c r="S7" i="55"/>
  <c r="AP7" i="73" s="1"/>
  <c r="L243" i="73" s="1"/>
  <c r="AE6" i="55"/>
  <c r="AD6" i="55"/>
  <c r="AC6" i="55"/>
  <c r="AB6" i="55"/>
  <c r="AA6" i="55"/>
  <c r="Z6" i="55"/>
  <c r="Y6" i="55"/>
  <c r="X6" i="55"/>
  <c r="W6" i="55"/>
  <c r="AP142" i="73" s="1"/>
  <c r="L566" i="73" s="1"/>
  <c r="V6" i="55"/>
  <c r="AP108" i="73" s="1"/>
  <c r="L485" i="73" s="1"/>
  <c r="U6" i="55"/>
  <c r="AP74" i="73" s="1"/>
  <c r="L404" i="73" s="1"/>
  <c r="T6" i="55"/>
  <c r="AP40" i="73" s="1"/>
  <c r="L323" i="73" s="1"/>
  <c r="S6" i="55"/>
  <c r="AP6" i="73" s="1"/>
  <c r="L242" i="73" s="1"/>
  <c r="AE5" i="55"/>
  <c r="AD5" i="55"/>
  <c r="AC5" i="55"/>
  <c r="AB5" i="55"/>
  <c r="AA5" i="55"/>
  <c r="Z5" i="55"/>
  <c r="Y5" i="55"/>
  <c r="X5" i="55"/>
  <c r="W5" i="55"/>
  <c r="AP141" i="73" s="1"/>
  <c r="V5" i="55"/>
  <c r="AP107" i="73" s="1"/>
  <c r="U5" i="55"/>
  <c r="AP73" i="73" s="1"/>
  <c r="T5" i="55"/>
  <c r="AP39" i="73" s="1"/>
  <c r="S5" i="55"/>
  <c r="AP5" i="73" s="1"/>
  <c r="AE102" i="53"/>
  <c r="AD102" i="53"/>
  <c r="AC102" i="53"/>
  <c r="AB102" i="53"/>
  <c r="AA102" i="53"/>
  <c r="Z102" i="53"/>
  <c r="Y102" i="53"/>
  <c r="X102" i="53"/>
  <c r="W102" i="53"/>
  <c r="V102" i="53"/>
  <c r="U102" i="53"/>
  <c r="T102" i="53"/>
  <c r="S102" i="53"/>
  <c r="AD66" i="53"/>
  <c r="AC66" i="53"/>
  <c r="AB66" i="53"/>
  <c r="AA66" i="53"/>
  <c r="Z66" i="53"/>
  <c r="Y66" i="53"/>
  <c r="X66" i="53"/>
  <c r="W66" i="53"/>
  <c r="V66" i="53"/>
  <c r="U66" i="53"/>
  <c r="T66" i="53"/>
  <c r="S66" i="53"/>
  <c r="B64" i="29" s="1"/>
  <c r="AD65" i="53"/>
  <c r="AC65" i="53"/>
  <c r="AB65" i="53"/>
  <c r="AA65" i="53"/>
  <c r="Z65" i="53"/>
  <c r="Y65" i="53"/>
  <c r="X65" i="53"/>
  <c r="W65" i="53"/>
  <c r="V65" i="53"/>
  <c r="U65" i="53"/>
  <c r="T65" i="53"/>
  <c r="S65" i="53"/>
  <c r="B63" i="29" s="1"/>
  <c r="AD64" i="53"/>
  <c r="AC64" i="53"/>
  <c r="AB64" i="53"/>
  <c r="AA64" i="53"/>
  <c r="Z64" i="53"/>
  <c r="Y64" i="53"/>
  <c r="X64" i="53"/>
  <c r="W64" i="53"/>
  <c r="V64" i="53"/>
  <c r="U64" i="53"/>
  <c r="D62" i="29" s="1"/>
  <c r="T64" i="53"/>
  <c r="C62" i="29" s="1"/>
  <c r="S64" i="53"/>
  <c r="B62" i="29" s="1"/>
  <c r="AD63" i="53"/>
  <c r="AC63" i="53"/>
  <c r="AB63" i="53"/>
  <c r="AA63" i="53"/>
  <c r="Z63" i="53"/>
  <c r="Y63" i="53"/>
  <c r="X63" i="53"/>
  <c r="W63" i="53"/>
  <c r="V63" i="53"/>
  <c r="U63" i="53"/>
  <c r="D61" i="29" s="1"/>
  <c r="T63" i="53"/>
  <c r="S63" i="53"/>
  <c r="B61" i="29" s="1"/>
  <c r="AD62" i="53"/>
  <c r="AC62" i="53"/>
  <c r="AB62" i="53"/>
  <c r="AA62" i="53"/>
  <c r="Z62" i="53"/>
  <c r="Y62" i="53"/>
  <c r="X62" i="53"/>
  <c r="W62" i="53"/>
  <c r="V62" i="53"/>
  <c r="U62" i="53"/>
  <c r="T62" i="53"/>
  <c r="S62" i="53"/>
  <c r="B60" i="29" s="1"/>
  <c r="AD61" i="53"/>
  <c r="AC61" i="53"/>
  <c r="AB61" i="53"/>
  <c r="AA61" i="53"/>
  <c r="Z61" i="53"/>
  <c r="Y61" i="53"/>
  <c r="X61" i="53"/>
  <c r="W61" i="53"/>
  <c r="V61" i="53"/>
  <c r="U61" i="53"/>
  <c r="T61" i="53"/>
  <c r="S61" i="53"/>
  <c r="B59" i="29" s="1"/>
  <c r="AD60" i="53"/>
  <c r="AC60" i="53"/>
  <c r="AB60" i="53"/>
  <c r="AA60" i="53"/>
  <c r="Z60" i="53"/>
  <c r="Y60" i="53"/>
  <c r="X60" i="53"/>
  <c r="W60" i="53"/>
  <c r="V60" i="53"/>
  <c r="U60" i="53"/>
  <c r="T60" i="53"/>
  <c r="S60" i="53"/>
  <c r="AD59" i="53"/>
  <c r="AC59" i="53"/>
  <c r="AB59" i="53"/>
  <c r="AA59" i="53"/>
  <c r="Z59" i="53"/>
  <c r="Y59" i="53"/>
  <c r="X59" i="53"/>
  <c r="W59" i="53"/>
  <c r="V59" i="53"/>
  <c r="U59" i="53"/>
  <c r="D57" i="29" s="1"/>
  <c r="T59" i="53"/>
  <c r="S59" i="53"/>
  <c r="AD58" i="53"/>
  <c r="AC58" i="53"/>
  <c r="AB58" i="53"/>
  <c r="AA58" i="53"/>
  <c r="Z58" i="53"/>
  <c r="Y58" i="53"/>
  <c r="X58" i="53"/>
  <c r="W58" i="53"/>
  <c r="V58" i="53"/>
  <c r="U58" i="53"/>
  <c r="T58" i="53"/>
  <c r="S58" i="53"/>
  <c r="B56" i="29" s="1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AD56" i="53"/>
  <c r="AC56" i="53"/>
  <c r="AB56" i="53"/>
  <c r="AA56" i="53"/>
  <c r="Z56" i="53"/>
  <c r="Y56" i="53"/>
  <c r="X56" i="53"/>
  <c r="W56" i="53"/>
  <c r="V56" i="53"/>
  <c r="U56" i="53"/>
  <c r="D54" i="29" s="1"/>
  <c r="T56" i="53"/>
  <c r="S56" i="53"/>
  <c r="B54" i="29" s="1"/>
  <c r="AD55" i="53"/>
  <c r="AC55" i="53"/>
  <c r="AB55" i="53"/>
  <c r="AA55" i="53"/>
  <c r="Z55" i="53"/>
  <c r="Y55" i="53"/>
  <c r="X55" i="53"/>
  <c r="W55" i="53"/>
  <c r="V55" i="53"/>
  <c r="U55" i="53"/>
  <c r="D53" i="29" s="1"/>
  <c r="T55" i="53"/>
  <c r="S55" i="53"/>
  <c r="B53" i="29" s="1"/>
  <c r="AD54" i="53"/>
  <c r="AC54" i="53"/>
  <c r="AB54" i="53"/>
  <c r="AA54" i="53"/>
  <c r="Z54" i="53"/>
  <c r="Y54" i="53"/>
  <c r="X54" i="53"/>
  <c r="W54" i="53"/>
  <c r="V54" i="53"/>
  <c r="U54" i="53"/>
  <c r="T54" i="53"/>
  <c r="S54" i="53"/>
  <c r="B52" i="29" s="1"/>
  <c r="AD53" i="53"/>
  <c r="AC53" i="53"/>
  <c r="AB53" i="53"/>
  <c r="AA53" i="53"/>
  <c r="Z53" i="53"/>
  <c r="Y53" i="53"/>
  <c r="X53" i="53"/>
  <c r="W53" i="53"/>
  <c r="V53" i="53"/>
  <c r="U53" i="53"/>
  <c r="T53" i="53"/>
  <c r="S53" i="53"/>
  <c r="B51" i="29" s="1"/>
  <c r="AD52" i="53"/>
  <c r="AC52" i="53"/>
  <c r="AB52" i="53"/>
  <c r="AA52" i="53"/>
  <c r="Z52" i="53"/>
  <c r="Y52" i="53"/>
  <c r="X52" i="53"/>
  <c r="W52" i="53"/>
  <c r="V52" i="53"/>
  <c r="U52" i="53"/>
  <c r="T52" i="53"/>
  <c r="S52" i="53"/>
  <c r="AD51" i="53"/>
  <c r="AC51" i="53"/>
  <c r="AB51" i="53"/>
  <c r="AA51" i="53"/>
  <c r="Z51" i="53"/>
  <c r="Y51" i="53"/>
  <c r="X51" i="53"/>
  <c r="W51" i="53"/>
  <c r="V51" i="53"/>
  <c r="U51" i="53"/>
  <c r="T51" i="53"/>
  <c r="S51" i="53"/>
  <c r="B49" i="29" s="1"/>
  <c r="AD50" i="53"/>
  <c r="AC50" i="53"/>
  <c r="AB50" i="53"/>
  <c r="AA50" i="53"/>
  <c r="Z50" i="53"/>
  <c r="Y50" i="53"/>
  <c r="X50" i="53"/>
  <c r="W50" i="53"/>
  <c r="V50" i="53"/>
  <c r="U50" i="53"/>
  <c r="T50" i="53"/>
  <c r="S50" i="53"/>
  <c r="AD49" i="53"/>
  <c r="AC49" i="53"/>
  <c r="AB49" i="53"/>
  <c r="AA49" i="53"/>
  <c r="Z49" i="53"/>
  <c r="Y49" i="53"/>
  <c r="X49" i="53"/>
  <c r="W49" i="53"/>
  <c r="V49" i="53"/>
  <c r="U49" i="53"/>
  <c r="T49" i="53"/>
  <c r="S49" i="53"/>
  <c r="B47" i="29" s="1"/>
  <c r="AD48" i="53"/>
  <c r="AC48" i="53"/>
  <c r="AB48" i="53"/>
  <c r="AA48" i="53"/>
  <c r="Z48" i="53"/>
  <c r="Y48" i="53"/>
  <c r="X48" i="53"/>
  <c r="W48" i="53"/>
  <c r="V48" i="53"/>
  <c r="U48" i="53"/>
  <c r="T48" i="53"/>
  <c r="S48" i="53"/>
  <c r="B46" i="29" s="1"/>
  <c r="AD47" i="53"/>
  <c r="AC47" i="53"/>
  <c r="AB47" i="53"/>
  <c r="AA47" i="53"/>
  <c r="Z47" i="53"/>
  <c r="Y47" i="53"/>
  <c r="X47" i="53"/>
  <c r="W47" i="53"/>
  <c r="V47" i="53"/>
  <c r="U47" i="53"/>
  <c r="T47" i="53"/>
  <c r="S47" i="53"/>
  <c r="AD46" i="53"/>
  <c r="AC46" i="53"/>
  <c r="AB46" i="53"/>
  <c r="AA46" i="53"/>
  <c r="Z46" i="53"/>
  <c r="Y46" i="53"/>
  <c r="X46" i="53"/>
  <c r="W46" i="53"/>
  <c r="V46" i="53"/>
  <c r="U46" i="53"/>
  <c r="T46" i="53"/>
  <c r="S46" i="53"/>
  <c r="B44" i="29" s="1"/>
  <c r="AD45" i="53"/>
  <c r="AC45" i="53"/>
  <c r="AB45" i="53"/>
  <c r="AA45" i="53"/>
  <c r="Z45" i="53"/>
  <c r="Y45" i="53"/>
  <c r="X45" i="53"/>
  <c r="W45" i="53"/>
  <c r="V45" i="53"/>
  <c r="U45" i="53"/>
  <c r="T45" i="53"/>
  <c r="S45" i="53"/>
  <c r="B43" i="29" s="1"/>
  <c r="AD44" i="53"/>
  <c r="AC44" i="53"/>
  <c r="AB44" i="53"/>
  <c r="AA44" i="53"/>
  <c r="Z44" i="53"/>
  <c r="Y44" i="53"/>
  <c r="X44" i="53"/>
  <c r="W44" i="53"/>
  <c r="V44" i="53"/>
  <c r="U44" i="53"/>
  <c r="T44" i="53"/>
  <c r="S44" i="53"/>
  <c r="AD43" i="53"/>
  <c r="AC43" i="53"/>
  <c r="AB43" i="53"/>
  <c r="AA43" i="53"/>
  <c r="Z43" i="53"/>
  <c r="Y43" i="53"/>
  <c r="X43" i="53"/>
  <c r="W43" i="53"/>
  <c r="V43" i="53"/>
  <c r="U43" i="53"/>
  <c r="T43" i="53"/>
  <c r="S43" i="53"/>
  <c r="B41" i="29" s="1"/>
  <c r="AD42" i="53"/>
  <c r="AC42" i="53"/>
  <c r="AB42" i="53"/>
  <c r="AA42" i="53"/>
  <c r="Z42" i="53"/>
  <c r="Y42" i="53"/>
  <c r="X42" i="53"/>
  <c r="W42" i="53"/>
  <c r="V42" i="53"/>
  <c r="U42" i="53"/>
  <c r="T42" i="53"/>
  <c r="S42" i="53"/>
  <c r="AD41" i="53"/>
  <c r="AC41" i="53"/>
  <c r="AB41" i="53"/>
  <c r="AA41" i="53"/>
  <c r="Z41" i="53"/>
  <c r="Y41" i="53"/>
  <c r="X41" i="53"/>
  <c r="W41" i="53"/>
  <c r="V41" i="53"/>
  <c r="U41" i="53"/>
  <c r="T41" i="53"/>
  <c r="S41" i="53"/>
  <c r="B39" i="29" s="1"/>
  <c r="AE40" i="53"/>
  <c r="AD40" i="53"/>
  <c r="AC40" i="53"/>
  <c r="AB40" i="53"/>
  <c r="AA40" i="53"/>
  <c r="Z40" i="53"/>
  <c r="Y40" i="53"/>
  <c r="X40" i="53"/>
  <c r="W40" i="53"/>
  <c r="V40" i="53"/>
  <c r="U40" i="53"/>
  <c r="T40" i="53"/>
  <c r="S40" i="53"/>
  <c r="AD31" i="53"/>
  <c r="AC31" i="53"/>
  <c r="AB31" i="53"/>
  <c r="AA31" i="53"/>
  <c r="Z31" i="53"/>
  <c r="Y31" i="53"/>
  <c r="X31" i="53"/>
  <c r="W31" i="53"/>
  <c r="AN167" i="73" s="1"/>
  <c r="J591" i="73" s="1"/>
  <c r="V31" i="53"/>
  <c r="AN133" i="73" s="1"/>
  <c r="J510" i="73" s="1"/>
  <c r="U31" i="53"/>
  <c r="AN99" i="73" s="1"/>
  <c r="J429" i="73" s="1"/>
  <c r="T31" i="53"/>
  <c r="S31" i="53"/>
  <c r="AN31" i="73" s="1"/>
  <c r="J267" i="73" s="1"/>
  <c r="AD30" i="53"/>
  <c r="AC30" i="53"/>
  <c r="AB30" i="53"/>
  <c r="AA30" i="53"/>
  <c r="Z30" i="53"/>
  <c r="Y30" i="53"/>
  <c r="X30" i="53"/>
  <c r="W30" i="53"/>
  <c r="AN166" i="73" s="1"/>
  <c r="J590" i="73" s="1"/>
  <c r="V30" i="53"/>
  <c r="AN132" i="73" s="1"/>
  <c r="J509" i="73" s="1"/>
  <c r="U30" i="53"/>
  <c r="AN98" i="73" s="1"/>
  <c r="J428" i="73" s="1"/>
  <c r="T30" i="53"/>
  <c r="AN64" i="73" s="1"/>
  <c r="J347" i="73" s="1"/>
  <c r="S30" i="53"/>
  <c r="AN30" i="73" s="1"/>
  <c r="J266" i="73" s="1"/>
  <c r="AD29" i="53"/>
  <c r="AC29" i="53"/>
  <c r="AB29" i="53"/>
  <c r="AA29" i="53"/>
  <c r="Z29" i="53"/>
  <c r="Y29" i="53"/>
  <c r="X29" i="53"/>
  <c r="W29" i="53"/>
  <c r="AN165" i="73" s="1"/>
  <c r="J589" i="73" s="1"/>
  <c r="V29" i="53"/>
  <c r="AN131" i="73" s="1"/>
  <c r="J508" i="73" s="1"/>
  <c r="U29" i="53"/>
  <c r="T29" i="53"/>
  <c r="AN63" i="73" s="1"/>
  <c r="J346" i="73" s="1"/>
  <c r="S29" i="53"/>
  <c r="AN29" i="73" s="1"/>
  <c r="J265" i="73" s="1"/>
  <c r="AD28" i="53"/>
  <c r="AC28" i="53"/>
  <c r="AB28" i="53"/>
  <c r="K28" i="29" s="1"/>
  <c r="AA28" i="53"/>
  <c r="Z28" i="53"/>
  <c r="Y28" i="53"/>
  <c r="X28" i="53"/>
  <c r="W28" i="53"/>
  <c r="AN164" i="73" s="1"/>
  <c r="J588" i="73" s="1"/>
  <c r="V28" i="53"/>
  <c r="U28" i="53"/>
  <c r="T28" i="53"/>
  <c r="AN62" i="73" s="1"/>
  <c r="J345" i="73" s="1"/>
  <c r="S28" i="53"/>
  <c r="AN28" i="73" s="1"/>
  <c r="J264" i="73" s="1"/>
  <c r="AD27" i="53"/>
  <c r="AC27" i="53"/>
  <c r="AB27" i="53"/>
  <c r="AA27" i="53"/>
  <c r="Z27" i="53"/>
  <c r="Y27" i="53"/>
  <c r="X27" i="53"/>
  <c r="W27" i="53"/>
  <c r="AN163" i="73" s="1"/>
  <c r="J587" i="73" s="1"/>
  <c r="V27" i="53"/>
  <c r="AN129" i="73" s="1"/>
  <c r="J506" i="73" s="1"/>
  <c r="U27" i="53"/>
  <c r="AN95" i="73" s="1"/>
  <c r="J425" i="73" s="1"/>
  <c r="T27" i="53"/>
  <c r="S27" i="53"/>
  <c r="AD26" i="53"/>
  <c r="AC26" i="53"/>
  <c r="AB26" i="53"/>
  <c r="AA26" i="53"/>
  <c r="Z26" i="53"/>
  <c r="Y26" i="53"/>
  <c r="X26" i="53"/>
  <c r="W26" i="53"/>
  <c r="AN162" i="73" s="1"/>
  <c r="J586" i="73" s="1"/>
  <c r="V26" i="53"/>
  <c r="AN128" i="73" s="1"/>
  <c r="J505" i="73" s="1"/>
  <c r="U26" i="53"/>
  <c r="AN94" i="73" s="1"/>
  <c r="J424" i="73" s="1"/>
  <c r="T26" i="53"/>
  <c r="AN60" i="73" s="1"/>
  <c r="J343" i="73" s="1"/>
  <c r="S26" i="53"/>
  <c r="AN26" i="73" s="1"/>
  <c r="J262" i="73" s="1"/>
  <c r="AD25" i="53"/>
  <c r="AC25" i="53"/>
  <c r="AB25" i="53"/>
  <c r="AA25" i="53"/>
  <c r="Z25" i="53"/>
  <c r="Y25" i="53"/>
  <c r="X25" i="53"/>
  <c r="W25" i="53"/>
  <c r="AN161" i="73" s="1"/>
  <c r="J585" i="73" s="1"/>
  <c r="V25" i="53"/>
  <c r="AN127" i="73" s="1"/>
  <c r="J504" i="73" s="1"/>
  <c r="U25" i="53"/>
  <c r="T25" i="53"/>
  <c r="AN59" i="73" s="1"/>
  <c r="J342" i="73" s="1"/>
  <c r="S25" i="53"/>
  <c r="AN25" i="73" s="1"/>
  <c r="J261" i="73" s="1"/>
  <c r="AD24" i="53"/>
  <c r="AC24" i="53"/>
  <c r="AB24" i="53"/>
  <c r="AA24" i="53"/>
  <c r="Z24" i="53"/>
  <c r="Y24" i="53"/>
  <c r="X24" i="53"/>
  <c r="W24" i="53"/>
  <c r="AN160" i="73" s="1"/>
  <c r="J584" i="73" s="1"/>
  <c r="V24" i="53"/>
  <c r="AN126" i="73" s="1"/>
  <c r="J503" i="73" s="1"/>
  <c r="U24" i="53"/>
  <c r="AN92" i="73" s="1"/>
  <c r="J422" i="73" s="1"/>
  <c r="T24" i="53"/>
  <c r="AN58" i="73" s="1"/>
  <c r="J341" i="73" s="1"/>
  <c r="S24" i="53"/>
  <c r="AN24" i="73" s="1"/>
  <c r="J260" i="73" s="1"/>
  <c r="AD23" i="53"/>
  <c r="AC23" i="53"/>
  <c r="AB23" i="53"/>
  <c r="AA23" i="53"/>
  <c r="Z23" i="53"/>
  <c r="Y23" i="53"/>
  <c r="X23" i="53"/>
  <c r="W23" i="53"/>
  <c r="AN159" i="73" s="1"/>
  <c r="J583" i="73" s="1"/>
  <c r="V23" i="53"/>
  <c r="AN125" i="73" s="1"/>
  <c r="J502" i="73" s="1"/>
  <c r="U23" i="53"/>
  <c r="T23" i="53"/>
  <c r="S23" i="53"/>
  <c r="AN23" i="73" s="1"/>
  <c r="J259" i="73" s="1"/>
  <c r="AD22" i="53"/>
  <c r="AC22" i="53"/>
  <c r="AB22" i="53"/>
  <c r="AA22" i="53"/>
  <c r="Z22" i="53"/>
  <c r="Y22" i="53"/>
  <c r="X22" i="53"/>
  <c r="W22" i="53"/>
  <c r="AN158" i="73" s="1"/>
  <c r="J582" i="73" s="1"/>
  <c r="V22" i="53"/>
  <c r="AN124" i="73" s="1"/>
  <c r="J501" i="73" s="1"/>
  <c r="U22" i="53"/>
  <c r="AN90" i="73" s="1"/>
  <c r="J420" i="73" s="1"/>
  <c r="T22" i="53"/>
  <c r="AN56" i="73" s="1"/>
  <c r="J339" i="73" s="1"/>
  <c r="S22" i="53"/>
  <c r="AN22" i="73" s="1"/>
  <c r="J258" i="73" s="1"/>
  <c r="AD21" i="53"/>
  <c r="AC21" i="53"/>
  <c r="AB21" i="53"/>
  <c r="AA21" i="53"/>
  <c r="Z21" i="53"/>
  <c r="Y21" i="53"/>
  <c r="X21" i="53"/>
  <c r="W21" i="53"/>
  <c r="AN157" i="73" s="1"/>
  <c r="J581" i="73" s="1"/>
  <c r="V21" i="53"/>
  <c r="AN123" i="73" s="1"/>
  <c r="J500" i="73" s="1"/>
  <c r="U21" i="53"/>
  <c r="AN89" i="73" s="1"/>
  <c r="J419" i="73" s="1"/>
  <c r="T21" i="53"/>
  <c r="AN55" i="73" s="1"/>
  <c r="J338" i="73" s="1"/>
  <c r="S21" i="53"/>
  <c r="AN21" i="73" s="1"/>
  <c r="J257" i="73" s="1"/>
  <c r="AD20" i="53"/>
  <c r="AC20" i="53"/>
  <c r="AB20" i="53"/>
  <c r="K20" i="29" s="1"/>
  <c r="AA20" i="53"/>
  <c r="Z20" i="53"/>
  <c r="Y20" i="53"/>
  <c r="H20" i="29" s="1"/>
  <c r="X20" i="53"/>
  <c r="W20" i="53"/>
  <c r="AN156" i="73" s="1"/>
  <c r="J580" i="73" s="1"/>
  <c r="V20" i="53"/>
  <c r="AN122" i="73" s="1"/>
  <c r="J499" i="73" s="1"/>
  <c r="U20" i="53"/>
  <c r="T20" i="53"/>
  <c r="AN54" i="73" s="1"/>
  <c r="J337" i="73" s="1"/>
  <c r="S20" i="53"/>
  <c r="AN20" i="73" s="1"/>
  <c r="J256" i="73" s="1"/>
  <c r="AD19" i="53"/>
  <c r="AC19" i="53"/>
  <c r="AB19" i="53"/>
  <c r="AA19" i="53"/>
  <c r="Z19" i="53"/>
  <c r="Y19" i="53"/>
  <c r="X19" i="53"/>
  <c r="W19" i="53"/>
  <c r="AN155" i="73" s="1"/>
  <c r="J579" i="73" s="1"/>
  <c r="V19" i="53"/>
  <c r="AN121" i="73" s="1"/>
  <c r="J498" i="73" s="1"/>
  <c r="U19" i="53"/>
  <c r="T19" i="53"/>
  <c r="AN53" i="73" s="1"/>
  <c r="J336" i="73" s="1"/>
  <c r="S19" i="53"/>
  <c r="AN19" i="73" s="1"/>
  <c r="J255" i="73" s="1"/>
  <c r="AD18" i="53"/>
  <c r="AC18" i="53"/>
  <c r="AB18" i="53"/>
  <c r="AA18" i="53"/>
  <c r="Z18" i="53"/>
  <c r="Y18" i="53"/>
  <c r="X18" i="53"/>
  <c r="W18" i="53"/>
  <c r="AN154" i="73" s="1"/>
  <c r="J578" i="73" s="1"/>
  <c r="V18" i="53"/>
  <c r="AN120" i="73" s="1"/>
  <c r="J497" i="73" s="1"/>
  <c r="U18" i="53"/>
  <c r="AN86" i="73" s="1"/>
  <c r="J416" i="73" s="1"/>
  <c r="T18" i="53"/>
  <c r="AN52" i="73" s="1"/>
  <c r="J335" i="73" s="1"/>
  <c r="S18" i="53"/>
  <c r="AD17" i="53"/>
  <c r="AC17" i="53"/>
  <c r="AB17" i="53"/>
  <c r="AA17" i="53"/>
  <c r="Z17" i="53"/>
  <c r="Y17" i="53"/>
  <c r="X17" i="53"/>
  <c r="W17" i="53"/>
  <c r="AN153" i="73" s="1"/>
  <c r="J577" i="73" s="1"/>
  <c r="V17" i="53"/>
  <c r="AN119" i="73" s="1"/>
  <c r="J496" i="73" s="1"/>
  <c r="U17" i="53"/>
  <c r="AN85" i="73" s="1"/>
  <c r="J415" i="73" s="1"/>
  <c r="T17" i="53"/>
  <c r="AN51" i="73" s="1"/>
  <c r="J334" i="73" s="1"/>
  <c r="S17" i="53"/>
  <c r="AN17" i="73" s="1"/>
  <c r="J253" i="73" s="1"/>
  <c r="AD16" i="53"/>
  <c r="AC16" i="53"/>
  <c r="AB16" i="53"/>
  <c r="AA16" i="53"/>
  <c r="Z16" i="53"/>
  <c r="Y16" i="53"/>
  <c r="X16" i="53"/>
  <c r="W16" i="53"/>
  <c r="AN152" i="73" s="1"/>
  <c r="J576" i="73" s="1"/>
  <c r="V16" i="53"/>
  <c r="AN118" i="73" s="1"/>
  <c r="J495" i="73" s="1"/>
  <c r="U16" i="53"/>
  <c r="T16" i="53"/>
  <c r="AN50" i="73" s="1"/>
  <c r="J333" i="73" s="1"/>
  <c r="S16" i="53"/>
  <c r="AN16" i="73" s="1"/>
  <c r="J252" i="73" s="1"/>
  <c r="AD15" i="53"/>
  <c r="AC15" i="53"/>
  <c r="AB15" i="53"/>
  <c r="K15" i="29" s="1"/>
  <c r="AA15" i="53"/>
  <c r="Z15" i="53"/>
  <c r="Y15" i="53"/>
  <c r="X15" i="53"/>
  <c r="W15" i="53"/>
  <c r="AN151" i="73" s="1"/>
  <c r="J575" i="73" s="1"/>
  <c r="V15" i="53"/>
  <c r="U15" i="53"/>
  <c r="T15" i="53"/>
  <c r="AN49" i="73" s="1"/>
  <c r="J332" i="73" s="1"/>
  <c r="S15" i="53"/>
  <c r="AN15" i="73" s="1"/>
  <c r="J251" i="73" s="1"/>
  <c r="AD14" i="53"/>
  <c r="AC14" i="53"/>
  <c r="AB14" i="53"/>
  <c r="AA14" i="53"/>
  <c r="Z14" i="53"/>
  <c r="Y14" i="53"/>
  <c r="X14" i="53"/>
  <c r="W14" i="53"/>
  <c r="AN150" i="73" s="1"/>
  <c r="J574" i="73" s="1"/>
  <c r="V14" i="53"/>
  <c r="AN116" i="73" s="1"/>
  <c r="J493" i="73" s="1"/>
  <c r="U14" i="53"/>
  <c r="AN82" i="73" s="1"/>
  <c r="J412" i="73" s="1"/>
  <c r="T14" i="53"/>
  <c r="AN48" i="73" s="1"/>
  <c r="J331" i="73" s="1"/>
  <c r="S14" i="53"/>
  <c r="AD13" i="53"/>
  <c r="AC13" i="53"/>
  <c r="AB13" i="53"/>
  <c r="AA13" i="53"/>
  <c r="Z13" i="53"/>
  <c r="Y13" i="53"/>
  <c r="X13" i="53"/>
  <c r="W13" i="53"/>
  <c r="AN149" i="73" s="1"/>
  <c r="J573" i="73" s="1"/>
  <c r="V13" i="53"/>
  <c r="AN115" i="73" s="1"/>
  <c r="J492" i="73" s="1"/>
  <c r="U13" i="53"/>
  <c r="AN81" i="73" s="1"/>
  <c r="J411" i="73" s="1"/>
  <c r="T13" i="53"/>
  <c r="AN47" i="73" s="1"/>
  <c r="J330" i="73" s="1"/>
  <c r="S13" i="53"/>
  <c r="AN13" i="73" s="1"/>
  <c r="J249" i="73" s="1"/>
  <c r="AD12" i="53"/>
  <c r="AC12" i="53"/>
  <c r="AB12" i="53"/>
  <c r="AA12" i="53"/>
  <c r="Z12" i="53"/>
  <c r="Y12" i="53"/>
  <c r="X12" i="53"/>
  <c r="W12" i="53"/>
  <c r="AN148" i="73" s="1"/>
  <c r="J572" i="73" s="1"/>
  <c r="V12" i="53"/>
  <c r="AN114" i="73" s="1"/>
  <c r="J491" i="73" s="1"/>
  <c r="U12" i="53"/>
  <c r="T12" i="53"/>
  <c r="AN46" i="73" s="1"/>
  <c r="J329" i="73" s="1"/>
  <c r="S12" i="53"/>
  <c r="AN12" i="73" s="1"/>
  <c r="J248" i="73" s="1"/>
  <c r="AD11" i="53"/>
  <c r="AC11" i="53"/>
  <c r="AB11" i="53"/>
  <c r="K11" i="29" s="1"/>
  <c r="AA11" i="53"/>
  <c r="Z11" i="53"/>
  <c r="Y11" i="53"/>
  <c r="X11" i="53"/>
  <c r="W11" i="53"/>
  <c r="AN147" i="73" s="1"/>
  <c r="J571" i="73" s="1"/>
  <c r="V11" i="53"/>
  <c r="AN113" i="73" s="1"/>
  <c r="J490" i="73" s="1"/>
  <c r="U11" i="53"/>
  <c r="T11" i="53"/>
  <c r="AN45" i="73" s="1"/>
  <c r="J328" i="73" s="1"/>
  <c r="S11" i="53"/>
  <c r="AN11" i="73" s="1"/>
  <c r="J247" i="73" s="1"/>
  <c r="AD10" i="53"/>
  <c r="AC10" i="53"/>
  <c r="AB10" i="53"/>
  <c r="AA10" i="53"/>
  <c r="Z10" i="53"/>
  <c r="Y10" i="53"/>
  <c r="X10" i="53"/>
  <c r="W10" i="53"/>
  <c r="AN146" i="73" s="1"/>
  <c r="J570" i="73" s="1"/>
  <c r="V10" i="53"/>
  <c r="AN112" i="73" s="1"/>
  <c r="J489" i="73" s="1"/>
  <c r="U10" i="53"/>
  <c r="AN78" i="73" s="1"/>
  <c r="J408" i="73" s="1"/>
  <c r="T10" i="53"/>
  <c r="AN44" i="73" s="1"/>
  <c r="J327" i="73" s="1"/>
  <c r="S10" i="53"/>
  <c r="AD9" i="53"/>
  <c r="AC9" i="53"/>
  <c r="AB9" i="53"/>
  <c r="AA9" i="53"/>
  <c r="Z9" i="53"/>
  <c r="Y9" i="53"/>
  <c r="X9" i="53"/>
  <c r="W9" i="53"/>
  <c r="AN145" i="73" s="1"/>
  <c r="J569" i="73" s="1"/>
  <c r="V9" i="53"/>
  <c r="AN111" i="73" s="1"/>
  <c r="J488" i="73" s="1"/>
  <c r="U9" i="53"/>
  <c r="AN77" i="73" s="1"/>
  <c r="J407" i="73" s="1"/>
  <c r="T9" i="53"/>
  <c r="AN43" i="73" s="1"/>
  <c r="J326" i="73" s="1"/>
  <c r="S9" i="53"/>
  <c r="AN9" i="73" s="1"/>
  <c r="J245" i="73" s="1"/>
  <c r="AD8" i="53"/>
  <c r="AC8" i="53"/>
  <c r="AB8" i="53"/>
  <c r="AA8" i="53"/>
  <c r="Z8" i="53"/>
  <c r="Y8" i="53"/>
  <c r="X8" i="53"/>
  <c r="W8" i="53"/>
  <c r="AN144" i="73" s="1"/>
  <c r="J568" i="73" s="1"/>
  <c r="V8" i="53"/>
  <c r="AN110" i="73" s="1"/>
  <c r="J487" i="73" s="1"/>
  <c r="U8" i="53"/>
  <c r="AN76" i="73" s="1"/>
  <c r="J406" i="73" s="1"/>
  <c r="T8" i="53"/>
  <c r="AN42" i="73" s="1"/>
  <c r="J325" i="73" s="1"/>
  <c r="S8" i="53"/>
  <c r="AN8" i="73" s="1"/>
  <c r="J244" i="73" s="1"/>
  <c r="AD7" i="53"/>
  <c r="AC7" i="53"/>
  <c r="AB7" i="53"/>
  <c r="K7" i="29" s="1"/>
  <c r="AA7" i="53"/>
  <c r="Z7" i="53"/>
  <c r="Y7" i="53"/>
  <c r="X7" i="53"/>
  <c r="W7" i="53"/>
  <c r="AN143" i="73" s="1"/>
  <c r="J567" i="73" s="1"/>
  <c r="V7" i="53"/>
  <c r="U7" i="53"/>
  <c r="T7" i="53"/>
  <c r="AN41" i="73" s="1"/>
  <c r="J324" i="73" s="1"/>
  <c r="S7" i="53"/>
  <c r="AN7" i="73" s="1"/>
  <c r="J243" i="73" s="1"/>
  <c r="AD6" i="53"/>
  <c r="AC6" i="53"/>
  <c r="AB6" i="53"/>
  <c r="AA6" i="53"/>
  <c r="Z6" i="53"/>
  <c r="Y6" i="53"/>
  <c r="X6" i="53"/>
  <c r="W6" i="53"/>
  <c r="AN142" i="73" s="1"/>
  <c r="J566" i="73" s="1"/>
  <c r="V6" i="53"/>
  <c r="AN108" i="73" s="1"/>
  <c r="J485" i="73" s="1"/>
  <c r="U6" i="53"/>
  <c r="AN74" i="73" s="1"/>
  <c r="J404" i="73" s="1"/>
  <c r="T6" i="53"/>
  <c r="AN40" i="73" s="1"/>
  <c r="J323" i="73" s="1"/>
  <c r="S6" i="53"/>
  <c r="AE5" i="53"/>
  <c r="AD5" i="53"/>
  <c r="AC5" i="53"/>
  <c r="AB5" i="53"/>
  <c r="AA5" i="53"/>
  <c r="Z5" i="53"/>
  <c r="Y5" i="53"/>
  <c r="X5" i="53"/>
  <c r="W5" i="53"/>
  <c r="AN141" i="73" s="1"/>
  <c r="V5" i="53"/>
  <c r="AN107" i="73" s="1"/>
  <c r="U5" i="53"/>
  <c r="T5" i="53"/>
  <c r="AN39" i="73" s="1"/>
  <c r="S5" i="53"/>
  <c r="AN5" i="73" s="1"/>
  <c r="W5" i="51"/>
  <c r="AM141" i="73" s="1"/>
  <c r="X5" i="51"/>
  <c r="Y5" i="51"/>
  <c r="Z5" i="51"/>
  <c r="AA5" i="51"/>
  <c r="AB5" i="51"/>
  <c r="AC5" i="51"/>
  <c r="AD5" i="51"/>
  <c r="AE5" i="51"/>
  <c r="W6" i="51"/>
  <c r="AM142" i="73" s="1"/>
  <c r="I566" i="73" s="1"/>
  <c r="X6" i="51"/>
  <c r="Y6" i="51"/>
  <c r="Z6" i="51"/>
  <c r="AA6" i="51"/>
  <c r="AB6" i="51"/>
  <c r="AC6" i="51"/>
  <c r="AD6" i="51"/>
  <c r="AE6" i="51"/>
  <c r="W7" i="51"/>
  <c r="AM143" i="73" s="1"/>
  <c r="I567" i="73" s="1"/>
  <c r="X7" i="51"/>
  <c r="Y7" i="51"/>
  <c r="Z7" i="51"/>
  <c r="AA7" i="51"/>
  <c r="AB7" i="51"/>
  <c r="AC7" i="51"/>
  <c r="AD7" i="51"/>
  <c r="AE7" i="51"/>
  <c r="W8" i="51"/>
  <c r="AM144" i="73" s="1"/>
  <c r="I568" i="73" s="1"/>
  <c r="X8" i="51"/>
  <c r="Y8" i="51"/>
  <c r="Z8" i="51"/>
  <c r="AA8" i="51"/>
  <c r="AB8" i="51"/>
  <c r="AC8" i="51"/>
  <c r="AD8" i="51"/>
  <c r="AE8" i="51"/>
  <c r="W9" i="51"/>
  <c r="AM145" i="73" s="1"/>
  <c r="I569" i="73" s="1"/>
  <c r="X9" i="51"/>
  <c r="Y9" i="51"/>
  <c r="Z9" i="51"/>
  <c r="AA9" i="51"/>
  <c r="AB9" i="51"/>
  <c r="AC9" i="51"/>
  <c r="AD9" i="51"/>
  <c r="AE9" i="51"/>
  <c r="W10" i="51"/>
  <c r="AM146" i="73" s="1"/>
  <c r="I570" i="73" s="1"/>
  <c r="X10" i="51"/>
  <c r="Y10" i="51"/>
  <c r="Z10" i="51"/>
  <c r="AA10" i="51"/>
  <c r="AB10" i="51"/>
  <c r="AC10" i="51"/>
  <c r="AD10" i="51"/>
  <c r="AE10" i="51"/>
  <c r="W11" i="51"/>
  <c r="AM147" i="73" s="1"/>
  <c r="I571" i="73" s="1"/>
  <c r="X11" i="51"/>
  <c r="Y11" i="51"/>
  <c r="Z11" i="51"/>
  <c r="AA11" i="51"/>
  <c r="AB11" i="51"/>
  <c r="AC11" i="51"/>
  <c r="AD11" i="51"/>
  <c r="AE11" i="51"/>
  <c r="W12" i="51"/>
  <c r="AM148" i="73" s="1"/>
  <c r="I572" i="73" s="1"/>
  <c r="X12" i="51"/>
  <c r="Y12" i="51"/>
  <c r="Z12" i="51"/>
  <c r="AA12" i="51"/>
  <c r="AB12" i="51"/>
  <c r="AC12" i="51"/>
  <c r="AD12" i="51"/>
  <c r="AE12" i="51"/>
  <c r="W13" i="51"/>
  <c r="AM149" i="73" s="1"/>
  <c r="I573" i="73" s="1"/>
  <c r="X13" i="51"/>
  <c r="Y13" i="51"/>
  <c r="Z13" i="51"/>
  <c r="AA13" i="51"/>
  <c r="AB13" i="51"/>
  <c r="AC13" i="51"/>
  <c r="AD13" i="51"/>
  <c r="AE13" i="51"/>
  <c r="W14" i="51"/>
  <c r="AM150" i="73" s="1"/>
  <c r="I574" i="73" s="1"/>
  <c r="X14" i="51"/>
  <c r="Y14" i="51"/>
  <c r="Z14" i="51"/>
  <c r="AA14" i="51"/>
  <c r="AB14" i="51"/>
  <c r="AC14" i="51"/>
  <c r="AD14" i="51"/>
  <c r="AE14" i="51"/>
  <c r="W15" i="51"/>
  <c r="AM151" i="73" s="1"/>
  <c r="I575" i="73" s="1"/>
  <c r="X15" i="51"/>
  <c r="Y15" i="51"/>
  <c r="Z15" i="51"/>
  <c r="AA15" i="51"/>
  <c r="AB15" i="51"/>
  <c r="AC15" i="51"/>
  <c r="AD15" i="51"/>
  <c r="AE15" i="51"/>
  <c r="W16" i="51"/>
  <c r="AM152" i="73" s="1"/>
  <c r="I576" i="73" s="1"/>
  <c r="X16" i="51"/>
  <c r="Y16" i="51"/>
  <c r="Z16" i="51"/>
  <c r="AA16" i="51"/>
  <c r="AB16" i="51"/>
  <c r="AC16" i="51"/>
  <c r="AD16" i="51"/>
  <c r="AE16" i="51"/>
  <c r="W17" i="51"/>
  <c r="AM153" i="73" s="1"/>
  <c r="I577" i="73" s="1"/>
  <c r="X17" i="51"/>
  <c r="Y17" i="51"/>
  <c r="Z17" i="51"/>
  <c r="AA17" i="51"/>
  <c r="AB17" i="51"/>
  <c r="AC17" i="51"/>
  <c r="AD17" i="51"/>
  <c r="AE17" i="51"/>
  <c r="W18" i="51"/>
  <c r="AM154" i="73" s="1"/>
  <c r="I578" i="73" s="1"/>
  <c r="X18" i="51"/>
  <c r="Y18" i="51"/>
  <c r="Z18" i="51"/>
  <c r="AA18" i="51"/>
  <c r="AB18" i="51"/>
  <c r="AC18" i="51"/>
  <c r="AD18" i="51"/>
  <c r="AE18" i="51"/>
  <c r="W21" i="51"/>
  <c r="AM157" i="73" s="1"/>
  <c r="I581" i="73" s="1"/>
  <c r="X21" i="51"/>
  <c r="Y21" i="51"/>
  <c r="Z21" i="51"/>
  <c r="AA21" i="51"/>
  <c r="AB21" i="51"/>
  <c r="AC21" i="51"/>
  <c r="AD21" i="51"/>
  <c r="AE21" i="51"/>
  <c r="W22" i="51"/>
  <c r="AM158" i="73" s="1"/>
  <c r="I582" i="73" s="1"/>
  <c r="X22" i="51"/>
  <c r="Y22" i="51"/>
  <c r="Z22" i="51"/>
  <c r="AA22" i="51"/>
  <c r="AB22" i="51"/>
  <c r="AC22" i="51"/>
  <c r="L22" i="29" s="1"/>
  <c r="AD22" i="51"/>
  <c r="AE22" i="51"/>
  <c r="W23" i="51"/>
  <c r="AM159" i="73" s="1"/>
  <c r="I583" i="73" s="1"/>
  <c r="X23" i="51"/>
  <c r="Y23" i="51"/>
  <c r="Z23" i="51"/>
  <c r="AA23" i="51"/>
  <c r="AB23" i="51"/>
  <c r="AC23" i="51"/>
  <c r="AD23" i="51"/>
  <c r="AE23" i="51"/>
  <c r="W24" i="51"/>
  <c r="AM160" i="73" s="1"/>
  <c r="I584" i="73" s="1"/>
  <c r="X24" i="51"/>
  <c r="Y24" i="51"/>
  <c r="Z24" i="51"/>
  <c r="AA24" i="51"/>
  <c r="AB24" i="51"/>
  <c r="AC24" i="51"/>
  <c r="AD24" i="51"/>
  <c r="AE24" i="51"/>
  <c r="W25" i="51"/>
  <c r="AM161" i="73" s="1"/>
  <c r="I585" i="73" s="1"/>
  <c r="X25" i="51"/>
  <c r="Y25" i="51"/>
  <c r="Z25" i="51"/>
  <c r="AA25" i="51"/>
  <c r="AB25" i="51"/>
  <c r="AC25" i="51"/>
  <c r="AD25" i="51"/>
  <c r="AE25" i="51"/>
  <c r="W26" i="51"/>
  <c r="AM162" i="73" s="1"/>
  <c r="I586" i="73" s="1"/>
  <c r="X26" i="51"/>
  <c r="Y26" i="51"/>
  <c r="Z26" i="51"/>
  <c r="AA26" i="51"/>
  <c r="AB26" i="51"/>
  <c r="AC26" i="51"/>
  <c r="AD26" i="51"/>
  <c r="AE26" i="51"/>
  <c r="W27" i="51"/>
  <c r="AM163" i="73" s="1"/>
  <c r="I587" i="73" s="1"/>
  <c r="X27" i="51"/>
  <c r="Y27" i="51"/>
  <c r="Z27" i="51"/>
  <c r="AA27" i="51"/>
  <c r="AB27" i="51"/>
  <c r="AC27" i="51"/>
  <c r="AD27" i="51"/>
  <c r="AE27" i="51"/>
  <c r="W28" i="51"/>
  <c r="AM164" i="73" s="1"/>
  <c r="I588" i="73" s="1"/>
  <c r="X28" i="51"/>
  <c r="Y28" i="51"/>
  <c r="Z28" i="51"/>
  <c r="AA28" i="51"/>
  <c r="AB28" i="51"/>
  <c r="AC28" i="51"/>
  <c r="AD28" i="51"/>
  <c r="AE28" i="51"/>
  <c r="W29" i="51"/>
  <c r="AM165" i="73" s="1"/>
  <c r="I589" i="73" s="1"/>
  <c r="X29" i="51"/>
  <c r="Y29" i="51"/>
  <c r="Z29" i="51"/>
  <c r="I29" i="29" s="1"/>
  <c r="AA29" i="51"/>
  <c r="AB29" i="51"/>
  <c r="AC29" i="51"/>
  <c r="AD29" i="51"/>
  <c r="AE29" i="51"/>
  <c r="W30" i="51"/>
  <c r="AM166" i="73" s="1"/>
  <c r="I590" i="73" s="1"/>
  <c r="X30" i="51"/>
  <c r="Y30" i="51"/>
  <c r="Z30" i="51"/>
  <c r="AA30" i="51"/>
  <c r="AB30" i="51"/>
  <c r="AC30" i="51"/>
  <c r="L30" i="29" s="1"/>
  <c r="AD30" i="51"/>
  <c r="AE30" i="51"/>
  <c r="W31" i="51"/>
  <c r="AM167" i="73" s="1"/>
  <c r="I591" i="73" s="1"/>
  <c r="X31" i="51"/>
  <c r="Y31" i="51"/>
  <c r="Z31" i="51"/>
  <c r="AA31" i="51"/>
  <c r="AB31" i="51"/>
  <c r="AC31" i="51"/>
  <c r="AD31" i="51"/>
  <c r="AE31" i="51"/>
  <c r="W40" i="51"/>
  <c r="X40" i="51"/>
  <c r="Y40" i="51"/>
  <c r="Z40" i="51"/>
  <c r="AA40" i="51"/>
  <c r="AB40" i="51"/>
  <c r="AC40" i="51"/>
  <c r="AD40" i="51"/>
  <c r="AE40" i="51"/>
  <c r="W41" i="51"/>
  <c r="X41" i="51"/>
  <c r="Y41" i="51"/>
  <c r="Z41" i="51"/>
  <c r="AA41" i="51"/>
  <c r="AB41" i="51"/>
  <c r="AC41" i="51"/>
  <c r="AD41" i="51"/>
  <c r="AE41" i="51"/>
  <c r="W42" i="51"/>
  <c r="X42" i="51"/>
  <c r="Y42" i="51"/>
  <c r="H40" i="29" s="1"/>
  <c r="Z42" i="51"/>
  <c r="AA42" i="51"/>
  <c r="AB42" i="51"/>
  <c r="AC42" i="51"/>
  <c r="AD42" i="51"/>
  <c r="AE42" i="51"/>
  <c r="W43" i="51"/>
  <c r="X43" i="51"/>
  <c r="Y43" i="51"/>
  <c r="Z43" i="51"/>
  <c r="AA43" i="51"/>
  <c r="AB43" i="51"/>
  <c r="AC43" i="51"/>
  <c r="AD43" i="51"/>
  <c r="AE43" i="51"/>
  <c r="W44" i="51"/>
  <c r="X44" i="51"/>
  <c r="Y44" i="51"/>
  <c r="Z44" i="51"/>
  <c r="AA44" i="51"/>
  <c r="AB44" i="51"/>
  <c r="AC44" i="51"/>
  <c r="AD44" i="51"/>
  <c r="AE44" i="51"/>
  <c r="N42" i="29" s="1"/>
  <c r="W45" i="51"/>
  <c r="X45" i="51"/>
  <c r="Y45" i="51"/>
  <c r="Z45" i="51"/>
  <c r="AA45" i="51"/>
  <c r="AB45" i="51"/>
  <c r="AC45" i="51"/>
  <c r="AD45" i="51"/>
  <c r="AE45" i="51"/>
  <c r="W46" i="51"/>
  <c r="X46" i="51"/>
  <c r="Y46" i="51"/>
  <c r="Z46" i="51"/>
  <c r="AA46" i="51"/>
  <c r="AB46" i="51"/>
  <c r="AC46" i="51"/>
  <c r="L44" i="29" s="1"/>
  <c r="AD46" i="51"/>
  <c r="AE46" i="51"/>
  <c r="W47" i="51"/>
  <c r="X47" i="51"/>
  <c r="Y47" i="51"/>
  <c r="Z47" i="51"/>
  <c r="AA47" i="51"/>
  <c r="AB47" i="51"/>
  <c r="AC47" i="51"/>
  <c r="AD47" i="51"/>
  <c r="AE47" i="51"/>
  <c r="W48" i="51"/>
  <c r="X48" i="51"/>
  <c r="Y48" i="51"/>
  <c r="Z48" i="51"/>
  <c r="AA48" i="51"/>
  <c r="AB48" i="51"/>
  <c r="AC48" i="51"/>
  <c r="AD48" i="51"/>
  <c r="AE48" i="51"/>
  <c r="W49" i="51"/>
  <c r="X49" i="51"/>
  <c r="Y49" i="51"/>
  <c r="Z49" i="51"/>
  <c r="AA49" i="51"/>
  <c r="AB49" i="51"/>
  <c r="AC49" i="51"/>
  <c r="AD49" i="51"/>
  <c r="AE49" i="51"/>
  <c r="W50" i="51"/>
  <c r="X50" i="51"/>
  <c r="Y50" i="51"/>
  <c r="H48" i="29" s="1"/>
  <c r="Z50" i="51"/>
  <c r="AA50" i="51"/>
  <c r="AB50" i="51"/>
  <c r="AC50" i="51"/>
  <c r="AD50" i="51"/>
  <c r="AE50" i="51"/>
  <c r="W51" i="51"/>
  <c r="X51" i="51"/>
  <c r="Y51" i="51"/>
  <c r="Z51" i="51"/>
  <c r="AA51" i="51"/>
  <c r="AB51" i="51"/>
  <c r="AC51" i="51"/>
  <c r="AD51" i="51"/>
  <c r="AE51" i="51"/>
  <c r="W52" i="51"/>
  <c r="X52" i="51"/>
  <c r="Y52" i="51"/>
  <c r="Z52" i="51"/>
  <c r="AA52" i="51"/>
  <c r="AB52" i="51"/>
  <c r="AC52" i="51"/>
  <c r="AD52" i="51"/>
  <c r="AE52" i="51"/>
  <c r="N50" i="29" s="1"/>
  <c r="W53" i="51"/>
  <c r="X53" i="51"/>
  <c r="Y53" i="51"/>
  <c r="Z53" i="51"/>
  <c r="AA53" i="51"/>
  <c r="AB53" i="51"/>
  <c r="AC53" i="51"/>
  <c r="AD53" i="51"/>
  <c r="AE53" i="51"/>
  <c r="W56" i="51"/>
  <c r="X56" i="51"/>
  <c r="Y56" i="51"/>
  <c r="Z56" i="51"/>
  <c r="AA56" i="51"/>
  <c r="AB56" i="51"/>
  <c r="AC56" i="51"/>
  <c r="AD56" i="51"/>
  <c r="AE56" i="51"/>
  <c r="W57" i="51"/>
  <c r="X57" i="51"/>
  <c r="Y57" i="51"/>
  <c r="Z57" i="51"/>
  <c r="AA57" i="51"/>
  <c r="AB57" i="51"/>
  <c r="AC57" i="51"/>
  <c r="AD57" i="51"/>
  <c r="AE57" i="51"/>
  <c r="N55" i="29" s="1"/>
  <c r="W58" i="51"/>
  <c r="X58" i="51"/>
  <c r="Y58" i="51"/>
  <c r="H56" i="29" s="1"/>
  <c r="Z58" i="51"/>
  <c r="AA58" i="51"/>
  <c r="AB58" i="51"/>
  <c r="AC58" i="51"/>
  <c r="AD58" i="51"/>
  <c r="AE58" i="51"/>
  <c r="W59" i="51"/>
  <c r="X59" i="51"/>
  <c r="Y59" i="51"/>
  <c r="Z59" i="51"/>
  <c r="AA59" i="51"/>
  <c r="AB59" i="51"/>
  <c r="AC59" i="51"/>
  <c r="L57" i="29" s="1"/>
  <c r="AD59" i="51"/>
  <c r="AE59" i="51"/>
  <c r="W60" i="51"/>
  <c r="X60" i="51"/>
  <c r="G58" i="29" s="1"/>
  <c r="Y60" i="51"/>
  <c r="H58" i="29" s="1"/>
  <c r="Z60" i="51"/>
  <c r="AA60" i="51"/>
  <c r="AB60" i="51"/>
  <c r="AC60" i="51"/>
  <c r="AD60" i="51"/>
  <c r="AE60" i="51"/>
  <c r="N58" i="29" s="1"/>
  <c r="W61" i="51"/>
  <c r="X61" i="51"/>
  <c r="Y61" i="51"/>
  <c r="Z61" i="51"/>
  <c r="AA61" i="51"/>
  <c r="AB61" i="51"/>
  <c r="K59" i="29" s="1"/>
  <c r="AC61" i="51"/>
  <c r="AD61" i="51"/>
  <c r="AE61" i="51"/>
  <c r="W62" i="51"/>
  <c r="X62" i="51"/>
  <c r="Y62" i="51"/>
  <c r="Z62" i="51"/>
  <c r="AA62" i="51"/>
  <c r="AB62" i="51"/>
  <c r="AC62" i="51"/>
  <c r="L60" i="29" s="1"/>
  <c r="AD62" i="51"/>
  <c r="AE62" i="51"/>
  <c r="N60" i="29" s="1"/>
  <c r="W63" i="51"/>
  <c r="X63" i="51"/>
  <c r="Y63" i="51"/>
  <c r="H61" i="29" s="1"/>
  <c r="Z63" i="51"/>
  <c r="AA63" i="51"/>
  <c r="AB63" i="51"/>
  <c r="AC63" i="51"/>
  <c r="AD63" i="51"/>
  <c r="AE63" i="51"/>
  <c r="W64" i="51"/>
  <c r="X64" i="51"/>
  <c r="Y64" i="51"/>
  <c r="Z64" i="51"/>
  <c r="AA64" i="51"/>
  <c r="J62" i="29" s="1"/>
  <c r="AB64" i="51"/>
  <c r="AC64" i="51"/>
  <c r="AD64" i="51"/>
  <c r="AE64" i="51"/>
  <c r="W65" i="51"/>
  <c r="X65" i="51"/>
  <c r="Y65" i="51"/>
  <c r="Z65" i="51"/>
  <c r="AA65" i="51"/>
  <c r="AB65" i="51"/>
  <c r="AC65" i="51"/>
  <c r="AD65" i="51"/>
  <c r="AE65" i="51"/>
  <c r="N63" i="29" s="1"/>
  <c r="W66" i="51"/>
  <c r="X66" i="51"/>
  <c r="Y66" i="51"/>
  <c r="H64" i="29" s="1"/>
  <c r="Z66" i="51"/>
  <c r="AA66" i="51"/>
  <c r="AB66" i="51"/>
  <c r="AC66" i="51"/>
  <c r="AD66" i="51"/>
  <c r="AE66" i="51"/>
  <c r="AE102" i="51"/>
  <c r="AD102" i="51"/>
  <c r="AC102" i="51"/>
  <c r="AB102" i="51"/>
  <c r="AA102" i="51"/>
  <c r="Z102" i="51"/>
  <c r="Y102" i="51"/>
  <c r="X102" i="51"/>
  <c r="W102" i="51"/>
  <c r="AM196" i="73" l="1"/>
  <c r="I667" i="73" s="1"/>
  <c r="AM186" i="73"/>
  <c r="I657" i="73" s="1"/>
  <c r="AM178" i="73"/>
  <c r="I649" i="73" s="1"/>
  <c r="I51" i="29"/>
  <c r="AN181" i="73"/>
  <c r="J652" i="73" s="1"/>
  <c r="AN183" i="73"/>
  <c r="J654" i="73" s="1"/>
  <c r="AN187" i="73"/>
  <c r="J658" i="73" s="1"/>
  <c r="AN193" i="73"/>
  <c r="J664" i="73" s="1"/>
  <c r="K24" i="29"/>
  <c r="AN197" i="73"/>
  <c r="J668" i="73" s="1"/>
  <c r="AN199" i="73"/>
  <c r="J670" i="73" s="1"/>
  <c r="AN201" i="73"/>
  <c r="J672" i="73" s="1"/>
  <c r="AP177" i="73"/>
  <c r="L648" i="73" s="1"/>
  <c r="AP185" i="73"/>
  <c r="L656" i="73" s="1"/>
  <c r="AP193" i="73"/>
  <c r="L664" i="73" s="1"/>
  <c r="AP201" i="73"/>
  <c r="L672" i="73" s="1"/>
  <c r="AQ176" i="73"/>
  <c r="M647" i="73" s="1"/>
  <c r="AQ184" i="73"/>
  <c r="M655" i="73" s="1"/>
  <c r="AQ194" i="73"/>
  <c r="M665" i="73" s="1"/>
  <c r="L26" i="29"/>
  <c r="I43" i="29"/>
  <c r="I59" i="29"/>
  <c r="F58" i="29"/>
  <c r="AN179" i="73"/>
  <c r="J650" i="73" s="1"/>
  <c r="AM197" i="73"/>
  <c r="I668" i="73" s="1"/>
  <c r="AM187" i="73"/>
  <c r="I658" i="73" s="1"/>
  <c r="AM179" i="73"/>
  <c r="I650" i="73" s="1"/>
  <c r="D5" i="29"/>
  <c r="AN73" i="73"/>
  <c r="AN176" i="73"/>
  <c r="J647" i="73" s="1"/>
  <c r="AN178" i="73"/>
  <c r="J649" i="73" s="1"/>
  <c r="G10" i="29"/>
  <c r="AN180" i="73"/>
  <c r="J651" i="73" s="1"/>
  <c r="AN182" i="73"/>
  <c r="J653" i="73" s="1"/>
  <c r="AN184" i="73"/>
  <c r="J655" i="73" s="1"/>
  <c r="AN186" i="73"/>
  <c r="J657" i="73" s="1"/>
  <c r="G18" i="29"/>
  <c r="AN188" i="73"/>
  <c r="J659" i="73" s="1"/>
  <c r="G20" i="29"/>
  <c r="AN190" i="73"/>
  <c r="J661" i="73" s="1"/>
  <c r="AN192" i="73"/>
  <c r="J663" i="73" s="1"/>
  <c r="C23" i="29"/>
  <c r="AN57" i="73"/>
  <c r="J340" i="73" s="1"/>
  <c r="G24" i="29"/>
  <c r="AN194" i="73"/>
  <c r="J665" i="73" s="1"/>
  <c r="AN196" i="73"/>
  <c r="J667" i="73" s="1"/>
  <c r="C27" i="29"/>
  <c r="AN61" i="73"/>
  <c r="J344" i="73" s="1"/>
  <c r="G28" i="29"/>
  <c r="AN198" i="73"/>
  <c r="J669" i="73" s="1"/>
  <c r="AN200" i="73"/>
  <c r="J671" i="73" s="1"/>
  <c r="C31" i="29"/>
  <c r="AN65" i="73"/>
  <c r="J348" i="73" s="1"/>
  <c r="L484" i="73"/>
  <c r="AP134" i="73"/>
  <c r="AP181" i="73"/>
  <c r="L652" i="73" s="1"/>
  <c r="AP189" i="73"/>
  <c r="L660" i="73" s="1"/>
  <c r="AP197" i="73"/>
  <c r="L668" i="73" s="1"/>
  <c r="M52" i="29"/>
  <c r="AQ180" i="73"/>
  <c r="M651" i="73" s="1"/>
  <c r="AQ188" i="73"/>
  <c r="M659" i="73" s="1"/>
  <c r="AQ198" i="73"/>
  <c r="M669" i="73" s="1"/>
  <c r="D11" i="29"/>
  <c r="AN79" i="73"/>
  <c r="J409" i="73" s="1"/>
  <c r="H12" i="29"/>
  <c r="D15" i="29"/>
  <c r="AN83" i="73"/>
  <c r="J413" i="73" s="1"/>
  <c r="D19" i="29"/>
  <c r="AN87" i="73"/>
  <c r="J417" i="73" s="1"/>
  <c r="D23" i="29"/>
  <c r="F145" i="64" s="1"/>
  <c r="AN91" i="73"/>
  <c r="J421" i="73" s="1"/>
  <c r="D25" i="29"/>
  <c r="F149" i="64" s="1"/>
  <c r="AN93" i="73"/>
  <c r="J423" i="73" s="1"/>
  <c r="D29" i="29"/>
  <c r="AN97" i="73"/>
  <c r="J427" i="73" s="1"/>
  <c r="L565" i="73"/>
  <c r="AP168" i="73"/>
  <c r="AP178" i="73"/>
  <c r="L649" i="73" s="1"/>
  <c r="AP186" i="73"/>
  <c r="L657" i="73" s="1"/>
  <c r="AP194" i="73"/>
  <c r="L665" i="73" s="1"/>
  <c r="AQ177" i="73"/>
  <c r="M648" i="73" s="1"/>
  <c r="AQ185" i="73"/>
  <c r="M656" i="73" s="1"/>
  <c r="AQ190" i="73"/>
  <c r="M661" i="73" s="1"/>
  <c r="AQ195" i="73"/>
  <c r="M666" i="73" s="1"/>
  <c r="AM195" i="73"/>
  <c r="I666" i="73" s="1"/>
  <c r="AM185" i="73"/>
  <c r="I656" i="73" s="1"/>
  <c r="AM177" i="73"/>
  <c r="I648" i="73" s="1"/>
  <c r="J565" i="73"/>
  <c r="AN168" i="73"/>
  <c r="E7" i="29"/>
  <c r="AN109" i="73"/>
  <c r="J486" i="73" s="1"/>
  <c r="E15" i="29"/>
  <c r="AN117" i="73"/>
  <c r="J494" i="73" s="1"/>
  <c r="AP175" i="73"/>
  <c r="AP183" i="73"/>
  <c r="L654" i="73" s="1"/>
  <c r="AP191" i="73"/>
  <c r="L662" i="73" s="1"/>
  <c r="AP199" i="73"/>
  <c r="L670" i="73" s="1"/>
  <c r="M241" i="73"/>
  <c r="AQ32" i="73"/>
  <c r="AQ182" i="73"/>
  <c r="M653" i="73" s="1"/>
  <c r="AQ192" i="73"/>
  <c r="M663" i="73" s="1"/>
  <c r="AQ200" i="73"/>
  <c r="M671" i="73" s="1"/>
  <c r="AO189" i="73"/>
  <c r="K660" i="73" s="1"/>
  <c r="AM194" i="73"/>
  <c r="I665" i="73" s="1"/>
  <c r="AM184" i="73"/>
  <c r="I655" i="73" s="1"/>
  <c r="AM176" i="73"/>
  <c r="I647" i="73" s="1"/>
  <c r="AN175" i="73"/>
  <c r="B6" i="29"/>
  <c r="AN6" i="73"/>
  <c r="J242" i="73" s="1"/>
  <c r="B10" i="29"/>
  <c r="D13" i="66" s="1"/>
  <c r="F13" i="66" s="1"/>
  <c r="AN10" i="73"/>
  <c r="J246" i="73" s="1"/>
  <c r="B14" i="29"/>
  <c r="B131" i="64" s="1"/>
  <c r="AN14" i="73"/>
  <c r="J250" i="73" s="1"/>
  <c r="B18" i="29"/>
  <c r="AN18" i="73"/>
  <c r="J254" i="73" s="1"/>
  <c r="AP180" i="73"/>
  <c r="L651" i="73" s="1"/>
  <c r="AP188" i="73"/>
  <c r="L659" i="73" s="1"/>
  <c r="AP196" i="73"/>
  <c r="L667" i="73" s="1"/>
  <c r="M322" i="73"/>
  <c r="AQ66" i="73"/>
  <c r="AQ179" i="73"/>
  <c r="M650" i="73" s="1"/>
  <c r="AQ187" i="73"/>
  <c r="M658" i="73" s="1"/>
  <c r="AQ197" i="73"/>
  <c r="M668" i="73" s="1"/>
  <c r="J484" i="73"/>
  <c r="AM183" i="73"/>
  <c r="I654" i="73" s="1"/>
  <c r="G19" i="29"/>
  <c r="AN189" i="73"/>
  <c r="J660" i="73" s="1"/>
  <c r="G25" i="29"/>
  <c r="AN195" i="73"/>
  <c r="J666" i="73" s="1"/>
  <c r="M403" i="73"/>
  <c r="AQ100" i="73"/>
  <c r="AM200" i="73"/>
  <c r="I671" i="73" s="1"/>
  <c r="AM192" i="73"/>
  <c r="I663" i="73" s="1"/>
  <c r="AM182" i="73"/>
  <c r="I653" i="73" s="1"/>
  <c r="I565" i="73"/>
  <c r="AM168" i="73"/>
  <c r="D12" i="29"/>
  <c r="AN80" i="73"/>
  <c r="J410" i="73" s="1"/>
  <c r="L12" i="29"/>
  <c r="D16" i="29"/>
  <c r="AN84" i="73"/>
  <c r="J414" i="73" s="1"/>
  <c r="D20" i="29"/>
  <c r="F148" i="64" s="1"/>
  <c r="AN88" i="73"/>
  <c r="J418" i="73" s="1"/>
  <c r="H23" i="29"/>
  <c r="H27" i="29"/>
  <c r="D28" i="29"/>
  <c r="AN96" i="73"/>
  <c r="J426" i="73" s="1"/>
  <c r="L241" i="73"/>
  <c r="AP32" i="73"/>
  <c r="AP182" i="73"/>
  <c r="L653" i="73" s="1"/>
  <c r="AP190" i="73"/>
  <c r="L661" i="73" s="1"/>
  <c r="AP198" i="73"/>
  <c r="L669" i="73" s="1"/>
  <c r="M484" i="73"/>
  <c r="AQ134" i="73"/>
  <c r="AQ181" i="73"/>
  <c r="M652" i="73" s="1"/>
  <c r="AQ189" i="73"/>
  <c r="M660" i="73" s="1"/>
  <c r="AQ191" i="73"/>
  <c r="M662" i="73" s="1"/>
  <c r="AQ199" i="73"/>
  <c r="M670" i="73" s="1"/>
  <c r="AM201" i="73"/>
  <c r="I672" i="73" s="1"/>
  <c r="AM193" i="73"/>
  <c r="I664" i="73" s="1"/>
  <c r="G15" i="29"/>
  <c r="AN185" i="73"/>
  <c r="J656" i="73" s="1"/>
  <c r="G21" i="29"/>
  <c r="AN191" i="73"/>
  <c r="J662" i="73" s="1"/>
  <c r="AM199" i="73"/>
  <c r="I670" i="73" s="1"/>
  <c r="AM191" i="73"/>
  <c r="I662" i="73" s="1"/>
  <c r="AM181" i="73"/>
  <c r="I652" i="73" s="1"/>
  <c r="J241" i="73"/>
  <c r="E28" i="29"/>
  <c r="AN130" i="73"/>
  <c r="J507" i="73" s="1"/>
  <c r="L322" i="73"/>
  <c r="AP66" i="73"/>
  <c r="AP179" i="73"/>
  <c r="L650" i="73" s="1"/>
  <c r="AP187" i="73"/>
  <c r="L658" i="73" s="1"/>
  <c r="AP195" i="73"/>
  <c r="L666" i="73" s="1"/>
  <c r="M565" i="73"/>
  <c r="AQ168" i="73"/>
  <c r="AQ178" i="73"/>
  <c r="M649" i="73" s="1"/>
  <c r="AQ186" i="73"/>
  <c r="M657" i="73" s="1"/>
  <c r="AQ196" i="73"/>
  <c r="M667" i="73" s="1"/>
  <c r="AO191" i="73"/>
  <c r="K662" i="73" s="1"/>
  <c r="D7" i="29"/>
  <c r="F122" i="64" s="1"/>
  <c r="AN75" i="73"/>
  <c r="J405" i="73" s="1"/>
  <c r="AM175" i="73"/>
  <c r="G7" i="29"/>
  <c r="AN177" i="73"/>
  <c r="J648" i="73" s="1"/>
  <c r="AM198" i="73"/>
  <c r="I669" i="73" s="1"/>
  <c r="AM188" i="73"/>
  <c r="I659" i="73" s="1"/>
  <c r="AM180" i="73"/>
  <c r="I651" i="73" s="1"/>
  <c r="J322" i="73"/>
  <c r="B27" i="29"/>
  <c r="AN27" i="73"/>
  <c r="J263" i="73" s="1"/>
  <c r="L403" i="73"/>
  <c r="AP100" i="73"/>
  <c r="AP176" i="73"/>
  <c r="L647" i="73" s="1"/>
  <c r="AP184" i="73"/>
  <c r="L655" i="73" s="1"/>
  <c r="AP192" i="73"/>
  <c r="L663" i="73" s="1"/>
  <c r="AP200" i="73"/>
  <c r="L671" i="73" s="1"/>
  <c r="AQ175" i="73"/>
  <c r="AQ183" i="73"/>
  <c r="M654" i="73" s="1"/>
  <c r="AQ193" i="73"/>
  <c r="M664" i="73" s="1"/>
  <c r="AQ201" i="73"/>
  <c r="M672" i="73" s="1"/>
  <c r="H122" i="64"/>
  <c r="K6" i="66"/>
  <c r="H141" i="64"/>
  <c r="K23" i="66"/>
  <c r="H150" i="64"/>
  <c r="K30" i="66"/>
  <c r="D145" i="64"/>
  <c r="G26" i="66"/>
  <c r="D125" i="64"/>
  <c r="G9" i="66"/>
  <c r="D126" i="64"/>
  <c r="G10" i="66"/>
  <c r="H6" i="66"/>
  <c r="J6" i="66" s="1"/>
  <c r="F138" i="64"/>
  <c r="H20" i="66"/>
  <c r="J20" i="66" s="1"/>
  <c r="F143" i="64"/>
  <c r="H24" i="66"/>
  <c r="J24" i="66" s="1"/>
  <c r="F141" i="64"/>
  <c r="H23" i="66"/>
  <c r="J23" i="66" s="1"/>
  <c r="F140" i="64"/>
  <c r="H22" i="66"/>
  <c r="J22" i="66" s="1"/>
  <c r="F132" i="64"/>
  <c r="H15" i="66"/>
  <c r="J15" i="66" s="1"/>
  <c r="H26" i="66"/>
  <c r="J26" i="66" s="1"/>
  <c r="H29" i="66"/>
  <c r="J29" i="66" s="1"/>
  <c r="F150" i="64"/>
  <c r="H30" i="66"/>
  <c r="J30" i="66" s="1"/>
  <c r="F146" i="64"/>
  <c r="H27" i="66"/>
  <c r="J27" i="66" s="1"/>
  <c r="B128" i="64"/>
  <c r="D11" i="66"/>
  <c r="F11" i="66" s="1"/>
  <c r="B130" i="64"/>
  <c r="D14" i="66"/>
  <c r="F14" i="66" s="1"/>
  <c r="B123" i="64"/>
  <c r="D7" i="66"/>
  <c r="F7" i="66" s="1"/>
  <c r="B125" i="64"/>
  <c r="D9" i="66"/>
  <c r="F9" i="66" s="1"/>
  <c r="F120" i="64"/>
  <c r="H4" i="66"/>
  <c r="J4" i="66" s="1"/>
  <c r="D31" i="29"/>
  <c r="H31" i="29"/>
  <c r="I62" i="29"/>
  <c r="G60" i="29"/>
  <c r="G56" i="29"/>
  <c r="H50" i="29"/>
  <c r="H42" i="29"/>
  <c r="I27" i="29"/>
  <c r="L24" i="29"/>
  <c r="E23" i="29"/>
  <c r="E31" i="29"/>
  <c r="D55" i="29"/>
  <c r="D63" i="29"/>
  <c r="L63" i="29"/>
  <c r="N61" i="29"/>
  <c r="L59" i="29"/>
  <c r="N57" i="29"/>
  <c r="L55" i="29"/>
  <c r="K51" i="29"/>
  <c r="N44" i="29"/>
  <c r="L28" i="29"/>
  <c r="B22" i="29"/>
  <c r="B30" i="29"/>
  <c r="D19" i="66" s="1"/>
  <c r="F19" i="66" s="1"/>
  <c r="I5" i="29"/>
  <c r="D10" i="29"/>
  <c r="D18" i="29"/>
  <c r="D22" i="29"/>
  <c r="D30" i="29"/>
  <c r="H19" i="66" s="1"/>
  <c r="J19" i="66" s="1"/>
  <c r="J64" i="29"/>
  <c r="B5" i="29"/>
  <c r="I64" i="29"/>
  <c r="I56" i="29"/>
  <c r="L31" i="29"/>
  <c r="I30" i="29"/>
  <c r="L27" i="29"/>
  <c r="I26" i="29"/>
  <c r="B24" i="29"/>
  <c r="K19" i="29"/>
  <c r="I22" i="29"/>
  <c r="L6" i="29"/>
  <c r="I9" i="29"/>
  <c r="L10" i="29"/>
  <c r="L14" i="29"/>
  <c r="I17" i="29"/>
  <c r="L18" i="29"/>
  <c r="L19" i="29"/>
  <c r="I31" i="29"/>
  <c r="L20" i="29"/>
  <c r="G52" i="29"/>
  <c r="L52" i="29"/>
  <c r="I19" i="29"/>
  <c r="H53" i="29"/>
  <c r="G8" i="29"/>
  <c r="K8" i="29"/>
  <c r="G9" i="29"/>
  <c r="G12" i="29"/>
  <c r="K12" i="29"/>
  <c r="G13" i="29"/>
  <c r="K16" i="29"/>
  <c r="G23" i="29"/>
  <c r="G26" i="29"/>
  <c r="K27" i="29"/>
  <c r="G29" i="29"/>
  <c r="G31" i="29"/>
  <c r="K31" i="29"/>
  <c r="N8" i="29"/>
  <c r="N12" i="29"/>
  <c r="N16" i="29"/>
  <c r="N24" i="29"/>
  <c r="M25" i="29"/>
  <c r="G27" i="29"/>
  <c r="N28" i="29"/>
  <c r="M29" i="29"/>
  <c r="L5" i="29"/>
  <c r="I8" i="29"/>
  <c r="L13" i="29"/>
  <c r="H29" i="29"/>
  <c r="N5" i="29"/>
  <c r="N9" i="29"/>
  <c r="I23" i="29"/>
  <c r="I24" i="29"/>
  <c r="N6" i="29"/>
  <c r="N14" i="29"/>
  <c r="N18" i="29"/>
  <c r="N22" i="29"/>
  <c r="M23" i="29"/>
  <c r="M27" i="29"/>
  <c r="N30" i="29"/>
  <c r="M31" i="29"/>
  <c r="L7" i="29"/>
  <c r="I10" i="29"/>
  <c r="L11" i="29"/>
  <c r="I14" i="29"/>
  <c r="I18" i="29"/>
  <c r="I28" i="29"/>
  <c r="H7" i="29"/>
  <c r="H15" i="29"/>
  <c r="L15" i="29"/>
  <c r="I6" i="29"/>
  <c r="N13" i="29"/>
  <c r="N17" i="29"/>
  <c r="J25" i="29"/>
  <c r="J27" i="29"/>
  <c r="J29" i="29"/>
  <c r="K22" i="29"/>
  <c r="N23" i="29"/>
  <c r="N27" i="29"/>
  <c r="N31" i="29"/>
  <c r="I7" i="29"/>
  <c r="L8" i="29"/>
  <c r="I11" i="29"/>
  <c r="I15" i="29"/>
  <c r="L16" i="29"/>
  <c r="D95" i="29"/>
  <c r="G17" i="29"/>
  <c r="G11" i="29"/>
  <c r="B40" i="29"/>
  <c r="B25" i="29"/>
  <c r="F25" i="29"/>
  <c r="E11" i="29"/>
  <c r="E19" i="29"/>
  <c r="E27" i="29"/>
  <c r="E24" i="29"/>
  <c r="E62" i="29"/>
  <c r="D64" i="29"/>
  <c r="D94" i="29"/>
  <c r="D27" i="29"/>
  <c r="D60" i="29"/>
  <c r="D26" i="29"/>
  <c r="D59" i="29"/>
  <c r="D58" i="29"/>
  <c r="D91" i="29" s="1"/>
  <c r="D24" i="29"/>
  <c r="H18" i="66" s="1"/>
  <c r="J18" i="66" s="1"/>
  <c r="D56" i="29"/>
  <c r="D50" i="29"/>
  <c r="D49" i="29"/>
  <c r="D82" i="29" s="1"/>
  <c r="D14" i="29"/>
  <c r="D46" i="29"/>
  <c r="D45" i="29"/>
  <c r="D78" i="29" s="1"/>
  <c r="D42" i="29"/>
  <c r="D41" i="29"/>
  <c r="D8" i="29"/>
  <c r="D6" i="29"/>
  <c r="D38" i="29"/>
  <c r="D71" i="29" s="1"/>
  <c r="B31" i="29"/>
  <c r="D10" i="66" s="1"/>
  <c r="F10" i="66" s="1"/>
  <c r="B29" i="29"/>
  <c r="D27" i="66" s="1"/>
  <c r="F27" i="66" s="1"/>
  <c r="B26" i="29"/>
  <c r="D8" i="66" s="1"/>
  <c r="F8" i="66" s="1"/>
  <c r="B58" i="29"/>
  <c r="B57" i="29"/>
  <c r="B90" i="29" s="1"/>
  <c r="B23" i="29"/>
  <c r="D26" i="66" s="1"/>
  <c r="F26" i="66" s="1"/>
  <c r="B55" i="29"/>
  <c r="B50" i="29"/>
  <c r="B48" i="29"/>
  <c r="B45" i="29"/>
  <c r="B42" i="29"/>
  <c r="N29" i="29"/>
  <c r="N26" i="29"/>
  <c r="N25" i="29"/>
  <c r="N21" i="29"/>
  <c r="N10" i="29"/>
  <c r="L29" i="29"/>
  <c r="L25" i="29"/>
  <c r="L23" i="29"/>
  <c r="K23" i="29"/>
  <c r="I50" i="29"/>
  <c r="L47" i="29"/>
  <c r="N45" i="29"/>
  <c r="I42" i="29"/>
  <c r="L39" i="29"/>
  <c r="H13" i="29"/>
  <c r="E8" i="29"/>
  <c r="E12" i="29"/>
  <c r="E16" i="29"/>
  <c r="E20" i="29"/>
  <c r="I21" i="29"/>
  <c r="E38" i="29"/>
  <c r="D40" i="29"/>
  <c r="D73" i="29" s="1"/>
  <c r="D44" i="29"/>
  <c r="D77" i="29" s="1"/>
  <c r="D48" i="29"/>
  <c r="D81" i="29" s="1"/>
  <c r="D52" i="29"/>
  <c r="D85" i="29" s="1"/>
  <c r="I48" i="29"/>
  <c r="G42" i="29"/>
  <c r="I40" i="29"/>
  <c r="K38" i="29"/>
  <c r="B7" i="29"/>
  <c r="B9" i="29"/>
  <c r="B11" i="29"/>
  <c r="D20" i="66" s="1"/>
  <c r="F20" i="66" s="1"/>
  <c r="B13" i="29"/>
  <c r="D21" i="66" s="1"/>
  <c r="F21" i="66" s="1"/>
  <c r="B15" i="29"/>
  <c r="D23" i="66" s="1"/>
  <c r="F23" i="66" s="1"/>
  <c r="B17" i="29"/>
  <c r="B19" i="29"/>
  <c r="D15" i="66" s="1"/>
  <c r="F15" i="66" s="1"/>
  <c r="J19" i="29"/>
  <c r="B21" i="29"/>
  <c r="D16" i="66" s="1"/>
  <c r="F16" i="66" s="1"/>
  <c r="J21" i="29"/>
  <c r="N11" i="29"/>
  <c r="N19" i="29"/>
  <c r="L51" i="29"/>
  <c r="N49" i="29"/>
  <c r="L43" i="29"/>
  <c r="N41" i="29"/>
  <c r="G40" i="29"/>
  <c r="I38" i="29"/>
  <c r="D9" i="29"/>
  <c r="L9" i="29"/>
  <c r="D13" i="29"/>
  <c r="D17" i="29"/>
  <c r="D21" i="29"/>
  <c r="H16" i="66" s="1"/>
  <c r="J16" i="66" s="1"/>
  <c r="L21" i="29"/>
  <c r="I20" i="29"/>
  <c r="D39" i="29"/>
  <c r="D43" i="29"/>
  <c r="D47" i="29"/>
  <c r="D51" i="29"/>
  <c r="L49" i="29"/>
  <c r="N47" i="29"/>
  <c r="H45" i="29"/>
  <c r="L41" i="29"/>
  <c r="N39" i="29"/>
  <c r="B8" i="29"/>
  <c r="D5" i="66" s="1"/>
  <c r="F5" i="66" s="1"/>
  <c r="B12" i="29"/>
  <c r="B16" i="29"/>
  <c r="D22" i="66" s="1"/>
  <c r="F22" i="66" s="1"/>
  <c r="B20" i="29"/>
  <c r="D28" i="66" s="1"/>
  <c r="F28" i="66" s="1"/>
  <c r="N7" i="29"/>
  <c r="N15" i="29"/>
  <c r="L17" i="29"/>
  <c r="J31" i="29"/>
  <c r="J23" i="29"/>
  <c r="I58" i="29"/>
  <c r="I25" i="29"/>
  <c r="I54" i="29"/>
  <c r="I12" i="29"/>
  <c r="H25" i="29"/>
  <c r="H21" i="29"/>
  <c r="H19" i="29"/>
  <c r="H17" i="29"/>
  <c r="H16" i="29"/>
  <c r="H11" i="29"/>
  <c r="H9" i="29"/>
  <c r="H8" i="29"/>
  <c r="H5" i="29"/>
  <c r="G30" i="29"/>
  <c r="G22" i="29"/>
  <c r="G16" i="29"/>
  <c r="G48" i="29"/>
  <c r="G14" i="29"/>
  <c r="G44" i="29"/>
  <c r="G6" i="29"/>
  <c r="F31" i="29"/>
  <c r="F29" i="29"/>
  <c r="F27" i="29"/>
  <c r="F23" i="29"/>
  <c r="F21" i="29"/>
  <c r="G5" i="29"/>
  <c r="M58" i="29"/>
  <c r="M60" i="29"/>
  <c r="M21" i="29"/>
  <c r="M19" i="29"/>
  <c r="K49" i="29"/>
  <c r="K9" i="29"/>
  <c r="K21" i="29"/>
  <c r="K29" i="29"/>
  <c r="K41" i="29"/>
  <c r="K13" i="29"/>
  <c r="K17" i="29"/>
  <c r="K25" i="29"/>
  <c r="K46" i="29"/>
  <c r="K5" i="29"/>
  <c r="K6" i="29"/>
  <c r="K10" i="29"/>
  <c r="K14" i="29"/>
  <c r="K26" i="29"/>
  <c r="K18" i="29"/>
  <c r="K30" i="29"/>
  <c r="I16" i="29"/>
  <c r="I13" i="29"/>
  <c r="I46" i="29"/>
  <c r="H14" i="29"/>
  <c r="H26" i="29"/>
  <c r="H30" i="29"/>
  <c r="H10" i="29"/>
  <c r="H22" i="29"/>
  <c r="H6" i="29"/>
  <c r="H18" i="29"/>
  <c r="H24" i="29"/>
  <c r="H28" i="29"/>
  <c r="E5" i="29"/>
  <c r="E9" i="29"/>
  <c r="E10" i="29"/>
  <c r="E14" i="29"/>
  <c r="E17" i="29"/>
  <c r="E18" i="29"/>
  <c r="E21" i="29"/>
  <c r="E22" i="29"/>
  <c r="E25" i="29"/>
  <c r="E26" i="29"/>
  <c r="E29" i="29"/>
  <c r="E30" i="29"/>
  <c r="E6" i="29"/>
  <c r="E13" i="29"/>
  <c r="E39" i="29"/>
  <c r="E40" i="29"/>
  <c r="E73" i="29" s="1"/>
  <c r="E41" i="29"/>
  <c r="E42" i="29"/>
  <c r="E43" i="29"/>
  <c r="E44" i="29"/>
  <c r="E45" i="29"/>
  <c r="E46" i="29"/>
  <c r="E47" i="29"/>
  <c r="E48" i="29"/>
  <c r="E81" i="29" s="1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94" i="29" s="1"/>
  <c r="E63" i="29"/>
  <c r="E64" i="29"/>
  <c r="C21" i="29"/>
  <c r="C25" i="29"/>
  <c r="C29" i="29"/>
  <c r="G27" i="66" s="1"/>
  <c r="C54" i="29"/>
  <c r="C56" i="29"/>
  <c r="C89" i="29" s="1"/>
  <c r="C58" i="29"/>
  <c r="C60" i="29"/>
  <c r="C93" i="29" s="1"/>
  <c r="C64" i="29"/>
  <c r="C97" i="29" s="1"/>
  <c r="B28" i="29"/>
  <c r="D30" i="66" s="1"/>
  <c r="F30" i="66" s="1"/>
  <c r="B38" i="29"/>
  <c r="K62" i="29"/>
  <c r="K57" i="29"/>
  <c r="K54" i="29"/>
  <c r="G50" i="29"/>
  <c r="K43" i="29"/>
  <c r="B72" i="29"/>
  <c r="B76" i="29"/>
  <c r="B80" i="29"/>
  <c r="B84" i="29"/>
  <c r="B93" i="29"/>
  <c r="H51" i="29"/>
  <c r="F64" i="29"/>
  <c r="G59" i="29"/>
  <c r="I57" i="29"/>
  <c r="I49" i="29"/>
  <c r="K39" i="29"/>
  <c r="AH11" i="53"/>
  <c r="AH15" i="53"/>
  <c r="AH17" i="53"/>
  <c r="AH21" i="53"/>
  <c r="AH25" i="53"/>
  <c r="AH31" i="53"/>
  <c r="J54" i="29"/>
  <c r="G45" i="29"/>
  <c r="K60" i="29"/>
  <c r="H59" i="29"/>
  <c r="H62" i="29"/>
  <c r="N56" i="29"/>
  <c r="H54" i="29"/>
  <c r="J52" i="29"/>
  <c r="G43" i="29"/>
  <c r="I41" i="29"/>
  <c r="H38" i="29"/>
  <c r="M64" i="29"/>
  <c r="L64" i="29"/>
  <c r="I63" i="29"/>
  <c r="G61" i="29"/>
  <c r="G53" i="29"/>
  <c r="N64" i="29"/>
  <c r="J60" i="29"/>
  <c r="K55" i="29"/>
  <c r="L50" i="29"/>
  <c r="K47" i="29"/>
  <c r="L42" i="29"/>
  <c r="H63" i="29"/>
  <c r="M62" i="29"/>
  <c r="G64" i="29"/>
  <c r="K52" i="29"/>
  <c r="K44" i="29"/>
  <c r="H43" i="29"/>
  <c r="K63" i="29"/>
  <c r="L58" i="29"/>
  <c r="F56" i="29"/>
  <c r="G51" i="29"/>
  <c r="N48" i="29"/>
  <c r="H46" i="29"/>
  <c r="N40" i="29"/>
  <c r="K64" i="29"/>
  <c r="G63" i="29"/>
  <c r="L62" i="29"/>
  <c r="I61" i="29"/>
  <c r="F60" i="29"/>
  <c r="G62" i="29"/>
  <c r="L61" i="29"/>
  <c r="I60" i="29"/>
  <c r="N59" i="29"/>
  <c r="K58" i="29"/>
  <c r="H57" i="29"/>
  <c r="M56" i="29"/>
  <c r="G54" i="29"/>
  <c r="L53" i="29"/>
  <c r="I52" i="29"/>
  <c r="N51" i="29"/>
  <c r="K50" i="29"/>
  <c r="H49" i="29"/>
  <c r="G46" i="29"/>
  <c r="L45" i="29"/>
  <c r="I44" i="29"/>
  <c r="N43" i="29"/>
  <c r="K42" i="29"/>
  <c r="H41" i="29"/>
  <c r="G38" i="29"/>
  <c r="AH56" i="54"/>
  <c r="N62" i="29"/>
  <c r="F62" i="29"/>
  <c r="K61" i="29"/>
  <c r="H60" i="29"/>
  <c r="J58" i="29"/>
  <c r="G57" i="29"/>
  <c r="L56" i="29"/>
  <c r="I55" i="29"/>
  <c r="N54" i="29"/>
  <c r="F54" i="29"/>
  <c r="K53" i="29"/>
  <c r="H52" i="29"/>
  <c r="G49" i="29"/>
  <c r="L48" i="29"/>
  <c r="I47" i="29"/>
  <c r="N46" i="29"/>
  <c r="K45" i="29"/>
  <c r="H44" i="29"/>
  <c r="G41" i="29"/>
  <c r="L40" i="29"/>
  <c r="I39" i="29"/>
  <c r="N38" i="29"/>
  <c r="K56" i="29"/>
  <c r="H55" i="29"/>
  <c r="M54" i="29"/>
  <c r="K48" i="29"/>
  <c r="H47" i="29"/>
  <c r="K40" i="29"/>
  <c r="H39" i="29"/>
  <c r="J56" i="29"/>
  <c r="G55" i="29"/>
  <c r="L54" i="29"/>
  <c r="I53" i="29"/>
  <c r="G47" i="29"/>
  <c r="L46" i="29"/>
  <c r="I45" i="29"/>
  <c r="G39" i="29"/>
  <c r="L38" i="29"/>
  <c r="AH6" i="53"/>
  <c r="AH8" i="53"/>
  <c r="AH14" i="53"/>
  <c r="AH20" i="53"/>
  <c r="AH24" i="53"/>
  <c r="AH26" i="53"/>
  <c r="AH30" i="53"/>
  <c r="AH42" i="53"/>
  <c r="AD32" i="61"/>
  <c r="W67" i="61"/>
  <c r="AH28" i="61"/>
  <c r="AH24" i="61"/>
  <c r="AE67" i="61"/>
  <c r="AH20" i="61"/>
  <c r="AH16" i="61"/>
  <c r="AH12" i="61"/>
  <c r="V32" i="61"/>
  <c r="AH8" i="61"/>
  <c r="AH40" i="61"/>
  <c r="AH44" i="61"/>
  <c r="AH48" i="61"/>
  <c r="AH52" i="61"/>
  <c r="AH56" i="61"/>
  <c r="AH60" i="61"/>
  <c r="AH64" i="61"/>
  <c r="AH7" i="61"/>
  <c r="AH11" i="61"/>
  <c r="AH15" i="61"/>
  <c r="AH19" i="61"/>
  <c r="AH23" i="61"/>
  <c r="AH27" i="61"/>
  <c r="AH31" i="61"/>
  <c r="V67" i="61"/>
  <c r="AD67" i="61"/>
  <c r="AH43" i="61"/>
  <c r="AH47" i="61"/>
  <c r="AH51" i="61"/>
  <c r="AH55" i="61"/>
  <c r="AH59" i="61"/>
  <c r="AH63" i="61"/>
  <c r="AH5" i="61"/>
  <c r="AH9" i="61"/>
  <c r="AH13" i="61"/>
  <c r="AH17" i="61"/>
  <c r="AH21" i="61"/>
  <c r="AH25" i="61"/>
  <c r="AH29" i="61"/>
  <c r="AH41" i="61"/>
  <c r="AH45" i="61"/>
  <c r="AH49" i="61"/>
  <c r="AH53" i="61"/>
  <c r="AH57" i="61"/>
  <c r="AH61" i="61"/>
  <c r="AH65" i="61"/>
  <c r="AH6" i="61"/>
  <c r="AH10" i="61"/>
  <c r="AH14" i="61"/>
  <c r="AH18" i="61"/>
  <c r="AH22" i="61"/>
  <c r="AH26" i="61"/>
  <c r="AH30" i="61"/>
  <c r="AH42" i="61"/>
  <c r="AH46" i="61"/>
  <c r="AH50" i="61"/>
  <c r="AH54" i="61"/>
  <c r="AH58" i="61"/>
  <c r="AH62" i="61"/>
  <c r="AH66" i="61"/>
  <c r="AA32" i="61"/>
  <c r="T32" i="61"/>
  <c r="AB32" i="61"/>
  <c r="U67" i="61"/>
  <c r="Y67" i="61"/>
  <c r="AC67" i="61"/>
  <c r="X67" i="61"/>
  <c r="Z67" i="61"/>
  <c r="U32" i="61"/>
  <c r="Y32" i="61"/>
  <c r="AC32" i="61"/>
  <c r="X32" i="61"/>
  <c r="Z32" i="61"/>
  <c r="AA67" i="61"/>
  <c r="W32" i="61"/>
  <c r="AE32" i="61"/>
  <c r="T67" i="61"/>
  <c r="AB67" i="61"/>
  <c r="AH29" i="55"/>
  <c r="AH62" i="55"/>
  <c r="AH25" i="55"/>
  <c r="AH57" i="55"/>
  <c r="AH21" i="55"/>
  <c r="AH56" i="55"/>
  <c r="AH51" i="55"/>
  <c r="AH49" i="55"/>
  <c r="AH47" i="55"/>
  <c r="AH43" i="55"/>
  <c r="AH42" i="55"/>
  <c r="AE32" i="55"/>
  <c r="AH41" i="55"/>
  <c r="AH5" i="55"/>
  <c r="AH66" i="55"/>
  <c r="AH65" i="55"/>
  <c r="AH63" i="55"/>
  <c r="AH61" i="55"/>
  <c r="AH60" i="55"/>
  <c r="AH59" i="55"/>
  <c r="AH58" i="55"/>
  <c r="AH55" i="55"/>
  <c r="AH54" i="55"/>
  <c r="AH53" i="55"/>
  <c r="AH17" i="55"/>
  <c r="AH52" i="55"/>
  <c r="AH50" i="55"/>
  <c r="AH13" i="55"/>
  <c r="AH48" i="55"/>
  <c r="AH46" i="55"/>
  <c r="AH45" i="55"/>
  <c r="AH44" i="55"/>
  <c r="AH7" i="55"/>
  <c r="AH11" i="55"/>
  <c r="AH15" i="55"/>
  <c r="AH19" i="55"/>
  <c r="AH23" i="55"/>
  <c r="AH27" i="55"/>
  <c r="AH31" i="55"/>
  <c r="AH8" i="55"/>
  <c r="AH12" i="55"/>
  <c r="AH16" i="55"/>
  <c r="AH20" i="55"/>
  <c r="AH24" i="55"/>
  <c r="AH28" i="55"/>
  <c r="AH40" i="55"/>
  <c r="AH9" i="55"/>
  <c r="AH6" i="55"/>
  <c r="AH10" i="55"/>
  <c r="AH14" i="55"/>
  <c r="AH18" i="55"/>
  <c r="AH22" i="55"/>
  <c r="AH26" i="55"/>
  <c r="AH30" i="55"/>
  <c r="V32" i="55"/>
  <c r="AD32" i="55"/>
  <c r="W67" i="55"/>
  <c r="AE67" i="55"/>
  <c r="AH102" i="55"/>
  <c r="W32" i="55"/>
  <c r="T67" i="55"/>
  <c r="X67" i="55"/>
  <c r="AB67" i="55"/>
  <c r="U67" i="55"/>
  <c r="Y67" i="55"/>
  <c r="AC67" i="55"/>
  <c r="U32" i="55"/>
  <c r="Y32" i="55"/>
  <c r="AC32" i="55"/>
  <c r="Z32" i="55"/>
  <c r="AA32" i="55"/>
  <c r="Z67" i="55"/>
  <c r="T32" i="55"/>
  <c r="X32" i="55"/>
  <c r="AB32" i="55"/>
  <c r="V67" i="55"/>
  <c r="AD67" i="55"/>
  <c r="AA67" i="55"/>
  <c r="AH21" i="54"/>
  <c r="F19" i="29"/>
  <c r="F52" i="29"/>
  <c r="F50" i="29"/>
  <c r="F17" i="29"/>
  <c r="T54" i="54"/>
  <c r="C52" i="29" s="1"/>
  <c r="T19" i="54"/>
  <c r="AO53" i="73" s="1"/>
  <c r="K336" i="73" s="1"/>
  <c r="T52" i="54"/>
  <c r="C50" i="29" s="1"/>
  <c r="T17" i="54"/>
  <c r="AH5" i="53"/>
  <c r="AH40" i="53"/>
  <c r="AH53" i="53"/>
  <c r="AH18" i="53"/>
  <c r="AH7" i="53"/>
  <c r="AH66" i="53"/>
  <c r="AH65" i="53"/>
  <c r="AH64" i="53"/>
  <c r="AH29" i="53"/>
  <c r="AH28" i="53"/>
  <c r="AH63" i="53"/>
  <c r="AH27" i="53"/>
  <c r="AH62" i="53"/>
  <c r="AH61" i="53"/>
  <c r="AH60" i="53"/>
  <c r="AH59" i="53"/>
  <c r="AH58" i="53"/>
  <c r="AH23" i="53"/>
  <c r="AH22" i="53"/>
  <c r="AH57" i="53"/>
  <c r="AH56" i="53"/>
  <c r="AH55" i="53"/>
  <c r="AH19" i="53"/>
  <c r="AH54" i="53"/>
  <c r="AH52" i="53"/>
  <c r="AH16" i="53"/>
  <c r="AH51" i="53"/>
  <c r="AH50" i="53"/>
  <c r="AH49" i="53"/>
  <c r="AH13" i="53"/>
  <c r="AH48" i="53"/>
  <c r="AH12" i="53"/>
  <c r="AH47" i="53"/>
  <c r="AH46" i="53"/>
  <c r="AH10" i="53"/>
  <c r="AH45" i="53"/>
  <c r="AH44" i="53"/>
  <c r="AH9" i="53"/>
  <c r="AH43" i="53"/>
  <c r="AH41" i="53"/>
  <c r="V67" i="53"/>
  <c r="AD67" i="53"/>
  <c r="AD32" i="53"/>
  <c r="AA67" i="53"/>
  <c r="U67" i="53"/>
  <c r="AC67" i="53"/>
  <c r="W67" i="53"/>
  <c r="AE67" i="53"/>
  <c r="V32" i="53"/>
  <c r="AH102" i="53"/>
  <c r="S67" i="53"/>
  <c r="W32" i="53"/>
  <c r="AA32" i="53"/>
  <c r="AE32" i="53"/>
  <c r="T67" i="53"/>
  <c r="X67" i="53"/>
  <c r="AB67" i="53"/>
  <c r="Y67" i="53"/>
  <c r="T32" i="53"/>
  <c r="X32" i="53"/>
  <c r="AB32" i="53"/>
  <c r="Y32" i="53"/>
  <c r="Z67" i="53"/>
  <c r="U32" i="53"/>
  <c r="AC32" i="53"/>
  <c r="Z32" i="53"/>
  <c r="X32" i="51"/>
  <c r="AH65" i="51"/>
  <c r="AH61" i="51"/>
  <c r="AH57" i="51"/>
  <c r="AH53" i="51"/>
  <c r="AH49" i="51"/>
  <c r="AH45" i="51"/>
  <c r="AH41" i="51"/>
  <c r="AH29" i="51"/>
  <c r="AH25" i="51"/>
  <c r="AH21" i="51"/>
  <c r="AH17" i="51"/>
  <c r="AH13" i="51"/>
  <c r="AH9" i="51"/>
  <c r="AH5" i="51"/>
  <c r="AH64" i="51"/>
  <c r="AH60" i="51"/>
  <c r="AH56" i="51"/>
  <c r="AH52" i="51"/>
  <c r="AH48" i="51"/>
  <c r="AH44" i="51"/>
  <c r="AH40" i="51"/>
  <c r="AH28" i="51"/>
  <c r="AH24" i="51"/>
  <c r="AH20" i="51"/>
  <c r="AH16" i="51"/>
  <c r="AH12" i="51"/>
  <c r="AH8" i="51"/>
  <c r="AH63" i="51"/>
  <c r="AH59" i="51"/>
  <c r="AH55" i="51"/>
  <c r="AH51" i="51"/>
  <c r="AH47" i="51"/>
  <c r="AH43" i="51"/>
  <c r="AH31" i="51"/>
  <c r="AH27" i="51"/>
  <c r="AH23" i="51"/>
  <c r="AH15" i="51"/>
  <c r="AH11" i="51"/>
  <c r="AH7" i="51"/>
  <c r="AH66" i="51"/>
  <c r="AH62" i="51"/>
  <c r="AH58" i="51"/>
  <c r="AH50" i="51"/>
  <c r="AH46" i="51"/>
  <c r="AH42" i="51"/>
  <c r="AH30" i="51"/>
  <c r="AH26" i="51"/>
  <c r="AH22" i="51"/>
  <c r="AH18" i="51"/>
  <c r="AH14" i="51"/>
  <c r="AH10" i="51"/>
  <c r="AH6" i="51"/>
  <c r="AE32" i="51"/>
  <c r="S32" i="61"/>
  <c r="S67" i="61"/>
  <c r="S32" i="55"/>
  <c r="S67" i="55"/>
  <c r="S32" i="53"/>
  <c r="W67" i="51"/>
  <c r="AB67" i="51"/>
  <c r="AD32" i="51"/>
  <c r="X67" i="51"/>
  <c r="Z67" i="51"/>
  <c r="Y32" i="51"/>
  <c r="AD67" i="51"/>
  <c r="AA67" i="51"/>
  <c r="AC67" i="51"/>
  <c r="AC32" i="51"/>
  <c r="W32" i="51"/>
  <c r="AB32" i="51"/>
  <c r="Y67" i="51"/>
  <c r="AA32" i="51"/>
  <c r="Z32" i="51"/>
  <c r="AE67" i="51"/>
  <c r="U32" i="51"/>
  <c r="S32" i="51"/>
  <c r="D86" i="29" l="1"/>
  <c r="H28" i="66"/>
  <c r="J28" i="66" s="1"/>
  <c r="D89" i="29"/>
  <c r="AN32" i="73"/>
  <c r="C17" i="29"/>
  <c r="AO51" i="73"/>
  <c r="K334" i="73" s="1"/>
  <c r="L646" i="73"/>
  <c r="AP202" i="73"/>
  <c r="B776" i="73"/>
  <c r="AN134" i="73"/>
  <c r="J403" i="73"/>
  <c r="AN100" i="73"/>
  <c r="J646" i="73"/>
  <c r="AN202" i="73"/>
  <c r="M646" i="73"/>
  <c r="AQ202" i="73"/>
  <c r="I646" i="73"/>
  <c r="AM202" i="73"/>
  <c r="B777" i="73"/>
  <c r="AN66" i="73"/>
  <c r="B774" i="73"/>
  <c r="R19" i="29"/>
  <c r="O15" i="66" s="1"/>
  <c r="Q15" i="66" s="1"/>
  <c r="E89" i="29"/>
  <c r="R21" i="29"/>
  <c r="O16" i="66" s="1"/>
  <c r="Q16" i="66" s="1"/>
  <c r="D84" i="29"/>
  <c r="R54" i="29"/>
  <c r="R25" i="29"/>
  <c r="O29" i="66" s="1"/>
  <c r="Q29" i="66" s="1"/>
  <c r="R58" i="29"/>
  <c r="R60" i="29"/>
  <c r="F151" i="64"/>
  <c r="R62" i="29"/>
  <c r="R64" i="29"/>
  <c r="R52" i="29"/>
  <c r="R56" i="29"/>
  <c r="D97" i="29"/>
  <c r="H128" i="64"/>
  <c r="K11" i="66"/>
  <c r="H144" i="64"/>
  <c r="K25" i="66"/>
  <c r="F144" i="64"/>
  <c r="H25" i="66"/>
  <c r="J25" i="66" s="1"/>
  <c r="B129" i="64"/>
  <c r="D12" i="66"/>
  <c r="F12" i="66" s="1"/>
  <c r="D144" i="64"/>
  <c r="G25" i="66"/>
  <c r="H136" i="64"/>
  <c r="K19" i="66"/>
  <c r="H131" i="64"/>
  <c r="K14" i="66"/>
  <c r="J146" i="64"/>
  <c r="L27" i="66"/>
  <c r="N27" i="66" s="1"/>
  <c r="F139" i="64"/>
  <c r="F142" i="64" s="1"/>
  <c r="H21" i="66"/>
  <c r="J21" i="66" s="1"/>
  <c r="H140" i="64"/>
  <c r="K22" i="66"/>
  <c r="F131" i="64"/>
  <c r="H14" i="66"/>
  <c r="J14" i="66" s="1"/>
  <c r="F124" i="64"/>
  <c r="H8" i="66"/>
  <c r="J8" i="66" s="1"/>
  <c r="B135" i="64"/>
  <c r="D18" i="66"/>
  <c r="F18" i="66" s="1"/>
  <c r="F130" i="64"/>
  <c r="H13" i="66"/>
  <c r="J13" i="66" s="1"/>
  <c r="H146" i="64"/>
  <c r="K27" i="66"/>
  <c r="H130" i="64"/>
  <c r="K13" i="66"/>
  <c r="H143" i="64"/>
  <c r="K24" i="66"/>
  <c r="H138" i="64"/>
  <c r="K20" i="66"/>
  <c r="H139" i="64"/>
  <c r="H142" i="64" s="1"/>
  <c r="K21" i="66"/>
  <c r="H124" i="64"/>
  <c r="K8" i="66"/>
  <c r="H123" i="64"/>
  <c r="K7" i="66"/>
  <c r="H129" i="64"/>
  <c r="K12" i="66"/>
  <c r="J145" i="64"/>
  <c r="L26" i="66"/>
  <c r="N26" i="66" s="1"/>
  <c r="F129" i="64"/>
  <c r="H12" i="66"/>
  <c r="J12" i="66" s="1"/>
  <c r="H121" i="64"/>
  <c r="K5" i="66"/>
  <c r="F128" i="64"/>
  <c r="H11" i="66"/>
  <c r="J11" i="66" s="1"/>
  <c r="F125" i="64"/>
  <c r="N125" i="64" s="1"/>
  <c r="K125" i="64" s="1"/>
  <c r="H9" i="66"/>
  <c r="J9" i="66" s="1"/>
  <c r="H135" i="64"/>
  <c r="K18" i="66"/>
  <c r="J149" i="64"/>
  <c r="L29" i="66"/>
  <c r="N29" i="66" s="1"/>
  <c r="R27" i="29"/>
  <c r="O9" i="66" s="1"/>
  <c r="Q9" i="66" s="1"/>
  <c r="R29" i="29"/>
  <c r="O27" i="66" s="1"/>
  <c r="Q27" i="66" s="1"/>
  <c r="F134" i="64"/>
  <c r="H17" i="66"/>
  <c r="J17" i="66" s="1"/>
  <c r="H126" i="64"/>
  <c r="K10" i="66"/>
  <c r="D149" i="64"/>
  <c r="G29" i="66"/>
  <c r="H148" i="64"/>
  <c r="K28" i="66"/>
  <c r="F121" i="64"/>
  <c r="H5" i="66"/>
  <c r="J5" i="66" s="1"/>
  <c r="B149" i="64"/>
  <c r="D29" i="66"/>
  <c r="F29" i="66" s="1"/>
  <c r="F123" i="64"/>
  <c r="H7" i="66"/>
  <c r="J7" i="66" s="1"/>
  <c r="B134" i="64"/>
  <c r="D17" i="66"/>
  <c r="F17" i="66" s="1"/>
  <c r="H145" i="64"/>
  <c r="K26" i="66"/>
  <c r="J132" i="64"/>
  <c r="L15" i="66"/>
  <c r="N15" i="66" s="1"/>
  <c r="H149" i="64"/>
  <c r="K29" i="66"/>
  <c r="J125" i="64"/>
  <c r="L9" i="66"/>
  <c r="N9" i="66" s="1"/>
  <c r="B144" i="64"/>
  <c r="N144" i="64" s="1"/>
  <c r="G144" i="64" s="1"/>
  <c r="D25" i="66"/>
  <c r="F25" i="66" s="1"/>
  <c r="H125" i="64"/>
  <c r="K9" i="66"/>
  <c r="J144" i="64"/>
  <c r="L25" i="66"/>
  <c r="N25" i="66" s="1"/>
  <c r="D133" i="64"/>
  <c r="G16" i="66"/>
  <c r="E93" i="29"/>
  <c r="H134" i="64"/>
  <c r="K17" i="66"/>
  <c r="B122" i="64"/>
  <c r="D6" i="66"/>
  <c r="F6" i="66" s="1"/>
  <c r="H132" i="64"/>
  <c r="K15" i="66"/>
  <c r="F126" i="64"/>
  <c r="H10" i="66"/>
  <c r="J10" i="66" s="1"/>
  <c r="H133" i="64"/>
  <c r="K16" i="66"/>
  <c r="J133" i="64"/>
  <c r="L16" i="66"/>
  <c r="N16" i="66" s="1"/>
  <c r="J126" i="64"/>
  <c r="L10" i="66"/>
  <c r="N10" i="66" s="1"/>
  <c r="B143" i="64"/>
  <c r="D24" i="66"/>
  <c r="F24" i="66" s="1"/>
  <c r="R31" i="29"/>
  <c r="O10" i="66" s="1"/>
  <c r="Q10" i="66" s="1"/>
  <c r="R23" i="29"/>
  <c r="O26" i="66" s="1"/>
  <c r="Q26" i="66" s="1"/>
  <c r="H120" i="64"/>
  <c r="K4" i="66"/>
  <c r="D4" i="66"/>
  <c r="F4" i="66" s="1"/>
  <c r="B120" i="64"/>
  <c r="L132" i="64"/>
  <c r="L133" i="64"/>
  <c r="L149" i="64"/>
  <c r="B86" i="29"/>
  <c r="B148" i="64"/>
  <c r="H151" i="64"/>
  <c r="B89" i="29"/>
  <c r="B145" i="64"/>
  <c r="B95" i="29"/>
  <c r="B146" i="64"/>
  <c r="B94" i="29"/>
  <c r="B150" i="64"/>
  <c r="B82" i="29"/>
  <c r="B140" i="64"/>
  <c r="B87" i="29"/>
  <c r="B133" i="64"/>
  <c r="B81" i="29"/>
  <c r="B141" i="64"/>
  <c r="B97" i="29"/>
  <c r="B126" i="64"/>
  <c r="B79" i="29"/>
  <c r="B139" i="64"/>
  <c r="D90" i="29"/>
  <c r="F135" i="64"/>
  <c r="L126" i="64"/>
  <c r="L145" i="64"/>
  <c r="D96" i="29"/>
  <c r="F136" i="64"/>
  <c r="C95" i="29"/>
  <c r="D146" i="64"/>
  <c r="B74" i="29"/>
  <c r="B121" i="64"/>
  <c r="D87" i="29"/>
  <c r="F133" i="64"/>
  <c r="B85" i="29"/>
  <c r="B132" i="64"/>
  <c r="B77" i="29"/>
  <c r="B138" i="64"/>
  <c r="B92" i="29"/>
  <c r="B124" i="64"/>
  <c r="L125" i="64"/>
  <c r="L146" i="64"/>
  <c r="B96" i="29"/>
  <c r="B136" i="64"/>
  <c r="B88" i="29"/>
  <c r="D83" i="29"/>
  <c r="D76" i="29"/>
  <c r="D75" i="29"/>
  <c r="D72" i="29"/>
  <c r="D88" i="29"/>
  <c r="D79" i="29"/>
  <c r="E97" i="29"/>
  <c r="B71" i="29"/>
  <c r="E72" i="29"/>
  <c r="B75" i="29"/>
  <c r="E96" i="29"/>
  <c r="E77" i="29"/>
  <c r="D74" i="29"/>
  <c r="D92" i="29"/>
  <c r="E85" i="29"/>
  <c r="D93" i="29"/>
  <c r="B83" i="29"/>
  <c r="B73" i="29"/>
  <c r="D80" i="29"/>
  <c r="B78" i="29"/>
  <c r="B91" i="29"/>
  <c r="E95" i="29"/>
  <c r="E83" i="29"/>
  <c r="E90" i="29"/>
  <c r="E82" i="29"/>
  <c r="E78" i="29"/>
  <c r="E86" i="29"/>
  <c r="E92" i="29"/>
  <c r="E71" i="29"/>
  <c r="C87" i="29"/>
  <c r="E80" i="29"/>
  <c r="E74" i="29"/>
  <c r="C91" i="29"/>
  <c r="E76" i="29"/>
  <c r="E91" i="29"/>
  <c r="E84" i="29"/>
  <c r="E88" i="29"/>
  <c r="E79" i="29"/>
  <c r="E75" i="29"/>
  <c r="E87" i="29"/>
  <c r="C83" i="29"/>
  <c r="AH32" i="61"/>
  <c r="AH67" i="61"/>
  <c r="AH32" i="55"/>
  <c r="AH67" i="55"/>
  <c r="Q56" i="29"/>
  <c r="Q64" i="29"/>
  <c r="Q54" i="29"/>
  <c r="Q62" i="29"/>
  <c r="Q25" i="29"/>
  <c r="Q27" i="29"/>
  <c r="AH19" i="54"/>
  <c r="AH54" i="54"/>
  <c r="Q60" i="29"/>
  <c r="Q23" i="29"/>
  <c r="Q31" i="29"/>
  <c r="Q58" i="29"/>
  <c r="Q21" i="29"/>
  <c r="Q29" i="29"/>
  <c r="Q52" i="29"/>
  <c r="AH67" i="53"/>
  <c r="AH32" i="53"/>
  <c r="AH102" i="51"/>
  <c r="AH67" i="51"/>
  <c r="V32" i="51"/>
  <c r="T32" i="51"/>
  <c r="AH32" i="51"/>
  <c r="H137" i="64" l="1"/>
  <c r="H147" i="64" s="1"/>
  <c r="F127" i="64"/>
  <c r="N149" i="64"/>
  <c r="K149" i="64" s="1"/>
  <c r="H127" i="64"/>
  <c r="K144" i="64"/>
  <c r="B147" i="64"/>
  <c r="E144" i="64"/>
  <c r="F137" i="64"/>
  <c r="F147" i="64" s="1"/>
  <c r="B127" i="64"/>
  <c r="C144" i="64"/>
  <c r="N133" i="64"/>
  <c r="G133" i="64" s="1"/>
  <c r="I144" i="64"/>
  <c r="M125" i="64"/>
  <c r="G125" i="64"/>
  <c r="B137" i="64"/>
  <c r="N126" i="64"/>
  <c r="C126" i="64" s="1"/>
  <c r="I125" i="64"/>
  <c r="N145" i="64"/>
  <c r="C125" i="64"/>
  <c r="E125" i="64"/>
  <c r="B151" i="64"/>
  <c r="B142" i="64"/>
  <c r="N146" i="64"/>
  <c r="C146" i="64" s="1"/>
  <c r="AA52" i="54"/>
  <c r="AA17" i="54"/>
  <c r="AD52" i="54"/>
  <c r="M50" i="29" s="1"/>
  <c r="AD17" i="54"/>
  <c r="M17" i="29" s="1"/>
  <c r="AD50" i="54"/>
  <c r="M48" i="29" s="1"/>
  <c r="AD15" i="54"/>
  <c r="M15" i="29" s="1"/>
  <c r="AA50" i="54"/>
  <c r="J48" i="29" s="1"/>
  <c r="R48" i="29" s="1"/>
  <c r="AA15" i="54"/>
  <c r="J17" i="29" l="1"/>
  <c r="R17" i="29" s="1"/>
  <c r="O25" i="66" s="1"/>
  <c r="Q25" i="66" s="1"/>
  <c r="AO187" i="73"/>
  <c r="K658" i="73" s="1"/>
  <c r="J15" i="29"/>
  <c r="R15" i="29" s="1"/>
  <c r="O23" i="66" s="1"/>
  <c r="Q23" i="66" s="1"/>
  <c r="AO185" i="73"/>
  <c r="K656" i="73" s="1"/>
  <c r="H152" i="64"/>
  <c r="E149" i="64"/>
  <c r="M149" i="64"/>
  <c r="I149" i="64"/>
  <c r="C149" i="64"/>
  <c r="G149" i="64"/>
  <c r="F152" i="64"/>
  <c r="M126" i="64"/>
  <c r="C133" i="64"/>
  <c r="L141" i="64"/>
  <c r="E145" i="64"/>
  <c r="G145" i="64"/>
  <c r="I145" i="64"/>
  <c r="K145" i="64"/>
  <c r="L144" i="64"/>
  <c r="M144" i="64" s="1"/>
  <c r="B152" i="64"/>
  <c r="G146" i="64"/>
  <c r="K146" i="64"/>
  <c r="I146" i="64"/>
  <c r="E146" i="64"/>
  <c r="C145" i="64"/>
  <c r="E126" i="64"/>
  <c r="I126" i="64"/>
  <c r="K126" i="64"/>
  <c r="G126" i="64"/>
  <c r="M145" i="64"/>
  <c r="E133" i="64"/>
  <c r="K133" i="64"/>
  <c r="I133" i="64"/>
  <c r="M133" i="64"/>
  <c r="M146" i="64"/>
  <c r="AH52" i="54"/>
  <c r="J50" i="29"/>
  <c r="R50" i="29" s="1"/>
  <c r="Q17" i="29"/>
  <c r="AH17" i="54"/>
  <c r="Q50" i="29" l="1"/>
  <c r="T48" i="54"/>
  <c r="C46" i="29" s="1"/>
  <c r="T13" i="54"/>
  <c r="F48" i="29"/>
  <c r="F15" i="29"/>
  <c r="T50" i="54"/>
  <c r="C48" i="29" s="1"/>
  <c r="T15" i="54"/>
  <c r="F46" i="29"/>
  <c r="F13" i="29"/>
  <c r="C13" i="29" l="1"/>
  <c r="AO47" i="73"/>
  <c r="K330" i="73" s="1"/>
  <c r="C15" i="29"/>
  <c r="D141" i="64" s="1"/>
  <c r="AO49" i="73"/>
  <c r="K332" i="73" s="1"/>
  <c r="G23" i="66"/>
  <c r="D139" i="64"/>
  <c r="G21" i="66"/>
  <c r="J139" i="64"/>
  <c r="L21" i="66"/>
  <c r="N21" i="66" s="1"/>
  <c r="J141" i="64"/>
  <c r="L23" i="66"/>
  <c r="N23" i="66" s="1"/>
  <c r="C79" i="29"/>
  <c r="AH15" i="54"/>
  <c r="Q15" i="29"/>
  <c r="AH50" i="54"/>
  <c r="Q48" i="29"/>
  <c r="N139" i="64" l="1"/>
  <c r="C81" i="29"/>
  <c r="N141" i="64"/>
  <c r="I141" i="64" s="1"/>
  <c r="G141" i="64"/>
  <c r="C141" i="64"/>
  <c r="M141" i="64"/>
  <c r="E141" i="64"/>
  <c r="G139" i="64"/>
  <c r="I139" i="64"/>
  <c r="C139" i="64"/>
  <c r="K139" i="64"/>
  <c r="K141" i="64"/>
  <c r="E139" i="64"/>
  <c r="AA46" i="54"/>
  <c r="J44" i="29" s="1"/>
  <c r="AA11" i="54"/>
  <c r="AA48" i="54"/>
  <c r="AA13" i="54"/>
  <c r="AD46" i="54"/>
  <c r="M44" i="29" s="1"/>
  <c r="AD11" i="54"/>
  <c r="M11" i="29" s="1"/>
  <c r="AD13" i="54"/>
  <c r="M13" i="29" s="1"/>
  <c r="AD48" i="54"/>
  <c r="M46" i="29" s="1"/>
  <c r="J11" i="29" l="1"/>
  <c r="R11" i="29" s="1"/>
  <c r="O20" i="66" s="1"/>
  <c r="Q20" i="66" s="1"/>
  <c r="AO181" i="73"/>
  <c r="K652" i="73" s="1"/>
  <c r="J13" i="29"/>
  <c r="Q13" i="29" s="1"/>
  <c r="AO183" i="73"/>
  <c r="K654" i="73" s="1"/>
  <c r="R44" i="29"/>
  <c r="AH48" i="54"/>
  <c r="J46" i="29"/>
  <c r="R46" i="29" s="1"/>
  <c r="AH13" i="54"/>
  <c r="L138" i="64" l="1"/>
  <c r="R13" i="29"/>
  <c r="O21" i="66" s="1"/>
  <c r="Q21" i="66" s="1"/>
  <c r="L139" i="64"/>
  <c r="M139" i="64" s="1"/>
  <c r="Q46" i="29"/>
  <c r="T9" i="54"/>
  <c r="T44" i="54"/>
  <c r="C42" i="29" s="1"/>
  <c r="T46" i="54"/>
  <c r="C44" i="29" s="1"/>
  <c r="T11" i="54"/>
  <c r="F42" i="29"/>
  <c r="F9" i="29"/>
  <c r="F11" i="29"/>
  <c r="F44" i="29"/>
  <c r="C11" i="29" l="1"/>
  <c r="AO45" i="73"/>
  <c r="K328" i="73" s="1"/>
  <c r="C9" i="29"/>
  <c r="C75" i="29" s="1"/>
  <c r="AO43" i="73"/>
  <c r="K326" i="73" s="1"/>
  <c r="J129" i="64"/>
  <c r="L12" i="66"/>
  <c r="N12" i="66" s="1"/>
  <c r="G12" i="66"/>
  <c r="D138" i="64"/>
  <c r="G20" i="66"/>
  <c r="J138" i="64"/>
  <c r="L20" i="66"/>
  <c r="N20" i="66" s="1"/>
  <c r="C77" i="29"/>
  <c r="AH11" i="54"/>
  <c r="Q11" i="29"/>
  <c r="AH46" i="54"/>
  <c r="Q44" i="29"/>
  <c r="D129" i="64" l="1"/>
  <c r="N138" i="64"/>
  <c r="E138" i="64" s="1"/>
  <c r="N129" i="64"/>
  <c r="K129" i="64" s="1"/>
  <c r="C129" i="64"/>
  <c r="G138" i="64"/>
  <c r="I138" i="64"/>
  <c r="C138" i="64"/>
  <c r="M138" i="64"/>
  <c r="AD42" i="54"/>
  <c r="M40" i="29" s="1"/>
  <c r="AD7" i="54"/>
  <c r="M7" i="29" s="1"/>
  <c r="AA42" i="54"/>
  <c r="J40" i="29" s="1"/>
  <c r="AA7" i="54"/>
  <c r="AA44" i="54"/>
  <c r="J42" i="29" s="1"/>
  <c r="AA9" i="54"/>
  <c r="AD9" i="54"/>
  <c r="M9" i="29" s="1"/>
  <c r="AD44" i="54"/>
  <c r="M42" i="29" s="1"/>
  <c r="J9" i="29" l="1"/>
  <c r="AO179" i="73"/>
  <c r="K650" i="73" s="1"/>
  <c r="J7" i="29"/>
  <c r="R7" i="29" s="1"/>
  <c r="O6" i="66" s="1"/>
  <c r="Q6" i="66" s="1"/>
  <c r="AO177" i="73"/>
  <c r="K648" i="73" s="1"/>
  <c r="I129" i="64"/>
  <c r="K138" i="64"/>
  <c r="R42" i="29"/>
  <c r="G129" i="64"/>
  <c r="E129" i="64"/>
  <c r="R40" i="29"/>
  <c r="R9" i="29"/>
  <c r="O12" i="66" s="1"/>
  <c r="Q12" i="66" s="1"/>
  <c r="L129" i="64"/>
  <c r="M129" i="64" s="1"/>
  <c r="Q9" i="29"/>
  <c r="AH9" i="54"/>
  <c r="AH44" i="54"/>
  <c r="L122" i="64" l="1"/>
  <c r="Q42" i="29"/>
  <c r="F5" i="29"/>
  <c r="F38" i="29"/>
  <c r="T7" i="54"/>
  <c r="T42" i="54"/>
  <c r="C40" i="29" s="1"/>
  <c r="T5" i="54"/>
  <c r="T40" i="54"/>
  <c r="F40" i="29"/>
  <c r="F7" i="29"/>
  <c r="C5" i="29" l="1"/>
  <c r="AO39" i="73"/>
  <c r="C7" i="29"/>
  <c r="Q7" i="29" s="1"/>
  <c r="AO41" i="73"/>
  <c r="K324" i="73" s="1"/>
  <c r="J122" i="64"/>
  <c r="L6" i="66"/>
  <c r="N6" i="66" s="1"/>
  <c r="D120" i="64"/>
  <c r="G4" i="66"/>
  <c r="J120" i="64"/>
  <c r="L4" i="66"/>
  <c r="N4" i="66" s="1"/>
  <c r="C38" i="29"/>
  <c r="C71" i="29" s="1"/>
  <c r="AH42" i="54"/>
  <c r="Q40" i="29"/>
  <c r="AH7" i="54"/>
  <c r="N120" i="64" l="1"/>
  <c r="G6" i="66"/>
  <c r="D122" i="64"/>
  <c r="N122" i="64" s="1"/>
  <c r="C73" i="29"/>
  <c r="K322" i="73"/>
  <c r="K120" i="64"/>
  <c r="C120" i="64"/>
  <c r="G120" i="64"/>
  <c r="I120" i="64"/>
  <c r="E120" i="64"/>
  <c r="AD5" i="54"/>
  <c r="M5" i="29" s="1"/>
  <c r="AD40" i="54"/>
  <c r="M38" i="29" s="1"/>
  <c r="AD65" i="54"/>
  <c r="M63" i="29" s="1"/>
  <c r="AD30" i="54"/>
  <c r="M30" i="29" s="1"/>
  <c r="AA40" i="54"/>
  <c r="AA5" i="54"/>
  <c r="AA65" i="54"/>
  <c r="J63" i="29" s="1"/>
  <c r="AA30" i="54"/>
  <c r="K122" i="64" l="1"/>
  <c r="G122" i="64"/>
  <c r="C122" i="64"/>
  <c r="I122" i="64"/>
  <c r="M122" i="64"/>
  <c r="E122" i="64"/>
  <c r="J30" i="29"/>
  <c r="L136" i="64" s="1"/>
  <c r="AO200" i="73"/>
  <c r="K671" i="73" s="1"/>
  <c r="AO175" i="73"/>
  <c r="R63" i="29"/>
  <c r="J38" i="29"/>
  <c r="AH40" i="54"/>
  <c r="J5" i="29"/>
  <c r="R5" i="29" s="1"/>
  <c r="O4" i="66" s="1"/>
  <c r="Q4" i="66" s="1"/>
  <c r="AH5" i="54"/>
  <c r="R30" i="29" l="1"/>
  <c r="O19" i="66" s="1"/>
  <c r="Q19" i="66" s="1"/>
  <c r="K646" i="73"/>
  <c r="Q38" i="29"/>
  <c r="R38" i="29"/>
  <c r="Q5" i="29"/>
  <c r="L120" i="64"/>
  <c r="F30" i="29"/>
  <c r="F63" i="29"/>
  <c r="F28" i="29"/>
  <c r="F61" i="29"/>
  <c r="T63" i="54"/>
  <c r="C61" i="29" s="1"/>
  <c r="T28" i="54"/>
  <c r="T30" i="54"/>
  <c r="T65" i="54"/>
  <c r="C63" i="29" s="1"/>
  <c r="C30" i="29" l="1"/>
  <c r="D136" i="64" s="1"/>
  <c r="AO64" i="73"/>
  <c r="K347" i="73" s="1"/>
  <c r="C28" i="29"/>
  <c r="D150" i="64" s="1"/>
  <c r="AO62" i="73"/>
  <c r="K345" i="73" s="1"/>
  <c r="G19" i="66"/>
  <c r="J150" i="64"/>
  <c r="L30" i="66"/>
  <c r="N30" i="66" s="1"/>
  <c r="G30" i="66"/>
  <c r="J136" i="64"/>
  <c r="L19" i="66"/>
  <c r="N19" i="66" s="1"/>
  <c r="M120" i="64"/>
  <c r="AH65" i="54"/>
  <c r="Q63" i="29"/>
  <c r="AH30" i="54"/>
  <c r="Q30" i="29" l="1"/>
  <c r="C94" i="29"/>
  <c r="C96" i="29"/>
  <c r="N150" i="64"/>
  <c r="K150" i="64" s="1"/>
  <c r="N136" i="64"/>
  <c r="K136" i="64" s="1"/>
  <c r="I150" i="64"/>
  <c r="G150" i="64"/>
  <c r="C150" i="64"/>
  <c r="AD63" i="54"/>
  <c r="M61" i="29" s="1"/>
  <c r="AD28" i="54"/>
  <c r="M28" i="29" s="1"/>
  <c r="AA26" i="54"/>
  <c r="AA61" i="54"/>
  <c r="J59" i="29" s="1"/>
  <c r="AA63" i="54"/>
  <c r="AA28" i="54"/>
  <c r="AD26" i="54"/>
  <c r="M26" i="29" s="1"/>
  <c r="AD61" i="54"/>
  <c r="M59" i="29" s="1"/>
  <c r="E150" i="64" l="1"/>
  <c r="C136" i="64"/>
  <c r="M136" i="64"/>
  <c r="I136" i="64"/>
  <c r="E136" i="64"/>
  <c r="J26" i="29"/>
  <c r="L124" i="64" s="1"/>
  <c r="AO196" i="73"/>
  <c r="K667" i="73" s="1"/>
  <c r="J28" i="29"/>
  <c r="L150" i="64" s="1"/>
  <c r="M150" i="64" s="1"/>
  <c r="AO198" i="73"/>
  <c r="K669" i="73" s="1"/>
  <c r="G136" i="64"/>
  <c r="R59" i="29"/>
  <c r="AH63" i="54"/>
  <c r="J61" i="29"/>
  <c r="R61" i="29" s="1"/>
  <c r="AH28" i="54"/>
  <c r="R26" i="29" l="1"/>
  <c r="O8" i="66" s="1"/>
  <c r="Q8" i="66" s="1"/>
  <c r="Q28" i="29"/>
  <c r="R28" i="29"/>
  <c r="O30" i="66" s="1"/>
  <c r="Q30" i="66" s="1"/>
  <c r="Q61" i="29"/>
  <c r="F57" i="29"/>
  <c r="F24" i="29"/>
  <c r="T24" i="54"/>
  <c r="T59" i="54"/>
  <c r="C57" i="29" s="1"/>
  <c r="T61" i="54"/>
  <c r="C59" i="29" s="1"/>
  <c r="T26" i="54"/>
  <c r="F59" i="29"/>
  <c r="F26" i="29"/>
  <c r="C24" i="29" l="1"/>
  <c r="AO58" i="73"/>
  <c r="K341" i="73" s="1"/>
  <c r="C26" i="29"/>
  <c r="Q26" i="29" s="1"/>
  <c r="AO60" i="73"/>
  <c r="K343" i="73" s="1"/>
  <c r="G8" i="66"/>
  <c r="J135" i="64"/>
  <c r="L18" i="66"/>
  <c r="N18" i="66" s="1"/>
  <c r="D135" i="64"/>
  <c r="G18" i="66"/>
  <c r="J124" i="64"/>
  <c r="L8" i="66"/>
  <c r="N8" i="66" s="1"/>
  <c r="C90" i="29"/>
  <c r="AH61" i="54"/>
  <c r="Q59" i="29"/>
  <c r="AH26" i="54"/>
  <c r="N135" i="64" l="1"/>
  <c r="C92" i="29"/>
  <c r="D124" i="64"/>
  <c r="E124" i="64" s="1"/>
  <c r="N124" i="64"/>
  <c r="K124" i="64" s="1"/>
  <c r="M124" i="64"/>
  <c r="C135" i="64"/>
  <c r="I135" i="64"/>
  <c r="G135" i="64"/>
  <c r="E135" i="64"/>
  <c r="K135" i="64"/>
  <c r="AA57" i="54"/>
  <c r="J55" i="29" s="1"/>
  <c r="R55" i="29" s="1"/>
  <c r="AA22" i="54"/>
  <c r="AD57" i="54"/>
  <c r="M55" i="29" s="1"/>
  <c r="AD22" i="54"/>
  <c r="M22" i="29" s="1"/>
  <c r="AA59" i="54"/>
  <c r="J57" i="29" s="1"/>
  <c r="AA24" i="54"/>
  <c r="AD59" i="54"/>
  <c r="M57" i="29" s="1"/>
  <c r="AD24" i="54"/>
  <c r="M24" i="29" s="1"/>
  <c r="C124" i="64" l="1"/>
  <c r="I124" i="64"/>
  <c r="G124" i="64"/>
  <c r="J22" i="29"/>
  <c r="L134" i="64" s="1"/>
  <c r="AO192" i="73"/>
  <c r="K663" i="73" s="1"/>
  <c r="J24" i="29"/>
  <c r="Q24" i="29" s="1"/>
  <c r="AO194" i="73"/>
  <c r="K665" i="73" s="1"/>
  <c r="R57" i="29"/>
  <c r="AH24" i="54"/>
  <c r="AH59" i="54"/>
  <c r="R22" i="29" l="1"/>
  <c r="O17" i="66" s="1"/>
  <c r="Q17" i="66" s="1"/>
  <c r="R24" i="29"/>
  <c r="O18" i="66" s="1"/>
  <c r="Q18" i="66" s="1"/>
  <c r="L135" i="64"/>
  <c r="M135" i="64" s="1"/>
  <c r="Q57" i="29"/>
  <c r="T20" i="54"/>
  <c r="T55" i="54"/>
  <c r="C53" i="29" s="1"/>
  <c r="T57" i="54"/>
  <c r="C55" i="29" s="1"/>
  <c r="T22" i="54"/>
  <c r="F22" i="29"/>
  <c r="F55" i="29"/>
  <c r="F53" i="29"/>
  <c r="F20" i="29"/>
  <c r="C22" i="29" l="1"/>
  <c r="D134" i="64" s="1"/>
  <c r="N134" i="64" s="1"/>
  <c r="AO56" i="73"/>
  <c r="K339" i="73" s="1"/>
  <c r="C20" i="29"/>
  <c r="D148" i="64" s="1"/>
  <c r="D151" i="64" s="1"/>
  <c r="AO54" i="73"/>
  <c r="K337" i="73" s="1"/>
  <c r="J134" i="64"/>
  <c r="L17" i="66"/>
  <c r="N17" i="66" s="1"/>
  <c r="G28" i="66"/>
  <c r="J148" i="64"/>
  <c r="J151" i="64" s="1"/>
  <c r="L28" i="66"/>
  <c r="N28" i="66" s="1"/>
  <c r="G17" i="66"/>
  <c r="C88" i="29"/>
  <c r="AH22" i="54"/>
  <c r="Q22" i="29"/>
  <c r="AH57" i="54"/>
  <c r="Q55" i="29"/>
  <c r="C86" i="29" l="1"/>
  <c r="N148" i="64"/>
  <c r="G148" i="64" s="1"/>
  <c r="I134" i="64"/>
  <c r="G134" i="64"/>
  <c r="C134" i="64"/>
  <c r="M134" i="64"/>
  <c r="E134" i="64"/>
  <c r="K134" i="64"/>
  <c r="I148" i="64"/>
  <c r="C148" i="64"/>
  <c r="K148" i="64"/>
  <c r="E148" i="64"/>
  <c r="AA53" i="54"/>
  <c r="J51" i="29" s="1"/>
  <c r="AA18" i="54"/>
  <c r="AD20" i="54"/>
  <c r="M20" i="29" s="1"/>
  <c r="AD55" i="54"/>
  <c r="M53" i="29" s="1"/>
  <c r="AA55" i="54"/>
  <c r="J53" i="29" s="1"/>
  <c r="AA20" i="54"/>
  <c r="AD18" i="54"/>
  <c r="M18" i="29" s="1"/>
  <c r="AD53" i="54"/>
  <c r="M51" i="29" s="1"/>
  <c r="J20" i="29" l="1"/>
  <c r="AO190" i="73"/>
  <c r="K661" i="73" s="1"/>
  <c r="J18" i="29"/>
  <c r="R18" i="29" s="1"/>
  <c r="O7" i="66" s="1"/>
  <c r="Q7" i="66" s="1"/>
  <c r="AO188" i="73"/>
  <c r="K659" i="73" s="1"/>
  <c r="R53" i="29"/>
  <c r="R51" i="29"/>
  <c r="L148" i="64"/>
  <c r="M148" i="64" s="1"/>
  <c r="R20" i="29"/>
  <c r="O28" i="66" s="1"/>
  <c r="Q28" i="66" s="1"/>
  <c r="L123" i="64"/>
  <c r="Q20" i="29"/>
  <c r="AH20" i="54"/>
  <c r="AH55" i="54"/>
  <c r="N101" i="61"/>
  <c r="X134" i="61" s="1"/>
  <c r="M101" i="61"/>
  <c r="W134" i="61" s="1"/>
  <c r="L101" i="61"/>
  <c r="V134" i="61" s="1"/>
  <c r="K101" i="61"/>
  <c r="U134" i="61" s="1"/>
  <c r="J101" i="61"/>
  <c r="T134" i="61" s="1"/>
  <c r="I101" i="61"/>
  <c r="S134" i="61" s="1"/>
  <c r="H101" i="61"/>
  <c r="R134" i="61" s="1"/>
  <c r="G101" i="61"/>
  <c r="Q134" i="61" s="1"/>
  <c r="F101" i="61"/>
  <c r="P134" i="61" s="1"/>
  <c r="E101" i="61"/>
  <c r="O134" i="61" s="1"/>
  <c r="D101" i="61"/>
  <c r="N134" i="61" s="1"/>
  <c r="C101" i="61"/>
  <c r="M134" i="61" s="1"/>
  <c r="B101" i="61"/>
  <c r="L134" i="61" s="1"/>
  <c r="N100" i="61"/>
  <c r="X133" i="61" s="1"/>
  <c r="M100" i="61"/>
  <c r="W133" i="61" s="1"/>
  <c r="L100" i="61"/>
  <c r="V133" i="61" s="1"/>
  <c r="K100" i="61"/>
  <c r="U133" i="61" s="1"/>
  <c r="J100" i="61"/>
  <c r="T133" i="61" s="1"/>
  <c r="I100" i="61"/>
  <c r="S133" i="61" s="1"/>
  <c r="H100" i="61"/>
  <c r="R133" i="61" s="1"/>
  <c r="G100" i="61"/>
  <c r="Q133" i="61" s="1"/>
  <c r="F100" i="61"/>
  <c r="P133" i="61" s="1"/>
  <c r="E100" i="61"/>
  <c r="O133" i="61" s="1"/>
  <c r="D100" i="61"/>
  <c r="N133" i="61" s="1"/>
  <c r="C100" i="61"/>
  <c r="M133" i="61" s="1"/>
  <c r="B100" i="61"/>
  <c r="L133" i="61" s="1"/>
  <c r="N99" i="61"/>
  <c r="X132" i="61" s="1"/>
  <c r="M99" i="61"/>
  <c r="W132" i="61" s="1"/>
  <c r="L99" i="61"/>
  <c r="V132" i="61" s="1"/>
  <c r="K99" i="61"/>
  <c r="U132" i="61" s="1"/>
  <c r="J99" i="61"/>
  <c r="T132" i="61" s="1"/>
  <c r="I99" i="61"/>
  <c r="S132" i="61" s="1"/>
  <c r="H99" i="61"/>
  <c r="R132" i="61" s="1"/>
  <c r="G99" i="61"/>
  <c r="Q132" i="61" s="1"/>
  <c r="F99" i="61"/>
  <c r="P132" i="61" s="1"/>
  <c r="E99" i="61"/>
  <c r="O132" i="61" s="1"/>
  <c r="D99" i="61"/>
  <c r="N132" i="61" s="1"/>
  <c r="C99" i="61"/>
  <c r="M132" i="61" s="1"/>
  <c r="B99" i="61"/>
  <c r="L132" i="61" s="1"/>
  <c r="N98" i="61"/>
  <c r="X131" i="61" s="1"/>
  <c r="M98" i="61"/>
  <c r="W131" i="61" s="1"/>
  <c r="L98" i="61"/>
  <c r="V131" i="61" s="1"/>
  <c r="K98" i="61"/>
  <c r="U131" i="61" s="1"/>
  <c r="J98" i="61"/>
  <c r="T131" i="61" s="1"/>
  <c r="I98" i="61"/>
  <c r="S131" i="61" s="1"/>
  <c r="H98" i="61"/>
  <c r="R131" i="61" s="1"/>
  <c r="G98" i="61"/>
  <c r="Q131" i="61" s="1"/>
  <c r="F98" i="61"/>
  <c r="P131" i="61" s="1"/>
  <c r="E98" i="61"/>
  <c r="O131" i="61" s="1"/>
  <c r="D98" i="61"/>
  <c r="N131" i="61" s="1"/>
  <c r="C98" i="61"/>
  <c r="M131" i="61" s="1"/>
  <c r="B98" i="61"/>
  <c r="L131" i="61" s="1"/>
  <c r="N97" i="61"/>
  <c r="X130" i="61" s="1"/>
  <c r="M97" i="61"/>
  <c r="W130" i="61" s="1"/>
  <c r="L97" i="61"/>
  <c r="V130" i="61" s="1"/>
  <c r="K97" i="61"/>
  <c r="U130" i="61" s="1"/>
  <c r="J97" i="61"/>
  <c r="T130" i="61" s="1"/>
  <c r="I97" i="61"/>
  <c r="S130" i="61" s="1"/>
  <c r="H97" i="61"/>
  <c r="R130" i="61" s="1"/>
  <c r="G97" i="61"/>
  <c r="Q130" i="61" s="1"/>
  <c r="F97" i="61"/>
  <c r="P130" i="61" s="1"/>
  <c r="E97" i="61"/>
  <c r="O130" i="61" s="1"/>
  <c r="D97" i="61"/>
  <c r="N130" i="61" s="1"/>
  <c r="C97" i="61"/>
  <c r="M130" i="61" s="1"/>
  <c r="B97" i="61"/>
  <c r="L130" i="61" s="1"/>
  <c r="N96" i="61"/>
  <c r="X129" i="61" s="1"/>
  <c r="M96" i="61"/>
  <c r="W129" i="61" s="1"/>
  <c r="L96" i="61"/>
  <c r="V129" i="61" s="1"/>
  <c r="K96" i="61"/>
  <c r="U129" i="61" s="1"/>
  <c r="J96" i="61"/>
  <c r="T129" i="61" s="1"/>
  <c r="I96" i="61"/>
  <c r="S129" i="61" s="1"/>
  <c r="H96" i="61"/>
  <c r="R129" i="61" s="1"/>
  <c r="G96" i="61"/>
  <c r="Q129" i="61" s="1"/>
  <c r="F96" i="61"/>
  <c r="P129" i="61" s="1"/>
  <c r="E96" i="61"/>
  <c r="O129" i="61" s="1"/>
  <c r="D96" i="61"/>
  <c r="N129" i="61" s="1"/>
  <c r="C96" i="61"/>
  <c r="M129" i="61" s="1"/>
  <c r="B96" i="61"/>
  <c r="L129" i="61" s="1"/>
  <c r="N95" i="61"/>
  <c r="X128" i="61" s="1"/>
  <c r="M95" i="61"/>
  <c r="W128" i="61" s="1"/>
  <c r="L95" i="61"/>
  <c r="V128" i="61" s="1"/>
  <c r="K95" i="61"/>
  <c r="U128" i="61" s="1"/>
  <c r="J95" i="61"/>
  <c r="T128" i="61" s="1"/>
  <c r="I95" i="61"/>
  <c r="S128" i="61" s="1"/>
  <c r="H95" i="61"/>
  <c r="R128" i="61" s="1"/>
  <c r="G95" i="61"/>
  <c r="Q128" i="61" s="1"/>
  <c r="F95" i="61"/>
  <c r="P128" i="61" s="1"/>
  <c r="E95" i="61"/>
  <c r="O128" i="61" s="1"/>
  <c r="D95" i="61"/>
  <c r="N128" i="61" s="1"/>
  <c r="C95" i="61"/>
  <c r="M128" i="61" s="1"/>
  <c r="B95" i="61"/>
  <c r="L128" i="61" s="1"/>
  <c r="N94" i="61"/>
  <c r="X127" i="61" s="1"/>
  <c r="M94" i="61"/>
  <c r="W127" i="61" s="1"/>
  <c r="L94" i="61"/>
  <c r="V127" i="61" s="1"/>
  <c r="K94" i="61"/>
  <c r="U127" i="61" s="1"/>
  <c r="J94" i="61"/>
  <c r="T127" i="61" s="1"/>
  <c r="I94" i="61"/>
  <c r="S127" i="61" s="1"/>
  <c r="H94" i="61"/>
  <c r="R127" i="61" s="1"/>
  <c r="G94" i="61"/>
  <c r="Q127" i="61" s="1"/>
  <c r="F94" i="61"/>
  <c r="P127" i="61" s="1"/>
  <c r="E94" i="61"/>
  <c r="O127" i="61" s="1"/>
  <c r="D94" i="61"/>
  <c r="N127" i="61" s="1"/>
  <c r="C94" i="61"/>
  <c r="M127" i="61" s="1"/>
  <c r="B94" i="61"/>
  <c r="L127" i="61" s="1"/>
  <c r="N93" i="61"/>
  <c r="X126" i="61" s="1"/>
  <c r="M93" i="61"/>
  <c r="W126" i="61" s="1"/>
  <c r="L93" i="61"/>
  <c r="V126" i="61" s="1"/>
  <c r="K93" i="61"/>
  <c r="U126" i="61" s="1"/>
  <c r="J93" i="61"/>
  <c r="T126" i="61" s="1"/>
  <c r="I93" i="61"/>
  <c r="S126" i="61" s="1"/>
  <c r="H93" i="61"/>
  <c r="R126" i="61" s="1"/>
  <c r="G93" i="61"/>
  <c r="Q126" i="61" s="1"/>
  <c r="F93" i="61"/>
  <c r="P126" i="61" s="1"/>
  <c r="E93" i="61"/>
  <c r="O126" i="61" s="1"/>
  <c r="D93" i="61"/>
  <c r="N126" i="61" s="1"/>
  <c r="C93" i="61"/>
  <c r="M126" i="61" s="1"/>
  <c r="B93" i="61"/>
  <c r="L126" i="61" s="1"/>
  <c r="N92" i="61"/>
  <c r="X125" i="61" s="1"/>
  <c r="M92" i="61"/>
  <c r="W125" i="61" s="1"/>
  <c r="L92" i="61"/>
  <c r="V125" i="61" s="1"/>
  <c r="K92" i="61"/>
  <c r="U125" i="61" s="1"/>
  <c r="J92" i="61"/>
  <c r="T125" i="61" s="1"/>
  <c r="I92" i="61"/>
  <c r="S125" i="61" s="1"/>
  <c r="H92" i="61"/>
  <c r="R125" i="61" s="1"/>
  <c r="G92" i="61"/>
  <c r="Q125" i="61" s="1"/>
  <c r="F92" i="61"/>
  <c r="P125" i="61" s="1"/>
  <c r="E92" i="61"/>
  <c r="O125" i="61" s="1"/>
  <c r="D92" i="61"/>
  <c r="N125" i="61" s="1"/>
  <c r="C92" i="61"/>
  <c r="M125" i="61" s="1"/>
  <c r="B92" i="61"/>
  <c r="L125" i="61" s="1"/>
  <c r="N91" i="61"/>
  <c r="X124" i="61" s="1"/>
  <c r="M91" i="61"/>
  <c r="W124" i="61" s="1"/>
  <c r="L91" i="61"/>
  <c r="V124" i="61" s="1"/>
  <c r="K91" i="61"/>
  <c r="U124" i="61" s="1"/>
  <c r="J91" i="61"/>
  <c r="T124" i="61" s="1"/>
  <c r="I91" i="61"/>
  <c r="S124" i="61" s="1"/>
  <c r="H91" i="61"/>
  <c r="R124" i="61" s="1"/>
  <c r="G91" i="61"/>
  <c r="Q124" i="61" s="1"/>
  <c r="F91" i="61"/>
  <c r="P124" i="61" s="1"/>
  <c r="E91" i="61"/>
  <c r="O124" i="61" s="1"/>
  <c r="D91" i="61"/>
  <c r="N124" i="61" s="1"/>
  <c r="C91" i="61"/>
  <c r="M124" i="61" s="1"/>
  <c r="B91" i="61"/>
  <c r="L124" i="61" s="1"/>
  <c r="N90" i="61"/>
  <c r="X123" i="61" s="1"/>
  <c r="M90" i="61"/>
  <c r="W123" i="61" s="1"/>
  <c r="L90" i="61"/>
  <c r="V123" i="61" s="1"/>
  <c r="K90" i="61"/>
  <c r="U123" i="61" s="1"/>
  <c r="J90" i="61"/>
  <c r="T123" i="61" s="1"/>
  <c r="I90" i="61"/>
  <c r="S123" i="61" s="1"/>
  <c r="H90" i="61"/>
  <c r="R123" i="61" s="1"/>
  <c r="G90" i="61"/>
  <c r="Q123" i="61" s="1"/>
  <c r="F90" i="61"/>
  <c r="P123" i="61" s="1"/>
  <c r="E90" i="61"/>
  <c r="O123" i="61" s="1"/>
  <c r="D90" i="61"/>
  <c r="N123" i="61" s="1"/>
  <c r="C90" i="61"/>
  <c r="M123" i="61" s="1"/>
  <c r="B90" i="61"/>
  <c r="L123" i="61" s="1"/>
  <c r="N89" i="61"/>
  <c r="X122" i="61" s="1"/>
  <c r="M89" i="61"/>
  <c r="W122" i="61" s="1"/>
  <c r="L89" i="61"/>
  <c r="V122" i="61" s="1"/>
  <c r="K89" i="61"/>
  <c r="U122" i="61" s="1"/>
  <c r="J89" i="61"/>
  <c r="T122" i="61" s="1"/>
  <c r="I89" i="61"/>
  <c r="S122" i="61" s="1"/>
  <c r="H89" i="61"/>
  <c r="R122" i="61" s="1"/>
  <c r="G89" i="61"/>
  <c r="Q122" i="61" s="1"/>
  <c r="F89" i="61"/>
  <c r="P122" i="61" s="1"/>
  <c r="E89" i="61"/>
  <c r="O122" i="61" s="1"/>
  <c r="D89" i="61"/>
  <c r="N122" i="61" s="1"/>
  <c r="C89" i="61"/>
  <c r="M122" i="61" s="1"/>
  <c r="B89" i="61"/>
  <c r="L122" i="61" s="1"/>
  <c r="N88" i="61"/>
  <c r="X121" i="61" s="1"/>
  <c r="M88" i="61"/>
  <c r="W121" i="61" s="1"/>
  <c r="L88" i="61"/>
  <c r="V121" i="61" s="1"/>
  <c r="K88" i="61"/>
  <c r="U121" i="61" s="1"/>
  <c r="J88" i="61"/>
  <c r="T121" i="61" s="1"/>
  <c r="I88" i="61"/>
  <c r="S121" i="61" s="1"/>
  <c r="H88" i="61"/>
  <c r="R121" i="61" s="1"/>
  <c r="G88" i="61"/>
  <c r="Q121" i="61" s="1"/>
  <c r="F88" i="61"/>
  <c r="P121" i="61" s="1"/>
  <c r="E88" i="61"/>
  <c r="O121" i="61" s="1"/>
  <c r="D88" i="61"/>
  <c r="N121" i="61" s="1"/>
  <c r="C88" i="61"/>
  <c r="M121" i="61" s="1"/>
  <c r="B88" i="61"/>
  <c r="L121" i="61" s="1"/>
  <c r="N87" i="61"/>
  <c r="X120" i="61" s="1"/>
  <c r="M87" i="61"/>
  <c r="W120" i="61" s="1"/>
  <c r="L87" i="61"/>
  <c r="V120" i="61" s="1"/>
  <c r="K87" i="61"/>
  <c r="U120" i="61" s="1"/>
  <c r="J87" i="61"/>
  <c r="T120" i="61" s="1"/>
  <c r="I87" i="61"/>
  <c r="S120" i="61" s="1"/>
  <c r="H87" i="61"/>
  <c r="R120" i="61" s="1"/>
  <c r="G87" i="61"/>
  <c r="Q120" i="61" s="1"/>
  <c r="F87" i="61"/>
  <c r="P120" i="61" s="1"/>
  <c r="E87" i="61"/>
  <c r="O120" i="61" s="1"/>
  <c r="D87" i="61"/>
  <c r="N120" i="61" s="1"/>
  <c r="C87" i="61"/>
  <c r="M120" i="61" s="1"/>
  <c r="B87" i="61"/>
  <c r="L120" i="61" s="1"/>
  <c r="N86" i="61"/>
  <c r="X119" i="61" s="1"/>
  <c r="M86" i="61"/>
  <c r="W119" i="61" s="1"/>
  <c r="L86" i="61"/>
  <c r="V119" i="61" s="1"/>
  <c r="K86" i="61"/>
  <c r="U119" i="61" s="1"/>
  <c r="J86" i="61"/>
  <c r="T119" i="61" s="1"/>
  <c r="I86" i="61"/>
  <c r="S119" i="61" s="1"/>
  <c r="H86" i="61"/>
  <c r="R119" i="61" s="1"/>
  <c r="G86" i="61"/>
  <c r="Q119" i="61" s="1"/>
  <c r="F86" i="61"/>
  <c r="P119" i="61" s="1"/>
  <c r="E86" i="61"/>
  <c r="O119" i="61" s="1"/>
  <c r="D86" i="61"/>
  <c r="N119" i="61" s="1"/>
  <c r="C86" i="61"/>
  <c r="M119" i="61" s="1"/>
  <c r="B86" i="61"/>
  <c r="L119" i="61" s="1"/>
  <c r="N85" i="61"/>
  <c r="X118" i="61" s="1"/>
  <c r="M85" i="61"/>
  <c r="W118" i="61" s="1"/>
  <c r="L85" i="61"/>
  <c r="V118" i="61" s="1"/>
  <c r="K85" i="61"/>
  <c r="U118" i="61" s="1"/>
  <c r="J85" i="61"/>
  <c r="T118" i="61" s="1"/>
  <c r="I85" i="61"/>
  <c r="S118" i="61" s="1"/>
  <c r="H85" i="61"/>
  <c r="R118" i="61" s="1"/>
  <c r="G85" i="61"/>
  <c r="Q118" i="61" s="1"/>
  <c r="F85" i="61"/>
  <c r="P118" i="61" s="1"/>
  <c r="E85" i="61"/>
  <c r="O118" i="61" s="1"/>
  <c r="D85" i="61"/>
  <c r="N118" i="61" s="1"/>
  <c r="C85" i="61"/>
  <c r="M118" i="61" s="1"/>
  <c r="B85" i="61"/>
  <c r="L118" i="61" s="1"/>
  <c r="N84" i="61"/>
  <c r="X117" i="61" s="1"/>
  <c r="M84" i="61"/>
  <c r="W117" i="61" s="1"/>
  <c r="L84" i="61"/>
  <c r="V117" i="61" s="1"/>
  <c r="K84" i="61"/>
  <c r="U117" i="61" s="1"/>
  <c r="J84" i="61"/>
  <c r="T117" i="61" s="1"/>
  <c r="I84" i="61"/>
  <c r="S117" i="61" s="1"/>
  <c r="H84" i="61"/>
  <c r="R117" i="61" s="1"/>
  <c r="G84" i="61"/>
  <c r="Q117" i="61" s="1"/>
  <c r="F84" i="61"/>
  <c r="P117" i="61" s="1"/>
  <c r="E84" i="61"/>
  <c r="O117" i="61" s="1"/>
  <c r="D84" i="61"/>
  <c r="N117" i="61" s="1"/>
  <c r="C84" i="61"/>
  <c r="M117" i="61" s="1"/>
  <c r="B84" i="61"/>
  <c r="L117" i="61" s="1"/>
  <c r="N83" i="61"/>
  <c r="X116" i="61" s="1"/>
  <c r="M83" i="61"/>
  <c r="W116" i="61" s="1"/>
  <c r="L83" i="61"/>
  <c r="V116" i="61" s="1"/>
  <c r="K83" i="61"/>
  <c r="U116" i="61" s="1"/>
  <c r="J83" i="61"/>
  <c r="T116" i="61" s="1"/>
  <c r="I83" i="61"/>
  <c r="S116" i="61" s="1"/>
  <c r="H83" i="61"/>
  <c r="R116" i="61" s="1"/>
  <c r="G83" i="61"/>
  <c r="Q116" i="61" s="1"/>
  <c r="F83" i="61"/>
  <c r="P116" i="61" s="1"/>
  <c r="E83" i="61"/>
  <c r="O116" i="61" s="1"/>
  <c r="D83" i="61"/>
  <c r="N116" i="61" s="1"/>
  <c r="C83" i="61"/>
  <c r="M116" i="61" s="1"/>
  <c r="B83" i="61"/>
  <c r="L116" i="61" s="1"/>
  <c r="N82" i="61"/>
  <c r="X115" i="61" s="1"/>
  <c r="M82" i="61"/>
  <c r="W115" i="61" s="1"/>
  <c r="L82" i="61"/>
  <c r="V115" i="61" s="1"/>
  <c r="K82" i="61"/>
  <c r="U115" i="61" s="1"/>
  <c r="J82" i="61"/>
  <c r="T115" i="61" s="1"/>
  <c r="I82" i="61"/>
  <c r="S115" i="61" s="1"/>
  <c r="H82" i="61"/>
  <c r="R115" i="61" s="1"/>
  <c r="G82" i="61"/>
  <c r="Q115" i="61" s="1"/>
  <c r="F82" i="61"/>
  <c r="P115" i="61" s="1"/>
  <c r="E82" i="61"/>
  <c r="O115" i="61" s="1"/>
  <c r="D82" i="61"/>
  <c r="N115" i="61" s="1"/>
  <c r="C82" i="61"/>
  <c r="M115" i="61" s="1"/>
  <c r="B82" i="61"/>
  <c r="L115" i="61" s="1"/>
  <c r="N81" i="61"/>
  <c r="X114" i="61" s="1"/>
  <c r="M81" i="61"/>
  <c r="W114" i="61" s="1"/>
  <c r="L81" i="61"/>
  <c r="V114" i="61" s="1"/>
  <c r="K81" i="61"/>
  <c r="U114" i="61" s="1"/>
  <c r="J81" i="61"/>
  <c r="T114" i="61" s="1"/>
  <c r="I81" i="61"/>
  <c r="S114" i="61" s="1"/>
  <c r="H81" i="61"/>
  <c r="R114" i="61" s="1"/>
  <c r="G81" i="61"/>
  <c r="Q114" i="61" s="1"/>
  <c r="F81" i="61"/>
  <c r="P114" i="61" s="1"/>
  <c r="E81" i="61"/>
  <c r="O114" i="61" s="1"/>
  <c r="D81" i="61"/>
  <c r="N114" i="61" s="1"/>
  <c r="C81" i="61"/>
  <c r="M114" i="61" s="1"/>
  <c r="B81" i="61"/>
  <c r="L114" i="61" s="1"/>
  <c r="N80" i="61"/>
  <c r="X113" i="61" s="1"/>
  <c r="M80" i="61"/>
  <c r="W113" i="61" s="1"/>
  <c r="L80" i="61"/>
  <c r="V113" i="61" s="1"/>
  <c r="K80" i="61"/>
  <c r="U113" i="61" s="1"/>
  <c r="J80" i="61"/>
  <c r="T113" i="61" s="1"/>
  <c r="I80" i="61"/>
  <c r="S113" i="61" s="1"/>
  <c r="H80" i="61"/>
  <c r="R113" i="61" s="1"/>
  <c r="G80" i="61"/>
  <c r="Q113" i="61" s="1"/>
  <c r="F80" i="61"/>
  <c r="P113" i="61" s="1"/>
  <c r="E80" i="61"/>
  <c r="O113" i="61" s="1"/>
  <c r="D80" i="61"/>
  <c r="N113" i="61" s="1"/>
  <c r="C80" i="61"/>
  <c r="M113" i="61" s="1"/>
  <c r="B80" i="61"/>
  <c r="L113" i="61" s="1"/>
  <c r="N79" i="61"/>
  <c r="X112" i="61" s="1"/>
  <c r="M79" i="61"/>
  <c r="W112" i="61" s="1"/>
  <c r="L79" i="61"/>
  <c r="V112" i="61" s="1"/>
  <c r="K79" i="61"/>
  <c r="U112" i="61" s="1"/>
  <c r="J79" i="61"/>
  <c r="T112" i="61" s="1"/>
  <c r="I79" i="61"/>
  <c r="S112" i="61" s="1"/>
  <c r="H79" i="61"/>
  <c r="R112" i="61" s="1"/>
  <c r="G79" i="61"/>
  <c r="Q112" i="61" s="1"/>
  <c r="F79" i="61"/>
  <c r="P112" i="61" s="1"/>
  <c r="E79" i="61"/>
  <c r="O112" i="61" s="1"/>
  <c r="D79" i="61"/>
  <c r="N112" i="61" s="1"/>
  <c r="C79" i="61"/>
  <c r="M112" i="61" s="1"/>
  <c r="B79" i="61"/>
  <c r="L112" i="61" s="1"/>
  <c r="N78" i="61"/>
  <c r="X111" i="61" s="1"/>
  <c r="M78" i="61"/>
  <c r="W111" i="61" s="1"/>
  <c r="L78" i="61"/>
  <c r="V111" i="61" s="1"/>
  <c r="K78" i="61"/>
  <c r="U111" i="61" s="1"/>
  <c r="J78" i="61"/>
  <c r="T111" i="61" s="1"/>
  <c r="I78" i="61"/>
  <c r="S111" i="61" s="1"/>
  <c r="H78" i="61"/>
  <c r="R111" i="61" s="1"/>
  <c r="G78" i="61"/>
  <c r="Q111" i="61" s="1"/>
  <c r="F78" i="61"/>
  <c r="P111" i="61" s="1"/>
  <c r="E78" i="61"/>
  <c r="O111" i="61" s="1"/>
  <c r="D78" i="61"/>
  <c r="N111" i="61" s="1"/>
  <c r="C78" i="61"/>
  <c r="M111" i="61" s="1"/>
  <c r="B78" i="61"/>
  <c r="L111" i="61" s="1"/>
  <c r="N77" i="61"/>
  <c r="X110" i="61" s="1"/>
  <c r="M77" i="61"/>
  <c r="W110" i="61" s="1"/>
  <c r="L77" i="61"/>
  <c r="V110" i="61" s="1"/>
  <c r="K77" i="61"/>
  <c r="U110" i="61" s="1"/>
  <c r="J77" i="61"/>
  <c r="T110" i="61" s="1"/>
  <c r="I77" i="61"/>
  <c r="S110" i="61" s="1"/>
  <c r="H77" i="61"/>
  <c r="R110" i="61" s="1"/>
  <c r="G77" i="61"/>
  <c r="Q110" i="61" s="1"/>
  <c r="F77" i="61"/>
  <c r="P110" i="61" s="1"/>
  <c r="E77" i="61"/>
  <c r="O110" i="61" s="1"/>
  <c r="D77" i="61"/>
  <c r="N110" i="61" s="1"/>
  <c r="C77" i="61"/>
  <c r="M110" i="61" s="1"/>
  <c r="B77" i="61"/>
  <c r="L110" i="61" s="1"/>
  <c r="N76" i="61"/>
  <c r="X109" i="61" s="1"/>
  <c r="M76" i="61"/>
  <c r="W109" i="61" s="1"/>
  <c r="L76" i="61"/>
  <c r="V109" i="61" s="1"/>
  <c r="K76" i="61"/>
  <c r="U109" i="61" s="1"/>
  <c r="J76" i="61"/>
  <c r="T109" i="61" s="1"/>
  <c r="I76" i="61"/>
  <c r="S109" i="61" s="1"/>
  <c r="H76" i="61"/>
  <c r="R109" i="61" s="1"/>
  <c r="G76" i="61"/>
  <c r="Q109" i="61" s="1"/>
  <c r="F76" i="61"/>
  <c r="P109" i="61" s="1"/>
  <c r="E76" i="61"/>
  <c r="O109" i="61" s="1"/>
  <c r="D76" i="61"/>
  <c r="N109" i="61" s="1"/>
  <c r="C76" i="61"/>
  <c r="M109" i="61" s="1"/>
  <c r="B76" i="61"/>
  <c r="L109" i="61" s="1"/>
  <c r="N75" i="61"/>
  <c r="X108" i="61" s="1"/>
  <c r="M75" i="61"/>
  <c r="W108" i="61" s="1"/>
  <c r="L75" i="61"/>
  <c r="V108" i="61" s="1"/>
  <c r="K75" i="61"/>
  <c r="U108" i="61" s="1"/>
  <c r="J75" i="61"/>
  <c r="T108" i="61" s="1"/>
  <c r="I75" i="61"/>
  <c r="S108" i="61" s="1"/>
  <c r="H75" i="61"/>
  <c r="R108" i="61" s="1"/>
  <c r="G75" i="61"/>
  <c r="Q108" i="61" s="1"/>
  <c r="F75" i="61"/>
  <c r="P108" i="61" s="1"/>
  <c r="E75" i="61"/>
  <c r="O108" i="61" s="1"/>
  <c r="D75" i="61"/>
  <c r="N108" i="61" s="1"/>
  <c r="C75" i="61"/>
  <c r="M108" i="61" s="1"/>
  <c r="B75" i="61"/>
  <c r="L108" i="61" s="1"/>
  <c r="N67" i="61"/>
  <c r="M67" i="61"/>
  <c r="L67" i="61"/>
  <c r="K67" i="61"/>
  <c r="J67" i="61"/>
  <c r="I67" i="61"/>
  <c r="H67" i="61"/>
  <c r="G67" i="61"/>
  <c r="F67" i="61"/>
  <c r="AQ170" i="73" s="1"/>
  <c r="M739" i="73" s="1"/>
  <c r="M757" i="73" s="1"/>
  <c r="E67" i="61"/>
  <c r="AQ136" i="73" s="1"/>
  <c r="M736" i="73" s="1"/>
  <c r="M754" i="73" s="1"/>
  <c r="D67" i="61"/>
  <c r="AQ102" i="73" s="1"/>
  <c r="M733" i="73" s="1"/>
  <c r="M751" i="73" s="1"/>
  <c r="C67" i="61"/>
  <c r="AQ68" i="73" s="1"/>
  <c r="M730" i="73" s="1"/>
  <c r="M748" i="73" s="1"/>
  <c r="B67" i="61"/>
  <c r="AQ34" i="73" s="1"/>
  <c r="M727" i="73" s="1"/>
  <c r="M745" i="73" s="1"/>
  <c r="O66" i="61"/>
  <c r="O65" i="61"/>
  <c r="O64" i="61"/>
  <c r="O63" i="61"/>
  <c r="O62" i="61"/>
  <c r="O61" i="61"/>
  <c r="O60" i="61"/>
  <c r="O59" i="61"/>
  <c r="O58" i="61"/>
  <c r="O57" i="61"/>
  <c r="O56" i="61"/>
  <c r="O55" i="61"/>
  <c r="O54" i="61"/>
  <c r="O53" i="61"/>
  <c r="O52" i="61"/>
  <c r="O51" i="61"/>
  <c r="O50" i="61"/>
  <c r="O49" i="61"/>
  <c r="O48" i="61"/>
  <c r="O47" i="61"/>
  <c r="O46" i="61"/>
  <c r="O45" i="61"/>
  <c r="O44" i="61"/>
  <c r="O43" i="61"/>
  <c r="O42" i="61"/>
  <c r="O41" i="61"/>
  <c r="O40" i="61"/>
  <c r="N32" i="61"/>
  <c r="M32" i="61"/>
  <c r="L32" i="61"/>
  <c r="K32" i="61"/>
  <c r="J32" i="61"/>
  <c r="I32" i="61"/>
  <c r="H32" i="61"/>
  <c r="G32" i="61"/>
  <c r="F32" i="61"/>
  <c r="E32" i="61"/>
  <c r="D32" i="61"/>
  <c r="C32" i="61"/>
  <c r="B32" i="61"/>
  <c r="O31" i="61"/>
  <c r="O30" i="61"/>
  <c r="O29" i="61"/>
  <c r="O28" i="61"/>
  <c r="O27" i="61"/>
  <c r="O26" i="61"/>
  <c r="O24" i="61"/>
  <c r="O23" i="61"/>
  <c r="O22" i="61"/>
  <c r="O21" i="61"/>
  <c r="O20" i="61"/>
  <c r="O19" i="61"/>
  <c r="O18" i="61"/>
  <c r="O17" i="61"/>
  <c r="O16" i="61"/>
  <c r="O15" i="61"/>
  <c r="O14" i="61"/>
  <c r="O13" i="61"/>
  <c r="O12" i="61"/>
  <c r="O11" i="61"/>
  <c r="O10" i="61"/>
  <c r="O9" i="61"/>
  <c r="O8" i="61"/>
  <c r="O7" i="61"/>
  <c r="O6" i="61"/>
  <c r="O5" i="61"/>
  <c r="N101" i="55"/>
  <c r="X134" i="55" s="1"/>
  <c r="M101" i="55"/>
  <c r="W134" i="55" s="1"/>
  <c r="L101" i="55"/>
  <c r="V134" i="55" s="1"/>
  <c r="K101" i="55"/>
  <c r="U134" i="55" s="1"/>
  <c r="J101" i="55"/>
  <c r="T134" i="55" s="1"/>
  <c r="I101" i="55"/>
  <c r="S134" i="55" s="1"/>
  <c r="H101" i="55"/>
  <c r="R134" i="55" s="1"/>
  <c r="G101" i="55"/>
  <c r="Q134" i="55" s="1"/>
  <c r="F101" i="55"/>
  <c r="P134" i="55" s="1"/>
  <c r="E101" i="55"/>
  <c r="O134" i="55" s="1"/>
  <c r="D101" i="55"/>
  <c r="N134" i="55" s="1"/>
  <c r="C101" i="55"/>
  <c r="M134" i="55" s="1"/>
  <c r="B101" i="55"/>
  <c r="L134" i="55" s="1"/>
  <c r="N100" i="55"/>
  <c r="X133" i="55" s="1"/>
  <c r="M100" i="55"/>
  <c r="W133" i="55" s="1"/>
  <c r="L100" i="55"/>
  <c r="V133" i="55" s="1"/>
  <c r="K100" i="55"/>
  <c r="U133" i="55" s="1"/>
  <c r="J100" i="55"/>
  <c r="T133" i="55" s="1"/>
  <c r="I100" i="55"/>
  <c r="S133" i="55" s="1"/>
  <c r="H100" i="55"/>
  <c r="R133" i="55" s="1"/>
  <c r="G100" i="55"/>
  <c r="Q133" i="55" s="1"/>
  <c r="F100" i="55"/>
  <c r="P133" i="55" s="1"/>
  <c r="E100" i="55"/>
  <c r="O133" i="55" s="1"/>
  <c r="D100" i="55"/>
  <c r="N133" i="55" s="1"/>
  <c r="C100" i="55"/>
  <c r="M133" i="55" s="1"/>
  <c r="B100" i="55"/>
  <c r="L133" i="55" s="1"/>
  <c r="N99" i="55"/>
  <c r="X132" i="55" s="1"/>
  <c r="M99" i="55"/>
  <c r="W132" i="55" s="1"/>
  <c r="L99" i="55"/>
  <c r="V132" i="55" s="1"/>
  <c r="K99" i="55"/>
  <c r="U132" i="55" s="1"/>
  <c r="J99" i="55"/>
  <c r="T132" i="55" s="1"/>
  <c r="I99" i="55"/>
  <c r="S132" i="55" s="1"/>
  <c r="H99" i="55"/>
  <c r="R132" i="55" s="1"/>
  <c r="G99" i="55"/>
  <c r="Q132" i="55" s="1"/>
  <c r="F99" i="55"/>
  <c r="P132" i="55" s="1"/>
  <c r="E99" i="55"/>
  <c r="O132" i="55" s="1"/>
  <c r="D99" i="55"/>
  <c r="N132" i="55" s="1"/>
  <c r="C99" i="55"/>
  <c r="M132" i="55" s="1"/>
  <c r="B99" i="55"/>
  <c r="L132" i="55" s="1"/>
  <c r="N98" i="55"/>
  <c r="X131" i="55" s="1"/>
  <c r="M98" i="55"/>
  <c r="W131" i="55" s="1"/>
  <c r="L98" i="55"/>
  <c r="V131" i="55" s="1"/>
  <c r="K98" i="55"/>
  <c r="U131" i="55" s="1"/>
  <c r="J98" i="55"/>
  <c r="T131" i="55" s="1"/>
  <c r="I98" i="55"/>
  <c r="S131" i="55" s="1"/>
  <c r="H98" i="55"/>
  <c r="R131" i="55" s="1"/>
  <c r="G98" i="55"/>
  <c r="Q131" i="55" s="1"/>
  <c r="F98" i="55"/>
  <c r="P131" i="55" s="1"/>
  <c r="E98" i="55"/>
  <c r="O131" i="55" s="1"/>
  <c r="D98" i="55"/>
  <c r="N131" i="55" s="1"/>
  <c r="C98" i="55"/>
  <c r="M131" i="55" s="1"/>
  <c r="B98" i="55"/>
  <c r="L131" i="55" s="1"/>
  <c r="N97" i="55"/>
  <c r="X130" i="55" s="1"/>
  <c r="M97" i="55"/>
  <c r="W130" i="55" s="1"/>
  <c r="L97" i="55"/>
  <c r="V130" i="55" s="1"/>
  <c r="K97" i="55"/>
  <c r="U130" i="55" s="1"/>
  <c r="J97" i="55"/>
  <c r="T130" i="55" s="1"/>
  <c r="I97" i="55"/>
  <c r="S130" i="55" s="1"/>
  <c r="H97" i="55"/>
  <c r="R130" i="55" s="1"/>
  <c r="G97" i="55"/>
  <c r="Q130" i="55" s="1"/>
  <c r="F97" i="55"/>
  <c r="P130" i="55" s="1"/>
  <c r="E97" i="55"/>
  <c r="O130" i="55" s="1"/>
  <c r="D97" i="55"/>
  <c r="N130" i="55" s="1"/>
  <c r="C97" i="55"/>
  <c r="M130" i="55" s="1"/>
  <c r="B97" i="55"/>
  <c r="L130" i="55" s="1"/>
  <c r="N96" i="55"/>
  <c r="X129" i="55" s="1"/>
  <c r="M96" i="55"/>
  <c r="W129" i="55" s="1"/>
  <c r="L96" i="55"/>
  <c r="V129" i="55" s="1"/>
  <c r="K96" i="55"/>
  <c r="U129" i="55" s="1"/>
  <c r="J96" i="55"/>
  <c r="T129" i="55" s="1"/>
  <c r="I96" i="55"/>
  <c r="S129" i="55" s="1"/>
  <c r="H96" i="55"/>
  <c r="R129" i="55" s="1"/>
  <c r="G96" i="55"/>
  <c r="Q129" i="55" s="1"/>
  <c r="F96" i="55"/>
  <c r="P129" i="55" s="1"/>
  <c r="E96" i="55"/>
  <c r="O129" i="55" s="1"/>
  <c r="D96" i="55"/>
  <c r="N129" i="55" s="1"/>
  <c r="C96" i="55"/>
  <c r="M129" i="55" s="1"/>
  <c r="B96" i="55"/>
  <c r="L129" i="55" s="1"/>
  <c r="N95" i="55"/>
  <c r="X128" i="55" s="1"/>
  <c r="M95" i="55"/>
  <c r="W128" i="55" s="1"/>
  <c r="L95" i="55"/>
  <c r="V128" i="55" s="1"/>
  <c r="K95" i="55"/>
  <c r="U128" i="55" s="1"/>
  <c r="J95" i="55"/>
  <c r="T128" i="55" s="1"/>
  <c r="I95" i="55"/>
  <c r="S128" i="55" s="1"/>
  <c r="H95" i="55"/>
  <c r="R128" i="55" s="1"/>
  <c r="G95" i="55"/>
  <c r="Q128" i="55" s="1"/>
  <c r="F95" i="55"/>
  <c r="P128" i="55" s="1"/>
  <c r="E95" i="55"/>
  <c r="O128" i="55" s="1"/>
  <c r="D95" i="55"/>
  <c r="N128" i="55" s="1"/>
  <c r="C95" i="55"/>
  <c r="M128" i="55" s="1"/>
  <c r="B95" i="55"/>
  <c r="L128" i="55" s="1"/>
  <c r="N94" i="55"/>
  <c r="X127" i="55" s="1"/>
  <c r="M94" i="55"/>
  <c r="W127" i="55" s="1"/>
  <c r="L94" i="55"/>
  <c r="V127" i="55" s="1"/>
  <c r="K94" i="55"/>
  <c r="U127" i="55" s="1"/>
  <c r="J94" i="55"/>
  <c r="T127" i="55" s="1"/>
  <c r="I94" i="55"/>
  <c r="S127" i="55" s="1"/>
  <c r="H94" i="55"/>
  <c r="R127" i="55" s="1"/>
  <c r="G94" i="55"/>
  <c r="Q127" i="55" s="1"/>
  <c r="F94" i="55"/>
  <c r="P127" i="55" s="1"/>
  <c r="E94" i="55"/>
  <c r="O127" i="55" s="1"/>
  <c r="D94" i="55"/>
  <c r="N127" i="55" s="1"/>
  <c r="C94" i="55"/>
  <c r="M127" i="55" s="1"/>
  <c r="B94" i="55"/>
  <c r="L127" i="55" s="1"/>
  <c r="N93" i="55"/>
  <c r="X126" i="55" s="1"/>
  <c r="M93" i="55"/>
  <c r="W126" i="55" s="1"/>
  <c r="L93" i="55"/>
  <c r="V126" i="55" s="1"/>
  <c r="K93" i="55"/>
  <c r="U126" i="55" s="1"/>
  <c r="J93" i="55"/>
  <c r="T126" i="55" s="1"/>
  <c r="I93" i="55"/>
  <c r="S126" i="55" s="1"/>
  <c r="H93" i="55"/>
  <c r="R126" i="55" s="1"/>
  <c r="G93" i="55"/>
  <c r="Q126" i="55" s="1"/>
  <c r="F93" i="55"/>
  <c r="P126" i="55" s="1"/>
  <c r="E93" i="55"/>
  <c r="O126" i="55" s="1"/>
  <c r="D93" i="55"/>
  <c r="N126" i="55" s="1"/>
  <c r="C93" i="55"/>
  <c r="M126" i="55" s="1"/>
  <c r="B93" i="55"/>
  <c r="L126" i="55" s="1"/>
  <c r="N92" i="55"/>
  <c r="X125" i="55" s="1"/>
  <c r="M92" i="55"/>
  <c r="W125" i="55" s="1"/>
  <c r="L92" i="55"/>
  <c r="V125" i="55" s="1"/>
  <c r="K92" i="55"/>
  <c r="U125" i="55" s="1"/>
  <c r="J92" i="55"/>
  <c r="T125" i="55" s="1"/>
  <c r="I92" i="55"/>
  <c r="S125" i="55" s="1"/>
  <c r="H92" i="55"/>
  <c r="R125" i="55" s="1"/>
  <c r="G92" i="55"/>
  <c r="Q125" i="55" s="1"/>
  <c r="F92" i="55"/>
  <c r="P125" i="55" s="1"/>
  <c r="E92" i="55"/>
  <c r="O125" i="55" s="1"/>
  <c r="D92" i="55"/>
  <c r="N125" i="55" s="1"/>
  <c r="C92" i="55"/>
  <c r="M125" i="55" s="1"/>
  <c r="B92" i="55"/>
  <c r="L125" i="55" s="1"/>
  <c r="N91" i="55"/>
  <c r="X124" i="55" s="1"/>
  <c r="M91" i="55"/>
  <c r="W124" i="55" s="1"/>
  <c r="L91" i="55"/>
  <c r="V124" i="55" s="1"/>
  <c r="K91" i="55"/>
  <c r="U124" i="55" s="1"/>
  <c r="J91" i="55"/>
  <c r="T124" i="55" s="1"/>
  <c r="I91" i="55"/>
  <c r="S124" i="55" s="1"/>
  <c r="H91" i="55"/>
  <c r="R124" i="55" s="1"/>
  <c r="G91" i="55"/>
  <c r="Q124" i="55" s="1"/>
  <c r="F91" i="55"/>
  <c r="P124" i="55" s="1"/>
  <c r="E91" i="55"/>
  <c r="O124" i="55" s="1"/>
  <c r="D91" i="55"/>
  <c r="N124" i="55" s="1"/>
  <c r="C91" i="55"/>
  <c r="M124" i="55" s="1"/>
  <c r="B91" i="55"/>
  <c r="L124" i="55" s="1"/>
  <c r="N90" i="55"/>
  <c r="X123" i="55" s="1"/>
  <c r="M90" i="55"/>
  <c r="W123" i="55" s="1"/>
  <c r="L90" i="55"/>
  <c r="V123" i="55" s="1"/>
  <c r="K90" i="55"/>
  <c r="U123" i="55" s="1"/>
  <c r="J90" i="55"/>
  <c r="T123" i="55" s="1"/>
  <c r="I90" i="55"/>
  <c r="S123" i="55" s="1"/>
  <c r="H90" i="55"/>
  <c r="R123" i="55" s="1"/>
  <c r="G90" i="55"/>
  <c r="Q123" i="55" s="1"/>
  <c r="F90" i="55"/>
  <c r="P123" i="55" s="1"/>
  <c r="E90" i="55"/>
  <c r="O123" i="55" s="1"/>
  <c r="D90" i="55"/>
  <c r="N123" i="55" s="1"/>
  <c r="C90" i="55"/>
  <c r="M123" i="55" s="1"/>
  <c r="B90" i="55"/>
  <c r="L123" i="55" s="1"/>
  <c r="N89" i="55"/>
  <c r="X122" i="55" s="1"/>
  <c r="M89" i="55"/>
  <c r="W122" i="55" s="1"/>
  <c r="L89" i="55"/>
  <c r="V122" i="55" s="1"/>
  <c r="K89" i="55"/>
  <c r="U122" i="55" s="1"/>
  <c r="J89" i="55"/>
  <c r="T122" i="55" s="1"/>
  <c r="I89" i="55"/>
  <c r="S122" i="55" s="1"/>
  <c r="H89" i="55"/>
  <c r="R122" i="55" s="1"/>
  <c r="G89" i="55"/>
  <c r="Q122" i="55" s="1"/>
  <c r="F89" i="55"/>
  <c r="P122" i="55" s="1"/>
  <c r="E89" i="55"/>
  <c r="O122" i="55" s="1"/>
  <c r="D89" i="55"/>
  <c r="N122" i="55" s="1"/>
  <c r="C89" i="55"/>
  <c r="M122" i="55" s="1"/>
  <c r="B89" i="55"/>
  <c r="L122" i="55" s="1"/>
  <c r="N88" i="55"/>
  <c r="X121" i="55" s="1"/>
  <c r="M88" i="55"/>
  <c r="W121" i="55" s="1"/>
  <c r="L88" i="55"/>
  <c r="V121" i="55" s="1"/>
  <c r="K88" i="55"/>
  <c r="U121" i="55" s="1"/>
  <c r="J88" i="55"/>
  <c r="T121" i="55" s="1"/>
  <c r="I88" i="55"/>
  <c r="S121" i="55" s="1"/>
  <c r="H88" i="55"/>
  <c r="R121" i="55" s="1"/>
  <c r="G88" i="55"/>
  <c r="Q121" i="55" s="1"/>
  <c r="F88" i="55"/>
  <c r="P121" i="55" s="1"/>
  <c r="E88" i="55"/>
  <c r="O121" i="55" s="1"/>
  <c r="D88" i="55"/>
  <c r="N121" i="55" s="1"/>
  <c r="C88" i="55"/>
  <c r="M121" i="55" s="1"/>
  <c r="B88" i="55"/>
  <c r="L121" i="55" s="1"/>
  <c r="N87" i="55"/>
  <c r="X120" i="55" s="1"/>
  <c r="M87" i="55"/>
  <c r="W120" i="55" s="1"/>
  <c r="L87" i="55"/>
  <c r="V120" i="55" s="1"/>
  <c r="K87" i="55"/>
  <c r="U120" i="55" s="1"/>
  <c r="J87" i="55"/>
  <c r="T120" i="55" s="1"/>
  <c r="I87" i="55"/>
  <c r="S120" i="55" s="1"/>
  <c r="H87" i="55"/>
  <c r="R120" i="55" s="1"/>
  <c r="G87" i="55"/>
  <c r="Q120" i="55" s="1"/>
  <c r="F87" i="55"/>
  <c r="P120" i="55" s="1"/>
  <c r="E87" i="55"/>
  <c r="O120" i="55" s="1"/>
  <c r="D87" i="55"/>
  <c r="N120" i="55" s="1"/>
  <c r="C87" i="55"/>
  <c r="M120" i="55" s="1"/>
  <c r="B87" i="55"/>
  <c r="L120" i="55" s="1"/>
  <c r="N86" i="55"/>
  <c r="X119" i="55" s="1"/>
  <c r="M86" i="55"/>
  <c r="W119" i="55" s="1"/>
  <c r="L86" i="55"/>
  <c r="V119" i="55" s="1"/>
  <c r="K86" i="55"/>
  <c r="U119" i="55" s="1"/>
  <c r="J86" i="55"/>
  <c r="T119" i="55" s="1"/>
  <c r="I86" i="55"/>
  <c r="S119" i="55" s="1"/>
  <c r="H86" i="55"/>
  <c r="R119" i="55" s="1"/>
  <c r="G86" i="55"/>
  <c r="Q119" i="55" s="1"/>
  <c r="F86" i="55"/>
  <c r="P119" i="55" s="1"/>
  <c r="E86" i="55"/>
  <c r="O119" i="55" s="1"/>
  <c r="D86" i="55"/>
  <c r="N119" i="55" s="1"/>
  <c r="C86" i="55"/>
  <c r="M119" i="55" s="1"/>
  <c r="B86" i="55"/>
  <c r="L119" i="55" s="1"/>
  <c r="N85" i="55"/>
  <c r="X118" i="55" s="1"/>
  <c r="M85" i="55"/>
  <c r="W118" i="55" s="1"/>
  <c r="L85" i="55"/>
  <c r="V118" i="55" s="1"/>
  <c r="K85" i="55"/>
  <c r="U118" i="55" s="1"/>
  <c r="J85" i="55"/>
  <c r="T118" i="55" s="1"/>
  <c r="I85" i="55"/>
  <c r="S118" i="55" s="1"/>
  <c r="H85" i="55"/>
  <c r="R118" i="55" s="1"/>
  <c r="G85" i="55"/>
  <c r="Q118" i="55" s="1"/>
  <c r="F85" i="55"/>
  <c r="P118" i="55" s="1"/>
  <c r="E85" i="55"/>
  <c r="O118" i="55" s="1"/>
  <c r="D85" i="55"/>
  <c r="N118" i="55" s="1"/>
  <c r="C85" i="55"/>
  <c r="M118" i="55" s="1"/>
  <c r="B85" i="55"/>
  <c r="L118" i="55" s="1"/>
  <c r="N84" i="55"/>
  <c r="X117" i="55" s="1"/>
  <c r="M84" i="55"/>
  <c r="W117" i="55" s="1"/>
  <c r="L84" i="55"/>
  <c r="V117" i="55" s="1"/>
  <c r="K84" i="55"/>
  <c r="U117" i="55" s="1"/>
  <c r="J84" i="55"/>
  <c r="T117" i="55" s="1"/>
  <c r="I84" i="55"/>
  <c r="S117" i="55" s="1"/>
  <c r="H84" i="55"/>
  <c r="R117" i="55" s="1"/>
  <c r="G84" i="55"/>
  <c r="Q117" i="55" s="1"/>
  <c r="F84" i="55"/>
  <c r="P117" i="55" s="1"/>
  <c r="E84" i="55"/>
  <c r="O117" i="55" s="1"/>
  <c r="D84" i="55"/>
  <c r="N117" i="55" s="1"/>
  <c r="C84" i="55"/>
  <c r="M117" i="55" s="1"/>
  <c r="B84" i="55"/>
  <c r="L117" i="55" s="1"/>
  <c r="N83" i="55"/>
  <c r="X116" i="55" s="1"/>
  <c r="M83" i="55"/>
  <c r="W116" i="55" s="1"/>
  <c r="L83" i="55"/>
  <c r="V116" i="55" s="1"/>
  <c r="K83" i="55"/>
  <c r="U116" i="55" s="1"/>
  <c r="J83" i="55"/>
  <c r="T116" i="55" s="1"/>
  <c r="I83" i="55"/>
  <c r="S116" i="55" s="1"/>
  <c r="H83" i="55"/>
  <c r="R116" i="55" s="1"/>
  <c r="G83" i="55"/>
  <c r="Q116" i="55" s="1"/>
  <c r="F83" i="55"/>
  <c r="P116" i="55" s="1"/>
  <c r="E83" i="55"/>
  <c r="O116" i="55" s="1"/>
  <c r="D83" i="55"/>
  <c r="N116" i="55" s="1"/>
  <c r="C83" i="55"/>
  <c r="M116" i="55" s="1"/>
  <c r="B83" i="55"/>
  <c r="L116" i="55" s="1"/>
  <c r="N82" i="55"/>
  <c r="X115" i="55" s="1"/>
  <c r="M82" i="55"/>
  <c r="W115" i="55" s="1"/>
  <c r="L82" i="55"/>
  <c r="V115" i="55" s="1"/>
  <c r="K82" i="55"/>
  <c r="U115" i="55" s="1"/>
  <c r="J82" i="55"/>
  <c r="T115" i="55" s="1"/>
  <c r="I82" i="55"/>
  <c r="S115" i="55" s="1"/>
  <c r="H82" i="55"/>
  <c r="R115" i="55" s="1"/>
  <c r="G82" i="55"/>
  <c r="Q115" i="55" s="1"/>
  <c r="F82" i="55"/>
  <c r="P115" i="55" s="1"/>
  <c r="E82" i="55"/>
  <c r="O115" i="55" s="1"/>
  <c r="D82" i="55"/>
  <c r="N115" i="55" s="1"/>
  <c r="C82" i="55"/>
  <c r="M115" i="55" s="1"/>
  <c r="B82" i="55"/>
  <c r="L115" i="55" s="1"/>
  <c r="N81" i="55"/>
  <c r="X114" i="55" s="1"/>
  <c r="M81" i="55"/>
  <c r="W114" i="55" s="1"/>
  <c r="L81" i="55"/>
  <c r="V114" i="55" s="1"/>
  <c r="K81" i="55"/>
  <c r="U114" i="55" s="1"/>
  <c r="J81" i="55"/>
  <c r="T114" i="55" s="1"/>
  <c r="I81" i="55"/>
  <c r="S114" i="55" s="1"/>
  <c r="H81" i="55"/>
  <c r="R114" i="55" s="1"/>
  <c r="G81" i="55"/>
  <c r="Q114" i="55" s="1"/>
  <c r="F81" i="55"/>
  <c r="P114" i="55" s="1"/>
  <c r="E81" i="55"/>
  <c r="O114" i="55" s="1"/>
  <c r="D81" i="55"/>
  <c r="N114" i="55" s="1"/>
  <c r="C81" i="55"/>
  <c r="M114" i="55" s="1"/>
  <c r="B81" i="55"/>
  <c r="L114" i="55" s="1"/>
  <c r="N80" i="55"/>
  <c r="X113" i="55" s="1"/>
  <c r="M80" i="55"/>
  <c r="W113" i="55" s="1"/>
  <c r="L80" i="55"/>
  <c r="V113" i="55" s="1"/>
  <c r="K80" i="55"/>
  <c r="U113" i="55" s="1"/>
  <c r="J80" i="55"/>
  <c r="T113" i="55" s="1"/>
  <c r="I80" i="55"/>
  <c r="S113" i="55" s="1"/>
  <c r="H80" i="55"/>
  <c r="R113" i="55" s="1"/>
  <c r="G80" i="55"/>
  <c r="Q113" i="55" s="1"/>
  <c r="F80" i="55"/>
  <c r="P113" i="55" s="1"/>
  <c r="E80" i="55"/>
  <c r="O113" i="55" s="1"/>
  <c r="D80" i="55"/>
  <c r="N113" i="55" s="1"/>
  <c r="C80" i="55"/>
  <c r="M113" i="55" s="1"/>
  <c r="B80" i="55"/>
  <c r="L113" i="55" s="1"/>
  <c r="N79" i="55"/>
  <c r="X112" i="55" s="1"/>
  <c r="M79" i="55"/>
  <c r="W112" i="55" s="1"/>
  <c r="L79" i="55"/>
  <c r="V112" i="55" s="1"/>
  <c r="K79" i="55"/>
  <c r="U112" i="55" s="1"/>
  <c r="J79" i="55"/>
  <c r="T112" i="55" s="1"/>
  <c r="I79" i="55"/>
  <c r="S112" i="55" s="1"/>
  <c r="H79" i="55"/>
  <c r="R112" i="55" s="1"/>
  <c r="G79" i="55"/>
  <c r="Q112" i="55" s="1"/>
  <c r="F79" i="55"/>
  <c r="P112" i="55" s="1"/>
  <c r="E79" i="55"/>
  <c r="O112" i="55" s="1"/>
  <c r="D79" i="55"/>
  <c r="N112" i="55" s="1"/>
  <c r="C79" i="55"/>
  <c r="M112" i="55" s="1"/>
  <c r="B79" i="55"/>
  <c r="L112" i="55" s="1"/>
  <c r="N78" i="55"/>
  <c r="X111" i="55" s="1"/>
  <c r="M78" i="55"/>
  <c r="W111" i="55" s="1"/>
  <c r="L78" i="55"/>
  <c r="V111" i="55" s="1"/>
  <c r="K78" i="55"/>
  <c r="U111" i="55" s="1"/>
  <c r="J78" i="55"/>
  <c r="T111" i="55" s="1"/>
  <c r="I78" i="55"/>
  <c r="S111" i="55" s="1"/>
  <c r="H78" i="55"/>
  <c r="R111" i="55" s="1"/>
  <c r="G78" i="55"/>
  <c r="Q111" i="55" s="1"/>
  <c r="F78" i="55"/>
  <c r="P111" i="55" s="1"/>
  <c r="E78" i="55"/>
  <c r="O111" i="55" s="1"/>
  <c r="D78" i="55"/>
  <c r="N111" i="55" s="1"/>
  <c r="C78" i="55"/>
  <c r="M111" i="55" s="1"/>
  <c r="B78" i="55"/>
  <c r="L111" i="55" s="1"/>
  <c r="N77" i="55"/>
  <c r="X110" i="55" s="1"/>
  <c r="M77" i="55"/>
  <c r="W110" i="55" s="1"/>
  <c r="L77" i="55"/>
  <c r="V110" i="55" s="1"/>
  <c r="K77" i="55"/>
  <c r="U110" i="55" s="1"/>
  <c r="J77" i="55"/>
  <c r="T110" i="55" s="1"/>
  <c r="I77" i="55"/>
  <c r="S110" i="55" s="1"/>
  <c r="H77" i="55"/>
  <c r="R110" i="55" s="1"/>
  <c r="G77" i="55"/>
  <c r="Q110" i="55" s="1"/>
  <c r="F77" i="55"/>
  <c r="P110" i="55" s="1"/>
  <c r="E77" i="55"/>
  <c r="O110" i="55" s="1"/>
  <c r="D77" i="55"/>
  <c r="N110" i="55" s="1"/>
  <c r="C77" i="55"/>
  <c r="M110" i="55" s="1"/>
  <c r="B77" i="55"/>
  <c r="L110" i="55" s="1"/>
  <c r="N76" i="55"/>
  <c r="X109" i="55" s="1"/>
  <c r="M76" i="55"/>
  <c r="W109" i="55" s="1"/>
  <c r="L76" i="55"/>
  <c r="V109" i="55" s="1"/>
  <c r="K76" i="55"/>
  <c r="U109" i="55" s="1"/>
  <c r="J76" i="55"/>
  <c r="T109" i="55" s="1"/>
  <c r="I76" i="55"/>
  <c r="S109" i="55" s="1"/>
  <c r="H76" i="55"/>
  <c r="R109" i="55" s="1"/>
  <c r="G76" i="55"/>
  <c r="Q109" i="55" s="1"/>
  <c r="F76" i="55"/>
  <c r="P109" i="55" s="1"/>
  <c r="E76" i="55"/>
  <c r="O109" i="55" s="1"/>
  <c r="D76" i="55"/>
  <c r="N109" i="55" s="1"/>
  <c r="C76" i="55"/>
  <c r="M109" i="55" s="1"/>
  <c r="B76" i="55"/>
  <c r="L109" i="55" s="1"/>
  <c r="N75" i="55"/>
  <c r="X108" i="55" s="1"/>
  <c r="M75" i="55"/>
  <c r="W108" i="55" s="1"/>
  <c r="L75" i="55"/>
  <c r="V108" i="55" s="1"/>
  <c r="K75" i="55"/>
  <c r="U108" i="55" s="1"/>
  <c r="J75" i="55"/>
  <c r="T108" i="55" s="1"/>
  <c r="I75" i="55"/>
  <c r="S108" i="55" s="1"/>
  <c r="H75" i="55"/>
  <c r="R108" i="55" s="1"/>
  <c r="G75" i="55"/>
  <c r="Q108" i="55" s="1"/>
  <c r="F75" i="55"/>
  <c r="P108" i="55" s="1"/>
  <c r="E75" i="55"/>
  <c r="O108" i="55" s="1"/>
  <c r="D75" i="55"/>
  <c r="N108" i="55" s="1"/>
  <c r="C75" i="55"/>
  <c r="M108" i="55" s="1"/>
  <c r="B75" i="55"/>
  <c r="L108" i="55" s="1"/>
  <c r="N67" i="55"/>
  <c r="M67" i="55"/>
  <c r="L67" i="55"/>
  <c r="K67" i="55"/>
  <c r="J67" i="55"/>
  <c r="I67" i="55"/>
  <c r="H67" i="55"/>
  <c r="G67" i="55"/>
  <c r="F67" i="55"/>
  <c r="AP170" i="73" s="1"/>
  <c r="L739" i="73" s="1"/>
  <c r="L757" i="73" s="1"/>
  <c r="E67" i="55"/>
  <c r="AP136" i="73" s="1"/>
  <c r="L736" i="73" s="1"/>
  <c r="L754" i="73" s="1"/>
  <c r="D67" i="55"/>
  <c r="AP102" i="73" s="1"/>
  <c r="L733" i="73" s="1"/>
  <c r="L751" i="73" s="1"/>
  <c r="C67" i="55"/>
  <c r="AP68" i="73" s="1"/>
  <c r="L730" i="73" s="1"/>
  <c r="L748" i="73" s="1"/>
  <c r="B67" i="55"/>
  <c r="AP34" i="73" s="1"/>
  <c r="L727" i="73" s="1"/>
  <c r="L745" i="73" s="1"/>
  <c r="O66" i="55"/>
  <c r="O65" i="55"/>
  <c r="O64" i="55"/>
  <c r="O63" i="55"/>
  <c r="O62" i="55"/>
  <c r="O61" i="55"/>
  <c r="O60" i="55"/>
  <c r="O59" i="55"/>
  <c r="O58" i="55"/>
  <c r="O57" i="55"/>
  <c r="O56" i="55"/>
  <c r="O55" i="55"/>
  <c r="O54" i="55"/>
  <c r="O53" i="55"/>
  <c r="O52" i="55"/>
  <c r="O51" i="55"/>
  <c r="O50" i="55"/>
  <c r="O49" i="55"/>
  <c r="O48" i="55"/>
  <c r="O47" i="55"/>
  <c r="O46" i="55"/>
  <c r="O45" i="55"/>
  <c r="O44" i="55"/>
  <c r="O43" i="55"/>
  <c r="O42" i="55"/>
  <c r="O41" i="55"/>
  <c r="O40" i="55"/>
  <c r="N32" i="55"/>
  <c r="M32" i="55"/>
  <c r="L32" i="55"/>
  <c r="K32" i="55"/>
  <c r="J32" i="55"/>
  <c r="I32" i="55"/>
  <c r="H32" i="55"/>
  <c r="G32" i="55"/>
  <c r="F32" i="55"/>
  <c r="E32" i="55"/>
  <c r="D32" i="55"/>
  <c r="C32" i="55"/>
  <c r="B32" i="55"/>
  <c r="O31" i="55"/>
  <c r="O30" i="55"/>
  <c r="O29" i="55"/>
  <c r="O28" i="55"/>
  <c r="O27" i="55"/>
  <c r="O26" i="55"/>
  <c r="O25" i="55"/>
  <c r="O24" i="55"/>
  <c r="O23" i="55"/>
  <c r="O22" i="55"/>
  <c r="O21" i="55"/>
  <c r="O20" i="55"/>
  <c r="O19" i="55"/>
  <c r="O18" i="55"/>
  <c r="O17" i="55"/>
  <c r="O16" i="55"/>
  <c r="O15" i="55"/>
  <c r="O14" i="55"/>
  <c r="O13" i="55"/>
  <c r="O12" i="55"/>
  <c r="O11" i="55"/>
  <c r="O10" i="55"/>
  <c r="O9" i="55"/>
  <c r="O8" i="55"/>
  <c r="O7" i="55"/>
  <c r="O6" i="55"/>
  <c r="O5" i="55"/>
  <c r="N101" i="54"/>
  <c r="X134" i="54" s="1"/>
  <c r="M101" i="54"/>
  <c r="W134" i="54" s="1"/>
  <c r="L101" i="54"/>
  <c r="V134" i="54" s="1"/>
  <c r="K101" i="54"/>
  <c r="U134" i="54" s="1"/>
  <c r="J101" i="54"/>
  <c r="T134" i="54" s="1"/>
  <c r="I101" i="54"/>
  <c r="S134" i="54" s="1"/>
  <c r="H101" i="54"/>
  <c r="R134" i="54" s="1"/>
  <c r="G101" i="54"/>
  <c r="Q134" i="54" s="1"/>
  <c r="F101" i="54"/>
  <c r="P134" i="54" s="1"/>
  <c r="E101" i="54"/>
  <c r="O134" i="54" s="1"/>
  <c r="D101" i="54"/>
  <c r="N134" i="54" s="1"/>
  <c r="C101" i="54"/>
  <c r="M134" i="54" s="1"/>
  <c r="B101" i="54"/>
  <c r="L134" i="54" s="1"/>
  <c r="N100" i="54"/>
  <c r="X133" i="54" s="1"/>
  <c r="M100" i="54"/>
  <c r="W133" i="54" s="1"/>
  <c r="L100" i="54"/>
  <c r="V133" i="54" s="1"/>
  <c r="K100" i="54"/>
  <c r="U133" i="54" s="1"/>
  <c r="J100" i="54"/>
  <c r="T133" i="54" s="1"/>
  <c r="I100" i="54"/>
  <c r="S133" i="54" s="1"/>
  <c r="H100" i="54"/>
  <c r="R133" i="54" s="1"/>
  <c r="G100" i="54"/>
  <c r="Q133" i="54" s="1"/>
  <c r="F100" i="54"/>
  <c r="P133" i="54" s="1"/>
  <c r="E100" i="54"/>
  <c r="O133" i="54" s="1"/>
  <c r="D100" i="54"/>
  <c r="N133" i="54" s="1"/>
  <c r="C100" i="54"/>
  <c r="M133" i="54" s="1"/>
  <c r="B100" i="54"/>
  <c r="L133" i="54" s="1"/>
  <c r="N99" i="54"/>
  <c r="X132" i="54" s="1"/>
  <c r="M99" i="54"/>
  <c r="W132" i="54" s="1"/>
  <c r="L99" i="54"/>
  <c r="V132" i="54" s="1"/>
  <c r="K99" i="54"/>
  <c r="U132" i="54" s="1"/>
  <c r="J99" i="54"/>
  <c r="T132" i="54" s="1"/>
  <c r="I99" i="54"/>
  <c r="S132" i="54" s="1"/>
  <c r="H99" i="54"/>
  <c r="R132" i="54" s="1"/>
  <c r="G99" i="54"/>
  <c r="Q132" i="54" s="1"/>
  <c r="F99" i="54"/>
  <c r="P132" i="54" s="1"/>
  <c r="E99" i="54"/>
  <c r="O132" i="54" s="1"/>
  <c r="D99" i="54"/>
  <c r="N132" i="54" s="1"/>
  <c r="C99" i="54"/>
  <c r="M132" i="54" s="1"/>
  <c r="B99" i="54"/>
  <c r="L132" i="54" s="1"/>
  <c r="N98" i="54"/>
  <c r="X131" i="54" s="1"/>
  <c r="M98" i="54"/>
  <c r="W131" i="54" s="1"/>
  <c r="L98" i="54"/>
  <c r="V131" i="54" s="1"/>
  <c r="K98" i="54"/>
  <c r="U131" i="54" s="1"/>
  <c r="J98" i="54"/>
  <c r="T131" i="54" s="1"/>
  <c r="I98" i="54"/>
  <c r="S131" i="54" s="1"/>
  <c r="H98" i="54"/>
  <c r="R131" i="54" s="1"/>
  <c r="G98" i="54"/>
  <c r="Q131" i="54" s="1"/>
  <c r="F98" i="54"/>
  <c r="P131" i="54" s="1"/>
  <c r="E98" i="54"/>
  <c r="O131" i="54" s="1"/>
  <c r="D98" i="54"/>
  <c r="N131" i="54" s="1"/>
  <c r="C98" i="54"/>
  <c r="M131" i="54" s="1"/>
  <c r="B98" i="54"/>
  <c r="L131" i="54" s="1"/>
  <c r="N97" i="54"/>
  <c r="X130" i="54" s="1"/>
  <c r="M97" i="54"/>
  <c r="W130" i="54" s="1"/>
  <c r="L97" i="54"/>
  <c r="V130" i="54" s="1"/>
  <c r="K97" i="54"/>
  <c r="U130" i="54" s="1"/>
  <c r="J97" i="54"/>
  <c r="T130" i="54" s="1"/>
  <c r="I97" i="54"/>
  <c r="S130" i="54" s="1"/>
  <c r="H97" i="54"/>
  <c r="R130" i="54" s="1"/>
  <c r="G97" i="54"/>
  <c r="Q130" i="54" s="1"/>
  <c r="F97" i="54"/>
  <c r="P130" i="54" s="1"/>
  <c r="E97" i="54"/>
  <c r="O130" i="54" s="1"/>
  <c r="D97" i="54"/>
  <c r="N130" i="54" s="1"/>
  <c r="C97" i="54"/>
  <c r="M130" i="54" s="1"/>
  <c r="B97" i="54"/>
  <c r="L130" i="54" s="1"/>
  <c r="N96" i="54"/>
  <c r="X129" i="54" s="1"/>
  <c r="M96" i="54"/>
  <c r="W129" i="54" s="1"/>
  <c r="L96" i="54"/>
  <c r="V129" i="54" s="1"/>
  <c r="K96" i="54"/>
  <c r="U129" i="54" s="1"/>
  <c r="J96" i="54"/>
  <c r="T129" i="54" s="1"/>
  <c r="I96" i="54"/>
  <c r="S129" i="54" s="1"/>
  <c r="H96" i="54"/>
  <c r="R129" i="54" s="1"/>
  <c r="G96" i="54"/>
  <c r="Q129" i="54" s="1"/>
  <c r="F96" i="54"/>
  <c r="P129" i="54" s="1"/>
  <c r="E96" i="54"/>
  <c r="O129" i="54" s="1"/>
  <c r="D96" i="54"/>
  <c r="N129" i="54" s="1"/>
  <c r="C96" i="54"/>
  <c r="M129" i="54" s="1"/>
  <c r="B96" i="54"/>
  <c r="L129" i="54" s="1"/>
  <c r="N95" i="54"/>
  <c r="X128" i="54" s="1"/>
  <c r="M95" i="54"/>
  <c r="W128" i="54" s="1"/>
  <c r="L95" i="54"/>
  <c r="V128" i="54" s="1"/>
  <c r="K95" i="54"/>
  <c r="U128" i="54" s="1"/>
  <c r="J95" i="54"/>
  <c r="T128" i="54" s="1"/>
  <c r="I95" i="54"/>
  <c r="S128" i="54" s="1"/>
  <c r="H95" i="54"/>
  <c r="R128" i="54" s="1"/>
  <c r="G95" i="54"/>
  <c r="Q128" i="54" s="1"/>
  <c r="F95" i="54"/>
  <c r="P128" i="54" s="1"/>
  <c r="E95" i="54"/>
  <c r="O128" i="54" s="1"/>
  <c r="D95" i="54"/>
  <c r="N128" i="54" s="1"/>
  <c r="C95" i="54"/>
  <c r="M128" i="54" s="1"/>
  <c r="B95" i="54"/>
  <c r="L128" i="54" s="1"/>
  <c r="N94" i="54"/>
  <c r="X127" i="54" s="1"/>
  <c r="M94" i="54"/>
  <c r="W127" i="54" s="1"/>
  <c r="L94" i="54"/>
  <c r="V127" i="54" s="1"/>
  <c r="K94" i="54"/>
  <c r="U127" i="54" s="1"/>
  <c r="J94" i="54"/>
  <c r="T127" i="54" s="1"/>
  <c r="I94" i="54"/>
  <c r="S127" i="54" s="1"/>
  <c r="H94" i="54"/>
  <c r="R127" i="54" s="1"/>
  <c r="G94" i="54"/>
  <c r="Q127" i="54" s="1"/>
  <c r="F94" i="54"/>
  <c r="P127" i="54" s="1"/>
  <c r="E94" i="54"/>
  <c r="O127" i="54" s="1"/>
  <c r="D94" i="54"/>
  <c r="N127" i="54" s="1"/>
  <c r="C94" i="54"/>
  <c r="M127" i="54" s="1"/>
  <c r="B94" i="54"/>
  <c r="L127" i="54" s="1"/>
  <c r="N93" i="54"/>
  <c r="X126" i="54" s="1"/>
  <c r="M93" i="54"/>
  <c r="W126" i="54" s="1"/>
  <c r="L93" i="54"/>
  <c r="V126" i="54" s="1"/>
  <c r="K93" i="54"/>
  <c r="U126" i="54" s="1"/>
  <c r="J93" i="54"/>
  <c r="T126" i="54" s="1"/>
  <c r="I93" i="54"/>
  <c r="S126" i="54" s="1"/>
  <c r="H93" i="54"/>
  <c r="R126" i="54" s="1"/>
  <c r="G93" i="54"/>
  <c r="Q126" i="54" s="1"/>
  <c r="F93" i="54"/>
  <c r="P126" i="54" s="1"/>
  <c r="E93" i="54"/>
  <c r="O126" i="54" s="1"/>
  <c r="D93" i="54"/>
  <c r="N126" i="54" s="1"/>
  <c r="C93" i="54"/>
  <c r="M126" i="54" s="1"/>
  <c r="B93" i="54"/>
  <c r="L126" i="54" s="1"/>
  <c r="N92" i="54"/>
  <c r="X125" i="54" s="1"/>
  <c r="M92" i="54"/>
  <c r="W125" i="54" s="1"/>
  <c r="L92" i="54"/>
  <c r="V125" i="54" s="1"/>
  <c r="K92" i="54"/>
  <c r="U125" i="54" s="1"/>
  <c r="J92" i="54"/>
  <c r="T125" i="54" s="1"/>
  <c r="I92" i="54"/>
  <c r="S125" i="54" s="1"/>
  <c r="H92" i="54"/>
  <c r="R125" i="54" s="1"/>
  <c r="G92" i="54"/>
  <c r="Q125" i="54" s="1"/>
  <c r="F92" i="54"/>
  <c r="P125" i="54" s="1"/>
  <c r="E92" i="54"/>
  <c r="O125" i="54" s="1"/>
  <c r="D92" i="54"/>
  <c r="N125" i="54" s="1"/>
  <c r="C92" i="54"/>
  <c r="M125" i="54" s="1"/>
  <c r="B92" i="54"/>
  <c r="L125" i="54" s="1"/>
  <c r="N91" i="54"/>
  <c r="X124" i="54" s="1"/>
  <c r="M91" i="54"/>
  <c r="W124" i="54" s="1"/>
  <c r="L91" i="54"/>
  <c r="V124" i="54" s="1"/>
  <c r="K91" i="54"/>
  <c r="U124" i="54" s="1"/>
  <c r="J91" i="54"/>
  <c r="T124" i="54" s="1"/>
  <c r="I91" i="54"/>
  <c r="S124" i="54" s="1"/>
  <c r="H91" i="54"/>
  <c r="R124" i="54" s="1"/>
  <c r="G91" i="54"/>
  <c r="Q124" i="54" s="1"/>
  <c r="F91" i="54"/>
  <c r="P124" i="54" s="1"/>
  <c r="E91" i="54"/>
  <c r="O124" i="54" s="1"/>
  <c r="D91" i="54"/>
  <c r="N124" i="54" s="1"/>
  <c r="C91" i="54"/>
  <c r="M124" i="54" s="1"/>
  <c r="B91" i="54"/>
  <c r="L124" i="54" s="1"/>
  <c r="N90" i="54"/>
  <c r="X123" i="54" s="1"/>
  <c r="M90" i="54"/>
  <c r="W123" i="54" s="1"/>
  <c r="L90" i="54"/>
  <c r="V123" i="54" s="1"/>
  <c r="K90" i="54"/>
  <c r="U123" i="54" s="1"/>
  <c r="J90" i="54"/>
  <c r="T123" i="54" s="1"/>
  <c r="I90" i="54"/>
  <c r="S123" i="54" s="1"/>
  <c r="H90" i="54"/>
  <c r="R123" i="54" s="1"/>
  <c r="G90" i="54"/>
  <c r="Q123" i="54" s="1"/>
  <c r="F90" i="54"/>
  <c r="P123" i="54" s="1"/>
  <c r="E90" i="54"/>
  <c r="O123" i="54" s="1"/>
  <c r="D90" i="54"/>
  <c r="N123" i="54" s="1"/>
  <c r="C90" i="54"/>
  <c r="M123" i="54" s="1"/>
  <c r="B90" i="54"/>
  <c r="L123" i="54" s="1"/>
  <c r="N89" i="54"/>
  <c r="X122" i="54" s="1"/>
  <c r="M89" i="54"/>
  <c r="W122" i="54" s="1"/>
  <c r="L89" i="54"/>
  <c r="V122" i="54" s="1"/>
  <c r="K89" i="54"/>
  <c r="U122" i="54" s="1"/>
  <c r="J89" i="54"/>
  <c r="T122" i="54" s="1"/>
  <c r="I89" i="54"/>
  <c r="S122" i="54" s="1"/>
  <c r="H89" i="54"/>
  <c r="R122" i="54" s="1"/>
  <c r="G89" i="54"/>
  <c r="Q122" i="54" s="1"/>
  <c r="F89" i="54"/>
  <c r="P122" i="54" s="1"/>
  <c r="E89" i="54"/>
  <c r="O122" i="54" s="1"/>
  <c r="D89" i="54"/>
  <c r="N122" i="54" s="1"/>
  <c r="C89" i="54"/>
  <c r="M122" i="54" s="1"/>
  <c r="B89" i="54"/>
  <c r="L122" i="54" s="1"/>
  <c r="N88" i="54"/>
  <c r="X121" i="54" s="1"/>
  <c r="M88" i="54"/>
  <c r="W121" i="54" s="1"/>
  <c r="L88" i="54"/>
  <c r="V121" i="54" s="1"/>
  <c r="K88" i="54"/>
  <c r="U121" i="54" s="1"/>
  <c r="J88" i="54"/>
  <c r="T121" i="54" s="1"/>
  <c r="I88" i="54"/>
  <c r="S121" i="54" s="1"/>
  <c r="H88" i="54"/>
  <c r="R121" i="54" s="1"/>
  <c r="G88" i="54"/>
  <c r="Q121" i="54" s="1"/>
  <c r="F88" i="54"/>
  <c r="P121" i="54" s="1"/>
  <c r="E88" i="54"/>
  <c r="O121" i="54" s="1"/>
  <c r="D88" i="54"/>
  <c r="N121" i="54" s="1"/>
  <c r="C88" i="54"/>
  <c r="M121" i="54" s="1"/>
  <c r="B88" i="54"/>
  <c r="L121" i="54" s="1"/>
  <c r="N87" i="54"/>
  <c r="X120" i="54" s="1"/>
  <c r="M87" i="54"/>
  <c r="W120" i="54" s="1"/>
  <c r="L87" i="54"/>
  <c r="V120" i="54" s="1"/>
  <c r="K87" i="54"/>
  <c r="U120" i="54" s="1"/>
  <c r="J87" i="54"/>
  <c r="T120" i="54" s="1"/>
  <c r="I87" i="54"/>
  <c r="S120" i="54" s="1"/>
  <c r="H87" i="54"/>
  <c r="R120" i="54" s="1"/>
  <c r="G87" i="54"/>
  <c r="Q120" i="54" s="1"/>
  <c r="F87" i="54"/>
  <c r="P120" i="54" s="1"/>
  <c r="E87" i="54"/>
  <c r="O120" i="54" s="1"/>
  <c r="D87" i="54"/>
  <c r="N120" i="54" s="1"/>
  <c r="C87" i="54"/>
  <c r="M120" i="54" s="1"/>
  <c r="B87" i="54"/>
  <c r="L120" i="54" s="1"/>
  <c r="N86" i="54"/>
  <c r="X119" i="54" s="1"/>
  <c r="M86" i="54"/>
  <c r="W119" i="54" s="1"/>
  <c r="L86" i="54"/>
  <c r="V119" i="54" s="1"/>
  <c r="K86" i="54"/>
  <c r="U119" i="54" s="1"/>
  <c r="J86" i="54"/>
  <c r="T119" i="54" s="1"/>
  <c r="I86" i="54"/>
  <c r="S119" i="54" s="1"/>
  <c r="H86" i="54"/>
  <c r="R119" i="54" s="1"/>
  <c r="G86" i="54"/>
  <c r="Q119" i="54" s="1"/>
  <c r="F86" i="54"/>
  <c r="P119" i="54" s="1"/>
  <c r="E86" i="54"/>
  <c r="O119" i="54" s="1"/>
  <c r="D86" i="54"/>
  <c r="N119" i="54" s="1"/>
  <c r="C86" i="54"/>
  <c r="M119" i="54" s="1"/>
  <c r="B86" i="54"/>
  <c r="L119" i="54" s="1"/>
  <c r="N85" i="54"/>
  <c r="X118" i="54" s="1"/>
  <c r="M85" i="54"/>
  <c r="W118" i="54" s="1"/>
  <c r="L85" i="54"/>
  <c r="V118" i="54" s="1"/>
  <c r="K85" i="54"/>
  <c r="U118" i="54" s="1"/>
  <c r="J85" i="54"/>
  <c r="T118" i="54" s="1"/>
  <c r="I85" i="54"/>
  <c r="S118" i="54" s="1"/>
  <c r="H85" i="54"/>
  <c r="R118" i="54" s="1"/>
  <c r="G85" i="54"/>
  <c r="Q118" i="54" s="1"/>
  <c r="F85" i="54"/>
  <c r="P118" i="54" s="1"/>
  <c r="E85" i="54"/>
  <c r="O118" i="54" s="1"/>
  <c r="D85" i="54"/>
  <c r="N118" i="54" s="1"/>
  <c r="C85" i="54"/>
  <c r="M118" i="54" s="1"/>
  <c r="B85" i="54"/>
  <c r="L118" i="54" s="1"/>
  <c r="N84" i="54"/>
  <c r="X117" i="54" s="1"/>
  <c r="M84" i="54"/>
  <c r="W117" i="54" s="1"/>
  <c r="L84" i="54"/>
  <c r="V117" i="54" s="1"/>
  <c r="K84" i="54"/>
  <c r="U117" i="54" s="1"/>
  <c r="J84" i="54"/>
  <c r="T117" i="54" s="1"/>
  <c r="I84" i="54"/>
  <c r="S117" i="54" s="1"/>
  <c r="H84" i="54"/>
  <c r="R117" i="54" s="1"/>
  <c r="G84" i="54"/>
  <c r="Q117" i="54" s="1"/>
  <c r="F84" i="54"/>
  <c r="P117" i="54" s="1"/>
  <c r="E84" i="54"/>
  <c r="O117" i="54" s="1"/>
  <c r="D84" i="54"/>
  <c r="N117" i="54" s="1"/>
  <c r="C84" i="54"/>
  <c r="M117" i="54" s="1"/>
  <c r="B84" i="54"/>
  <c r="L117" i="54" s="1"/>
  <c r="N83" i="54"/>
  <c r="X116" i="54" s="1"/>
  <c r="M83" i="54"/>
  <c r="W116" i="54" s="1"/>
  <c r="L83" i="54"/>
  <c r="V116" i="54" s="1"/>
  <c r="K83" i="54"/>
  <c r="U116" i="54" s="1"/>
  <c r="J83" i="54"/>
  <c r="T116" i="54" s="1"/>
  <c r="I83" i="54"/>
  <c r="S116" i="54" s="1"/>
  <c r="H83" i="54"/>
  <c r="R116" i="54" s="1"/>
  <c r="G83" i="54"/>
  <c r="Q116" i="54" s="1"/>
  <c r="F83" i="54"/>
  <c r="P116" i="54" s="1"/>
  <c r="E83" i="54"/>
  <c r="O116" i="54" s="1"/>
  <c r="D83" i="54"/>
  <c r="N116" i="54" s="1"/>
  <c r="C83" i="54"/>
  <c r="M116" i="54" s="1"/>
  <c r="B83" i="54"/>
  <c r="L116" i="54" s="1"/>
  <c r="N82" i="54"/>
  <c r="X115" i="54" s="1"/>
  <c r="M82" i="54"/>
  <c r="W115" i="54" s="1"/>
  <c r="L82" i="54"/>
  <c r="V115" i="54" s="1"/>
  <c r="K82" i="54"/>
  <c r="U115" i="54" s="1"/>
  <c r="J82" i="54"/>
  <c r="T115" i="54" s="1"/>
  <c r="I82" i="54"/>
  <c r="S115" i="54" s="1"/>
  <c r="H82" i="54"/>
  <c r="R115" i="54" s="1"/>
  <c r="G82" i="54"/>
  <c r="Q115" i="54" s="1"/>
  <c r="F82" i="54"/>
  <c r="P115" i="54" s="1"/>
  <c r="E82" i="54"/>
  <c r="O115" i="54" s="1"/>
  <c r="D82" i="54"/>
  <c r="N115" i="54" s="1"/>
  <c r="C82" i="54"/>
  <c r="M115" i="54" s="1"/>
  <c r="B82" i="54"/>
  <c r="L115" i="54" s="1"/>
  <c r="N81" i="54"/>
  <c r="X114" i="54" s="1"/>
  <c r="M81" i="54"/>
  <c r="W114" i="54" s="1"/>
  <c r="L81" i="54"/>
  <c r="V114" i="54" s="1"/>
  <c r="K81" i="54"/>
  <c r="U114" i="54" s="1"/>
  <c r="J81" i="54"/>
  <c r="T114" i="54" s="1"/>
  <c r="I81" i="54"/>
  <c r="S114" i="54" s="1"/>
  <c r="H81" i="54"/>
  <c r="R114" i="54" s="1"/>
  <c r="G81" i="54"/>
  <c r="Q114" i="54" s="1"/>
  <c r="F81" i="54"/>
  <c r="P114" i="54" s="1"/>
  <c r="E81" i="54"/>
  <c r="O114" i="54" s="1"/>
  <c r="D81" i="54"/>
  <c r="N114" i="54" s="1"/>
  <c r="C81" i="54"/>
  <c r="M114" i="54" s="1"/>
  <c r="B81" i="54"/>
  <c r="L114" i="54" s="1"/>
  <c r="N80" i="54"/>
  <c r="X113" i="54" s="1"/>
  <c r="M80" i="54"/>
  <c r="W113" i="54" s="1"/>
  <c r="L80" i="54"/>
  <c r="V113" i="54" s="1"/>
  <c r="K80" i="54"/>
  <c r="U113" i="54" s="1"/>
  <c r="J80" i="54"/>
  <c r="T113" i="54" s="1"/>
  <c r="I80" i="54"/>
  <c r="S113" i="54" s="1"/>
  <c r="H80" i="54"/>
  <c r="R113" i="54" s="1"/>
  <c r="G80" i="54"/>
  <c r="Q113" i="54" s="1"/>
  <c r="F80" i="54"/>
  <c r="P113" i="54" s="1"/>
  <c r="E80" i="54"/>
  <c r="O113" i="54" s="1"/>
  <c r="D80" i="54"/>
  <c r="N113" i="54" s="1"/>
  <c r="C80" i="54"/>
  <c r="M113" i="54" s="1"/>
  <c r="B80" i="54"/>
  <c r="L113" i="54" s="1"/>
  <c r="N79" i="54"/>
  <c r="X112" i="54" s="1"/>
  <c r="M79" i="54"/>
  <c r="W112" i="54" s="1"/>
  <c r="L79" i="54"/>
  <c r="V112" i="54" s="1"/>
  <c r="K79" i="54"/>
  <c r="U112" i="54" s="1"/>
  <c r="J79" i="54"/>
  <c r="T112" i="54" s="1"/>
  <c r="I79" i="54"/>
  <c r="S112" i="54" s="1"/>
  <c r="H79" i="54"/>
  <c r="R112" i="54" s="1"/>
  <c r="G79" i="54"/>
  <c r="Q112" i="54" s="1"/>
  <c r="F79" i="54"/>
  <c r="P112" i="54" s="1"/>
  <c r="E79" i="54"/>
  <c r="O112" i="54" s="1"/>
  <c r="D79" i="54"/>
  <c r="N112" i="54" s="1"/>
  <c r="C79" i="54"/>
  <c r="M112" i="54" s="1"/>
  <c r="B79" i="54"/>
  <c r="L112" i="54" s="1"/>
  <c r="N78" i="54"/>
  <c r="X111" i="54" s="1"/>
  <c r="M78" i="54"/>
  <c r="W111" i="54" s="1"/>
  <c r="L78" i="54"/>
  <c r="V111" i="54" s="1"/>
  <c r="K78" i="54"/>
  <c r="U111" i="54" s="1"/>
  <c r="J78" i="54"/>
  <c r="T111" i="54" s="1"/>
  <c r="I78" i="54"/>
  <c r="S111" i="54" s="1"/>
  <c r="H78" i="54"/>
  <c r="R111" i="54" s="1"/>
  <c r="G78" i="54"/>
  <c r="Q111" i="54" s="1"/>
  <c r="F78" i="54"/>
  <c r="P111" i="54" s="1"/>
  <c r="E78" i="54"/>
  <c r="O111" i="54" s="1"/>
  <c r="D78" i="54"/>
  <c r="N111" i="54" s="1"/>
  <c r="C78" i="54"/>
  <c r="M111" i="54" s="1"/>
  <c r="B78" i="54"/>
  <c r="L111" i="54" s="1"/>
  <c r="N77" i="54"/>
  <c r="X110" i="54" s="1"/>
  <c r="M77" i="54"/>
  <c r="W110" i="54" s="1"/>
  <c r="L77" i="54"/>
  <c r="V110" i="54" s="1"/>
  <c r="K77" i="54"/>
  <c r="U110" i="54" s="1"/>
  <c r="J77" i="54"/>
  <c r="T110" i="54" s="1"/>
  <c r="I77" i="54"/>
  <c r="S110" i="54" s="1"/>
  <c r="H77" i="54"/>
  <c r="R110" i="54" s="1"/>
  <c r="G77" i="54"/>
  <c r="Q110" i="54" s="1"/>
  <c r="F77" i="54"/>
  <c r="P110" i="54" s="1"/>
  <c r="E77" i="54"/>
  <c r="O110" i="54" s="1"/>
  <c r="D77" i="54"/>
  <c r="N110" i="54" s="1"/>
  <c r="C77" i="54"/>
  <c r="M110" i="54" s="1"/>
  <c r="B77" i="54"/>
  <c r="L110" i="54" s="1"/>
  <c r="N76" i="54"/>
  <c r="X109" i="54" s="1"/>
  <c r="M76" i="54"/>
  <c r="W109" i="54" s="1"/>
  <c r="L76" i="54"/>
  <c r="V109" i="54" s="1"/>
  <c r="K76" i="54"/>
  <c r="U109" i="54" s="1"/>
  <c r="J76" i="54"/>
  <c r="T109" i="54" s="1"/>
  <c r="I76" i="54"/>
  <c r="S109" i="54" s="1"/>
  <c r="H76" i="54"/>
  <c r="R109" i="54" s="1"/>
  <c r="G76" i="54"/>
  <c r="Q109" i="54" s="1"/>
  <c r="F76" i="54"/>
  <c r="P109" i="54" s="1"/>
  <c r="E76" i="54"/>
  <c r="O109" i="54" s="1"/>
  <c r="D76" i="54"/>
  <c r="N109" i="54" s="1"/>
  <c r="C76" i="54"/>
  <c r="M109" i="54" s="1"/>
  <c r="B76" i="54"/>
  <c r="L109" i="54" s="1"/>
  <c r="N75" i="54"/>
  <c r="X108" i="54" s="1"/>
  <c r="M75" i="54"/>
  <c r="W108" i="54" s="1"/>
  <c r="L75" i="54"/>
  <c r="V108" i="54" s="1"/>
  <c r="K75" i="54"/>
  <c r="U108" i="54" s="1"/>
  <c r="J75" i="54"/>
  <c r="T108" i="54" s="1"/>
  <c r="I75" i="54"/>
  <c r="S108" i="54" s="1"/>
  <c r="H75" i="54"/>
  <c r="R108" i="54" s="1"/>
  <c r="G75" i="54"/>
  <c r="Q108" i="54" s="1"/>
  <c r="F75" i="54"/>
  <c r="P108" i="54" s="1"/>
  <c r="E75" i="54"/>
  <c r="O108" i="54" s="1"/>
  <c r="D75" i="54"/>
  <c r="N108" i="54" s="1"/>
  <c r="C75" i="54"/>
  <c r="M108" i="54" s="1"/>
  <c r="B75" i="54"/>
  <c r="L108" i="54" s="1"/>
  <c r="N67" i="54"/>
  <c r="M67" i="54"/>
  <c r="L67" i="54"/>
  <c r="K67" i="54"/>
  <c r="J67" i="54"/>
  <c r="I67" i="54"/>
  <c r="H67" i="54"/>
  <c r="G67" i="54"/>
  <c r="F67" i="54"/>
  <c r="E67" i="54"/>
  <c r="AO136" i="73" s="1"/>
  <c r="K736" i="73" s="1"/>
  <c r="K754" i="73" s="1"/>
  <c r="D67" i="54"/>
  <c r="AO102" i="73" s="1"/>
  <c r="K733" i="73" s="1"/>
  <c r="K751" i="73" s="1"/>
  <c r="C67" i="54"/>
  <c r="B67" i="54"/>
  <c r="AO34" i="73" s="1"/>
  <c r="K727" i="73" s="1"/>
  <c r="K745" i="73" s="1"/>
  <c r="O66" i="54"/>
  <c r="O65" i="54"/>
  <c r="O64" i="54"/>
  <c r="O63" i="54"/>
  <c r="O62" i="54"/>
  <c r="O61" i="54"/>
  <c r="O60" i="54"/>
  <c r="O59" i="54"/>
  <c r="O58" i="54"/>
  <c r="O57" i="54"/>
  <c r="O56" i="54"/>
  <c r="O55" i="54"/>
  <c r="O54" i="54"/>
  <c r="O53" i="54"/>
  <c r="O52" i="54"/>
  <c r="O51" i="54"/>
  <c r="O50" i="54"/>
  <c r="O49" i="54"/>
  <c r="O48" i="54"/>
  <c r="O47" i="54"/>
  <c r="O46" i="54"/>
  <c r="O45" i="54"/>
  <c r="O44" i="54"/>
  <c r="O43" i="54"/>
  <c r="O42" i="54"/>
  <c r="O41" i="54"/>
  <c r="O40" i="54"/>
  <c r="N32" i="54"/>
  <c r="M32" i="54"/>
  <c r="L32" i="54"/>
  <c r="K32" i="54"/>
  <c r="J32" i="54"/>
  <c r="I32" i="54"/>
  <c r="H32" i="54"/>
  <c r="G32" i="54"/>
  <c r="F32" i="54"/>
  <c r="E32" i="54"/>
  <c r="D32" i="54"/>
  <c r="C32" i="54"/>
  <c r="B32" i="54"/>
  <c r="O31" i="54"/>
  <c r="O30" i="54"/>
  <c r="O29" i="54"/>
  <c r="O28" i="54"/>
  <c r="O27" i="54"/>
  <c r="O26" i="54"/>
  <c r="O25" i="54"/>
  <c r="O24" i="54"/>
  <c r="O23" i="54"/>
  <c r="O22" i="54"/>
  <c r="O21" i="54"/>
  <c r="O20" i="54"/>
  <c r="O19" i="54"/>
  <c r="O18" i="54"/>
  <c r="O17" i="54"/>
  <c r="O16" i="54"/>
  <c r="O15" i="54"/>
  <c r="O14" i="54"/>
  <c r="O13" i="54"/>
  <c r="O12" i="54"/>
  <c r="O11" i="54"/>
  <c r="O10" i="54"/>
  <c r="O9" i="54"/>
  <c r="O8" i="54"/>
  <c r="O7" i="54"/>
  <c r="O6" i="54"/>
  <c r="O5" i="54"/>
  <c r="N101" i="53"/>
  <c r="X134" i="53" s="1"/>
  <c r="M101" i="53"/>
  <c r="W134" i="53" s="1"/>
  <c r="L101" i="53"/>
  <c r="V134" i="53" s="1"/>
  <c r="K101" i="53"/>
  <c r="U134" i="53" s="1"/>
  <c r="J101" i="53"/>
  <c r="T134" i="53" s="1"/>
  <c r="I101" i="53"/>
  <c r="S134" i="53" s="1"/>
  <c r="H101" i="53"/>
  <c r="R134" i="53" s="1"/>
  <c r="G101" i="53"/>
  <c r="Q134" i="53" s="1"/>
  <c r="F101" i="53"/>
  <c r="P134" i="53" s="1"/>
  <c r="E101" i="53"/>
  <c r="O134" i="53" s="1"/>
  <c r="D101" i="53"/>
  <c r="N134" i="53" s="1"/>
  <c r="C101" i="53"/>
  <c r="M134" i="53" s="1"/>
  <c r="B101" i="53"/>
  <c r="L134" i="53" s="1"/>
  <c r="N100" i="53"/>
  <c r="X133" i="53" s="1"/>
  <c r="M100" i="53"/>
  <c r="W133" i="53" s="1"/>
  <c r="L100" i="53"/>
  <c r="V133" i="53" s="1"/>
  <c r="K100" i="53"/>
  <c r="U133" i="53" s="1"/>
  <c r="J100" i="53"/>
  <c r="T133" i="53" s="1"/>
  <c r="I100" i="53"/>
  <c r="S133" i="53" s="1"/>
  <c r="H100" i="53"/>
  <c r="R133" i="53" s="1"/>
  <c r="G100" i="53"/>
  <c r="Q133" i="53" s="1"/>
  <c r="F100" i="53"/>
  <c r="P133" i="53" s="1"/>
  <c r="E100" i="53"/>
  <c r="O133" i="53" s="1"/>
  <c r="D100" i="53"/>
  <c r="N133" i="53" s="1"/>
  <c r="C100" i="53"/>
  <c r="M133" i="53" s="1"/>
  <c r="B100" i="53"/>
  <c r="L133" i="53" s="1"/>
  <c r="N99" i="53"/>
  <c r="X132" i="53" s="1"/>
  <c r="M99" i="53"/>
  <c r="W132" i="53" s="1"/>
  <c r="L99" i="53"/>
  <c r="V132" i="53" s="1"/>
  <c r="K99" i="53"/>
  <c r="U132" i="53" s="1"/>
  <c r="J99" i="53"/>
  <c r="T132" i="53" s="1"/>
  <c r="I99" i="53"/>
  <c r="S132" i="53" s="1"/>
  <c r="H99" i="53"/>
  <c r="R132" i="53" s="1"/>
  <c r="G99" i="53"/>
  <c r="Q132" i="53" s="1"/>
  <c r="F99" i="53"/>
  <c r="P132" i="53" s="1"/>
  <c r="E99" i="53"/>
  <c r="O132" i="53" s="1"/>
  <c r="D99" i="53"/>
  <c r="N132" i="53" s="1"/>
  <c r="C99" i="53"/>
  <c r="M132" i="53" s="1"/>
  <c r="B99" i="53"/>
  <c r="L132" i="53" s="1"/>
  <c r="N98" i="53"/>
  <c r="X131" i="53" s="1"/>
  <c r="M98" i="53"/>
  <c r="W131" i="53" s="1"/>
  <c r="L98" i="53"/>
  <c r="V131" i="53" s="1"/>
  <c r="K98" i="53"/>
  <c r="U131" i="53" s="1"/>
  <c r="J98" i="53"/>
  <c r="T131" i="53" s="1"/>
  <c r="I98" i="53"/>
  <c r="S131" i="53" s="1"/>
  <c r="H98" i="53"/>
  <c r="R131" i="53" s="1"/>
  <c r="G98" i="53"/>
  <c r="Q131" i="53" s="1"/>
  <c r="F98" i="53"/>
  <c r="P131" i="53" s="1"/>
  <c r="E98" i="53"/>
  <c r="O131" i="53" s="1"/>
  <c r="D98" i="53"/>
  <c r="N131" i="53" s="1"/>
  <c r="C98" i="53"/>
  <c r="M131" i="53" s="1"/>
  <c r="B98" i="53"/>
  <c r="L131" i="53" s="1"/>
  <c r="N97" i="53"/>
  <c r="X130" i="53" s="1"/>
  <c r="M97" i="53"/>
  <c r="W130" i="53" s="1"/>
  <c r="L97" i="53"/>
  <c r="V130" i="53" s="1"/>
  <c r="K97" i="53"/>
  <c r="U130" i="53" s="1"/>
  <c r="J97" i="53"/>
  <c r="T130" i="53" s="1"/>
  <c r="I97" i="53"/>
  <c r="S130" i="53" s="1"/>
  <c r="H97" i="53"/>
  <c r="R130" i="53" s="1"/>
  <c r="G97" i="53"/>
  <c r="Q130" i="53" s="1"/>
  <c r="F97" i="53"/>
  <c r="P130" i="53" s="1"/>
  <c r="E97" i="53"/>
  <c r="O130" i="53" s="1"/>
  <c r="D97" i="53"/>
  <c r="N130" i="53" s="1"/>
  <c r="C97" i="53"/>
  <c r="M130" i="53" s="1"/>
  <c r="B97" i="53"/>
  <c r="L130" i="53" s="1"/>
  <c r="N96" i="53"/>
  <c r="X129" i="53" s="1"/>
  <c r="M96" i="53"/>
  <c r="W129" i="53" s="1"/>
  <c r="L96" i="53"/>
  <c r="V129" i="53" s="1"/>
  <c r="K96" i="53"/>
  <c r="U129" i="53" s="1"/>
  <c r="J96" i="53"/>
  <c r="T129" i="53" s="1"/>
  <c r="I96" i="53"/>
  <c r="S129" i="53" s="1"/>
  <c r="H96" i="53"/>
  <c r="R129" i="53" s="1"/>
  <c r="G96" i="53"/>
  <c r="Q129" i="53" s="1"/>
  <c r="F96" i="53"/>
  <c r="P129" i="53" s="1"/>
  <c r="E96" i="53"/>
  <c r="O129" i="53" s="1"/>
  <c r="D96" i="53"/>
  <c r="N129" i="53" s="1"/>
  <c r="C96" i="53"/>
  <c r="M129" i="53" s="1"/>
  <c r="B96" i="53"/>
  <c r="L129" i="53" s="1"/>
  <c r="N95" i="53"/>
  <c r="X128" i="53" s="1"/>
  <c r="M95" i="53"/>
  <c r="W128" i="53" s="1"/>
  <c r="L95" i="53"/>
  <c r="V128" i="53" s="1"/>
  <c r="K95" i="53"/>
  <c r="U128" i="53" s="1"/>
  <c r="J95" i="53"/>
  <c r="T128" i="53" s="1"/>
  <c r="I95" i="53"/>
  <c r="S128" i="53" s="1"/>
  <c r="H95" i="53"/>
  <c r="R128" i="53" s="1"/>
  <c r="G95" i="53"/>
  <c r="Q128" i="53" s="1"/>
  <c r="F95" i="53"/>
  <c r="P128" i="53" s="1"/>
  <c r="E95" i="53"/>
  <c r="O128" i="53" s="1"/>
  <c r="D95" i="53"/>
  <c r="N128" i="53" s="1"/>
  <c r="C95" i="53"/>
  <c r="M128" i="53" s="1"/>
  <c r="B95" i="53"/>
  <c r="L128" i="53" s="1"/>
  <c r="N94" i="53"/>
  <c r="X127" i="53" s="1"/>
  <c r="M94" i="53"/>
  <c r="W127" i="53" s="1"/>
  <c r="L94" i="53"/>
  <c r="V127" i="53" s="1"/>
  <c r="K94" i="53"/>
  <c r="U127" i="53" s="1"/>
  <c r="J94" i="53"/>
  <c r="T127" i="53" s="1"/>
  <c r="I94" i="53"/>
  <c r="S127" i="53" s="1"/>
  <c r="H94" i="53"/>
  <c r="R127" i="53" s="1"/>
  <c r="G94" i="53"/>
  <c r="Q127" i="53" s="1"/>
  <c r="F94" i="53"/>
  <c r="P127" i="53" s="1"/>
  <c r="E94" i="53"/>
  <c r="O127" i="53" s="1"/>
  <c r="D94" i="53"/>
  <c r="N127" i="53" s="1"/>
  <c r="C94" i="53"/>
  <c r="M127" i="53" s="1"/>
  <c r="B94" i="53"/>
  <c r="L127" i="53" s="1"/>
  <c r="N93" i="53"/>
  <c r="X126" i="53" s="1"/>
  <c r="M93" i="53"/>
  <c r="W126" i="53" s="1"/>
  <c r="L93" i="53"/>
  <c r="V126" i="53" s="1"/>
  <c r="K93" i="53"/>
  <c r="U126" i="53" s="1"/>
  <c r="J93" i="53"/>
  <c r="T126" i="53" s="1"/>
  <c r="I93" i="53"/>
  <c r="S126" i="53" s="1"/>
  <c r="H93" i="53"/>
  <c r="R126" i="53" s="1"/>
  <c r="G93" i="53"/>
  <c r="Q126" i="53" s="1"/>
  <c r="F93" i="53"/>
  <c r="P126" i="53" s="1"/>
  <c r="E93" i="53"/>
  <c r="O126" i="53" s="1"/>
  <c r="D93" i="53"/>
  <c r="N126" i="53" s="1"/>
  <c r="C93" i="53"/>
  <c r="M126" i="53" s="1"/>
  <c r="B93" i="53"/>
  <c r="L126" i="53" s="1"/>
  <c r="N92" i="53"/>
  <c r="X125" i="53" s="1"/>
  <c r="M92" i="53"/>
  <c r="W125" i="53" s="1"/>
  <c r="L92" i="53"/>
  <c r="V125" i="53" s="1"/>
  <c r="K92" i="53"/>
  <c r="U125" i="53" s="1"/>
  <c r="J92" i="53"/>
  <c r="T125" i="53" s="1"/>
  <c r="I92" i="53"/>
  <c r="S125" i="53" s="1"/>
  <c r="H92" i="53"/>
  <c r="R125" i="53" s="1"/>
  <c r="G92" i="53"/>
  <c r="Q125" i="53" s="1"/>
  <c r="F92" i="53"/>
  <c r="P125" i="53" s="1"/>
  <c r="E92" i="53"/>
  <c r="O125" i="53" s="1"/>
  <c r="D92" i="53"/>
  <c r="N125" i="53" s="1"/>
  <c r="C92" i="53"/>
  <c r="M125" i="53" s="1"/>
  <c r="B92" i="53"/>
  <c r="L125" i="53" s="1"/>
  <c r="N91" i="53"/>
  <c r="X124" i="53" s="1"/>
  <c r="M91" i="53"/>
  <c r="W124" i="53" s="1"/>
  <c r="L91" i="53"/>
  <c r="V124" i="53" s="1"/>
  <c r="K91" i="53"/>
  <c r="U124" i="53" s="1"/>
  <c r="J91" i="53"/>
  <c r="T124" i="53" s="1"/>
  <c r="I91" i="53"/>
  <c r="S124" i="53" s="1"/>
  <c r="H91" i="53"/>
  <c r="R124" i="53" s="1"/>
  <c r="G91" i="53"/>
  <c r="Q124" i="53" s="1"/>
  <c r="F91" i="53"/>
  <c r="P124" i="53" s="1"/>
  <c r="E91" i="53"/>
  <c r="O124" i="53" s="1"/>
  <c r="D91" i="53"/>
  <c r="N124" i="53" s="1"/>
  <c r="C91" i="53"/>
  <c r="M124" i="53" s="1"/>
  <c r="B91" i="53"/>
  <c r="L124" i="53" s="1"/>
  <c r="N90" i="53"/>
  <c r="X123" i="53" s="1"/>
  <c r="M90" i="53"/>
  <c r="W123" i="53" s="1"/>
  <c r="L90" i="53"/>
  <c r="V123" i="53" s="1"/>
  <c r="K90" i="53"/>
  <c r="U123" i="53" s="1"/>
  <c r="J90" i="53"/>
  <c r="T123" i="53" s="1"/>
  <c r="I90" i="53"/>
  <c r="S123" i="53" s="1"/>
  <c r="H90" i="53"/>
  <c r="R123" i="53" s="1"/>
  <c r="G90" i="53"/>
  <c r="Q123" i="53" s="1"/>
  <c r="F90" i="53"/>
  <c r="P123" i="53" s="1"/>
  <c r="E90" i="53"/>
  <c r="O123" i="53" s="1"/>
  <c r="D90" i="53"/>
  <c r="N123" i="53" s="1"/>
  <c r="C90" i="53"/>
  <c r="M123" i="53" s="1"/>
  <c r="B90" i="53"/>
  <c r="L123" i="53" s="1"/>
  <c r="N89" i="53"/>
  <c r="X122" i="53" s="1"/>
  <c r="M89" i="53"/>
  <c r="W122" i="53" s="1"/>
  <c r="L89" i="53"/>
  <c r="V122" i="53" s="1"/>
  <c r="K89" i="53"/>
  <c r="U122" i="53" s="1"/>
  <c r="J89" i="53"/>
  <c r="T122" i="53" s="1"/>
  <c r="I89" i="53"/>
  <c r="S122" i="53" s="1"/>
  <c r="H89" i="53"/>
  <c r="R122" i="53" s="1"/>
  <c r="G89" i="53"/>
  <c r="Q122" i="53" s="1"/>
  <c r="F89" i="53"/>
  <c r="P122" i="53" s="1"/>
  <c r="E89" i="53"/>
  <c r="O122" i="53" s="1"/>
  <c r="D89" i="53"/>
  <c r="N122" i="53" s="1"/>
  <c r="C89" i="53"/>
  <c r="M122" i="53" s="1"/>
  <c r="B89" i="53"/>
  <c r="L122" i="53" s="1"/>
  <c r="N88" i="53"/>
  <c r="X121" i="53" s="1"/>
  <c r="M88" i="53"/>
  <c r="W121" i="53" s="1"/>
  <c r="L88" i="53"/>
  <c r="V121" i="53" s="1"/>
  <c r="K88" i="53"/>
  <c r="U121" i="53" s="1"/>
  <c r="J88" i="53"/>
  <c r="T121" i="53" s="1"/>
  <c r="I88" i="53"/>
  <c r="S121" i="53" s="1"/>
  <c r="H88" i="53"/>
  <c r="R121" i="53" s="1"/>
  <c r="G88" i="53"/>
  <c r="Q121" i="53" s="1"/>
  <c r="F88" i="53"/>
  <c r="P121" i="53" s="1"/>
  <c r="E88" i="53"/>
  <c r="O121" i="53" s="1"/>
  <c r="D88" i="53"/>
  <c r="N121" i="53" s="1"/>
  <c r="C88" i="53"/>
  <c r="M121" i="53" s="1"/>
  <c r="B88" i="53"/>
  <c r="L121" i="53" s="1"/>
  <c r="N87" i="53"/>
  <c r="X120" i="53" s="1"/>
  <c r="M87" i="53"/>
  <c r="W120" i="53" s="1"/>
  <c r="L87" i="53"/>
  <c r="V120" i="53" s="1"/>
  <c r="K87" i="53"/>
  <c r="U120" i="53" s="1"/>
  <c r="J87" i="53"/>
  <c r="T120" i="53" s="1"/>
  <c r="I87" i="53"/>
  <c r="S120" i="53" s="1"/>
  <c r="H87" i="53"/>
  <c r="R120" i="53" s="1"/>
  <c r="G87" i="53"/>
  <c r="Q120" i="53" s="1"/>
  <c r="F87" i="53"/>
  <c r="P120" i="53" s="1"/>
  <c r="E87" i="53"/>
  <c r="O120" i="53" s="1"/>
  <c r="D87" i="53"/>
  <c r="N120" i="53" s="1"/>
  <c r="C87" i="53"/>
  <c r="M120" i="53" s="1"/>
  <c r="B87" i="53"/>
  <c r="L120" i="53" s="1"/>
  <c r="N86" i="53"/>
  <c r="X119" i="53" s="1"/>
  <c r="M86" i="53"/>
  <c r="W119" i="53" s="1"/>
  <c r="L86" i="53"/>
  <c r="V119" i="53" s="1"/>
  <c r="K86" i="53"/>
  <c r="U119" i="53" s="1"/>
  <c r="J86" i="53"/>
  <c r="T119" i="53" s="1"/>
  <c r="I86" i="53"/>
  <c r="S119" i="53" s="1"/>
  <c r="H86" i="53"/>
  <c r="R119" i="53" s="1"/>
  <c r="G86" i="53"/>
  <c r="Q119" i="53" s="1"/>
  <c r="F86" i="53"/>
  <c r="P119" i="53" s="1"/>
  <c r="E86" i="53"/>
  <c r="O119" i="53" s="1"/>
  <c r="D86" i="53"/>
  <c r="N119" i="53" s="1"/>
  <c r="C86" i="53"/>
  <c r="M119" i="53" s="1"/>
  <c r="B86" i="53"/>
  <c r="L119" i="53" s="1"/>
  <c r="N85" i="53"/>
  <c r="X118" i="53" s="1"/>
  <c r="M85" i="53"/>
  <c r="W118" i="53" s="1"/>
  <c r="L85" i="53"/>
  <c r="V118" i="53" s="1"/>
  <c r="K85" i="53"/>
  <c r="U118" i="53" s="1"/>
  <c r="J85" i="53"/>
  <c r="T118" i="53" s="1"/>
  <c r="I85" i="53"/>
  <c r="S118" i="53" s="1"/>
  <c r="H85" i="53"/>
  <c r="R118" i="53" s="1"/>
  <c r="G85" i="53"/>
  <c r="Q118" i="53" s="1"/>
  <c r="F85" i="53"/>
  <c r="P118" i="53" s="1"/>
  <c r="E85" i="53"/>
  <c r="O118" i="53" s="1"/>
  <c r="D85" i="53"/>
  <c r="N118" i="53" s="1"/>
  <c r="C85" i="53"/>
  <c r="M118" i="53" s="1"/>
  <c r="B85" i="53"/>
  <c r="L118" i="53" s="1"/>
  <c r="N84" i="53"/>
  <c r="X117" i="53" s="1"/>
  <c r="M84" i="53"/>
  <c r="W117" i="53" s="1"/>
  <c r="L84" i="53"/>
  <c r="V117" i="53" s="1"/>
  <c r="K84" i="53"/>
  <c r="U117" i="53" s="1"/>
  <c r="J84" i="53"/>
  <c r="T117" i="53" s="1"/>
  <c r="I84" i="53"/>
  <c r="S117" i="53" s="1"/>
  <c r="H84" i="53"/>
  <c r="R117" i="53" s="1"/>
  <c r="G84" i="53"/>
  <c r="Q117" i="53" s="1"/>
  <c r="F84" i="53"/>
  <c r="P117" i="53" s="1"/>
  <c r="E84" i="53"/>
  <c r="O117" i="53" s="1"/>
  <c r="D84" i="53"/>
  <c r="N117" i="53" s="1"/>
  <c r="C84" i="53"/>
  <c r="M117" i="53" s="1"/>
  <c r="B84" i="53"/>
  <c r="L117" i="53" s="1"/>
  <c r="N83" i="53"/>
  <c r="X116" i="53" s="1"/>
  <c r="M83" i="53"/>
  <c r="W116" i="53" s="1"/>
  <c r="L83" i="53"/>
  <c r="V116" i="53" s="1"/>
  <c r="K83" i="53"/>
  <c r="U116" i="53" s="1"/>
  <c r="J83" i="53"/>
  <c r="T116" i="53" s="1"/>
  <c r="I83" i="53"/>
  <c r="S116" i="53" s="1"/>
  <c r="H83" i="53"/>
  <c r="R116" i="53" s="1"/>
  <c r="G83" i="53"/>
  <c r="Q116" i="53" s="1"/>
  <c r="F83" i="53"/>
  <c r="P116" i="53" s="1"/>
  <c r="E83" i="53"/>
  <c r="O116" i="53" s="1"/>
  <c r="D83" i="53"/>
  <c r="N116" i="53" s="1"/>
  <c r="C83" i="53"/>
  <c r="M116" i="53" s="1"/>
  <c r="B83" i="53"/>
  <c r="L116" i="53" s="1"/>
  <c r="N82" i="53"/>
  <c r="X115" i="53" s="1"/>
  <c r="M82" i="53"/>
  <c r="W115" i="53" s="1"/>
  <c r="L82" i="53"/>
  <c r="V115" i="53" s="1"/>
  <c r="K82" i="53"/>
  <c r="U115" i="53" s="1"/>
  <c r="J82" i="53"/>
  <c r="T115" i="53" s="1"/>
  <c r="I82" i="53"/>
  <c r="S115" i="53" s="1"/>
  <c r="H82" i="53"/>
  <c r="R115" i="53" s="1"/>
  <c r="G82" i="53"/>
  <c r="Q115" i="53" s="1"/>
  <c r="F82" i="53"/>
  <c r="P115" i="53" s="1"/>
  <c r="E82" i="53"/>
  <c r="O115" i="53" s="1"/>
  <c r="D82" i="53"/>
  <c r="N115" i="53" s="1"/>
  <c r="C82" i="53"/>
  <c r="M115" i="53" s="1"/>
  <c r="B82" i="53"/>
  <c r="L115" i="53" s="1"/>
  <c r="N81" i="53"/>
  <c r="X114" i="53" s="1"/>
  <c r="M81" i="53"/>
  <c r="W114" i="53" s="1"/>
  <c r="L81" i="53"/>
  <c r="V114" i="53" s="1"/>
  <c r="K81" i="53"/>
  <c r="U114" i="53" s="1"/>
  <c r="J81" i="53"/>
  <c r="T114" i="53" s="1"/>
  <c r="I81" i="53"/>
  <c r="S114" i="53" s="1"/>
  <c r="H81" i="53"/>
  <c r="R114" i="53" s="1"/>
  <c r="G81" i="53"/>
  <c r="Q114" i="53" s="1"/>
  <c r="F81" i="53"/>
  <c r="P114" i="53" s="1"/>
  <c r="E81" i="53"/>
  <c r="O114" i="53" s="1"/>
  <c r="D81" i="53"/>
  <c r="N114" i="53" s="1"/>
  <c r="C81" i="53"/>
  <c r="M114" i="53" s="1"/>
  <c r="B81" i="53"/>
  <c r="L114" i="53" s="1"/>
  <c r="N80" i="53"/>
  <c r="X113" i="53" s="1"/>
  <c r="M80" i="53"/>
  <c r="W113" i="53" s="1"/>
  <c r="L80" i="53"/>
  <c r="V113" i="53" s="1"/>
  <c r="K80" i="53"/>
  <c r="U113" i="53" s="1"/>
  <c r="J80" i="53"/>
  <c r="T113" i="53" s="1"/>
  <c r="I80" i="53"/>
  <c r="S113" i="53" s="1"/>
  <c r="H80" i="53"/>
  <c r="R113" i="53" s="1"/>
  <c r="G80" i="53"/>
  <c r="Q113" i="53" s="1"/>
  <c r="F80" i="53"/>
  <c r="P113" i="53" s="1"/>
  <c r="E80" i="53"/>
  <c r="O113" i="53" s="1"/>
  <c r="D80" i="53"/>
  <c r="N113" i="53" s="1"/>
  <c r="C80" i="53"/>
  <c r="M113" i="53" s="1"/>
  <c r="B80" i="53"/>
  <c r="L113" i="53" s="1"/>
  <c r="N79" i="53"/>
  <c r="X112" i="53" s="1"/>
  <c r="M79" i="53"/>
  <c r="W112" i="53" s="1"/>
  <c r="L79" i="53"/>
  <c r="V112" i="53" s="1"/>
  <c r="K79" i="53"/>
  <c r="U112" i="53" s="1"/>
  <c r="J79" i="53"/>
  <c r="T112" i="53" s="1"/>
  <c r="I79" i="53"/>
  <c r="S112" i="53" s="1"/>
  <c r="H79" i="53"/>
  <c r="R112" i="53" s="1"/>
  <c r="G79" i="53"/>
  <c r="Q112" i="53" s="1"/>
  <c r="F79" i="53"/>
  <c r="P112" i="53" s="1"/>
  <c r="E79" i="53"/>
  <c r="O112" i="53" s="1"/>
  <c r="D79" i="53"/>
  <c r="N112" i="53" s="1"/>
  <c r="C79" i="53"/>
  <c r="M112" i="53" s="1"/>
  <c r="B79" i="53"/>
  <c r="L112" i="53" s="1"/>
  <c r="N78" i="53"/>
  <c r="X111" i="53" s="1"/>
  <c r="M78" i="53"/>
  <c r="W111" i="53" s="1"/>
  <c r="L78" i="53"/>
  <c r="V111" i="53" s="1"/>
  <c r="K78" i="53"/>
  <c r="U111" i="53" s="1"/>
  <c r="J78" i="53"/>
  <c r="T111" i="53" s="1"/>
  <c r="I78" i="53"/>
  <c r="S111" i="53" s="1"/>
  <c r="H78" i="53"/>
  <c r="R111" i="53" s="1"/>
  <c r="G78" i="53"/>
  <c r="Q111" i="53" s="1"/>
  <c r="F78" i="53"/>
  <c r="P111" i="53" s="1"/>
  <c r="E78" i="53"/>
  <c r="O111" i="53" s="1"/>
  <c r="D78" i="53"/>
  <c r="N111" i="53" s="1"/>
  <c r="C78" i="53"/>
  <c r="M111" i="53" s="1"/>
  <c r="B78" i="53"/>
  <c r="L111" i="53" s="1"/>
  <c r="N77" i="53"/>
  <c r="X110" i="53" s="1"/>
  <c r="M77" i="53"/>
  <c r="W110" i="53" s="1"/>
  <c r="L77" i="53"/>
  <c r="V110" i="53" s="1"/>
  <c r="K77" i="53"/>
  <c r="U110" i="53" s="1"/>
  <c r="J77" i="53"/>
  <c r="T110" i="53" s="1"/>
  <c r="I77" i="53"/>
  <c r="S110" i="53" s="1"/>
  <c r="H77" i="53"/>
  <c r="R110" i="53" s="1"/>
  <c r="G77" i="53"/>
  <c r="Q110" i="53" s="1"/>
  <c r="F77" i="53"/>
  <c r="P110" i="53" s="1"/>
  <c r="E77" i="53"/>
  <c r="O110" i="53" s="1"/>
  <c r="D77" i="53"/>
  <c r="N110" i="53" s="1"/>
  <c r="C77" i="53"/>
  <c r="M110" i="53" s="1"/>
  <c r="B77" i="53"/>
  <c r="L110" i="53" s="1"/>
  <c r="N76" i="53"/>
  <c r="X109" i="53" s="1"/>
  <c r="M76" i="53"/>
  <c r="W109" i="53" s="1"/>
  <c r="L76" i="53"/>
  <c r="V109" i="53" s="1"/>
  <c r="K76" i="53"/>
  <c r="U109" i="53" s="1"/>
  <c r="J76" i="53"/>
  <c r="T109" i="53" s="1"/>
  <c r="I76" i="53"/>
  <c r="S109" i="53" s="1"/>
  <c r="H76" i="53"/>
  <c r="R109" i="53" s="1"/>
  <c r="G76" i="53"/>
  <c r="Q109" i="53" s="1"/>
  <c r="F76" i="53"/>
  <c r="P109" i="53" s="1"/>
  <c r="E76" i="53"/>
  <c r="O109" i="53" s="1"/>
  <c r="D76" i="53"/>
  <c r="N109" i="53" s="1"/>
  <c r="C76" i="53"/>
  <c r="M109" i="53" s="1"/>
  <c r="B76" i="53"/>
  <c r="L109" i="53" s="1"/>
  <c r="N75" i="53"/>
  <c r="X108" i="53" s="1"/>
  <c r="M75" i="53"/>
  <c r="W108" i="53" s="1"/>
  <c r="L75" i="53"/>
  <c r="V108" i="53" s="1"/>
  <c r="K75" i="53"/>
  <c r="U108" i="53" s="1"/>
  <c r="J75" i="53"/>
  <c r="T108" i="53" s="1"/>
  <c r="I75" i="53"/>
  <c r="S108" i="53" s="1"/>
  <c r="H75" i="53"/>
  <c r="R108" i="53" s="1"/>
  <c r="G75" i="53"/>
  <c r="Q108" i="53" s="1"/>
  <c r="F75" i="53"/>
  <c r="P108" i="53" s="1"/>
  <c r="E75" i="53"/>
  <c r="O108" i="53" s="1"/>
  <c r="D75" i="53"/>
  <c r="N108" i="53" s="1"/>
  <c r="C75" i="53"/>
  <c r="M108" i="53" s="1"/>
  <c r="B75" i="53"/>
  <c r="L108" i="53" s="1"/>
  <c r="N67" i="53"/>
  <c r="M67" i="53"/>
  <c r="L67" i="53"/>
  <c r="K67" i="53"/>
  <c r="J67" i="53"/>
  <c r="I67" i="53"/>
  <c r="H67" i="53"/>
  <c r="G67" i="53"/>
  <c r="F67" i="53"/>
  <c r="AN170" i="73" s="1"/>
  <c r="J739" i="73" s="1"/>
  <c r="J757" i="73" s="1"/>
  <c r="E67" i="53"/>
  <c r="AN136" i="73" s="1"/>
  <c r="J736" i="73" s="1"/>
  <c r="J754" i="73" s="1"/>
  <c r="D67" i="53"/>
  <c r="AN102" i="73" s="1"/>
  <c r="J733" i="73" s="1"/>
  <c r="J751" i="73" s="1"/>
  <c r="C67" i="53"/>
  <c r="AN68" i="73" s="1"/>
  <c r="J730" i="73" s="1"/>
  <c r="J748" i="73" s="1"/>
  <c r="B67" i="53"/>
  <c r="AN34" i="73" s="1"/>
  <c r="J727" i="73" s="1"/>
  <c r="J745" i="73" s="1"/>
  <c r="O66" i="53"/>
  <c r="O65" i="53"/>
  <c r="O64" i="53"/>
  <c r="O63" i="53"/>
  <c r="O62" i="53"/>
  <c r="O61" i="53"/>
  <c r="O60" i="53"/>
  <c r="O59" i="53"/>
  <c r="O58" i="53"/>
  <c r="O57" i="53"/>
  <c r="O56" i="53"/>
  <c r="O55" i="53"/>
  <c r="O54" i="53"/>
  <c r="O53" i="53"/>
  <c r="O52" i="53"/>
  <c r="O51" i="53"/>
  <c r="O50" i="53"/>
  <c r="O49" i="53"/>
  <c r="O48" i="53"/>
  <c r="O47" i="53"/>
  <c r="O46" i="53"/>
  <c r="O45" i="53"/>
  <c r="O44" i="53"/>
  <c r="O43" i="53"/>
  <c r="O42" i="53"/>
  <c r="O41" i="53"/>
  <c r="O40" i="53"/>
  <c r="N32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O31" i="53"/>
  <c r="O30" i="53"/>
  <c r="O29" i="53"/>
  <c r="O28" i="53"/>
  <c r="O27" i="53"/>
  <c r="O26" i="53"/>
  <c r="O25" i="53"/>
  <c r="O24" i="53"/>
  <c r="O23" i="53"/>
  <c r="O22" i="53"/>
  <c r="O21" i="53"/>
  <c r="O20" i="53"/>
  <c r="O19" i="53"/>
  <c r="O18" i="53"/>
  <c r="O17" i="53"/>
  <c r="O16" i="53"/>
  <c r="O15" i="53"/>
  <c r="O14" i="53"/>
  <c r="O13" i="53"/>
  <c r="O12" i="53"/>
  <c r="O11" i="53"/>
  <c r="O10" i="53"/>
  <c r="O9" i="53"/>
  <c r="O8" i="53"/>
  <c r="O7" i="53"/>
  <c r="O6" i="53"/>
  <c r="O5" i="53"/>
  <c r="N101" i="51"/>
  <c r="X134" i="51" s="1"/>
  <c r="M101" i="51"/>
  <c r="W134" i="51" s="1"/>
  <c r="L101" i="51"/>
  <c r="V134" i="51" s="1"/>
  <c r="K101" i="51"/>
  <c r="U134" i="51" s="1"/>
  <c r="J101" i="51"/>
  <c r="T134" i="51" s="1"/>
  <c r="I101" i="51"/>
  <c r="S134" i="51" s="1"/>
  <c r="H101" i="51"/>
  <c r="R134" i="51" s="1"/>
  <c r="G101" i="51"/>
  <c r="Q134" i="51" s="1"/>
  <c r="F101" i="51"/>
  <c r="P134" i="51" s="1"/>
  <c r="E101" i="51"/>
  <c r="O134" i="51" s="1"/>
  <c r="D101" i="51"/>
  <c r="N134" i="51" s="1"/>
  <c r="C101" i="51"/>
  <c r="M134" i="51" s="1"/>
  <c r="B101" i="51"/>
  <c r="L134" i="51" s="1"/>
  <c r="N100" i="51"/>
  <c r="X133" i="51" s="1"/>
  <c r="M100" i="51"/>
  <c r="W133" i="51" s="1"/>
  <c r="L100" i="51"/>
  <c r="V133" i="51" s="1"/>
  <c r="K100" i="51"/>
  <c r="U133" i="51" s="1"/>
  <c r="J100" i="51"/>
  <c r="T133" i="51" s="1"/>
  <c r="I100" i="51"/>
  <c r="S133" i="51" s="1"/>
  <c r="H100" i="51"/>
  <c r="R133" i="51" s="1"/>
  <c r="G100" i="51"/>
  <c r="Q133" i="51" s="1"/>
  <c r="F100" i="51"/>
  <c r="P133" i="51" s="1"/>
  <c r="E100" i="51"/>
  <c r="O133" i="51" s="1"/>
  <c r="D100" i="51"/>
  <c r="N133" i="51" s="1"/>
  <c r="C100" i="51"/>
  <c r="M133" i="51" s="1"/>
  <c r="B100" i="51"/>
  <c r="L133" i="51" s="1"/>
  <c r="N99" i="51"/>
  <c r="X132" i="51" s="1"/>
  <c r="M99" i="51"/>
  <c r="W132" i="51" s="1"/>
  <c r="L99" i="51"/>
  <c r="V132" i="51" s="1"/>
  <c r="K99" i="51"/>
  <c r="U132" i="51" s="1"/>
  <c r="J99" i="51"/>
  <c r="T132" i="51" s="1"/>
  <c r="I99" i="51"/>
  <c r="S132" i="51" s="1"/>
  <c r="H99" i="51"/>
  <c r="R132" i="51" s="1"/>
  <c r="G99" i="51"/>
  <c r="Q132" i="51" s="1"/>
  <c r="F99" i="51"/>
  <c r="P132" i="51" s="1"/>
  <c r="E99" i="51"/>
  <c r="O132" i="51" s="1"/>
  <c r="D99" i="51"/>
  <c r="N132" i="51" s="1"/>
  <c r="C99" i="51"/>
  <c r="M132" i="51" s="1"/>
  <c r="B99" i="51"/>
  <c r="L132" i="51" s="1"/>
  <c r="N98" i="51"/>
  <c r="X131" i="51" s="1"/>
  <c r="M98" i="51"/>
  <c r="W131" i="51" s="1"/>
  <c r="L98" i="51"/>
  <c r="V131" i="51" s="1"/>
  <c r="K98" i="51"/>
  <c r="U131" i="51" s="1"/>
  <c r="J98" i="51"/>
  <c r="T131" i="51" s="1"/>
  <c r="I98" i="51"/>
  <c r="S131" i="51" s="1"/>
  <c r="H98" i="51"/>
  <c r="R131" i="51" s="1"/>
  <c r="G98" i="51"/>
  <c r="Q131" i="51" s="1"/>
  <c r="F98" i="51"/>
  <c r="P131" i="51" s="1"/>
  <c r="E98" i="51"/>
  <c r="O131" i="51" s="1"/>
  <c r="D98" i="51"/>
  <c r="N131" i="51" s="1"/>
  <c r="C98" i="51"/>
  <c r="M131" i="51" s="1"/>
  <c r="B98" i="51"/>
  <c r="L131" i="51" s="1"/>
  <c r="N97" i="51"/>
  <c r="X130" i="51" s="1"/>
  <c r="M97" i="51"/>
  <c r="W130" i="51" s="1"/>
  <c r="L97" i="51"/>
  <c r="V130" i="51" s="1"/>
  <c r="K97" i="51"/>
  <c r="U130" i="51" s="1"/>
  <c r="J97" i="51"/>
  <c r="T130" i="51" s="1"/>
  <c r="I97" i="51"/>
  <c r="S130" i="51" s="1"/>
  <c r="H97" i="51"/>
  <c r="R130" i="51" s="1"/>
  <c r="G97" i="51"/>
  <c r="Q130" i="51" s="1"/>
  <c r="F97" i="51"/>
  <c r="P130" i="51" s="1"/>
  <c r="E97" i="51"/>
  <c r="O130" i="51" s="1"/>
  <c r="D97" i="51"/>
  <c r="N130" i="51" s="1"/>
  <c r="C97" i="51"/>
  <c r="M130" i="51" s="1"/>
  <c r="B97" i="51"/>
  <c r="L130" i="51" s="1"/>
  <c r="N96" i="51"/>
  <c r="X129" i="51" s="1"/>
  <c r="M96" i="51"/>
  <c r="W129" i="51" s="1"/>
  <c r="L96" i="51"/>
  <c r="V129" i="51" s="1"/>
  <c r="K96" i="51"/>
  <c r="U129" i="51" s="1"/>
  <c r="J96" i="51"/>
  <c r="T129" i="51" s="1"/>
  <c r="I96" i="51"/>
  <c r="S129" i="51" s="1"/>
  <c r="H96" i="51"/>
  <c r="R129" i="51" s="1"/>
  <c r="G96" i="51"/>
  <c r="Q129" i="51" s="1"/>
  <c r="F96" i="51"/>
  <c r="P129" i="51" s="1"/>
  <c r="E96" i="51"/>
  <c r="O129" i="51" s="1"/>
  <c r="D96" i="51"/>
  <c r="N129" i="51" s="1"/>
  <c r="C96" i="51"/>
  <c r="M129" i="51" s="1"/>
  <c r="B96" i="51"/>
  <c r="L129" i="51" s="1"/>
  <c r="N95" i="51"/>
  <c r="X128" i="51" s="1"/>
  <c r="M95" i="51"/>
  <c r="W128" i="51" s="1"/>
  <c r="L95" i="51"/>
  <c r="V128" i="51" s="1"/>
  <c r="K95" i="51"/>
  <c r="U128" i="51" s="1"/>
  <c r="J95" i="51"/>
  <c r="T128" i="51" s="1"/>
  <c r="I95" i="51"/>
  <c r="S128" i="51" s="1"/>
  <c r="H95" i="51"/>
  <c r="R128" i="51" s="1"/>
  <c r="G95" i="51"/>
  <c r="Q128" i="51" s="1"/>
  <c r="F95" i="51"/>
  <c r="P128" i="51" s="1"/>
  <c r="E95" i="51"/>
  <c r="O128" i="51" s="1"/>
  <c r="D95" i="51"/>
  <c r="N128" i="51" s="1"/>
  <c r="C95" i="51"/>
  <c r="M128" i="51" s="1"/>
  <c r="B95" i="51"/>
  <c r="L128" i="51" s="1"/>
  <c r="N94" i="51"/>
  <c r="X127" i="51" s="1"/>
  <c r="M94" i="51"/>
  <c r="W127" i="51" s="1"/>
  <c r="L94" i="51"/>
  <c r="V127" i="51" s="1"/>
  <c r="K94" i="51"/>
  <c r="U127" i="51" s="1"/>
  <c r="J94" i="51"/>
  <c r="T127" i="51" s="1"/>
  <c r="I94" i="51"/>
  <c r="S127" i="51" s="1"/>
  <c r="H94" i="51"/>
  <c r="R127" i="51" s="1"/>
  <c r="G94" i="51"/>
  <c r="Q127" i="51" s="1"/>
  <c r="F94" i="51"/>
  <c r="P127" i="51" s="1"/>
  <c r="E94" i="51"/>
  <c r="O127" i="51" s="1"/>
  <c r="D94" i="51"/>
  <c r="N127" i="51" s="1"/>
  <c r="C94" i="51"/>
  <c r="M127" i="51" s="1"/>
  <c r="B94" i="51"/>
  <c r="L127" i="51" s="1"/>
  <c r="N93" i="51"/>
  <c r="X126" i="51" s="1"/>
  <c r="M93" i="51"/>
  <c r="W126" i="51" s="1"/>
  <c r="L93" i="51"/>
  <c r="V126" i="51" s="1"/>
  <c r="K93" i="51"/>
  <c r="U126" i="51" s="1"/>
  <c r="J93" i="51"/>
  <c r="T126" i="51" s="1"/>
  <c r="I93" i="51"/>
  <c r="S126" i="51" s="1"/>
  <c r="H93" i="51"/>
  <c r="R126" i="51" s="1"/>
  <c r="G93" i="51"/>
  <c r="Q126" i="51" s="1"/>
  <c r="F93" i="51"/>
  <c r="P126" i="51" s="1"/>
  <c r="E93" i="51"/>
  <c r="O126" i="51" s="1"/>
  <c r="D93" i="51"/>
  <c r="N126" i="51" s="1"/>
  <c r="C93" i="51"/>
  <c r="M126" i="51" s="1"/>
  <c r="B93" i="51"/>
  <c r="L126" i="51" s="1"/>
  <c r="N92" i="51"/>
  <c r="X125" i="51" s="1"/>
  <c r="M92" i="51"/>
  <c r="W125" i="51" s="1"/>
  <c r="L92" i="51"/>
  <c r="V125" i="51" s="1"/>
  <c r="K92" i="51"/>
  <c r="U125" i="51" s="1"/>
  <c r="J92" i="51"/>
  <c r="T125" i="51" s="1"/>
  <c r="I92" i="51"/>
  <c r="S125" i="51" s="1"/>
  <c r="H92" i="51"/>
  <c r="R125" i="51" s="1"/>
  <c r="G92" i="51"/>
  <c r="Q125" i="51" s="1"/>
  <c r="F92" i="51"/>
  <c r="P125" i="51" s="1"/>
  <c r="E92" i="51"/>
  <c r="O125" i="51" s="1"/>
  <c r="D92" i="51"/>
  <c r="N125" i="51" s="1"/>
  <c r="C92" i="51"/>
  <c r="M125" i="51" s="1"/>
  <c r="B92" i="51"/>
  <c r="L125" i="51" s="1"/>
  <c r="N91" i="51"/>
  <c r="X124" i="51" s="1"/>
  <c r="M91" i="51"/>
  <c r="W124" i="51" s="1"/>
  <c r="L91" i="51"/>
  <c r="V124" i="51" s="1"/>
  <c r="K91" i="51"/>
  <c r="U124" i="51" s="1"/>
  <c r="J91" i="51"/>
  <c r="T124" i="51" s="1"/>
  <c r="I91" i="51"/>
  <c r="S124" i="51" s="1"/>
  <c r="H91" i="51"/>
  <c r="R124" i="51" s="1"/>
  <c r="G91" i="51"/>
  <c r="Q124" i="51" s="1"/>
  <c r="F91" i="51"/>
  <c r="P124" i="51" s="1"/>
  <c r="E91" i="51"/>
  <c r="O124" i="51" s="1"/>
  <c r="D91" i="51"/>
  <c r="N124" i="51" s="1"/>
  <c r="C91" i="51"/>
  <c r="M124" i="51" s="1"/>
  <c r="B91" i="51"/>
  <c r="L124" i="51" s="1"/>
  <c r="N90" i="51"/>
  <c r="X123" i="51" s="1"/>
  <c r="M90" i="51"/>
  <c r="W123" i="51" s="1"/>
  <c r="L90" i="51"/>
  <c r="V123" i="51" s="1"/>
  <c r="K90" i="51"/>
  <c r="U123" i="51" s="1"/>
  <c r="J90" i="51"/>
  <c r="T123" i="51" s="1"/>
  <c r="I90" i="51"/>
  <c r="S123" i="51" s="1"/>
  <c r="H90" i="51"/>
  <c r="R123" i="51" s="1"/>
  <c r="G90" i="51"/>
  <c r="Q123" i="51" s="1"/>
  <c r="F90" i="51"/>
  <c r="P123" i="51" s="1"/>
  <c r="E90" i="51"/>
  <c r="O123" i="51" s="1"/>
  <c r="D90" i="51"/>
  <c r="N123" i="51" s="1"/>
  <c r="C90" i="51"/>
  <c r="M123" i="51" s="1"/>
  <c r="B90" i="51"/>
  <c r="L123" i="51" s="1"/>
  <c r="N89" i="51"/>
  <c r="X122" i="51" s="1"/>
  <c r="M89" i="51"/>
  <c r="W122" i="51" s="1"/>
  <c r="L89" i="51"/>
  <c r="V122" i="51" s="1"/>
  <c r="K89" i="51"/>
  <c r="U122" i="51" s="1"/>
  <c r="J89" i="51"/>
  <c r="T122" i="51" s="1"/>
  <c r="I89" i="51"/>
  <c r="S122" i="51" s="1"/>
  <c r="H89" i="51"/>
  <c r="R122" i="51" s="1"/>
  <c r="G89" i="51"/>
  <c r="Q122" i="51" s="1"/>
  <c r="F89" i="51"/>
  <c r="P122" i="51" s="1"/>
  <c r="E89" i="51"/>
  <c r="O122" i="51" s="1"/>
  <c r="D89" i="51"/>
  <c r="N122" i="51" s="1"/>
  <c r="C89" i="51"/>
  <c r="M122" i="51" s="1"/>
  <c r="B89" i="51"/>
  <c r="L122" i="51" s="1"/>
  <c r="N88" i="51"/>
  <c r="X121" i="51" s="1"/>
  <c r="M88" i="51"/>
  <c r="W121" i="51" s="1"/>
  <c r="L88" i="51"/>
  <c r="V121" i="51" s="1"/>
  <c r="K88" i="51"/>
  <c r="U121" i="51" s="1"/>
  <c r="J88" i="51"/>
  <c r="T121" i="51" s="1"/>
  <c r="I88" i="51"/>
  <c r="S121" i="51" s="1"/>
  <c r="H88" i="51"/>
  <c r="R121" i="51" s="1"/>
  <c r="G88" i="51"/>
  <c r="Q121" i="51" s="1"/>
  <c r="F88" i="51"/>
  <c r="P121" i="51" s="1"/>
  <c r="E88" i="51"/>
  <c r="O121" i="51" s="1"/>
  <c r="D88" i="51"/>
  <c r="N121" i="51" s="1"/>
  <c r="C88" i="51"/>
  <c r="M121" i="51" s="1"/>
  <c r="B88" i="51"/>
  <c r="L121" i="51" s="1"/>
  <c r="N87" i="51"/>
  <c r="X120" i="51" s="1"/>
  <c r="M87" i="51"/>
  <c r="W120" i="51" s="1"/>
  <c r="L87" i="51"/>
  <c r="V120" i="51" s="1"/>
  <c r="K87" i="51"/>
  <c r="U120" i="51" s="1"/>
  <c r="J87" i="51"/>
  <c r="T120" i="51" s="1"/>
  <c r="I87" i="51"/>
  <c r="S120" i="51" s="1"/>
  <c r="H87" i="51"/>
  <c r="R120" i="51" s="1"/>
  <c r="G87" i="51"/>
  <c r="Q120" i="51" s="1"/>
  <c r="F87" i="51"/>
  <c r="P120" i="51" s="1"/>
  <c r="E87" i="51"/>
  <c r="O120" i="51" s="1"/>
  <c r="D87" i="51"/>
  <c r="N120" i="51" s="1"/>
  <c r="C87" i="51"/>
  <c r="M120" i="51" s="1"/>
  <c r="B87" i="51"/>
  <c r="L120" i="51" s="1"/>
  <c r="N86" i="51"/>
  <c r="X119" i="51" s="1"/>
  <c r="M86" i="51"/>
  <c r="W119" i="51" s="1"/>
  <c r="L86" i="51"/>
  <c r="V119" i="51" s="1"/>
  <c r="K86" i="51"/>
  <c r="U119" i="51" s="1"/>
  <c r="J86" i="51"/>
  <c r="T119" i="51" s="1"/>
  <c r="I86" i="51"/>
  <c r="S119" i="51" s="1"/>
  <c r="H86" i="51"/>
  <c r="R119" i="51" s="1"/>
  <c r="G86" i="51"/>
  <c r="Q119" i="51" s="1"/>
  <c r="F86" i="51"/>
  <c r="P119" i="51" s="1"/>
  <c r="E86" i="51"/>
  <c r="O119" i="51" s="1"/>
  <c r="D86" i="51"/>
  <c r="N119" i="51" s="1"/>
  <c r="C86" i="51"/>
  <c r="M119" i="51" s="1"/>
  <c r="B86" i="51"/>
  <c r="L119" i="51" s="1"/>
  <c r="N85" i="51"/>
  <c r="X118" i="51" s="1"/>
  <c r="M85" i="51"/>
  <c r="W118" i="51" s="1"/>
  <c r="L85" i="51"/>
  <c r="V118" i="51" s="1"/>
  <c r="K85" i="51"/>
  <c r="U118" i="51" s="1"/>
  <c r="J85" i="51"/>
  <c r="T118" i="51" s="1"/>
  <c r="I85" i="51"/>
  <c r="S118" i="51" s="1"/>
  <c r="H85" i="51"/>
  <c r="R118" i="51" s="1"/>
  <c r="G85" i="51"/>
  <c r="Q118" i="51" s="1"/>
  <c r="F85" i="51"/>
  <c r="P118" i="51" s="1"/>
  <c r="E85" i="51"/>
  <c r="O118" i="51" s="1"/>
  <c r="D85" i="51"/>
  <c r="N118" i="51" s="1"/>
  <c r="C85" i="51"/>
  <c r="M118" i="51" s="1"/>
  <c r="B85" i="51"/>
  <c r="L118" i="51" s="1"/>
  <c r="N84" i="51"/>
  <c r="X117" i="51" s="1"/>
  <c r="M84" i="51"/>
  <c r="W117" i="51" s="1"/>
  <c r="L84" i="51"/>
  <c r="V117" i="51" s="1"/>
  <c r="K84" i="51"/>
  <c r="U117" i="51" s="1"/>
  <c r="J84" i="51"/>
  <c r="T117" i="51" s="1"/>
  <c r="I84" i="51"/>
  <c r="S117" i="51" s="1"/>
  <c r="H84" i="51"/>
  <c r="R117" i="51" s="1"/>
  <c r="G84" i="51"/>
  <c r="Q117" i="51" s="1"/>
  <c r="F84" i="51"/>
  <c r="P117" i="51" s="1"/>
  <c r="E84" i="51"/>
  <c r="O117" i="51" s="1"/>
  <c r="D84" i="51"/>
  <c r="N117" i="51" s="1"/>
  <c r="C84" i="51"/>
  <c r="M117" i="51" s="1"/>
  <c r="B84" i="51"/>
  <c r="L117" i="51" s="1"/>
  <c r="N83" i="51"/>
  <c r="X116" i="51" s="1"/>
  <c r="M83" i="51"/>
  <c r="W116" i="51" s="1"/>
  <c r="L83" i="51"/>
  <c r="V116" i="51" s="1"/>
  <c r="K83" i="51"/>
  <c r="U116" i="51" s="1"/>
  <c r="J83" i="51"/>
  <c r="T116" i="51" s="1"/>
  <c r="I83" i="51"/>
  <c r="S116" i="51" s="1"/>
  <c r="H83" i="51"/>
  <c r="R116" i="51" s="1"/>
  <c r="G83" i="51"/>
  <c r="Q116" i="51" s="1"/>
  <c r="F83" i="51"/>
  <c r="P116" i="51" s="1"/>
  <c r="E83" i="51"/>
  <c r="O116" i="51" s="1"/>
  <c r="D83" i="51"/>
  <c r="N116" i="51" s="1"/>
  <c r="C83" i="51"/>
  <c r="M116" i="51" s="1"/>
  <c r="B83" i="51"/>
  <c r="L116" i="51" s="1"/>
  <c r="N82" i="51"/>
  <c r="X115" i="51" s="1"/>
  <c r="M82" i="51"/>
  <c r="W115" i="51" s="1"/>
  <c r="L82" i="51"/>
  <c r="V115" i="51" s="1"/>
  <c r="K82" i="51"/>
  <c r="U115" i="51" s="1"/>
  <c r="J82" i="51"/>
  <c r="T115" i="51" s="1"/>
  <c r="I82" i="51"/>
  <c r="S115" i="51" s="1"/>
  <c r="H82" i="51"/>
  <c r="R115" i="51" s="1"/>
  <c r="G82" i="51"/>
  <c r="Q115" i="51" s="1"/>
  <c r="F82" i="51"/>
  <c r="P115" i="51" s="1"/>
  <c r="E82" i="51"/>
  <c r="O115" i="51" s="1"/>
  <c r="D82" i="51"/>
  <c r="N115" i="51" s="1"/>
  <c r="C82" i="51"/>
  <c r="M115" i="51" s="1"/>
  <c r="B82" i="51"/>
  <c r="L115" i="51" s="1"/>
  <c r="N81" i="51"/>
  <c r="X114" i="51" s="1"/>
  <c r="M81" i="51"/>
  <c r="W114" i="51" s="1"/>
  <c r="L81" i="51"/>
  <c r="V114" i="51" s="1"/>
  <c r="K81" i="51"/>
  <c r="U114" i="51" s="1"/>
  <c r="J81" i="51"/>
  <c r="T114" i="51" s="1"/>
  <c r="I81" i="51"/>
  <c r="S114" i="51" s="1"/>
  <c r="H81" i="51"/>
  <c r="R114" i="51" s="1"/>
  <c r="G81" i="51"/>
  <c r="Q114" i="51" s="1"/>
  <c r="F81" i="51"/>
  <c r="P114" i="51" s="1"/>
  <c r="E81" i="51"/>
  <c r="O114" i="51" s="1"/>
  <c r="D81" i="51"/>
  <c r="N114" i="51" s="1"/>
  <c r="C81" i="51"/>
  <c r="M114" i="51" s="1"/>
  <c r="B81" i="51"/>
  <c r="L114" i="51" s="1"/>
  <c r="N80" i="51"/>
  <c r="X113" i="51" s="1"/>
  <c r="M80" i="51"/>
  <c r="W113" i="51" s="1"/>
  <c r="L80" i="51"/>
  <c r="V113" i="51" s="1"/>
  <c r="K80" i="51"/>
  <c r="U113" i="51" s="1"/>
  <c r="J80" i="51"/>
  <c r="T113" i="51" s="1"/>
  <c r="I80" i="51"/>
  <c r="S113" i="51" s="1"/>
  <c r="H80" i="51"/>
  <c r="R113" i="51" s="1"/>
  <c r="G80" i="51"/>
  <c r="Q113" i="51" s="1"/>
  <c r="F80" i="51"/>
  <c r="P113" i="51" s="1"/>
  <c r="E80" i="51"/>
  <c r="O113" i="51" s="1"/>
  <c r="D80" i="51"/>
  <c r="N113" i="51" s="1"/>
  <c r="C80" i="51"/>
  <c r="M113" i="51" s="1"/>
  <c r="B80" i="51"/>
  <c r="L113" i="51" s="1"/>
  <c r="N79" i="51"/>
  <c r="X112" i="51" s="1"/>
  <c r="M79" i="51"/>
  <c r="W112" i="51" s="1"/>
  <c r="L79" i="51"/>
  <c r="V112" i="51" s="1"/>
  <c r="K79" i="51"/>
  <c r="U112" i="51" s="1"/>
  <c r="J79" i="51"/>
  <c r="T112" i="51" s="1"/>
  <c r="I79" i="51"/>
  <c r="S112" i="51" s="1"/>
  <c r="H79" i="51"/>
  <c r="R112" i="51" s="1"/>
  <c r="G79" i="51"/>
  <c r="Q112" i="51" s="1"/>
  <c r="F79" i="51"/>
  <c r="P112" i="51" s="1"/>
  <c r="E79" i="51"/>
  <c r="O112" i="51" s="1"/>
  <c r="D79" i="51"/>
  <c r="N112" i="51" s="1"/>
  <c r="C79" i="51"/>
  <c r="M112" i="51" s="1"/>
  <c r="B79" i="51"/>
  <c r="L112" i="51" s="1"/>
  <c r="N78" i="51"/>
  <c r="X111" i="51" s="1"/>
  <c r="M78" i="51"/>
  <c r="W111" i="51" s="1"/>
  <c r="L78" i="51"/>
  <c r="V111" i="51" s="1"/>
  <c r="K78" i="51"/>
  <c r="U111" i="51" s="1"/>
  <c r="J78" i="51"/>
  <c r="T111" i="51" s="1"/>
  <c r="I78" i="51"/>
  <c r="S111" i="51" s="1"/>
  <c r="H78" i="51"/>
  <c r="R111" i="51" s="1"/>
  <c r="G78" i="51"/>
  <c r="Q111" i="51" s="1"/>
  <c r="F78" i="51"/>
  <c r="P111" i="51" s="1"/>
  <c r="E78" i="51"/>
  <c r="O111" i="51" s="1"/>
  <c r="D78" i="51"/>
  <c r="N111" i="51" s="1"/>
  <c r="C78" i="51"/>
  <c r="M111" i="51" s="1"/>
  <c r="B78" i="51"/>
  <c r="L111" i="51" s="1"/>
  <c r="N77" i="51"/>
  <c r="X110" i="51" s="1"/>
  <c r="M77" i="51"/>
  <c r="W110" i="51" s="1"/>
  <c r="L77" i="51"/>
  <c r="V110" i="51" s="1"/>
  <c r="K77" i="51"/>
  <c r="U110" i="51" s="1"/>
  <c r="J77" i="51"/>
  <c r="T110" i="51" s="1"/>
  <c r="I77" i="51"/>
  <c r="S110" i="51" s="1"/>
  <c r="H77" i="51"/>
  <c r="R110" i="51" s="1"/>
  <c r="G77" i="51"/>
  <c r="Q110" i="51" s="1"/>
  <c r="F77" i="51"/>
  <c r="P110" i="51" s="1"/>
  <c r="E77" i="51"/>
  <c r="O110" i="51" s="1"/>
  <c r="D77" i="51"/>
  <c r="N110" i="51" s="1"/>
  <c r="C77" i="51"/>
  <c r="M110" i="51" s="1"/>
  <c r="B77" i="51"/>
  <c r="L110" i="51" s="1"/>
  <c r="N76" i="51"/>
  <c r="X109" i="51" s="1"/>
  <c r="M76" i="51"/>
  <c r="W109" i="51" s="1"/>
  <c r="L76" i="51"/>
  <c r="V109" i="51" s="1"/>
  <c r="K76" i="51"/>
  <c r="U109" i="51" s="1"/>
  <c r="J76" i="51"/>
  <c r="T109" i="51" s="1"/>
  <c r="I76" i="51"/>
  <c r="S109" i="51" s="1"/>
  <c r="H76" i="51"/>
  <c r="R109" i="51" s="1"/>
  <c r="G76" i="51"/>
  <c r="Q109" i="51" s="1"/>
  <c r="F76" i="51"/>
  <c r="P109" i="51" s="1"/>
  <c r="E76" i="51"/>
  <c r="O109" i="51" s="1"/>
  <c r="D76" i="51"/>
  <c r="N109" i="51" s="1"/>
  <c r="C76" i="51"/>
  <c r="M109" i="51" s="1"/>
  <c r="B76" i="51"/>
  <c r="L109" i="51" s="1"/>
  <c r="N75" i="51"/>
  <c r="X108" i="51" s="1"/>
  <c r="M75" i="51"/>
  <c r="W108" i="51" s="1"/>
  <c r="L75" i="51"/>
  <c r="V108" i="51" s="1"/>
  <c r="K75" i="51"/>
  <c r="U108" i="51" s="1"/>
  <c r="J75" i="51"/>
  <c r="T108" i="51" s="1"/>
  <c r="I75" i="51"/>
  <c r="S108" i="51" s="1"/>
  <c r="H75" i="51"/>
  <c r="R108" i="51" s="1"/>
  <c r="G75" i="51"/>
  <c r="Q108" i="51" s="1"/>
  <c r="F75" i="51"/>
  <c r="P108" i="51" s="1"/>
  <c r="E75" i="51"/>
  <c r="O108" i="51" s="1"/>
  <c r="D75" i="51"/>
  <c r="N108" i="51" s="1"/>
  <c r="C75" i="51"/>
  <c r="M108" i="51" s="1"/>
  <c r="B75" i="51"/>
  <c r="L108" i="51" s="1"/>
  <c r="N67" i="51"/>
  <c r="M67" i="51"/>
  <c r="L67" i="51"/>
  <c r="K67" i="51"/>
  <c r="J67" i="51"/>
  <c r="I67" i="51"/>
  <c r="H67" i="51"/>
  <c r="G67" i="51"/>
  <c r="F67" i="51"/>
  <c r="AM170" i="73" s="1"/>
  <c r="I739" i="73" s="1"/>
  <c r="I757" i="73" s="1"/>
  <c r="E67" i="51"/>
  <c r="AM136" i="73" s="1"/>
  <c r="I736" i="73" s="1"/>
  <c r="I754" i="73" s="1"/>
  <c r="D67" i="51"/>
  <c r="AM102" i="73" s="1"/>
  <c r="I733" i="73" s="1"/>
  <c r="I751" i="73" s="1"/>
  <c r="C67" i="51"/>
  <c r="AM68" i="73" s="1"/>
  <c r="I730" i="73" s="1"/>
  <c r="I748" i="73" s="1"/>
  <c r="B67" i="51"/>
  <c r="AM34" i="73" s="1"/>
  <c r="I727" i="73" s="1"/>
  <c r="I745" i="73" s="1"/>
  <c r="O66" i="51"/>
  <c r="O65" i="51"/>
  <c r="O64" i="51"/>
  <c r="O63" i="51"/>
  <c r="O62" i="51"/>
  <c r="O61" i="51"/>
  <c r="O60" i="51"/>
  <c r="O59" i="51"/>
  <c r="O58" i="51"/>
  <c r="O57" i="51"/>
  <c r="O56" i="51"/>
  <c r="O55" i="51"/>
  <c r="O54" i="51"/>
  <c r="O52" i="51"/>
  <c r="O51" i="51"/>
  <c r="O50" i="51"/>
  <c r="O49" i="51"/>
  <c r="O48" i="51"/>
  <c r="O47" i="51"/>
  <c r="O46" i="51"/>
  <c r="O45" i="51"/>
  <c r="O44" i="51"/>
  <c r="O43" i="51"/>
  <c r="O42" i="51"/>
  <c r="O41" i="51"/>
  <c r="O40" i="51"/>
  <c r="N32" i="51"/>
  <c r="M32" i="51"/>
  <c r="L32" i="51"/>
  <c r="K32" i="51"/>
  <c r="J32" i="51"/>
  <c r="I32" i="51"/>
  <c r="H32" i="51"/>
  <c r="G32" i="51"/>
  <c r="F32" i="51"/>
  <c r="E32" i="51"/>
  <c r="D32" i="51"/>
  <c r="O31" i="51"/>
  <c r="O30" i="51"/>
  <c r="O29" i="51"/>
  <c r="O28" i="51"/>
  <c r="O27" i="51"/>
  <c r="O26" i="51"/>
  <c r="O25" i="51"/>
  <c r="O24" i="51"/>
  <c r="O23" i="51"/>
  <c r="O22" i="51"/>
  <c r="O21" i="51"/>
  <c r="O20" i="51"/>
  <c r="O19" i="51"/>
  <c r="O18" i="51"/>
  <c r="O17" i="51"/>
  <c r="O16" i="51"/>
  <c r="O15" i="51"/>
  <c r="O14" i="51"/>
  <c r="O13" i="51"/>
  <c r="O12" i="51"/>
  <c r="O11" i="51"/>
  <c r="O10" i="51"/>
  <c r="O9" i="51"/>
  <c r="O8" i="51"/>
  <c r="O7" i="51"/>
  <c r="O6" i="51"/>
  <c r="O5" i="51"/>
  <c r="AN204" i="73" l="1"/>
  <c r="J742" i="73" s="1"/>
  <c r="J760" i="73" s="1"/>
  <c r="AM204" i="73"/>
  <c r="I742" i="73" s="1"/>
  <c r="I760" i="73" s="1"/>
  <c r="AQ204" i="73"/>
  <c r="M742" i="73" s="1"/>
  <c r="M760" i="73" s="1"/>
  <c r="AP204" i="73"/>
  <c r="L742" i="73" s="1"/>
  <c r="L760" i="73" s="1"/>
  <c r="L151" i="64"/>
  <c r="N151" i="64" s="1"/>
  <c r="M151" i="64" s="1"/>
  <c r="O67" i="55"/>
  <c r="AH68" i="55" s="1"/>
  <c r="U135" i="54"/>
  <c r="K14" i="22" s="1"/>
  <c r="V135" i="54"/>
  <c r="L14" i="22" s="1"/>
  <c r="W135" i="54"/>
  <c r="M14" i="22" s="1"/>
  <c r="X135" i="54"/>
  <c r="N14" i="22" s="1"/>
  <c r="AA108" i="53"/>
  <c r="AA112" i="53"/>
  <c r="AA116" i="53"/>
  <c r="AA120" i="53"/>
  <c r="AA128" i="53"/>
  <c r="AA110" i="53"/>
  <c r="AA118" i="53"/>
  <c r="AA122" i="53"/>
  <c r="AA126" i="53"/>
  <c r="AA130" i="53"/>
  <c r="AA134" i="53"/>
  <c r="AA114" i="53"/>
  <c r="AA111" i="53"/>
  <c r="AA115" i="53"/>
  <c r="AA119" i="53"/>
  <c r="AA123" i="53"/>
  <c r="AA127" i="53"/>
  <c r="AA131" i="53"/>
  <c r="AA124" i="53"/>
  <c r="AA132" i="53"/>
  <c r="AA109" i="53"/>
  <c r="AA113" i="53"/>
  <c r="AA117" i="53"/>
  <c r="AA121" i="53"/>
  <c r="AA125" i="53"/>
  <c r="AA129" i="53"/>
  <c r="AA133" i="53"/>
  <c r="AA111" i="61"/>
  <c r="AA131" i="61"/>
  <c r="AA127" i="61"/>
  <c r="AA123" i="61"/>
  <c r="AA119" i="61"/>
  <c r="AA115" i="61"/>
  <c r="AA110" i="61"/>
  <c r="AA114" i="61"/>
  <c r="AA118" i="61"/>
  <c r="AA122" i="61"/>
  <c r="AA126" i="61"/>
  <c r="AA130" i="61"/>
  <c r="AA134" i="61"/>
  <c r="AA112" i="61"/>
  <c r="AA116" i="61"/>
  <c r="AA120" i="61"/>
  <c r="AA124" i="61"/>
  <c r="AA128" i="61"/>
  <c r="AA132" i="61"/>
  <c r="AA109" i="61"/>
  <c r="AA113" i="61"/>
  <c r="AA117" i="61"/>
  <c r="AA121" i="61"/>
  <c r="AA125" i="61"/>
  <c r="AA129" i="61"/>
  <c r="AA133" i="61"/>
  <c r="AA108" i="61"/>
  <c r="V135" i="61"/>
  <c r="L16" i="22" s="1"/>
  <c r="N135" i="61"/>
  <c r="D16" i="22" s="1"/>
  <c r="S135" i="61"/>
  <c r="I16" i="22" s="1"/>
  <c r="W135" i="61"/>
  <c r="M16" i="22" s="1"/>
  <c r="U135" i="61"/>
  <c r="K16" i="22" s="1"/>
  <c r="X135" i="61"/>
  <c r="N16" i="22" s="1"/>
  <c r="P135" i="61"/>
  <c r="F16" i="22" s="1"/>
  <c r="Q135" i="61"/>
  <c r="G16" i="22" s="1"/>
  <c r="O135" i="61"/>
  <c r="E16" i="22" s="1"/>
  <c r="T135" i="61"/>
  <c r="J16" i="22" s="1"/>
  <c r="L135" i="61"/>
  <c r="B16" i="22" s="1"/>
  <c r="R135" i="61"/>
  <c r="H16" i="22" s="1"/>
  <c r="M135" i="61"/>
  <c r="C16" i="22" s="1"/>
  <c r="AA130" i="55"/>
  <c r="X135" i="55"/>
  <c r="N15" i="22" s="1"/>
  <c r="U135" i="55"/>
  <c r="K15" i="22" s="1"/>
  <c r="AA115" i="55"/>
  <c r="AA134" i="55"/>
  <c r="AA129" i="55"/>
  <c r="AA127" i="55"/>
  <c r="AA125" i="55"/>
  <c r="AA123" i="55"/>
  <c r="AA119" i="55"/>
  <c r="AA117" i="55"/>
  <c r="AA113" i="55"/>
  <c r="Q135" i="55"/>
  <c r="G15" i="22" s="1"/>
  <c r="AA111" i="55"/>
  <c r="AA109" i="55"/>
  <c r="AA108" i="55"/>
  <c r="AA133" i="55"/>
  <c r="AA132" i="55"/>
  <c r="AA131" i="55"/>
  <c r="AA128" i="55"/>
  <c r="AA126" i="55"/>
  <c r="AA124" i="55"/>
  <c r="AA122" i="55"/>
  <c r="AA121" i="55"/>
  <c r="AA120" i="55"/>
  <c r="AA118" i="55"/>
  <c r="AA116" i="55"/>
  <c r="AA114" i="55"/>
  <c r="AA112" i="55"/>
  <c r="AA110" i="55"/>
  <c r="N135" i="55"/>
  <c r="D15" i="22" s="1"/>
  <c r="R135" i="55"/>
  <c r="H15" i="22" s="1"/>
  <c r="V135" i="55"/>
  <c r="L15" i="22" s="1"/>
  <c r="M135" i="55"/>
  <c r="C15" i="22" s="1"/>
  <c r="L135" i="55"/>
  <c r="B15" i="22" s="1"/>
  <c r="O135" i="55"/>
  <c r="E15" i="22" s="1"/>
  <c r="S135" i="55"/>
  <c r="I15" i="22" s="1"/>
  <c r="W135" i="55"/>
  <c r="M15" i="22" s="1"/>
  <c r="P135" i="55"/>
  <c r="F15" i="22" s="1"/>
  <c r="T135" i="55"/>
  <c r="J15" i="22" s="1"/>
  <c r="AA134" i="54"/>
  <c r="AA130" i="54"/>
  <c r="AA129" i="54"/>
  <c r="S135" i="54"/>
  <c r="I14" i="22" s="1"/>
  <c r="M135" i="54"/>
  <c r="C14" i="22" s="1"/>
  <c r="Q135" i="54"/>
  <c r="G14" i="22" s="1"/>
  <c r="O135" i="54"/>
  <c r="E14" i="22" s="1"/>
  <c r="R135" i="54"/>
  <c r="H14" i="22" s="1"/>
  <c r="P135" i="54"/>
  <c r="T135" i="54"/>
  <c r="J14" i="22" s="1"/>
  <c r="AA109" i="54"/>
  <c r="AA133" i="54"/>
  <c r="AA132" i="54"/>
  <c r="AA131" i="54"/>
  <c r="AA128" i="54"/>
  <c r="AA127" i="54"/>
  <c r="AA126" i="54"/>
  <c r="AA125" i="54"/>
  <c r="AA124" i="54"/>
  <c r="AA123" i="54"/>
  <c r="AA122" i="54"/>
  <c r="AA121" i="54"/>
  <c r="AA120" i="54"/>
  <c r="AA119" i="54"/>
  <c r="AA118" i="54"/>
  <c r="AA117" i="54"/>
  <c r="AA116" i="54"/>
  <c r="AA115" i="54"/>
  <c r="AA114" i="54"/>
  <c r="AA113" i="54"/>
  <c r="AA112" i="54"/>
  <c r="AA111" i="54"/>
  <c r="N135" i="54"/>
  <c r="D14" i="22" s="1"/>
  <c r="AA110" i="54"/>
  <c r="L135" i="54"/>
  <c r="B14" i="22" s="1"/>
  <c r="AA108" i="54"/>
  <c r="Q53" i="29"/>
  <c r="T51" i="54"/>
  <c r="C49" i="29" s="1"/>
  <c r="T16" i="54"/>
  <c r="T53" i="54"/>
  <c r="C51" i="29" s="1"/>
  <c r="T18" i="54"/>
  <c r="F51" i="29"/>
  <c r="F18" i="29"/>
  <c r="F16" i="29"/>
  <c r="F49" i="29"/>
  <c r="AA108" i="51"/>
  <c r="AA109" i="51"/>
  <c r="AA112" i="51"/>
  <c r="AA121" i="51"/>
  <c r="AA124" i="51"/>
  <c r="AA123" i="51"/>
  <c r="AA110" i="51"/>
  <c r="AA117" i="51"/>
  <c r="AA118" i="51"/>
  <c r="AA119" i="51"/>
  <c r="AA116" i="51"/>
  <c r="V135" i="53"/>
  <c r="L13" i="22" s="1"/>
  <c r="W135" i="53"/>
  <c r="M13" i="22" s="1"/>
  <c r="X135" i="53"/>
  <c r="N13" i="22" s="1"/>
  <c r="S135" i="53"/>
  <c r="I13" i="22" s="1"/>
  <c r="U135" i="53"/>
  <c r="K13" i="22" s="1"/>
  <c r="Q135" i="53"/>
  <c r="G13" i="22" s="1"/>
  <c r="O135" i="53"/>
  <c r="E13" i="22" s="1"/>
  <c r="M135" i="53"/>
  <c r="C13" i="22" s="1"/>
  <c r="R135" i="53"/>
  <c r="H13" i="22" s="1"/>
  <c r="P135" i="53"/>
  <c r="F13" i="22" s="1"/>
  <c r="T135" i="53"/>
  <c r="J13" i="22" s="1"/>
  <c r="N135" i="53"/>
  <c r="D13" i="22" s="1"/>
  <c r="L135" i="53"/>
  <c r="B13" i="22" s="1"/>
  <c r="AA131" i="51"/>
  <c r="AA134" i="51"/>
  <c r="AA133" i="51"/>
  <c r="AA132" i="51"/>
  <c r="AA130" i="51"/>
  <c r="AA129" i="51"/>
  <c r="AA128" i="51"/>
  <c r="AA127" i="51"/>
  <c r="AA126" i="51"/>
  <c r="AA125" i="51"/>
  <c r="AA122" i="51"/>
  <c r="AA120" i="51"/>
  <c r="AA115" i="51"/>
  <c r="AA114" i="51"/>
  <c r="AA113" i="51"/>
  <c r="AA111" i="51"/>
  <c r="X135" i="51"/>
  <c r="N12" i="22" s="1"/>
  <c r="V135" i="51"/>
  <c r="L12" i="22" s="1"/>
  <c r="W135" i="51"/>
  <c r="M12" i="22" s="1"/>
  <c r="S135" i="51"/>
  <c r="I12" i="22" s="1"/>
  <c r="U135" i="51"/>
  <c r="K12" i="22" s="1"/>
  <c r="O135" i="51"/>
  <c r="E12" i="22" s="1"/>
  <c r="R135" i="51"/>
  <c r="H12" i="22" s="1"/>
  <c r="P135" i="51"/>
  <c r="F12" i="22" s="1"/>
  <c r="Q135" i="51"/>
  <c r="G12" i="22" s="1"/>
  <c r="M135" i="51"/>
  <c r="C12" i="22" s="1"/>
  <c r="T135" i="51"/>
  <c r="J12" i="22" s="1"/>
  <c r="N135" i="51"/>
  <c r="D12" i="22" s="1"/>
  <c r="L135" i="51"/>
  <c r="B12" i="22" s="1"/>
  <c r="H92" i="29"/>
  <c r="L102" i="51"/>
  <c r="O80" i="51"/>
  <c r="O87" i="53"/>
  <c r="O76" i="54"/>
  <c r="O84" i="54"/>
  <c r="O81" i="55"/>
  <c r="O97" i="55"/>
  <c r="D102" i="51"/>
  <c r="O88" i="51"/>
  <c r="O96" i="51"/>
  <c r="O79" i="53"/>
  <c r="J102" i="54"/>
  <c r="O92" i="54"/>
  <c r="O100" i="54"/>
  <c r="H102" i="55"/>
  <c r="F102" i="61"/>
  <c r="N102" i="61"/>
  <c r="I102" i="61"/>
  <c r="G102" i="54"/>
  <c r="K73" i="29"/>
  <c r="L94" i="29"/>
  <c r="F92" i="29"/>
  <c r="M89" i="29"/>
  <c r="G87" i="29"/>
  <c r="I85" i="29"/>
  <c r="K75" i="29"/>
  <c r="L95" i="29"/>
  <c r="F93" i="29"/>
  <c r="M90" i="29"/>
  <c r="J89" i="29"/>
  <c r="I86" i="29"/>
  <c r="N85" i="29"/>
  <c r="K84" i="29"/>
  <c r="H83" i="29"/>
  <c r="J81" i="29"/>
  <c r="I78" i="29"/>
  <c r="G72" i="29"/>
  <c r="J96" i="29"/>
  <c r="N92" i="29"/>
  <c r="H90" i="29"/>
  <c r="L86" i="29"/>
  <c r="H82" i="29"/>
  <c r="I77" i="29"/>
  <c r="I97" i="29"/>
  <c r="H94" i="29"/>
  <c r="G91" i="29"/>
  <c r="I89" i="29"/>
  <c r="N88" i="29"/>
  <c r="K87" i="29"/>
  <c r="H86" i="29"/>
  <c r="K91" i="29"/>
  <c r="N84" i="29"/>
  <c r="M81" i="29"/>
  <c r="G79" i="29"/>
  <c r="N76" i="29"/>
  <c r="H74" i="29"/>
  <c r="M97" i="29"/>
  <c r="G95" i="29"/>
  <c r="I93" i="29"/>
  <c r="J88" i="29"/>
  <c r="K83" i="29"/>
  <c r="L78" i="29"/>
  <c r="M73" i="29"/>
  <c r="G97" i="29"/>
  <c r="N86" i="29"/>
  <c r="K85" i="29"/>
  <c r="L79" i="29"/>
  <c r="L97" i="29"/>
  <c r="N96" i="29"/>
  <c r="J84" i="29"/>
  <c r="I81" i="29"/>
  <c r="L71" i="29"/>
  <c r="H73" i="29"/>
  <c r="K71" i="29"/>
  <c r="F94" i="29"/>
  <c r="K93" i="29"/>
  <c r="J90" i="29"/>
  <c r="I87" i="29"/>
  <c r="M83" i="29"/>
  <c r="L80" i="29"/>
  <c r="M75" i="29"/>
  <c r="L72" i="29"/>
  <c r="F96" i="29"/>
  <c r="L90" i="29"/>
  <c r="L82" i="29"/>
  <c r="H97" i="29"/>
  <c r="I96" i="29"/>
  <c r="G96" i="29"/>
  <c r="M96" i="29"/>
  <c r="L96" i="29"/>
  <c r="F95" i="29"/>
  <c r="J95" i="29"/>
  <c r="N95" i="29"/>
  <c r="I95" i="29"/>
  <c r="K95" i="29"/>
  <c r="G94" i="29"/>
  <c r="N94" i="29"/>
  <c r="K94" i="29"/>
  <c r="M93" i="29"/>
  <c r="L93" i="29"/>
  <c r="H93" i="29"/>
  <c r="M92" i="29"/>
  <c r="I92" i="29"/>
  <c r="J92" i="29"/>
  <c r="M91" i="29"/>
  <c r="F91" i="29"/>
  <c r="J91" i="29"/>
  <c r="N91" i="29"/>
  <c r="G90" i="29"/>
  <c r="K90" i="29"/>
  <c r="H89" i="29"/>
  <c r="L89" i="29"/>
  <c r="G89" i="29"/>
  <c r="M88" i="29"/>
  <c r="L88" i="29"/>
  <c r="F88" i="29"/>
  <c r="I88" i="29"/>
  <c r="F87" i="29"/>
  <c r="J87" i="29"/>
  <c r="N87" i="29"/>
  <c r="F86" i="29"/>
  <c r="G86" i="29"/>
  <c r="K86" i="29"/>
  <c r="H85" i="29"/>
  <c r="M85" i="29"/>
  <c r="L85" i="29"/>
  <c r="M84" i="29"/>
  <c r="I84" i="29"/>
  <c r="H84" i="29"/>
  <c r="G83" i="29"/>
  <c r="F83" i="29"/>
  <c r="J83" i="29"/>
  <c r="N83" i="29"/>
  <c r="G82" i="29"/>
  <c r="K82" i="29"/>
  <c r="L81" i="29"/>
  <c r="H81" i="29"/>
  <c r="G81" i="29"/>
  <c r="K81" i="29"/>
  <c r="I80" i="29"/>
  <c r="N80" i="29"/>
  <c r="K79" i="29"/>
  <c r="I79" i="29"/>
  <c r="F79" i="29"/>
  <c r="J79" i="29"/>
  <c r="N79" i="29"/>
  <c r="H78" i="29"/>
  <c r="G78" i="29"/>
  <c r="N78" i="29"/>
  <c r="K78" i="29"/>
  <c r="M77" i="29"/>
  <c r="L77" i="29"/>
  <c r="K77" i="29"/>
  <c r="H77" i="29"/>
  <c r="L76" i="29"/>
  <c r="H76" i="29"/>
  <c r="I76" i="29"/>
  <c r="N75" i="29"/>
  <c r="F75" i="29"/>
  <c r="G75" i="29"/>
  <c r="J75" i="29"/>
  <c r="K74" i="29"/>
  <c r="L74" i="29"/>
  <c r="G74" i="29"/>
  <c r="L73" i="29"/>
  <c r="I73" i="29"/>
  <c r="G73" i="29"/>
  <c r="N72" i="29"/>
  <c r="I72" i="29"/>
  <c r="H71" i="29"/>
  <c r="J71" i="29"/>
  <c r="K76" i="29"/>
  <c r="J73" i="29"/>
  <c r="O81" i="51"/>
  <c r="O97" i="51"/>
  <c r="K102" i="53"/>
  <c r="N102" i="53"/>
  <c r="O80" i="53"/>
  <c r="O96" i="53"/>
  <c r="L102" i="54"/>
  <c r="O85" i="54"/>
  <c r="O93" i="54"/>
  <c r="E102" i="55"/>
  <c r="O77" i="55"/>
  <c r="O82" i="55"/>
  <c r="O85" i="55"/>
  <c r="O93" i="55"/>
  <c r="D102" i="61"/>
  <c r="L102" i="61"/>
  <c r="G71" i="29"/>
  <c r="K97" i="29"/>
  <c r="H96" i="29"/>
  <c r="M95" i="29"/>
  <c r="J94" i="29"/>
  <c r="G93" i="29"/>
  <c r="L92" i="29"/>
  <c r="I91" i="29"/>
  <c r="N90" i="29"/>
  <c r="F90" i="29"/>
  <c r="K89" i="29"/>
  <c r="H88" i="29"/>
  <c r="M87" i="29"/>
  <c r="J86" i="29"/>
  <c r="G85" i="29"/>
  <c r="L84" i="29"/>
  <c r="I83" i="29"/>
  <c r="N82" i="29"/>
  <c r="H80" i="29"/>
  <c r="M79" i="29"/>
  <c r="I75" i="29"/>
  <c r="O89" i="51"/>
  <c r="C102" i="53"/>
  <c r="F102" i="53"/>
  <c r="O88" i="53"/>
  <c r="D102" i="54"/>
  <c r="O77" i="54"/>
  <c r="O101" i="54"/>
  <c r="M102" i="55"/>
  <c r="O90" i="55"/>
  <c r="O98" i="55"/>
  <c r="C102" i="51"/>
  <c r="K102" i="51"/>
  <c r="O83" i="51"/>
  <c r="O91" i="51"/>
  <c r="O99" i="51"/>
  <c r="E102" i="53"/>
  <c r="M102" i="53"/>
  <c r="O82" i="53"/>
  <c r="O90" i="53"/>
  <c r="O93" i="53"/>
  <c r="O98" i="53"/>
  <c r="O79" i="54"/>
  <c r="O87" i="54"/>
  <c r="O95" i="54"/>
  <c r="G102" i="55"/>
  <c r="O76" i="55"/>
  <c r="O84" i="55"/>
  <c r="O87" i="55"/>
  <c r="O92" i="55"/>
  <c r="O95" i="55"/>
  <c r="O100" i="55"/>
  <c r="O85" i="51"/>
  <c r="O101" i="51"/>
  <c r="G102" i="53"/>
  <c r="J102" i="53"/>
  <c r="O84" i="53"/>
  <c r="O92" i="53"/>
  <c r="H102" i="54"/>
  <c r="O97" i="54"/>
  <c r="I102" i="55"/>
  <c r="O78" i="55"/>
  <c r="O86" i="55"/>
  <c r="O89" i="55"/>
  <c r="O94" i="55"/>
  <c r="H102" i="61"/>
  <c r="O77" i="51"/>
  <c r="O93" i="51"/>
  <c r="O76" i="53"/>
  <c r="O95" i="53"/>
  <c r="O100" i="53"/>
  <c r="O81" i="54"/>
  <c r="O89" i="54"/>
  <c r="G102" i="51"/>
  <c r="O79" i="51"/>
  <c r="O87" i="51"/>
  <c r="O95" i="51"/>
  <c r="I102" i="53"/>
  <c r="O78" i="53"/>
  <c r="O86" i="53"/>
  <c r="O89" i="53"/>
  <c r="O94" i="53"/>
  <c r="O32" i="54"/>
  <c r="O67" i="54"/>
  <c r="O75" i="54"/>
  <c r="O83" i="54"/>
  <c r="O91" i="54"/>
  <c r="O99" i="54"/>
  <c r="C102" i="55"/>
  <c r="K102" i="55"/>
  <c r="O80" i="55"/>
  <c r="O83" i="55"/>
  <c r="O88" i="55"/>
  <c r="O91" i="55"/>
  <c r="O96" i="55"/>
  <c r="G77" i="29"/>
  <c r="N74" i="29"/>
  <c r="H72" i="29"/>
  <c r="F102" i="51"/>
  <c r="N102" i="51"/>
  <c r="I102" i="51"/>
  <c r="O82" i="51"/>
  <c r="O90" i="51"/>
  <c r="O98" i="51"/>
  <c r="H102" i="53"/>
  <c r="O81" i="53"/>
  <c r="O97" i="53"/>
  <c r="I102" i="54"/>
  <c r="O78" i="54"/>
  <c r="O86" i="54"/>
  <c r="I94" i="29"/>
  <c r="H91" i="29"/>
  <c r="G88" i="29"/>
  <c r="F77" i="29"/>
  <c r="H102" i="51"/>
  <c r="O76" i="51"/>
  <c r="O84" i="51"/>
  <c r="O92" i="51"/>
  <c r="O100" i="51"/>
  <c r="O32" i="53"/>
  <c r="O67" i="53"/>
  <c r="O75" i="53"/>
  <c r="O83" i="53"/>
  <c r="O91" i="53"/>
  <c r="O99" i="53"/>
  <c r="C102" i="54"/>
  <c r="K102" i="54"/>
  <c r="F102" i="54"/>
  <c r="N102" i="54"/>
  <c r="O80" i="54"/>
  <c r="O88" i="54"/>
  <c r="O32" i="61"/>
  <c r="O67" i="61"/>
  <c r="B102" i="61"/>
  <c r="J102" i="61"/>
  <c r="E102" i="61"/>
  <c r="M102" i="61"/>
  <c r="O32" i="51"/>
  <c r="O67" i="51"/>
  <c r="B102" i="51"/>
  <c r="J102" i="51"/>
  <c r="E102" i="51"/>
  <c r="M102" i="51"/>
  <c r="O78" i="51"/>
  <c r="O86" i="51"/>
  <c r="O94" i="51"/>
  <c r="D102" i="53"/>
  <c r="L102" i="53"/>
  <c r="O77" i="53"/>
  <c r="O85" i="53"/>
  <c r="O101" i="53"/>
  <c r="E102" i="54"/>
  <c r="M102" i="54"/>
  <c r="O82" i="54"/>
  <c r="O90" i="54"/>
  <c r="O98" i="54"/>
  <c r="F102" i="55"/>
  <c r="N102" i="55"/>
  <c r="O79" i="55"/>
  <c r="C102" i="61"/>
  <c r="K102" i="61"/>
  <c r="O80" i="61"/>
  <c r="O83" i="61"/>
  <c r="O88" i="61"/>
  <c r="O91" i="61"/>
  <c r="O96" i="61"/>
  <c r="O99" i="61"/>
  <c r="O77" i="61"/>
  <c r="O82" i="61"/>
  <c r="O85" i="61"/>
  <c r="O90" i="61"/>
  <c r="O93" i="61"/>
  <c r="O98" i="61"/>
  <c r="O101" i="61"/>
  <c r="N71" i="29"/>
  <c r="F71" i="29"/>
  <c r="J97" i="29"/>
  <c r="N93" i="29"/>
  <c r="K92" i="29"/>
  <c r="L87" i="29"/>
  <c r="F85" i="29"/>
  <c r="G80" i="29"/>
  <c r="N77" i="29"/>
  <c r="H75" i="29"/>
  <c r="M71" i="29"/>
  <c r="O94" i="54"/>
  <c r="O32" i="55"/>
  <c r="B102" i="55"/>
  <c r="J102" i="55"/>
  <c r="O99" i="55"/>
  <c r="G102" i="61"/>
  <c r="O76" i="61"/>
  <c r="O79" i="61"/>
  <c r="O84" i="61"/>
  <c r="O87" i="61"/>
  <c r="O92" i="61"/>
  <c r="O95" i="61"/>
  <c r="O100" i="61"/>
  <c r="O96" i="54"/>
  <c r="D102" i="55"/>
  <c r="L102" i="55"/>
  <c r="O101" i="55"/>
  <c r="O78" i="61"/>
  <c r="O81" i="61"/>
  <c r="O86" i="61"/>
  <c r="O89" i="61"/>
  <c r="O94" i="61"/>
  <c r="O97" i="61"/>
  <c r="I71" i="29"/>
  <c r="N97" i="29"/>
  <c r="F97" i="29"/>
  <c r="K96" i="29"/>
  <c r="H95" i="29"/>
  <c r="M94" i="29"/>
  <c r="J93" i="29"/>
  <c r="G92" i="29"/>
  <c r="L91" i="29"/>
  <c r="I90" i="29"/>
  <c r="N89" i="29"/>
  <c r="F89" i="29"/>
  <c r="K88" i="29"/>
  <c r="H87" i="29"/>
  <c r="M86" i="29"/>
  <c r="J85" i="29"/>
  <c r="G84" i="29"/>
  <c r="L83" i="29"/>
  <c r="I82" i="29"/>
  <c r="N81" i="29"/>
  <c r="F81" i="29"/>
  <c r="K80" i="29"/>
  <c r="H79" i="29"/>
  <c r="J77" i="29"/>
  <c r="G76" i="29"/>
  <c r="L75" i="29"/>
  <c r="I74" i="29"/>
  <c r="N73" i="29"/>
  <c r="F73" i="29"/>
  <c r="K72" i="29"/>
  <c r="O75" i="61"/>
  <c r="O75" i="55"/>
  <c r="B102" i="54"/>
  <c r="B102" i="53"/>
  <c r="O75" i="51"/>
  <c r="C18" i="29" l="1"/>
  <c r="C84" i="29" s="1"/>
  <c r="AO52" i="73"/>
  <c r="K335" i="73" s="1"/>
  <c r="C16" i="29"/>
  <c r="D140" i="64" s="1"/>
  <c r="D142" i="64" s="1"/>
  <c r="AO50" i="73"/>
  <c r="K333" i="73" s="1"/>
  <c r="G22" i="66"/>
  <c r="J123" i="64"/>
  <c r="N123" i="64" s="1"/>
  <c r="L7" i="66"/>
  <c r="N7" i="66" s="1"/>
  <c r="D123" i="64"/>
  <c r="G7" i="66"/>
  <c r="J140" i="64"/>
  <c r="J142" i="64" s="1"/>
  <c r="L22" i="66"/>
  <c r="N22" i="66" s="1"/>
  <c r="G151" i="64"/>
  <c r="I151" i="64"/>
  <c r="C151" i="64"/>
  <c r="E151" i="64"/>
  <c r="K151" i="64"/>
  <c r="F14" i="22"/>
  <c r="B17" i="22"/>
  <c r="Q71" i="29"/>
  <c r="Q13" i="22"/>
  <c r="N17" i="22"/>
  <c r="Q93" i="29"/>
  <c r="AA135" i="61"/>
  <c r="Q77" i="29"/>
  <c r="Q73" i="29"/>
  <c r="Q89" i="29"/>
  <c r="Q91" i="29"/>
  <c r="AA135" i="55"/>
  <c r="Q86" i="29"/>
  <c r="Q79" i="29"/>
  <c r="Q87" i="29"/>
  <c r="Q88" i="29"/>
  <c r="Q90" i="29"/>
  <c r="Q94" i="29"/>
  <c r="Q83" i="29"/>
  <c r="Q92" i="29"/>
  <c r="Q95" i="29"/>
  <c r="Q97" i="29"/>
  <c r="Q96" i="29"/>
  <c r="Q75" i="29"/>
  <c r="Q81" i="29"/>
  <c r="F84" i="29"/>
  <c r="F82" i="29"/>
  <c r="AA135" i="54"/>
  <c r="AH18" i="54"/>
  <c r="AH53" i="54"/>
  <c r="Q51" i="29"/>
  <c r="AA135" i="53"/>
  <c r="AA135" i="51"/>
  <c r="O102" i="51"/>
  <c r="O102" i="61"/>
  <c r="O104" i="61" s="1"/>
  <c r="O102" i="53"/>
  <c r="O102" i="55"/>
  <c r="O104" i="55" s="1"/>
  <c r="O102" i="54"/>
  <c r="O104" i="54" s="1"/>
  <c r="C82" i="29" l="1"/>
  <c r="N140" i="64"/>
  <c r="G140" i="64" s="1"/>
  <c r="E140" i="64"/>
  <c r="C123" i="64"/>
  <c r="G123" i="64"/>
  <c r="I123" i="64"/>
  <c r="M123" i="64"/>
  <c r="K123" i="64"/>
  <c r="E123" i="64"/>
  <c r="AD49" i="54"/>
  <c r="M47" i="29" s="1"/>
  <c r="AD14" i="54"/>
  <c r="M14" i="29" s="1"/>
  <c r="AA51" i="54"/>
  <c r="J49" i="29" s="1"/>
  <c r="AA16" i="54"/>
  <c r="Q18" i="29"/>
  <c r="Q84" i="29"/>
  <c r="AA14" i="54"/>
  <c r="AA49" i="54"/>
  <c r="J47" i="29" s="1"/>
  <c r="AD51" i="54"/>
  <c r="M49" i="29" s="1"/>
  <c r="AD16" i="54"/>
  <c r="M16" i="29" s="1"/>
  <c r="M17" i="22"/>
  <c r="R47" i="29" l="1"/>
  <c r="J16" i="29"/>
  <c r="L140" i="64" s="1"/>
  <c r="AO186" i="73"/>
  <c r="K657" i="73" s="1"/>
  <c r="C140" i="64"/>
  <c r="K140" i="64"/>
  <c r="J14" i="29"/>
  <c r="R14" i="29" s="1"/>
  <c r="O14" i="66" s="1"/>
  <c r="Q14" i="66" s="1"/>
  <c r="AO184" i="73"/>
  <c r="K655" i="73" s="1"/>
  <c r="I140" i="64"/>
  <c r="R49" i="29"/>
  <c r="R16" i="29"/>
  <c r="O22" i="66" s="1"/>
  <c r="Q22" i="66" s="1"/>
  <c r="AH16" i="54"/>
  <c r="AH51" i="54"/>
  <c r="M82" i="29"/>
  <c r="M80" i="29"/>
  <c r="Q16" i="29" l="1"/>
  <c r="L131" i="64"/>
  <c r="J80" i="29"/>
  <c r="M140" i="64"/>
  <c r="L142" i="64"/>
  <c r="J82" i="29"/>
  <c r="Q82" i="29" s="1"/>
  <c r="Q49" i="29"/>
  <c r="F14" i="29"/>
  <c r="F47" i="29"/>
  <c r="T47" i="54"/>
  <c r="C45" i="29" s="1"/>
  <c r="T12" i="54"/>
  <c r="F45" i="29"/>
  <c r="F12" i="29"/>
  <c r="T14" i="54"/>
  <c r="T49" i="54"/>
  <c r="C47" i="29" s="1"/>
  <c r="N65" i="29"/>
  <c r="L65" i="29"/>
  <c r="K65" i="29"/>
  <c r="I65" i="29"/>
  <c r="H65" i="29"/>
  <c r="G65" i="29"/>
  <c r="E65" i="29"/>
  <c r="D65" i="29"/>
  <c r="B65" i="29"/>
  <c r="N32" i="29"/>
  <c r="L32" i="29"/>
  <c r="K32" i="29"/>
  <c r="I32" i="29"/>
  <c r="H32" i="29"/>
  <c r="G32" i="29"/>
  <c r="E32" i="29"/>
  <c r="AR135" i="73" s="1"/>
  <c r="D32" i="29"/>
  <c r="AR101" i="73" s="1"/>
  <c r="B32" i="29"/>
  <c r="AR33" i="73" s="1"/>
  <c r="C12" i="29" l="1"/>
  <c r="AO46" i="73"/>
  <c r="K329" i="73" s="1"/>
  <c r="C14" i="29"/>
  <c r="C80" i="29" s="1"/>
  <c r="AO48" i="73"/>
  <c r="K331" i="73" s="1"/>
  <c r="H153" i="64"/>
  <c r="AS136" i="73"/>
  <c r="K31" i="66"/>
  <c r="F153" i="64"/>
  <c r="F154" i="64" s="1"/>
  <c r="AS102" i="73"/>
  <c r="H31" i="66"/>
  <c r="J31" i="66" s="1"/>
  <c r="B153" i="64"/>
  <c r="B154" i="64" s="1"/>
  <c r="AS34" i="73"/>
  <c r="D31" i="66"/>
  <c r="F31" i="66" s="1"/>
  <c r="D143" i="64"/>
  <c r="D147" i="64" s="1"/>
  <c r="G24" i="66"/>
  <c r="G14" i="66"/>
  <c r="J143" i="64"/>
  <c r="J147" i="64" s="1"/>
  <c r="L24" i="66"/>
  <c r="N24" i="66" s="1"/>
  <c r="J131" i="64"/>
  <c r="L14" i="66"/>
  <c r="N14" i="66" s="1"/>
  <c r="H154" i="64"/>
  <c r="N142" i="64"/>
  <c r="M142" i="64" s="1"/>
  <c r="C78" i="29"/>
  <c r="AH49" i="54"/>
  <c r="Q47" i="29"/>
  <c r="AH14" i="54"/>
  <c r="F78" i="29"/>
  <c r="F80" i="29"/>
  <c r="L98" i="29"/>
  <c r="I98" i="29"/>
  <c r="H98" i="29"/>
  <c r="N98" i="29"/>
  <c r="N99" i="29" s="1"/>
  <c r="G98" i="29"/>
  <c r="K98" i="29"/>
  <c r="E98" i="29"/>
  <c r="B98" i="29"/>
  <c r="D32" i="66" s="1"/>
  <c r="D98" i="29"/>
  <c r="H32" i="66" s="1"/>
  <c r="D17" i="22"/>
  <c r="K32" i="66" l="1"/>
  <c r="D131" i="64"/>
  <c r="N131" i="64" s="1"/>
  <c r="K131" i="64" s="1"/>
  <c r="N143" i="64"/>
  <c r="K143" i="64" s="1"/>
  <c r="H155" i="64"/>
  <c r="F155" i="64"/>
  <c r="B155" i="64"/>
  <c r="E143" i="64"/>
  <c r="G143" i="64"/>
  <c r="I131" i="64"/>
  <c r="G131" i="64"/>
  <c r="M131" i="64"/>
  <c r="G142" i="64"/>
  <c r="I142" i="64"/>
  <c r="C142" i="64"/>
  <c r="E142" i="64"/>
  <c r="K142" i="64"/>
  <c r="E131" i="64"/>
  <c r="D99" i="29"/>
  <c r="B99" i="29"/>
  <c r="Q14" i="29"/>
  <c r="AD45" i="54"/>
  <c r="M43" i="29" s="1"/>
  <c r="AD10" i="54"/>
  <c r="M10" i="29" s="1"/>
  <c r="AA47" i="54"/>
  <c r="J45" i="29" s="1"/>
  <c r="AA12" i="54"/>
  <c r="AA10" i="54"/>
  <c r="AA45" i="54"/>
  <c r="J43" i="29" s="1"/>
  <c r="AD47" i="54"/>
  <c r="M45" i="29" s="1"/>
  <c r="AD12" i="54"/>
  <c r="M12" i="29" s="1"/>
  <c r="Q16" i="22"/>
  <c r="Q15" i="22"/>
  <c r="Q14" i="22"/>
  <c r="Q12" i="22"/>
  <c r="C131" i="64" l="1"/>
  <c r="J10" i="29"/>
  <c r="R10" i="29" s="1"/>
  <c r="O13" i="66" s="1"/>
  <c r="Q13" i="66" s="1"/>
  <c r="AO180" i="73"/>
  <c r="K651" i="73" s="1"/>
  <c r="J12" i="29"/>
  <c r="L143" i="64" s="1"/>
  <c r="M143" i="64" s="1"/>
  <c r="AO182" i="73"/>
  <c r="K653" i="73" s="1"/>
  <c r="I143" i="64"/>
  <c r="C143" i="64"/>
  <c r="R43" i="29"/>
  <c r="R45" i="29"/>
  <c r="Q80" i="29"/>
  <c r="AH12" i="54"/>
  <c r="AH47" i="54"/>
  <c r="M76" i="29"/>
  <c r="M78" i="29"/>
  <c r="Q11" i="22"/>
  <c r="R12" i="29" l="1"/>
  <c r="O24" i="66" s="1"/>
  <c r="Q24" i="66" s="1"/>
  <c r="Q12" i="29"/>
  <c r="L130" i="64"/>
  <c r="J76" i="29"/>
  <c r="L147" i="64"/>
  <c r="N147" i="64"/>
  <c r="J78" i="29"/>
  <c r="Q78" i="29" s="1"/>
  <c r="Q45" i="29"/>
  <c r="F10" i="29"/>
  <c r="F43" i="29"/>
  <c r="T43" i="54"/>
  <c r="C41" i="29" s="1"/>
  <c r="T8" i="54"/>
  <c r="F41" i="29"/>
  <c r="F8" i="29"/>
  <c r="T45" i="54"/>
  <c r="C43" i="29" s="1"/>
  <c r="T10" i="54"/>
  <c r="L17" i="22"/>
  <c r="L99" i="29" s="1"/>
  <c r="C10" i="29" l="1"/>
  <c r="AO44" i="73"/>
  <c r="K327" i="73" s="1"/>
  <c r="C8" i="29"/>
  <c r="D121" i="64" s="1"/>
  <c r="D127" i="64" s="1"/>
  <c r="AO42" i="73"/>
  <c r="K325" i="73" s="1"/>
  <c r="J130" i="64"/>
  <c r="L13" i="66"/>
  <c r="N13" i="66" s="1"/>
  <c r="D130" i="64"/>
  <c r="N130" i="64" s="1"/>
  <c r="K130" i="64" s="1"/>
  <c r="G13" i="66"/>
  <c r="J121" i="64"/>
  <c r="J127" i="64" s="1"/>
  <c r="L5" i="66"/>
  <c r="N5" i="66" s="1"/>
  <c r="M147" i="64"/>
  <c r="G147" i="64"/>
  <c r="I147" i="64"/>
  <c r="C147" i="64"/>
  <c r="K147" i="64"/>
  <c r="E147" i="64"/>
  <c r="C76" i="29"/>
  <c r="C74" i="29"/>
  <c r="AH45" i="54"/>
  <c r="Q43" i="29"/>
  <c r="AH10" i="54"/>
  <c r="F74" i="29"/>
  <c r="F76" i="29"/>
  <c r="Q10" i="22"/>
  <c r="G5" i="66" l="1"/>
  <c r="N121" i="64"/>
  <c r="K121" i="64" s="1"/>
  <c r="C130" i="64"/>
  <c r="G130" i="64"/>
  <c r="I130" i="64"/>
  <c r="M130" i="64"/>
  <c r="G121" i="64"/>
  <c r="C121" i="64"/>
  <c r="E130" i="64"/>
  <c r="Q10" i="29"/>
  <c r="AD43" i="54"/>
  <c r="M41" i="29" s="1"/>
  <c r="AD8" i="54"/>
  <c r="M8" i="29" s="1"/>
  <c r="AA6" i="54"/>
  <c r="AA41" i="54"/>
  <c r="J39" i="29" s="1"/>
  <c r="AA43" i="54"/>
  <c r="J41" i="29" s="1"/>
  <c r="AA8" i="54"/>
  <c r="AD41" i="54"/>
  <c r="M39" i="29" s="1"/>
  <c r="AD6" i="54"/>
  <c r="M6" i="29" s="1"/>
  <c r="J8" i="29" l="1"/>
  <c r="R8" i="29" s="1"/>
  <c r="O5" i="66" s="1"/>
  <c r="Q5" i="66" s="1"/>
  <c r="AO178" i="73"/>
  <c r="K649" i="73" s="1"/>
  <c r="J6" i="29"/>
  <c r="AO176" i="73"/>
  <c r="E121" i="64"/>
  <c r="R39" i="29"/>
  <c r="R41" i="29"/>
  <c r="R6" i="29"/>
  <c r="O11" i="66" s="1"/>
  <c r="Q11" i="66" s="1"/>
  <c r="L121" i="64"/>
  <c r="M121" i="64" s="1"/>
  <c r="I121" i="64"/>
  <c r="L128" i="64"/>
  <c r="L137" i="64" s="1"/>
  <c r="Q76" i="29"/>
  <c r="AA32" i="54"/>
  <c r="Q8" i="29"/>
  <c r="AH8" i="54"/>
  <c r="AD67" i="54"/>
  <c r="AH43" i="54"/>
  <c r="AA67" i="54"/>
  <c r="M74" i="29"/>
  <c r="AD32" i="54"/>
  <c r="L127" i="64" l="1"/>
  <c r="AO204" i="73"/>
  <c r="K742" i="73" s="1"/>
  <c r="K647" i="73"/>
  <c r="K760" i="73" s="1"/>
  <c r="AO202" i="73"/>
  <c r="L152" i="64"/>
  <c r="N127" i="64"/>
  <c r="J74" i="29"/>
  <c r="Q74" i="29" s="1"/>
  <c r="Q41" i="29"/>
  <c r="M65" i="29"/>
  <c r="J65" i="29"/>
  <c r="J72" i="29"/>
  <c r="J32" i="29"/>
  <c r="M72" i="29"/>
  <c r="M98" i="29" s="1"/>
  <c r="M99" i="29" s="1"/>
  <c r="M32" i="29"/>
  <c r="T41" i="54"/>
  <c r="C39" i="29" s="1"/>
  <c r="T6" i="54"/>
  <c r="F6" i="29"/>
  <c r="F39" i="29"/>
  <c r="C6" i="29" l="1"/>
  <c r="AO40" i="73"/>
  <c r="L153" i="64"/>
  <c r="R65" i="29"/>
  <c r="O31" i="66" s="1"/>
  <c r="Q31" i="66" s="1"/>
  <c r="AS204" i="73"/>
  <c r="J128" i="64"/>
  <c r="L11" i="66"/>
  <c r="N11" i="66" s="1"/>
  <c r="D128" i="64"/>
  <c r="G11" i="66"/>
  <c r="R32" i="29"/>
  <c r="AR203" i="73"/>
  <c r="L154" i="64"/>
  <c r="C127" i="64"/>
  <c r="G127" i="64"/>
  <c r="I127" i="64"/>
  <c r="K127" i="64"/>
  <c r="E127" i="64"/>
  <c r="M127" i="64"/>
  <c r="C72" i="29"/>
  <c r="T67" i="54"/>
  <c r="AO68" i="73" s="1"/>
  <c r="K730" i="73" s="1"/>
  <c r="J98" i="29"/>
  <c r="O32" i="66" s="1"/>
  <c r="T32" i="54"/>
  <c r="F32" i="29"/>
  <c r="AR169" i="73" s="1"/>
  <c r="W32" i="54"/>
  <c r="F65" i="29"/>
  <c r="W67" i="54"/>
  <c r="AO170" i="73" s="1"/>
  <c r="K739" i="73" s="1"/>
  <c r="K757" i="73" s="1"/>
  <c r="AH6" i="54"/>
  <c r="AH32" i="54" s="1"/>
  <c r="AH41" i="54"/>
  <c r="AH67" i="54" s="1"/>
  <c r="K17" i="22"/>
  <c r="K99" i="29" s="1"/>
  <c r="N128" i="64" l="1"/>
  <c r="K128" i="64" s="1"/>
  <c r="K323" i="73"/>
  <c r="K748" i="73" s="1"/>
  <c r="AO66" i="73"/>
  <c r="J153" i="64"/>
  <c r="AS170" i="73"/>
  <c r="L31" i="66"/>
  <c r="N31" i="66" s="1"/>
  <c r="L155" i="64"/>
  <c r="E128" i="64"/>
  <c r="C128" i="64"/>
  <c r="I128" i="64"/>
  <c r="G128" i="64"/>
  <c r="M128" i="64"/>
  <c r="Q39" i="29"/>
  <c r="Q65" i="29" s="1"/>
  <c r="C65" i="29"/>
  <c r="F72" i="29"/>
  <c r="F98" i="29" s="1"/>
  <c r="L32" i="66" s="1"/>
  <c r="Q6" i="29"/>
  <c r="Q6" i="22"/>
  <c r="Q9" i="22"/>
  <c r="Q7" i="22"/>
  <c r="Q8" i="22"/>
  <c r="I17" i="22"/>
  <c r="I99" i="29" s="1"/>
  <c r="E17" i="22"/>
  <c r="H17" i="22"/>
  <c r="H99" i="29" s="1"/>
  <c r="G17" i="22"/>
  <c r="J17" i="22"/>
  <c r="J99" i="29" s="1"/>
  <c r="F17" i="22"/>
  <c r="F18" i="22" s="1"/>
  <c r="D153" i="64" l="1"/>
  <c r="N153" i="64" s="1"/>
  <c r="AS68" i="73"/>
  <c r="G31" i="66"/>
  <c r="G99" i="29"/>
  <c r="G18" i="22"/>
  <c r="E99" i="29"/>
  <c r="D21" i="22"/>
  <c r="E20" i="22"/>
  <c r="E18" i="22"/>
  <c r="F99" i="29"/>
  <c r="Q72" i="29"/>
  <c r="G153" i="64" l="1"/>
  <c r="C153" i="64"/>
  <c r="I153" i="64"/>
  <c r="M153" i="64"/>
  <c r="K153" i="64"/>
  <c r="E153" i="64"/>
  <c r="C32" i="16"/>
  <c r="AI32" i="16" s="1"/>
  <c r="O19" i="16"/>
  <c r="O32" i="16" s="1"/>
  <c r="C19" i="29"/>
  <c r="G15" i="66" s="1"/>
  <c r="O69" i="16"/>
  <c r="C89" i="16"/>
  <c r="C102" i="16" l="1"/>
  <c r="AI102" i="16" s="1"/>
  <c r="AI89" i="16"/>
  <c r="Q19" i="29"/>
  <c r="Q32" i="29" s="1"/>
  <c r="D132" i="64"/>
  <c r="M122" i="16"/>
  <c r="O89" i="16"/>
  <c r="O102" i="16" s="1"/>
  <c r="O104" i="16" s="1"/>
  <c r="C85" i="29"/>
  <c r="C32" i="29"/>
  <c r="AR67" i="73" s="1"/>
  <c r="AT41" i="66" l="1"/>
  <c r="AS41" i="66" s="1"/>
  <c r="AT38" i="66"/>
  <c r="AS38" i="66" s="1"/>
  <c r="AT45" i="66"/>
  <c r="AS45" i="66" s="1"/>
  <c r="AT37" i="66"/>
  <c r="AS37" i="66" s="1"/>
  <c r="AT42" i="66"/>
  <c r="AS42" i="66" s="1"/>
  <c r="AT34" i="66"/>
  <c r="AS34" i="66" s="1"/>
  <c r="N132" i="64"/>
  <c r="C98" i="29"/>
  <c r="G32" i="66" s="1"/>
  <c r="Q85" i="29"/>
  <c r="AA122" i="16"/>
  <c r="AA135" i="16" s="1"/>
  <c r="M135" i="16"/>
  <c r="C5" i="22" l="1"/>
  <c r="R32" i="62" s="1"/>
  <c r="D33" i="65"/>
  <c r="G132" i="64"/>
  <c r="M132" i="64"/>
  <c r="I132" i="64"/>
  <c r="K132" i="64"/>
  <c r="C132" i="64"/>
  <c r="E132" i="64"/>
  <c r="Q5" i="22"/>
  <c r="Q17" i="22" s="1"/>
  <c r="C17" i="22"/>
  <c r="Q98" i="29"/>
  <c r="D137" i="64"/>
  <c r="D152" i="64" s="1"/>
  <c r="J137" i="64"/>
  <c r="J152" i="64" s="1"/>
  <c r="J154" i="64" s="1"/>
  <c r="D18" i="64" l="1"/>
  <c r="C18" i="64"/>
  <c r="R38" i="62"/>
  <c r="B18" i="64"/>
  <c r="F18" i="64"/>
  <c r="F19" i="64" s="1"/>
  <c r="I18" i="64"/>
  <c r="I19" i="64" s="1"/>
  <c r="E18" i="64"/>
  <c r="L18" i="64"/>
  <c r="L19" i="64" s="1"/>
  <c r="K18" i="64"/>
  <c r="K19" i="64" s="1"/>
  <c r="H18" i="64"/>
  <c r="H19" i="64" s="1"/>
  <c r="M18" i="64"/>
  <c r="M19" i="64" s="1"/>
  <c r="AD32" i="62"/>
  <c r="G18" i="64"/>
  <c r="G19" i="64" s="1"/>
  <c r="J18" i="64"/>
  <c r="J19" i="64" s="1"/>
  <c r="B3" i="62"/>
  <c r="Q18" i="22"/>
  <c r="D22" i="22"/>
  <c r="C99" i="29"/>
  <c r="D23" i="22"/>
  <c r="D24" i="22" s="1"/>
  <c r="B21" i="22"/>
  <c r="C20" i="22"/>
  <c r="C18" i="22"/>
  <c r="G20" i="22" s="1"/>
  <c r="Q99" i="29"/>
  <c r="N137" i="64"/>
  <c r="I137" i="64" s="1"/>
  <c r="J155" i="64"/>
  <c r="N152" i="64"/>
  <c r="D154" i="64"/>
  <c r="AA40" i="64" l="1"/>
  <c r="E19" i="64"/>
  <c r="D5" i="64"/>
  <c r="C5" i="64"/>
  <c r="B5" i="64"/>
  <c r="B9" i="62"/>
  <c r="M5" i="64"/>
  <c r="M6" i="64" s="1"/>
  <c r="F5" i="64"/>
  <c r="F6" i="64" s="1"/>
  <c r="L5" i="64"/>
  <c r="L6" i="64" s="1"/>
  <c r="K5" i="64"/>
  <c r="K6" i="64" s="1"/>
  <c r="G5" i="64"/>
  <c r="G6" i="64" s="1"/>
  <c r="I5" i="64"/>
  <c r="I6" i="64" s="1"/>
  <c r="N3" i="62"/>
  <c r="E5" i="64"/>
  <c r="J5" i="64"/>
  <c r="J6" i="64" s="1"/>
  <c r="H5" i="64"/>
  <c r="H6" i="64" s="1"/>
  <c r="AF32" i="62"/>
  <c r="T3" i="62"/>
  <c r="AA37" i="64"/>
  <c r="AX6" i="64"/>
  <c r="B19" i="64"/>
  <c r="AY6" i="64" s="1"/>
  <c r="S48" i="62"/>
  <c r="S47" i="62"/>
  <c r="S46" i="62"/>
  <c r="S56" i="62"/>
  <c r="S52" i="62"/>
  <c r="S49" i="62"/>
  <c r="S54" i="62"/>
  <c r="S50" i="62"/>
  <c r="S53" i="62"/>
  <c r="S55" i="62"/>
  <c r="S57" i="62"/>
  <c r="S51" i="62"/>
  <c r="AA38" i="64"/>
  <c r="C19" i="64"/>
  <c r="AA39" i="64"/>
  <c r="D19" i="64"/>
  <c r="M137" i="64"/>
  <c r="C137" i="64"/>
  <c r="E137" i="64"/>
  <c r="G137" i="64"/>
  <c r="K137" i="64"/>
  <c r="N154" i="64"/>
  <c r="D155" i="64"/>
  <c r="M152" i="64"/>
  <c r="G152" i="64"/>
  <c r="I152" i="64"/>
  <c r="K152" i="64"/>
  <c r="C152" i="64"/>
  <c r="E152" i="64"/>
  <c r="E6" i="64" l="1"/>
  <c r="AA8" i="64"/>
  <c r="AD37" i="64"/>
  <c r="AC37" i="64"/>
  <c r="AA7" i="64"/>
  <c r="D6" i="64"/>
  <c r="C17" i="62"/>
  <c r="C19" i="62"/>
  <c r="C18" i="62"/>
  <c r="C23" i="62"/>
  <c r="C20" i="62"/>
  <c r="C27" i="62"/>
  <c r="C21" i="62"/>
  <c r="C25" i="62"/>
  <c r="C26" i="62"/>
  <c r="C28" i="62"/>
  <c r="C22" i="62"/>
  <c r="C24" i="62"/>
  <c r="AD39" i="64"/>
  <c r="AC39" i="64"/>
  <c r="AA6" i="64"/>
  <c r="C6" i="64"/>
  <c r="AD38" i="64"/>
  <c r="AC38" i="64"/>
  <c r="U3" i="62"/>
  <c r="T8" i="62"/>
  <c r="AA5" i="64"/>
  <c r="B6" i="64"/>
  <c r="AC40" i="64"/>
  <c r="AD40" i="64"/>
  <c r="E154" i="64"/>
  <c r="O120" i="64"/>
  <c r="O152" i="64"/>
  <c r="O138" i="64"/>
  <c r="O139" i="64"/>
  <c r="O134" i="64"/>
  <c r="O142" i="64"/>
  <c r="O136" i="64"/>
  <c r="O124" i="64"/>
  <c r="O149" i="64"/>
  <c r="O146" i="64"/>
  <c r="O145" i="64"/>
  <c r="M154" i="64"/>
  <c r="O121" i="64"/>
  <c r="N155" i="64"/>
  <c r="O127" i="64"/>
  <c r="O125" i="64"/>
  <c r="O132" i="64"/>
  <c r="O128" i="64"/>
  <c r="O143" i="64"/>
  <c r="I154" i="64"/>
  <c r="O150" i="64"/>
  <c r="O129" i="64"/>
  <c r="G154" i="64"/>
  <c r="O126" i="64"/>
  <c r="O147" i="64"/>
  <c r="C154" i="64"/>
  <c r="O151" i="64"/>
  <c r="O122" i="64"/>
  <c r="O141" i="64"/>
  <c r="O130" i="64"/>
  <c r="O154" i="64"/>
  <c r="O131" i="64"/>
  <c r="O123" i="64"/>
  <c r="O133" i="64"/>
  <c r="O144" i="64"/>
  <c r="O135" i="64"/>
  <c r="O153" i="64"/>
  <c r="O140" i="64"/>
  <c r="O148" i="64"/>
  <c r="K154" i="64"/>
  <c r="O137" i="64"/>
  <c r="AC6" i="64" l="1"/>
  <c r="AD6" i="64"/>
  <c r="AD7" i="64"/>
  <c r="AC7" i="64"/>
  <c r="AC5" i="64"/>
  <c r="AD5" i="64"/>
  <c r="W8" i="62"/>
  <c r="U8" i="62"/>
  <c r="AC8" i="64"/>
  <c r="AD8" i="64"/>
</calcChain>
</file>

<file path=xl/sharedStrings.xml><?xml version="1.0" encoding="utf-8"?>
<sst xmlns="http://purl.oclc.org/ooxml/spreadsheetml/main" count="15102" uniqueCount="502">
  <si>
    <t>ACRE</t>
  </si>
  <si>
    <t>ALAGOAS</t>
  </si>
  <si>
    <t>AMAPÁ</t>
  </si>
  <si>
    <t>AMAZONAS</t>
  </si>
  <si>
    <t>BAHIA</t>
  </si>
  <si>
    <t>CEARÁ</t>
  </si>
  <si>
    <t>DISTRITO FEDERAL</t>
  </si>
  <si>
    <t>ESPíRITO SANTO</t>
  </si>
  <si>
    <t>GOIÁS</t>
  </si>
  <si>
    <t>MARANHÃO</t>
  </si>
  <si>
    <t>MATO GROSSO</t>
  </si>
  <si>
    <t>MATO GROSSO DO SUL</t>
  </si>
  <si>
    <t>MINAS GERAIS</t>
  </si>
  <si>
    <t>PARANÁ</t>
  </si>
  <si>
    <t>PARAÍBA</t>
  </si>
  <si>
    <t>PARÁ</t>
  </si>
  <si>
    <t>PERNAMBUCO</t>
  </si>
  <si>
    <t>PIAUÍ</t>
  </si>
  <si>
    <t>RIO DE JANEIRO</t>
  </si>
  <si>
    <t>RIO GRANDE DO SUL</t>
  </si>
  <si>
    <t>RIO GRANDE DO NORTE</t>
  </si>
  <si>
    <t>RONDÔNIA</t>
  </si>
  <si>
    <t>RORAIMA</t>
  </si>
  <si>
    <t>SANTA CATARINA</t>
  </si>
  <si>
    <t>SERGIPE</t>
  </si>
  <si>
    <t>SÃO PAULO</t>
  </si>
  <si>
    <t>TOCANTINS</t>
  </si>
  <si>
    <t>ANUIDADE-PF</t>
  </si>
  <si>
    <t>RRT</t>
  </si>
  <si>
    <t>ANUIDADE-PJ</t>
  </si>
  <si>
    <t>TX SELIC</t>
  </si>
  <si>
    <t>DOCUMENTO DE FISCALIZAÇÃO</t>
  </si>
  <si>
    <t>MULTA-ANUI</t>
  </si>
  <si>
    <t xml:space="preserve">RECEITAS </t>
  </si>
  <si>
    <t xml:space="preserve">TOTAL </t>
  </si>
  <si>
    <t>CERTIDÃO DE ACERVO TÉCNICO COM ATESTADO</t>
  </si>
  <si>
    <t>TAXA EXPEDIENTE - RRT EXTEMPORÂNEO</t>
  </si>
  <si>
    <t>TOTAIS</t>
  </si>
  <si>
    <t>CONTROLE  DE RECEITA TOTAL (100%)</t>
  </si>
  <si>
    <t>ARRECADAÇÃO MENSAL POR RECEITA</t>
  </si>
  <si>
    <t>REGISTRO DE DIREITO AUTORAL</t>
  </si>
  <si>
    <t>MULTA - MORA - ANUIDADE</t>
  </si>
  <si>
    <t>MULTA ÉTICA</t>
  </si>
  <si>
    <t>Do Exercício</t>
  </si>
  <si>
    <t>Exercícios Anteriores</t>
  </si>
  <si>
    <t>MULTA AUSÊNCIA NA ELEIÇÃO</t>
  </si>
  <si>
    <t>Valor das receitas do CAUPB. Neste mês não estava ocorrendo a partição na origem.</t>
  </si>
  <si>
    <t>Neste mês não estava ocorrendo a partição na origem no convênio do CAUPB.</t>
  </si>
  <si>
    <t>CONTROLE  DE RECEITA TOTAL (100%) - COM REGISTRO</t>
  </si>
  <si>
    <t>CONTROLE  DE RECEITA TOTAL (100%) - COM E SEM REGISTRO</t>
  </si>
  <si>
    <t>* Valor calculado sobre o relatório dos convênios com registro de cada CAUUF, tendo em vista que não há arquivo de retorno do CAUBR com a partição (20%).</t>
  </si>
  <si>
    <t>* Valor calculado sobre o relatório dos convênios com registro de cada CAUUF, tendo em vista que não há arquivo de retorno do CAUUF com a partição (80%).</t>
  </si>
  <si>
    <t>DÍVIDA ATIVA</t>
  </si>
  <si>
    <t>CUSTAS JUDICIAIS</t>
  </si>
  <si>
    <t>HONORÁRIOS</t>
  </si>
  <si>
    <t>DIVITA ATIVA</t>
  </si>
  <si>
    <t>Total 2018</t>
  </si>
  <si>
    <t>CONTROLE  DE RECEITA JANEIRO - UF</t>
  </si>
  <si>
    <t>CONTROLE  DE RECEITA JANEIRO - BR</t>
  </si>
  <si>
    <t>CONTROLE  DE RECEITA JANEIRO - UF - COM REGISTRO</t>
  </si>
  <si>
    <t>CONTROLE  DE RECEITA JANEIRO - BR - COM REGISTRO*</t>
  </si>
  <si>
    <t>CONTROLE  DE RECEITA FEVEREIRO - UF</t>
  </si>
  <si>
    <t>CONTROLE  DE RECEITA FEVEREIRO - BR</t>
  </si>
  <si>
    <t>CONTROLE  DE RECEITA FEVEREIRO - UF - COM REGISTRO</t>
  </si>
  <si>
    <t>CONTROLE  DE RECEITA FEVEREIRO - BR - COM REGISTRO*</t>
  </si>
  <si>
    <t>CONTROLE  DE RECEITA MARÇO - UF</t>
  </si>
  <si>
    <t>CONTROLE  DE RECEITA MARÇO - BR</t>
  </si>
  <si>
    <t>CONTROLE  DE RECEITA MARÇO - UF - COM REGISTRO</t>
  </si>
  <si>
    <t>CONTROLE  DE RECEITA MARÇO - BR - COM REGISTRO*</t>
  </si>
  <si>
    <t>CONTROLE  DE RECEITA ABRIL - UF</t>
  </si>
  <si>
    <t>CONTROLE  DE RECEITA ABRIL - BR</t>
  </si>
  <si>
    <t>CONTROLE  DE RECEITA ABRIL - BR - COM REGISTRO*</t>
  </si>
  <si>
    <t>CONTROLE  DE RECEITA ABRIL - UF - COM REGISTRO</t>
  </si>
  <si>
    <t>CONTROLE  DE RECEITA MAIO - UF</t>
  </si>
  <si>
    <t>CONTROLE  DE RECEITA MAIO - BR</t>
  </si>
  <si>
    <t>CONTROLE  DE RECEITA MAIO - UF - COM REGISTRO</t>
  </si>
  <si>
    <t>CONTROLE  DE RECEITA MAIO - BR - COM REGISTRO*</t>
  </si>
  <si>
    <t>CONTROLE  DE RECEITA JUNHO - UF</t>
  </si>
  <si>
    <t>CONTROLE  DE RECEITA JUNHO - BR</t>
  </si>
  <si>
    <t>CONTROLE  DE RECEITA JUNHO - UF - COM REGISTRO</t>
  </si>
  <si>
    <t>CONTROLE  DE RECEITA JUNHO - BR - COM REGISTRO*</t>
  </si>
  <si>
    <t>CONTROLE  DE RECEITA JULHO - UF</t>
  </si>
  <si>
    <t>CONTROLE  DE RECEITA JULHO - BR</t>
  </si>
  <si>
    <t>CONTROLE  DE RECEITA JULHO - UF - COM REGISTRO</t>
  </si>
  <si>
    <t>CONTROLE  DE RECEITA JULHO - BR - COM REGISTRO*</t>
  </si>
  <si>
    <t>CONTROLE  DE RECEITA AGOSTO - UF</t>
  </si>
  <si>
    <t>CONTROLE  DE RECEITA AGOSTO - BR</t>
  </si>
  <si>
    <t>CONTROLE  DE RECEITA AGOSTO - UF - COM REGISTRO</t>
  </si>
  <si>
    <t>CONTROLE  DE RECEITA AGOSTO - BR - COM REGISTRO*</t>
  </si>
  <si>
    <t>CONTROLE  DE RECEITA SETEMBRO - UF</t>
  </si>
  <si>
    <t>CONTROLE  DE RECEITA SETEMBRO - BR</t>
  </si>
  <si>
    <t>CONTROLE  DE RECEITA SETEMBRO - UF - COM REGISTRO</t>
  </si>
  <si>
    <t>CONTROLE  DE RECEITA SETEMBRO - BR - COM REGISTRO*</t>
  </si>
  <si>
    <t>CONTROLE  DE RECEITA OUTUBRO - UF</t>
  </si>
  <si>
    <t>CONTROLE  DE RECEITA OUTUBRO - BR</t>
  </si>
  <si>
    <t>CONTROLE  DE RECEITA OUTUBRO - UF - COM REGISTRO</t>
  </si>
  <si>
    <t>CONTROLE  DE RECEITA OUTUBRO - BR - COM REGISTRO*</t>
  </si>
  <si>
    <t>CONTROLE  DE RECEITA NOVEMBRO - UF</t>
  </si>
  <si>
    <t>CONTROLE  DE RECEITA NOVEMBRO - BR</t>
  </si>
  <si>
    <t>CONTROLE  DE RECEITA NOVEMBRO - UF - COM REGISTRO</t>
  </si>
  <si>
    <t>CONTROLE  DE RECEITA NOVEMBRO - BR - COM REGISTRO*</t>
  </si>
  <si>
    <t>CONTROLE  DE RECEITA DEZEMBRO - UF</t>
  </si>
  <si>
    <t>CONTROLE  DE RECEITA DEZEMBRO - BR</t>
  </si>
  <si>
    <t>CONTROLE  DE RECEITA DEZEMBRO - UF - COM REGISTRO</t>
  </si>
  <si>
    <t>CONTROLE  DE RECEITA DEZEMBRO - BR - COM REGISTRO*</t>
  </si>
  <si>
    <t>JAN/2019</t>
  </si>
  <si>
    <t>FEV/2019</t>
  </si>
  <si>
    <t>MAR/2019</t>
  </si>
  <si>
    <t>ABR/2019</t>
  </si>
  <si>
    <t>MAI/2019</t>
  </si>
  <si>
    <t>JUN/2019</t>
  </si>
  <si>
    <t>JUL/2019</t>
  </si>
  <si>
    <t>AGO/2019</t>
  </si>
  <si>
    <t>SET/2019</t>
  </si>
  <si>
    <t>OUT/2019</t>
  </si>
  <si>
    <t>NOV/2019</t>
  </si>
  <si>
    <t>DEZ/2019</t>
  </si>
  <si>
    <t>CONTROLE  DE RECEITA TOTAL 2019 - UF</t>
  </si>
  <si>
    <t>CONTROLE  DE RECEITA TOTAL 2019 - BR</t>
  </si>
  <si>
    <t>AC</t>
  </si>
  <si>
    <t>AL</t>
  </si>
  <si>
    <t>AP</t>
  </si>
  <si>
    <t>AM</t>
  </si>
  <si>
    <t>BA</t>
  </si>
  <si>
    <t>CE</t>
  </si>
  <si>
    <t>DF</t>
  </si>
  <si>
    <t>ES</t>
  </si>
  <si>
    <t>GO</t>
  </si>
  <si>
    <t>MA</t>
  </si>
  <si>
    <t>MT</t>
  </si>
  <si>
    <t>MS</t>
  </si>
  <si>
    <t>MG</t>
  </si>
  <si>
    <t>PA</t>
  </si>
  <si>
    <t>PB</t>
  </si>
  <si>
    <t>PR</t>
  </si>
  <si>
    <t>PE</t>
  </si>
  <si>
    <t>PI</t>
  </si>
  <si>
    <t>RJ</t>
  </si>
  <si>
    <t>RN</t>
  </si>
  <si>
    <t>RS</t>
  </si>
  <si>
    <t>RO</t>
  </si>
  <si>
    <t>RR</t>
  </si>
  <si>
    <t>SC</t>
  </si>
  <si>
    <t>SP</t>
  </si>
  <si>
    <t>SE</t>
  </si>
  <si>
    <t>TO</t>
  </si>
  <si>
    <t>TOTAL - Exercício</t>
  </si>
  <si>
    <t>Exerc./Mês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</si>
  <si>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</si>
  <si>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</si>
  <si>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</si>
  <si>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</si>
  <si>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</si>
  <si>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</si>
  <si>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</si>
  <si>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</si>
  <si>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</si>
  <si>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</si>
  <si>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</si>
  <si>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</si>
  <si>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</si>
  <si>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PREVISTO</t>
  </si>
  <si>
    <t>Média 17-18</t>
  </si>
  <si>
    <t>Jan</t>
  </si>
  <si>
    <t>Jan-Fev</t>
  </si>
  <si>
    <t>Jan-Mar</t>
  </si>
  <si>
    <t>Jan-Abr</t>
  </si>
  <si>
    <t>Jan-Mai</t>
  </si>
  <si>
    <t>Jan-Jun</t>
  </si>
  <si>
    <t>Jan-Jul</t>
  </si>
  <si>
    <t>Jan-Ago</t>
  </si>
  <si>
    <t>Jan-Set</t>
  </si>
  <si>
    <t>Jan-Out</t>
  </si>
  <si>
    <t>Jan-Nov</t>
  </si>
  <si>
    <t>Jan-Dez</t>
  </si>
  <si>
    <t>Taxas e Multas</t>
  </si>
  <si>
    <t>2017 - PF - Anuidade PF - Exercício (100%)</t>
  </si>
  <si>
    <t>Média 2018</t>
  </si>
  <si>
    <t>Média 2017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</si>
  <si>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</si>
  <si>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</si>
  <si>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</si>
  <si>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</si>
  <si>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</si>
  <si>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</si>
  <si>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</si>
  <si>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</si>
  <si>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</si>
  <si>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</si>
  <si>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</si>
  <si>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 xml:space="preserve">jan </t>
  </si>
  <si>
    <t>jan - fev</t>
  </si>
  <si>
    <t>jan  - março</t>
  </si>
  <si>
    <t>jan - abril</t>
  </si>
  <si>
    <t>jan - maio</t>
  </si>
  <si>
    <t>jan - jun</t>
  </si>
  <si>
    <t>jan - jul</t>
  </si>
  <si>
    <t>jan - ago</t>
  </si>
  <si>
    <t>jan - set</t>
  </si>
  <si>
    <t>jan - out</t>
  </si>
  <si>
    <t>jan - nov</t>
  </si>
  <si>
    <t>jan - dez</t>
  </si>
  <si>
    <t>2017 - PF - Anuidade PF - Exercício Anterior (100%)</t>
  </si>
  <si>
    <t>2017 - PJ - Anuidade PJ - Exercício  (100%)</t>
  </si>
  <si>
    <t>2017 - PJ - Anuidade PJ - Exercício  Anterior (100%)</t>
  </si>
  <si>
    <t>2018 - RRT (100%)</t>
  </si>
  <si>
    <t>2017 - RRT (100%)</t>
  </si>
  <si>
    <t>2018 - TAXAS E MULTAS (100%)</t>
  </si>
  <si>
    <t>2017 - TAXAS E MULTAS (100%)</t>
  </si>
  <si>
    <t>Previsto</t>
  </si>
  <si>
    <t>Executado</t>
  </si>
  <si>
    <t>% Executado</t>
  </si>
  <si>
    <t>CAU/UF</t>
  </si>
  <si>
    <t>PF
Exerc.</t>
  </si>
  <si>
    <t>Part.</t>
  </si>
  <si>
    <t>PF
Exerc. Ant.</t>
  </si>
  <si>
    <t>PJ
Exerc.</t>
  </si>
  <si>
    <t>PJ
Exerc. Ant.</t>
  </si>
  <si>
    <t>Taxas
e Multas</t>
  </si>
  <si>
    <t>Total</t>
  </si>
  <si>
    <t>NORTE</t>
  </si>
  <si>
    <t>NORDESTE</t>
  </si>
  <si>
    <t>CENTRO-OESTE</t>
  </si>
  <si>
    <t>SUDESTE</t>
  </si>
  <si>
    <t>SUL</t>
  </si>
  <si>
    <t>SUBTOTAL</t>
  </si>
  <si>
    <t>CAU/BR</t>
  </si>
  <si>
    <t>UF</t>
  </si>
  <si>
    <t>EXECUÇÃO %</t>
  </si>
  <si>
    <t>A RECEBER</t>
  </si>
  <si>
    <t>PF</t>
  </si>
  <si>
    <t>PJ</t>
  </si>
  <si>
    <t>PREVISTO - 80%</t>
  </si>
  <si>
    <t>Taxas</t>
  </si>
  <si>
    <t>2018 - Anuidade PF - Exercício (100%)</t>
  </si>
  <si>
    <t>2018 - Anuidade PF - Exercícios Anteriores (100%)</t>
  </si>
  <si>
    <t>2018 - Anuidade PF - Exercício  (100%)</t>
  </si>
  <si>
    <t>2018 - Anuidade PJ - Exercícios  Anteriores (100%)</t>
  </si>
  <si>
    <t>jan  - mar</t>
  </si>
  <si>
    <t>jan - abr</t>
  </si>
  <si>
    <t>jan - mai</t>
  </si>
  <si>
    <t>Média - Período de 2017 e 2018 - PF</t>
  </si>
  <si>
    <t>Média - Período de 2017 e 2018 - PF - Exercícios Anteriores</t>
  </si>
  <si>
    <t>Média - Período de 2017 e 2018 - PJ</t>
  </si>
  <si>
    <t>Média - Período de 2017 e 2018 - PJ - Exercícios Anteriores</t>
  </si>
  <si>
    <t>Média - Período de 2017 e 2018 - RRT</t>
  </si>
  <si>
    <t>Média - Período de 2017 e 2018 - Taxas e Multas</t>
  </si>
  <si>
    <t>TOTAL - Exercício e Exercícios Anteriores</t>
  </si>
  <si>
    <t>Mês</t>
  </si>
  <si>
    <t>PF ant</t>
  </si>
  <si>
    <t>PJ ant</t>
  </si>
  <si>
    <t>Ex. Anterior PF</t>
  </si>
  <si>
    <t>Ex. Anterior PJ</t>
  </si>
  <si>
    <t>milhão</t>
  </si>
  <si>
    <t>Ex. Ant. Total</t>
  </si>
  <si>
    <t>R183</t>
  </si>
  <si>
    <t>G216</t>
  </si>
  <si>
    <t>B215</t>
  </si>
  <si>
    <t>R28</t>
  </si>
  <si>
    <t>G57</t>
  </si>
  <si>
    <t>B66</t>
  </si>
  <si>
    <t>R42</t>
  </si>
  <si>
    <t>G86</t>
  </si>
  <si>
    <t>B100</t>
  </si>
  <si>
    <t>R0</t>
  </si>
  <si>
    <t>G104</t>
  </si>
  <si>
    <t>B113</t>
  </si>
  <si>
    <t>G143</t>
  </si>
  <si>
    <t>B154</t>
  </si>
  <si>
    <t>R94</t>
  </si>
  <si>
    <t>G154</t>
  </si>
  <si>
    <t>B166</t>
  </si>
  <si>
    <t>R174</t>
  </si>
  <si>
    <t>G204</t>
  </si>
  <si>
    <t>B210</t>
  </si>
  <si>
    <t>R228</t>
  </si>
  <si>
    <t>G240</t>
  </si>
  <si>
    <t>B240</t>
  </si>
  <si>
    <t>R255</t>
  </si>
  <si>
    <t>G243</t>
  </si>
  <si>
    <t>B171</t>
  </si>
  <si>
    <t>G250</t>
  </si>
  <si>
    <t>B222</t>
  </si>
  <si>
    <t>% Exec.</t>
  </si>
  <si>
    <t>Anuid. PF - Exerc.</t>
  </si>
  <si>
    <t>Anuid. PJ - Exerc. Ant.</t>
  </si>
  <si>
    <t>Anuid. PF - Exerc. Ant.</t>
  </si>
  <si>
    <t>Arrecadação Total</t>
  </si>
  <si>
    <t>Meta</t>
  </si>
  <si>
    <t>Valor Realizado</t>
  </si>
  <si>
    <t>Valor acima da Meta</t>
  </si>
  <si>
    <t>Valor abaixo da Meta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</si>
  <si>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</si>
  <si>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</si>
  <si>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</si>
  <si>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</si>
  <si>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</si>
  <si>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</si>
  <si>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</si>
  <si>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</si>
  <si>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</si>
  <si>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</si>
  <si>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</si>
  <si>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</si>
  <si>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Anuidade PF - Exercício 2019</t>
  </si>
  <si>
    <t>Anuidade PF - Exercícios Anteriores</t>
  </si>
  <si>
    <t>Anuidade PJ - Exercício 2019</t>
  </si>
  <si>
    <t>Anuidade PJ - Exercícios Anteriores</t>
  </si>
  <si>
    <t>milhões</t>
  </si>
  <si>
    <t>Jan. a Mar./2019</t>
  </si>
  <si>
    <t>Arrecadação - desconsiderando a inadimplência</t>
  </si>
  <si>
    <t>PF - 100%</t>
  </si>
  <si>
    <t>PJ - 100%</t>
  </si>
  <si>
    <t>Anuid. PJ - Exerc.</t>
  </si>
  <si>
    <t xml:space="preserve">                                                                                                                                                   </t>
  </si>
  <si>
    <t>Potencial</t>
  </si>
  <si>
    <t>% de exec. - Entrantes</t>
  </si>
  <si>
    <t>Previsto - Entrantes</t>
  </si>
  <si>
    <t>Entrantes</t>
  </si>
  <si>
    <t>Feminino</t>
  </si>
  <si>
    <t>Masculino</t>
  </si>
  <si>
    <t>Previsto PJ</t>
  </si>
  <si>
    <t>Previsto PF</t>
  </si>
  <si>
    <t>Méd/Prof Previsto</t>
  </si>
  <si>
    <t>Méd/Prof Executado</t>
  </si>
  <si>
    <t>RRT Pagos</t>
  </si>
  <si>
    <t>% de exec. - PJ</t>
  </si>
  <si>
    <t>PJ - Jan. a Mar.</t>
  </si>
  <si>
    <t>PJ Ativos</t>
  </si>
  <si>
    <t>% de exec. - PF</t>
  </si>
  <si>
    <t>PF - Jan. a Mar.</t>
  </si>
  <si>
    <t>PF Ativos</t>
  </si>
  <si>
    <t>Exec. %</t>
  </si>
  <si>
    <t>Anuidade PJ - Ex. Ant.</t>
  </si>
  <si>
    <t>Anuid. PF - Ex. Ant.</t>
  </si>
  <si>
    <t>% de Part.</t>
  </si>
  <si>
    <t>Brasil</t>
  </si>
  <si>
    <t>BR</t>
  </si>
  <si>
    <t>Norte</t>
  </si>
  <si>
    <t>Sul</t>
  </si>
  <si>
    <t>Sudeste</t>
  </si>
  <si>
    <t>Nordeste</t>
  </si>
  <si>
    <t>Centro-oeste</t>
  </si>
  <si>
    <t>Soma de % de exec. - Entrantes</t>
  </si>
  <si>
    <t>Soma de Previsto - Entrantes</t>
  </si>
  <si>
    <t>Soma de Entrantes</t>
  </si>
  <si>
    <t>Soma de Feminino</t>
  </si>
  <si>
    <t>Soma de Masculino</t>
  </si>
  <si>
    <t>Soma de Previsto PJ2</t>
  </si>
  <si>
    <t>Soma de Previsto PF2</t>
  </si>
  <si>
    <t>Soma de Méd/Prof
Previsto</t>
  </si>
  <si>
    <t>Soma de Méd/Prof
Executado</t>
  </si>
  <si>
    <t>Soma de RRT Pagos</t>
  </si>
  <si>
    <t>Soma de % de exec. - PJ</t>
  </si>
  <si>
    <t>Soma de Previsto PJ</t>
  </si>
  <si>
    <t>Soma de PJ Ativos</t>
  </si>
  <si>
    <t>Soma de % de exec. - PF</t>
  </si>
  <si>
    <t>Soma de Previsto PF</t>
  </si>
  <si>
    <t>Soma de PF Ativos</t>
  </si>
  <si>
    <t>Soma de Exec. %4</t>
  </si>
  <si>
    <t>Soma de Previsto4</t>
  </si>
  <si>
    <t>Soma de Taxas</t>
  </si>
  <si>
    <t>Soma de Exec. %3</t>
  </si>
  <si>
    <t>Soma de Previsto3</t>
  </si>
  <si>
    <t>Soma de RRT</t>
  </si>
  <si>
    <t>Soma de Anuidade PJ - Ex. Ant.</t>
  </si>
  <si>
    <t>Soma de Exec. %2</t>
  </si>
  <si>
    <t>Soma de Previsto2</t>
  </si>
  <si>
    <t>Soma de Anuidade PJ - Exerc.</t>
  </si>
  <si>
    <t>Soma de Anuidade PF - Ex. Ant.</t>
  </si>
  <si>
    <t>Soma de Exec. %</t>
  </si>
  <si>
    <t>Soma de Previsto</t>
  </si>
  <si>
    <t>Soma de Anuidade PF - Exerc.</t>
  </si>
  <si>
    <t>Região</t>
  </si>
  <si>
    <t>Méd/Prof
Previsto</t>
  </si>
  <si>
    <t>Méd/Prof
Executado</t>
  </si>
  <si>
    <t>Anuidade PJ - Exerc.</t>
  </si>
  <si>
    <t>Anuidade PF - Ex. Ant.</t>
  </si>
  <si>
    <t>Anuidade PF - Exerc.</t>
  </si>
  <si>
    <t>ID</t>
  </si>
  <si>
    <t>TAXAS</t>
  </si>
  <si>
    <t>ENTRANTES</t>
  </si>
  <si>
    <t>GÊNERO</t>
  </si>
  <si>
    <t>QUANTITATIVO</t>
  </si>
  <si>
    <t>ARRECADAÇÃO</t>
  </si>
  <si>
    <t>Total RRT</t>
  </si>
  <si>
    <t>Fem.</t>
  </si>
  <si>
    <t>Fem. RRT</t>
  </si>
  <si>
    <t>Masc.</t>
  </si>
  <si>
    <t>Masc. RRT</t>
  </si>
  <si>
    <t>EXECUTADO</t>
  </si>
  <si>
    <t>POTENCIAL</t>
  </si>
  <si>
    <t>ANUIDADE-PF - EXERCÍCIOS ANTERIOES</t>
  </si>
  <si>
    <t>ANUIDADE-PJ - EXERCÍCIOS ANTERIORES</t>
  </si>
  <si>
    <t>RECEITAS DE ARRECADAÇÃO</t>
  </si>
  <si>
    <t>PROGRAMAÇÃO 2019</t>
  </si>
  <si>
    <t>Anuidade - PF</t>
  </si>
  <si>
    <t>Anuidade- PJ</t>
  </si>
  <si>
    <t>Taxas 
e Multas</t>
  </si>
  <si>
    <t>Exercício</t>
  </si>
  <si>
    <t xml:space="preserve">Exerc. Anteriores </t>
  </si>
  <si>
    <t>TIPO</t>
  </si>
  <si>
    <t>FONTE</t>
  </si>
  <si>
    <t xml:space="preserve">RECEITA </t>
  </si>
  <si>
    <t>Agoto</t>
  </si>
  <si>
    <t>etembro</t>
  </si>
  <si>
    <t>Fonte</t>
  </si>
  <si>
    <t>sem previsão</t>
  </si>
  <si>
    <t>Soma de Fem. RRT</t>
  </si>
  <si>
    <t>Soma de Masc. RRT</t>
  </si>
  <si>
    <t>Rótulos de Linha</t>
  </si>
  <si>
    <t>Total Geral</t>
  </si>
  <si>
    <t>1 - Projeto</t>
  </si>
  <si>
    <t xml:space="preserve">1.1 - ARQ. DAS EDIFICAÇÕES  </t>
  </si>
  <si>
    <t xml:space="preserve">1.2 - SIST. CONST. E ESTRUTURAIS  </t>
  </si>
  <si>
    <t xml:space="preserve">1.3 - CONFORTO AMBIENTAL  </t>
  </si>
  <si>
    <t xml:space="preserve">1.4 - ARQ. DE INTERIORES  </t>
  </si>
  <si>
    <t>1.5 - INSTALAÇÕES E EQUIP. REF. À ARQ.</t>
  </si>
  <si>
    <t xml:space="preserve">1.6 - ARQ. PAISAGÍSTICA </t>
  </si>
  <si>
    <t>1.7 - RELATÓRIOS TÉCNICOS DE ARQ.</t>
  </si>
  <si>
    <t xml:space="preserve">1.8 - URBANISMO E DESENHO URBANO  </t>
  </si>
  <si>
    <t>1.9 - INSTAL.E EQUIP. REF. AO URB.</t>
  </si>
  <si>
    <t>1.10 - RELATÓRIOS TÉCNICOS E URB.</t>
  </si>
  <si>
    <t>1.11 - PATR. ARQ., URB. E PAISAGÍSTICO</t>
  </si>
  <si>
    <t>2 - Execução</t>
  </si>
  <si>
    <t xml:space="preserve">2.1 - ARQUITETURA DAS EDIFICAÇÕES  </t>
  </si>
  <si>
    <t xml:space="preserve">2.2 - SISTEMAS CONST. E ESTRUTURAIS  </t>
  </si>
  <si>
    <t xml:space="preserve">2.3 - CONFORTO AMBIENTAL  </t>
  </si>
  <si>
    <t xml:space="preserve">2.4 - ARQUITETURA DE INTERIORES  </t>
  </si>
  <si>
    <t>2.5 - INSTALAÇÕES E EQUIP. REF. À ARQ.</t>
  </si>
  <si>
    <t xml:space="preserve">2.6 -  ARQUITETURA PAISAGÍSTICA  </t>
  </si>
  <si>
    <t xml:space="preserve">2.7 - URBANISMO E DESENHO URBANO  </t>
  </si>
  <si>
    <t>2.8 - INSTALAÇÕES E EQUIP. REF. AO URB.</t>
  </si>
  <si>
    <t xml:space="preserve">2.9 - PATR. ARQ., URB. E PAISAGÍSTICO  </t>
  </si>
  <si>
    <t>3 - Gestão</t>
  </si>
  <si>
    <t xml:space="preserve">3.1 - COORD. E COMPAT. DE PROJETOS  </t>
  </si>
  <si>
    <t xml:space="preserve">3.2 - SUPERV. DE OBRA OU SERVIÇO TÉC. </t>
  </si>
  <si>
    <t>3.3 - DIR. COND. DE OBRA OU SERV. TÉC.</t>
  </si>
  <si>
    <t>3.4 - GERENC. DE OBRA OU SERV. TÉC.</t>
  </si>
  <si>
    <t>3.5 - ACOMP. DE OBRA OU SERV. TÉC.</t>
  </si>
  <si>
    <t>3.6 - FISC. DE OBRA OU SERV. TÉC.</t>
  </si>
  <si>
    <t xml:space="preserve">3.7 - DESEMP. DE CARGO OU FUNÇÃO TÉC. </t>
  </si>
  <si>
    <t>4 - Meio Ambiente</t>
  </si>
  <si>
    <t xml:space="preserve">4.1 - GEORREFERENC. E TOPOGRAFIA  </t>
  </si>
  <si>
    <t xml:space="preserve">4.2 - MEIO AMBIENTE  </t>
  </si>
  <si>
    <t xml:space="preserve">4.3 - PLANEJAMENTO REGIONAL  </t>
  </si>
  <si>
    <t xml:space="preserve">4.4 - PLANEJAMENTO URBANO  </t>
  </si>
  <si>
    <t>5 - Atividades Especiais</t>
  </si>
  <si>
    <t xml:space="preserve">5.1 - ASSESSORIA  </t>
  </si>
  <si>
    <t xml:space="preserve">5.2 - CONSULTORIA  </t>
  </si>
  <si>
    <t xml:space="preserve">5.3 - ASSISTÊNCIA TÉCNICA  </t>
  </si>
  <si>
    <t xml:space="preserve">5.4 - VISTORIA  </t>
  </si>
  <si>
    <t xml:space="preserve">5.5 - PERÍCIA  </t>
  </si>
  <si>
    <t xml:space="preserve">5.6 - AVALIAÇÃO  </t>
  </si>
  <si>
    <t xml:space="preserve">5.7 - LAUDO TÉCNICO  </t>
  </si>
  <si>
    <t xml:space="preserve">5.8 - PARECER TÉCNICO  </t>
  </si>
  <si>
    <t>5.9 - AUDITORIA</t>
  </si>
  <si>
    <t xml:space="preserve">5.10 - ARBITRAGEM  </t>
  </si>
  <si>
    <t xml:space="preserve">5.11  - MENSURAÇÃO  </t>
  </si>
  <si>
    <t>6 - Ensino e Pesquisa</t>
  </si>
  <si>
    <t xml:space="preserve">6.1 - ENSINO  </t>
  </si>
  <si>
    <t xml:space="preserve">6.2 -  PESQUISA  </t>
  </si>
  <si>
    <t>6.3 -  TECN. DA CONST. E CONT.DE QUALID.</t>
  </si>
  <si>
    <t>7 . Engenharia de Segurança</t>
  </si>
  <si>
    <t xml:space="preserve">7.1 - PLANOS  </t>
  </si>
  <si>
    <t xml:space="preserve">7.2 - PROGRAMAS  </t>
  </si>
  <si>
    <t xml:space="preserve">7.3 - AVALIAÇÃO DE RISCOS  </t>
  </si>
  <si>
    <t>7.4 - MAPA DE RIS. COND. E MEIO AMB. TRAB.</t>
  </si>
  <si>
    <t xml:space="preserve">7.5 -  RELATÓRIOS PARA FINS JUDICIAIS  </t>
  </si>
  <si>
    <t>7.6 - LAUDO DE INSP. SOBRE ATIV. INSAL.</t>
  </si>
  <si>
    <t xml:space="preserve">7.7 - LAUD. TÉC. DE COND. DO TRAB.-LTCAT  </t>
  </si>
  <si>
    <t xml:space="preserve">7.8 - OUTRAS ATIVIDADES  </t>
  </si>
  <si>
    <t>Grupo</t>
  </si>
  <si>
    <t>Subgrupo</t>
  </si>
  <si>
    <t>Previsto - RRT</t>
  </si>
  <si>
    <t>Soma de Previsto - RRT</t>
  </si>
  <si>
    <t>RRT - Previsto</t>
  </si>
  <si>
    <t>1 - Projeto Total</t>
  </si>
  <si>
    <t>ADIMPLÊNCIA</t>
  </si>
  <si>
    <t>Adimp. PF %</t>
  </si>
  <si>
    <t>Adimp. PJ %</t>
  </si>
  <si>
    <t>Soma de Adimp. PF %</t>
  </si>
  <si>
    <t>Soma de Adimp. PJ %</t>
  </si>
  <si>
    <t>Comparativo de Receitas - YoY</t>
  </si>
  <si>
    <t>YoY - PF</t>
  </si>
  <si>
    <t>YoY - PJ</t>
  </si>
  <si>
    <t>YoY - RRT</t>
  </si>
  <si>
    <t>YoY - Taxas</t>
  </si>
  <si>
    <t>Soma de PF</t>
  </si>
  <si>
    <t>Soma de PJ</t>
  </si>
  <si>
    <t>Soma de RRT2</t>
  </si>
  <si>
    <t>Soma de Taxas2</t>
  </si>
  <si>
    <t>PF - Jan. a Abr.</t>
  </si>
  <si>
    <t>PJ - Jan. a Abr.</t>
  </si>
  <si>
    <t>Soma de PF - Jan. a Abr.</t>
  </si>
  <si>
    <t>Soma de PJ - Jan. a Abr.</t>
  </si>
  <si>
    <t>PREVISTO (A)</t>
  </si>
  <si>
    <t>EXECUTADO (B)</t>
  </si>
  <si>
    <t>B/A</t>
  </si>
  <si>
    <t>POTENCIAL (C )</t>
  </si>
  <si>
    <t>C/A</t>
  </si>
  <si>
    <t>% acumulado até o mês atual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</si>
</sst>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2" formatCode="_-&quot;R$&quot;\ * #,##0_-;\-&quot;R$&quot;\ * #,##0_-;_-&quot;R$&quot;\ 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_-;\-* #,##0.0_-;_-* &quot;-&quot;??_-;_-@_-"/>
    <numFmt numFmtId="167" formatCode="_-* #,##0_-;\-* #,##0_-;_-* &quot;-&quot;?_-;_-@_-"/>
    <numFmt numFmtId="168" formatCode="#,##0.0"/>
    <numFmt numFmtId="169" formatCode="_-&quot;R$&quot;\ * #,##0_-;\-&quot;R$&quot;\ * #,##0_-;_-&quot;R$&quot;\ * &quot;-&quot;??_-;_-@_-"/>
    <numFmt numFmtId="170" formatCode="_-[$R$-416]\ * #,##0_-;\-[$R$-416]\ * #,##0_-;_-[$R$-416]\ * &quot;-&quot;??_-;_-@_-"/>
    <numFmt numFmtId="171" formatCode="&quot;R$&quot;\ #,##0"/>
    <numFmt numFmtId="172" formatCode="0.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sz val="3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sz val="8"/>
      <color theme="1"/>
      <name val="Calibri"/>
      <family val="2"/>
    </font>
    <font>
      <b/>
      <sz val="11"/>
      <color theme="0"/>
      <name val="Dax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Arial"/>
      <family val="2"/>
    </font>
    <font>
      <sz val="12"/>
      <color theme="0"/>
      <name val="Arial"/>
      <family val="2"/>
    </font>
    <font>
      <sz val="16"/>
      <color theme="1"/>
      <name val="Arial"/>
      <family val="2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1C3942"/>
        <bgColor indexed="64"/>
      </patternFill>
    </fill>
    <fill>
      <patternFill patternType="solid">
        <fgColor rgb="FF006871"/>
        <bgColor indexed="64"/>
      </patternFill>
    </fill>
    <fill>
      <patternFill patternType="solid">
        <fgColor rgb="FFAECCD2"/>
        <bgColor indexed="64"/>
      </patternFill>
    </fill>
    <fill>
      <patternFill patternType="solid">
        <fgColor rgb="FFE4F0F0"/>
        <bgColor indexed="64"/>
      </patternFill>
    </fill>
    <fill>
      <patternFill patternType="solid">
        <fgColor rgb="FFFFFADE"/>
        <bgColor indexed="64"/>
      </patternFill>
    </fill>
    <fill>
      <patternFill patternType="solid">
        <fgColor rgb="FFFFF3AB"/>
        <bgColor indexed="64"/>
      </patternFill>
    </fill>
    <fill>
      <patternFill patternType="solid">
        <fgColor rgb="FF2A5664"/>
        <bgColor indexed="64"/>
      </patternFill>
    </fill>
    <fill>
      <patternFill patternType="solid">
        <fgColor rgb="FF008F9A"/>
        <bgColor indexed="64"/>
      </patternFill>
    </fill>
    <fill>
      <patternFill patternType="solid">
        <fgColor rgb="FF5E9AA6"/>
        <bgColor indexed="64"/>
      </patternFill>
    </fill>
    <fill>
      <patternFill patternType="solid">
        <fgColor rgb="FFB7D8D7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</fills>
  <borders count="50">
    <border>
      <start/>
      <end/>
      <top/>
      <bottom/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/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/>
      <diagonal/>
    </border>
    <border>
      <start style="thin">
        <color indexed="64"/>
      </start>
      <end/>
      <top style="thin">
        <color indexed="64"/>
      </top>
      <bottom style="thin">
        <color indexed="64"/>
      </bottom>
      <diagonal/>
    </border>
    <border>
      <start/>
      <end/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/>
      <diagonal/>
    </border>
    <border>
      <start/>
      <end/>
      <top style="thin">
        <color indexed="64"/>
      </top>
      <bottom/>
      <diagonal/>
    </border>
    <border>
      <start/>
      <end/>
      <top/>
      <bottom style="thin">
        <color indexed="64"/>
      </bottom>
      <diagonal/>
    </border>
    <border>
      <start/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/>
      <top/>
      <bottom style="thin">
        <color indexed="64"/>
      </bottom>
      <diagonal/>
    </border>
    <border>
      <start style="medium">
        <color indexed="64"/>
      </start>
      <end/>
      <top style="medium">
        <color indexed="64"/>
      </top>
      <bottom style="medium">
        <color indexed="64"/>
      </bottom>
      <diagonal/>
    </border>
    <border>
      <start/>
      <end/>
      <top style="medium">
        <color indexed="64"/>
      </top>
      <bottom style="medium">
        <color indexed="64"/>
      </bottom>
      <diagonal/>
    </border>
    <border>
      <start/>
      <end style="medium">
        <color indexed="64"/>
      </end>
      <top style="medium">
        <color indexed="64"/>
      </top>
      <bottom style="medium">
        <color indexed="64"/>
      </bottom>
      <diagonal/>
    </border>
    <border>
      <start style="thin">
        <color indexed="64"/>
      </start>
      <end/>
      <top style="thin">
        <color indexed="64"/>
      </top>
      <bottom/>
      <diagonal/>
    </border>
    <border>
      <start/>
      <end style="thin">
        <color indexed="64"/>
      </end>
      <top style="thin">
        <color indexed="64"/>
      </top>
      <bottom/>
      <diagonal/>
    </border>
    <border>
      <start style="thin">
        <color theme="0"/>
      </start>
      <end style="thin">
        <color theme="0"/>
      </end>
      <top style="thin">
        <color theme="0"/>
      </top>
      <bottom style="thin">
        <color theme="0"/>
      </bottom>
      <diagonal/>
    </border>
    <border>
      <start style="thin">
        <color theme="0"/>
      </start>
      <end style="thin">
        <color theme="0"/>
      </end>
      <top style="thin">
        <color theme="0"/>
      </top>
      <bottom/>
      <diagonal/>
    </border>
    <border>
      <start style="thin">
        <color theme="0"/>
      </start>
      <end/>
      <top style="thin">
        <color theme="0"/>
      </top>
      <bottom style="thin">
        <color theme="0"/>
      </bottom>
      <diagonal/>
    </border>
    <border>
      <start style="thin">
        <color indexed="64"/>
      </start>
      <end style="thin">
        <color indexed="64"/>
      </end>
      <top style="thin">
        <color theme="0"/>
      </top>
      <bottom style="thin">
        <color theme="0"/>
      </bottom>
      <diagonal/>
    </border>
    <border>
      <start style="thin">
        <color indexed="64"/>
      </start>
      <end style="thin">
        <color indexed="64"/>
      </end>
      <top style="thin">
        <color theme="0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theme="0"/>
      </bottom>
      <diagonal/>
    </border>
    <border>
      <start style="thin">
        <color indexed="64"/>
      </start>
      <end style="thin">
        <color theme="0"/>
      </end>
      <top style="thin">
        <color indexed="64"/>
      </top>
      <bottom style="thin">
        <color indexed="64"/>
      </bottom>
      <diagonal/>
    </border>
    <border>
      <start style="thin">
        <color theme="0"/>
      </start>
      <end style="thin">
        <color theme="0"/>
      </end>
      <top style="thin">
        <color indexed="64"/>
      </top>
      <bottom style="thin">
        <color indexed="64"/>
      </bottom>
      <diagonal/>
    </border>
    <border>
      <start style="thin">
        <color theme="0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theme="1"/>
      </end>
      <top style="thin">
        <color indexed="64"/>
      </top>
      <bottom/>
      <diagonal/>
    </border>
    <border>
      <start style="thin">
        <color indexed="64"/>
      </start>
      <end style="thin">
        <color theme="1"/>
      </end>
      <top/>
      <bottom style="thin">
        <color theme="1"/>
      </bottom>
      <diagonal/>
    </border>
    <border>
      <start/>
      <end style="thin">
        <color theme="0"/>
      </end>
      <top/>
      <bottom/>
      <diagonal/>
    </border>
    <border>
      <start style="thin">
        <color theme="0"/>
      </start>
      <end style="thin">
        <color theme="0"/>
      </end>
      <top/>
      <bottom/>
      <diagonal/>
    </border>
    <border>
      <start style="thin">
        <color theme="0"/>
      </start>
      <end/>
      <top/>
      <bottom/>
      <diagonal/>
    </border>
    <border>
      <start/>
      <end style="thin">
        <color theme="1"/>
      </end>
      <top/>
      <bottom/>
      <diagonal/>
    </border>
    <border>
      <start style="thin">
        <color theme="1"/>
      </start>
      <end style="thin">
        <color theme="1"/>
      </end>
      <top/>
      <bottom/>
      <diagonal/>
    </border>
    <border>
      <start style="thin">
        <color theme="1"/>
      </start>
      <end/>
      <top/>
      <bottom/>
      <diagonal/>
    </border>
    <border>
      <start/>
      <end/>
      <top/>
      <bottom style="medium">
        <color indexed="64"/>
      </bottom>
      <diagonal/>
    </border>
    <border>
      <start style="thin">
        <color theme="1"/>
      </start>
      <end style="thin">
        <color indexed="64"/>
      </end>
      <top/>
      <bottom/>
      <diagonal/>
    </border>
    <border>
      <start/>
      <end style="thin">
        <color indexed="64"/>
      </end>
      <top/>
      <bottom/>
      <diagonal/>
    </border>
    <border>
      <start style="medium">
        <color indexed="64"/>
      </start>
      <end style="medium">
        <color indexed="64"/>
      </end>
      <top/>
      <bottom style="medium">
        <color indexed="64"/>
      </bottom>
      <diagonal/>
    </border>
    <border>
      <start style="medium">
        <color indexed="64"/>
      </start>
      <end style="medium">
        <color indexed="64"/>
      </end>
      <top/>
      <bottom/>
      <diagonal/>
    </border>
    <border>
      <start style="medium">
        <color indexed="64"/>
      </start>
      <end style="medium">
        <color indexed="64"/>
      </end>
      <top style="medium">
        <color indexed="64"/>
      </top>
      <bottom/>
      <diagonal/>
    </border>
    <border>
      <start style="thin">
        <color indexed="64"/>
      </start>
      <end/>
      <top/>
      <bottom/>
      <diagonal/>
    </border>
    <border>
      <start style="medium">
        <color theme="0"/>
      </start>
      <end style="medium">
        <color theme="0"/>
      </end>
      <top style="medium">
        <color theme="0"/>
      </top>
      <bottom style="medium">
        <color theme="0"/>
      </bottom>
      <diagonal/>
    </border>
    <border>
      <start style="thin">
        <color rgb="FFFFFFFF"/>
      </start>
      <end style="thin">
        <color rgb="FFFFFFFF"/>
      </end>
      <top style="thin">
        <color rgb="FFFFFFFF"/>
      </top>
      <bottom style="thin">
        <color rgb="FFFFFFFF"/>
      </bottom>
      <diagonal/>
    </border>
    <border>
      <start style="thin">
        <color rgb="FFFFFFFF"/>
      </start>
      <end style="thin">
        <color rgb="FFFFFFFF"/>
      </end>
      <top/>
      <bottom style="thin">
        <color rgb="FFFFFFFF"/>
      </bottom>
      <diagonal/>
    </border>
    <border>
      <start/>
      <end style="medium">
        <color rgb="FFFFFFFF"/>
      </end>
      <top/>
      <bottom style="medium">
        <color rgb="FFFFFFFF"/>
      </bottom>
      <diagonal/>
    </border>
    <border>
      <start style="medium">
        <color theme="0"/>
      </start>
      <end/>
      <top style="medium">
        <color theme="0"/>
      </top>
      <bottom style="medium">
        <color theme="0"/>
      </bottom>
      <diagonal/>
    </border>
    <border>
      <start/>
      <end/>
      <top style="medium">
        <color theme="0"/>
      </top>
      <bottom style="medium">
        <color theme="0"/>
      </bottom>
      <diagonal/>
    </border>
    <border>
      <start/>
      <end style="medium">
        <color theme="0"/>
      </end>
      <top style="medium">
        <color theme="0"/>
      </top>
      <bottom style="medium">
        <color theme="0"/>
      </bottom>
      <diagonal/>
    </border>
    <border>
      <start style="medium">
        <color theme="0"/>
      </start>
      <end style="medium">
        <color theme="0"/>
      </end>
      <top style="medium">
        <color theme="0"/>
      </top>
      <bottom/>
      <diagonal/>
    </border>
    <border>
      <start style="medium">
        <color theme="0"/>
      </start>
      <end style="medium">
        <color theme="0"/>
      </end>
      <top/>
      <bottom style="medium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47">
    <xf numFmtId="0" fontId="0" fillId="0" borderId="0" xfId="0"/>
    <xf numFmtId="0" fontId="3" fillId="0" borderId="1" xfId="0" applyFont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2" fillId="0" borderId="0" xfId="0" applyFont="1"/>
    <xf numFmtId="43" fontId="2" fillId="0" borderId="1" xfId="1" applyFont="1" applyBorder="1"/>
    <xf numFmtId="0" fontId="2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/>
    </xf>
    <xf numFmtId="43" fontId="2" fillId="3" borderId="1" xfId="1" applyFont="1" applyFill="1" applyBorder="1"/>
    <xf numFmtId="0" fontId="3" fillId="3" borderId="1" xfId="0" applyFont="1" applyFill="1" applyBorder="1" applyAlignment="1">
      <alignment vertical="center"/>
    </xf>
    <xf numFmtId="43" fontId="3" fillId="3" borderId="1" xfId="0" applyNumberFormat="1" applyFont="1" applyFill="1" applyBorder="1" applyAlignment="1">
      <alignment vertical="center"/>
    </xf>
    <xf numFmtId="10" fontId="0" fillId="0" borderId="0" xfId="0" applyNumberFormat="1"/>
    <xf numFmtId="10" fontId="0" fillId="0" borderId="0" xfId="0" applyNumberFormat="1" applyBorder="1"/>
    <xf numFmtId="43" fontId="2" fillId="2" borderId="1" xfId="1" applyFont="1" applyFill="1" applyBorder="1"/>
    <xf numFmtId="43" fontId="2" fillId="3" borderId="3" xfId="1" applyFont="1" applyFill="1" applyBorder="1"/>
    <xf numFmtId="0" fontId="0" fillId="2" borderId="0" xfId="0" applyFill="1"/>
    <xf numFmtId="43" fontId="0" fillId="0" borderId="0" xfId="0" applyNumberFormat="1"/>
    <xf numFmtId="4" fontId="3" fillId="3" borderId="1" xfId="0" applyNumberFormat="1" applyFont="1" applyFill="1" applyBorder="1" applyAlignment="1">
      <alignment vertical="center"/>
    </xf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49" fontId="3" fillId="4" borderId="1" xfId="0" applyNumberFormat="1" applyFont="1" applyFill="1" applyBorder="1" applyAlignment="1">
      <alignment horizontal="left" vertical="center"/>
    </xf>
    <xf numFmtId="43" fontId="0" fillId="0" borderId="0" xfId="1" applyFont="1"/>
    <xf numFmtId="10" fontId="0" fillId="0" borderId="0" xfId="2" applyNumberFormat="1" applyFont="1"/>
    <xf numFmtId="43" fontId="0" fillId="2" borderId="1" xfId="1" applyFont="1" applyFill="1" applyBorder="1"/>
    <xf numFmtId="43" fontId="3" fillId="3" borderId="1" xfId="1" applyFont="1" applyFill="1" applyBorder="1" applyAlignment="1">
      <alignment vertical="center"/>
    </xf>
    <xf numFmtId="4" fontId="2" fillId="4" borderId="1" xfId="0" applyNumberFormat="1" applyFont="1" applyFill="1" applyBorder="1"/>
    <xf numFmtId="0" fontId="3" fillId="0" borderId="8" xfId="0" applyFont="1" applyFill="1" applyBorder="1" applyAlignment="1">
      <alignment vertical="center"/>
    </xf>
    <xf numFmtId="43" fontId="3" fillId="0" borderId="8" xfId="0" applyNumberFormat="1" applyFont="1" applyFill="1" applyBorder="1" applyAlignment="1">
      <alignment vertical="center"/>
    </xf>
    <xf numFmtId="43" fontId="2" fillId="0" borderId="8" xfId="1" applyFont="1" applyFill="1" applyBorder="1"/>
    <xf numFmtId="0" fontId="3" fillId="0" borderId="9" xfId="0" applyFont="1" applyFill="1" applyBorder="1" applyAlignment="1">
      <alignment vertical="center"/>
    </xf>
    <xf numFmtId="43" fontId="3" fillId="0" borderId="9" xfId="0" applyNumberFormat="1" applyFont="1" applyFill="1" applyBorder="1" applyAlignment="1">
      <alignment vertical="center"/>
    </xf>
    <xf numFmtId="43" fontId="2" fillId="0" borderId="9" xfId="1" applyFont="1" applyFill="1" applyBorder="1"/>
    <xf numFmtId="0" fontId="3" fillId="0" borderId="0" xfId="0" applyFont="1" applyFill="1" applyBorder="1" applyAlignment="1">
      <alignment vertical="center"/>
    </xf>
    <xf numFmtId="43" fontId="3" fillId="0" borderId="0" xfId="0" applyNumberFormat="1" applyFont="1" applyFill="1" applyBorder="1" applyAlignment="1">
      <alignment vertical="center"/>
    </xf>
    <xf numFmtId="43" fontId="2" fillId="0" borderId="0" xfId="1" applyFont="1" applyFill="1" applyBorder="1"/>
    <xf numFmtId="0" fontId="0" fillId="0" borderId="0" xfId="0" applyFill="1"/>
    <xf numFmtId="43" fontId="0" fillId="0" borderId="1" xfId="1" applyFont="1" applyBorder="1"/>
    <xf numFmtId="0" fontId="2" fillId="0" borderId="2" xfId="0" applyFont="1" applyBorder="1" applyAlignment="1">
      <alignment horizontal="center" vertical="center" wrapText="1"/>
    </xf>
    <xf numFmtId="43" fontId="0" fillId="0" borderId="1" xfId="1" applyFont="1" applyFill="1" applyBorder="1"/>
    <xf numFmtId="43" fontId="2" fillId="0" borderId="1" xfId="1" applyFont="1" applyFill="1" applyBorder="1"/>
    <xf numFmtId="0" fontId="3" fillId="5" borderId="1" xfId="0" applyFont="1" applyFill="1" applyBorder="1" applyAlignment="1">
      <alignment vertical="center"/>
    </xf>
    <xf numFmtId="43" fontId="7" fillId="0" borderId="1" xfId="1" applyFont="1" applyFill="1" applyBorder="1"/>
    <xf numFmtId="43" fontId="8" fillId="0" borderId="1" xfId="1" applyFont="1" applyFill="1" applyBorder="1"/>
    <xf numFmtId="0" fontId="3" fillId="5" borderId="1" xfId="0" applyFont="1" applyFill="1" applyBorder="1" applyAlignment="1">
      <alignment horizontal="left" vertical="center"/>
    </xf>
    <xf numFmtId="43" fontId="2" fillId="0" borderId="0" xfId="0" applyNumberFormat="1" applyFont="1"/>
    <xf numFmtId="0" fontId="9" fillId="0" borderId="4" xfId="0" applyFont="1" applyFill="1" applyBorder="1" applyAlignment="1">
      <alignment vertical="center"/>
    </xf>
    <xf numFmtId="4" fontId="3" fillId="3" borderId="3" xfId="0" applyNumberFormat="1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43" fontId="1" fillId="0" borderId="1" xfId="1" applyFont="1" applyBorder="1" applyAlignment="1">
      <alignment horizontal="right" vertical="top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43" fontId="2" fillId="2" borderId="4" xfId="2" applyNumberFormat="1" applyFont="1" applyFill="1" applyBorder="1"/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0" fillId="6" borderId="17" xfId="0" applyFont="1" applyFill="1" applyBorder="1" applyAlignment="1">
      <alignment horizontal="center"/>
    </xf>
    <xf numFmtId="0" fontId="10" fillId="6" borderId="18" xfId="0" applyFont="1" applyFill="1" applyBorder="1" applyAlignment="1">
      <alignment horizontal="center" vertical="center"/>
    </xf>
    <xf numFmtId="0" fontId="10" fillId="6" borderId="19" xfId="0" applyFont="1" applyFill="1" applyBorder="1" applyAlignment="1">
      <alignment horizontal="center"/>
    </xf>
    <xf numFmtId="164" fontId="0" fillId="0" borderId="2" xfId="1" applyNumberFormat="1" applyFont="1" applyBorder="1"/>
    <xf numFmtId="164" fontId="0" fillId="0" borderId="1" xfId="1" applyNumberFormat="1" applyFont="1" applyBorder="1"/>
    <xf numFmtId="164" fontId="2" fillId="7" borderId="1" xfId="1" applyNumberFormat="1" applyFont="1" applyFill="1" applyBorder="1"/>
    <xf numFmtId="164" fontId="0" fillId="7" borderId="2" xfId="1" applyNumberFormat="1" applyFont="1" applyFill="1" applyBorder="1"/>
    <xf numFmtId="164" fontId="0" fillId="7" borderId="1" xfId="1" applyNumberFormat="1" applyFont="1" applyFill="1" applyBorder="1"/>
    <xf numFmtId="0" fontId="0" fillId="0" borderId="0" xfId="0" applyAlignment="1">
      <alignment horizontal="center"/>
    </xf>
    <xf numFmtId="165" fontId="0" fillId="0" borderId="2" xfId="2" applyNumberFormat="1" applyFont="1" applyBorder="1"/>
    <xf numFmtId="165" fontId="0" fillId="0" borderId="1" xfId="2" applyNumberFormat="1" applyFont="1" applyBorder="1"/>
    <xf numFmtId="165" fontId="0" fillId="0" borderId="2" xfId="0" applyNumberFormat="1" applyBorder="1"/>
    <xf numFmtId="165" fontId="0" fillId="0" borderId="1" xfId="0" applyNumberFormat="1" applyBorder="1"/>
    <xf numFmtId="165" fontId="0" fillId="0" borderId="0" xfId="0" applyNumberFormat="1"/>
    <xf numFmtId="165" fontId="0" fillId="0" borderId="10" xfId="0" applyNumberFormat="1" applyBorder="1"/>
    <xf numFmtId="165" fontId="0" fillId="0" borderId="3" xfId="0" applyNumberFormat="1" applyBorder="1"/>
    <xf numFmtId="0" fontId="10" fillId="2" borderId="17" xfId="0" applyFont="1" applyFill="1" applyBorder="1" applyAlignment="1">
      <alignment horizontal="center"/>
    </xf>
    <xf numFmtId="165" fontId="0" fillId="2" borderId="0" xfId="0" applyNumberFormat="1" applyFill="1" applyBorder="1"/>
    <xf numFmtId="0" fontId="10" fillId="6" borderId="17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 vertical="center"/>
    </xf>
    <xf numFmtId="164" fontId="7" fillId="2" borderId="0" xfId="1" applyNumberFormat="1" applyFont="1" applyFill="1" applyBorder="1"/>
    <xf numFmtId="164" fontId="8" fillId="2" borderId="0" xfId="1" applyNumberFormat="1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center"/>
    </xf>
    <xf numFmtId="165" fontId="7" fillId="2" borderId="0" xfId="2" applyNumberFormat="1" applyFont="1" applyFill="1" applyBorder="1"/>
    <xf numFmtId="165" fontId="7" fillId="2" borderId="0" xfId="0" applyNumberFormat="1" applyFont="1" applyFill="1" applyBorder="1"/>
    <xf numFmtId="0" fontId="10" fillId="6" borderId="20" xfId="0" applyFont="1" applyFill="1" applyBorder="1" applyAlignment="1">
      <alignment horizontal="center"/>
    </xf>
    <xf numFmtId="0" fontId="10" fillId="6" borderId="21" xfId="0" applyFont="1" applyFill="1" applyBorder="1" applyAlignment="1">
      <alignment horizontal="center"/>
    </xf>
    <xf numFmtId="0" fontId="10" fillId="6" borderId="22" xfId="0" applyFont="1" applyFill="1" applyBorder="1" applyAlignment="1">
      <alignment horizontal="center"/>
    </xf>
    <xf numFmtId="0" fontId="10" fillId="6" borderId="23" xfId="0" applyFont="1" applyFill="1" applyBorder="1" applyAlignment="1">
      <alignment horizontal="center"/>
    </xf>
    <xf numFmtId="0" fontId="10" fillId="6" borderId="24" xfId="0" applyFont="1" applyFill="1" applyBorder="1" applyAlignment="1">
      <alignment horizontal="center"/>
    </xf>
    <xf numFmtId="0" fontId="10" fillId="6" borderId="25" xfId="0" applyFont="1" applyFill="1" applyBorder="1" applyAlignment="1">
      <alignment horizontal="center"/>
    </xf>
    <xf numFmtId="165" fontId="0" fillId="0" borderId="0" xfId="2" applyNumberFormat="1" applyFont="1"/>
    <xf numFmtId="164" fontId="0" fillId="0" borderId="0" xfId="1" applyNumberFormat="1" applyFont="1"/>
    <xf numFmtId="164" fontId="0" fillId="0" borderId="0" xfId="0" applyNumberFormat="1"/>
    <xf numFmtId="164" fontId="0" fillId="8" borderId="0" xfId="1" applyNumberFormat="1" applyFont="1" applyFill="1"/>
    <xf numFmtId="0" fontId="10" fillId="6" borderId="1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164" fontId="10" fillId="6" borderId="1" xfId="1" applyNumberFormat="1" applyFont="1" applyFill="1" applyBorder="1" applyAlignment="1">
      <alignment horizontal="center"/>
    </xf>
    <xf numFmtId="165" fontId="10" fillId="6" borderId="1" xfId="2" applyNumberFormat="1" applyFont="1" applyFill="1" applyBorder="1"/>
    <xf numFmtId="164" fontId="10" fillId="6" borderId="1" xfId="0" applyNumberFormat="1" applyFont="1" applyFill="1" applyBorder="1"/>
    <xf numFmtId="165" fontId="10" fillId="6" borderId="1" xfId="2" applyNumberFormat="1" applyFont="1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164" fontId="15" fillId="9" borderId="5" xfId="1" applyNumberFormat="1" applyFont="1" applyFill="1" applyBorder="1" applyAlignment="1">
      <alignment horizontal="center" vertical="center"/>
    </xf>
    <xf numFmtId="164" fontId="15" fillId="10" borderId="5" xfId="1" applyNumberFormat="1" applyFont="1" applyFill="1" applyBorder="1" applyAlignment="1">
      <alignment horizontal="center" vertical="center"/>
    </xf>
    <xf numFmtId="164" fontId="0" fillId="0" borderId="1" xfId="1" applyNumberFormat="1" applyFont="1" applyBorder="1" applyAlignment="1">
      <alignment horizontal="center"/>
    </xf>
    <xf numFmtId="164" fontId="0" fillId="9" borderId="1" xfId="0" applyNumberFormat="1" applyFill="1" applyBorder="1" applyAlignment="1">
      <alignment horizontal="center"/>
    </xf>
    <xf numFmtId="164" fontId="0" fillId="10" borderId="1" xfId="0" applyNumberFormat="1" applyFill="1" applyBorder="1" applyAlignment="1">
      <alignment horizontal="center"/>
    </xf>
    <xf numFmtId="165" fontId="0" fillId="9" borderId="1" xfId="2" applyNumberFormat="1" applyFont="1" applyFill="1" applyBorder="1" applyAlignment="1">
      <alignment horizontal="center"/>
    </xf>
    <xf numFmtId="165" fontId="0" fillId="10" borderId="1" xfId="2" applyNumberFormat="1" applyFont="1" applyFill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vertical="center"/>
    </xf>
    <xf numFmtId="165" fontId="10" fillId="6" borderId="1" xfId="2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164" fontId="15" fillId="9" borderId="1" xfId="1" applyNumberFormat="1" applyFont="1" applyFill="1" applyBorder="1" applyAlignment="1">
      <alignment vertical="center"/>
    </xf>
    <xf numFmtId="164" fontId="15" fillId="10" borderId="1" xfId="1" applyNumberFormat="1" applyFont="1" applyFill="1" applyBorder="1" applyAlignment="1">
      <alignment vertical="center"/>
    </xf>
    <xf numFmtId="164" fontId="10" fillId="6" borderId="1" xfId="1" applyNumberFormat="1" applyFont="1" applyFill="1" applyBorder="1"/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7" fillId="0" borderId="15" xfId="0" applyFont="1" applyFill="1" applyBorder="1" applyAlignment="1">
      <alignment vertical="center"/>
    </xf>
    <xf numFmtId="0" fontId="17" fillId="0" borderId="8" xfId="0" applyFont="1" applyFill="1" applyBorder="1" applyAlignment="1">
      <alignment vertical="center"/>
    </xf>
    <xf numFmtId="43" fontId="17" fillId="0" borderId="8" xfId="0" applyNumberFormat="1" applyFont="1" applyFill="1" applyBorder="1" applyAlignment="1">
      <alignment vertical="center"/>
    </xf>
    <xf numFmtId="164" fontId="0" fillId="0" borderId="0" xfId="1" applyNumberFormat="1" applyFont="1" applyAlignment="1">
      <alignment horizontal="center"/>
    </xf>
    <xf numFmtId="164" fontId="0" fillId="0" borderId="0" xfId="1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0" fontId="10" fillId="6" borderId="1" xfId="0" applyFont="1" applyFill="1" applyBorder="1" applyAlignment="1">
      <alignment horizontal="center"/>
    </xf>
    <xf numFmtId="164" fontId="2" fillId="11" borderId="1" xfId="1" applyNumberFormat="1" applyFont="1" applyFill="1" applyBorder="1" applyAlignment="1">
      <alignment horizontal="center" vertical="center"/>
    </xf>
    <xf numFmtId="167" fontId="0" fillId="0" borderId="0" xfId="0" applyNumberFormat="1"/>
    <xf numFmtId="0" fontId="19" fillId="0" borderId="0" xfId="0" applyFont="1"/>
    <xf numFmtId="164" fontId="19" fillId="0" borderId="0" xfId="0" applyNumberFormat="1" applyFont="1"/>
    <xf numFmtId="43" fontId="19" fillId="0" borderId="0" xfId="0" applyNumberFormat="1" applyFont="1"/>
    <xf numFmtId="165" fontId="0" fillId="7" borderId="2" xfId="2" applyNumberFormat="1" applyFont="1" applyFill="1" applyBorder="1"/>
    <xf numFmtId="165" fontId="0" fillId="7" borderId="1" xfId="2" applyNumberFormat="1" applyFont="1" applyFill="1" applyBorder="1"/>
    <xf numFmtId="0" fontId="0" fillId="0" borderId="0" xfId="0" applyFont="1"/>
    <xf numFmtId="0" fontId="0" fillId="0" borderId="0" xfId="0" applyFont="1" applyBorder="1" applyAlignment="1">
      <alignment horizontal="center" vertical="center"/>
    </xf>
    <xf numFmtId="165" fontId="0" fillId="0" borderId="0" xfId="2" applyNumberFormat="1" applyFont="1" applyBorder="1" applyAlignment="1">
      <alignment horizontal="center"/>
    </xf>
    <xf numFmtId="0" fontId="20" fillId="6" borderId="1" xfId="0" applyFont="1" applyFill="1" applyBorder="1" applyAlignment="1">
      <alignment horizontal="left" vertical="center"/>
    </xf>
    <xf numFmtId="0" fontId="0" fillId="0" borderId="1" xfId="0" applyBorder="1"/>
    <xf numFmtId="166" fontId="0" fillId="0" borderId="1" xfId="0" applyNumberFormat="1" applyBorder="1"/>
    <xf numFmtId="0" fontId="10" fillId="6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/>
    <xf numFmtId="9" fontId="0" fillId="0" borderId="0" xfId="2" applyFont="1"/>
    <xf numFmtId="43" fontId="0" fillId="7" borderId="1" xfId="1" applyFont="1" applyFill="1" applyBorder="1" applyAlignment="1">
      <alignment horizontal="center" vertical="center"/>
    </xf>
    <xf numFmtId="165" fontId="0" fillId="7" borderId="1" xfId="2" applyNumberFormat="1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165" fontId="0" fillId="12" borderId="1" xfId="2" applyNumberFormat="1" applyFont="1" applyFill="1" applyBorder="1" applyAlignment="1">
      <alignment horizontal="center" vertical="center"/>
    </xf>
    <xf numFmtId="2" fontId="2" fillId="8" borderId="1" xfId="1" applyNumberFormat="1" applyFont="1" applyFill="1" applyBorder="1" applyAlignment="1">
      <alignment vertical="center"/>
    </xf>
    <xf numFmtId="1" fontId="2" fillId="8" borderId="1" xfId="1" applyNumberFormat="1" applyFont="1" applyFill="1" applyBorder="1" applyAlignment="1">
      <alignment vertical="center"/>
    </xf>
    <xf numFmtId="43" fontId="0" fillId="0" borderId="0" xfId="1" applyFont="1" applyAlignment="1">
      <alignment horizontal="center" vertical="center"/>
    </xf>
    <xf numFmtId="0" fontId="0" fillId="13" borderId="3" xfId="0" applyFill="1" applyBorder="1" applyAlignment="1">
      <alignment horizontal="center" vertical="center"/>
    </xf>
    <xf numFmtId="165" fontId="0" fillId="13" borderId="3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1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68" fontId="0" fillId="0" borderId="0" xfId="0" applyNumberFormat="1"/>
    <xf numFmtId="0" fontId="0" fillId="0" borderId="0" xfId="0" applyAlignment="1">
      <alignment horizontal="left" vertical="center"/>
    </xf>
    <xf numFmtId="3" fontId="0" fillId="0" borderId="0" xfId="0" applyNumberFormat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0" fillId="23" borderId="0" xfId="0" applyFill="1"/>
    <xf numFmtId="0" fontId="0" fillId="24" borderId="0" xfId="0" applyFill="1"/>
    <xf numFmtId="0" fontId="21" fillId="0" borderId="0" xfId="0" applyFont="1"/>
    <xf numFmtId="169" fontId="21" fillId="0" borderId="0" xfId="3" applyNumberFormat="1" applyFont="1"/>
    <xf numFmtId="0" fontId="22" fillId="16" borderId="28" xfId="0" applyFont="1" applyFill="1" applyBorder="1" applyAlignment="1">
      <alignment horizontal="center" vertical="center" wrapText="1"/>
    </xf>
    <xf numFmtId="0" fontId="22" fillId="16" borderId="29" xfId="0" applyFont="1" applyFill="1" applyBorder="1" applyAlignment="1">
      <alignment horizontal="center" vertical="center" wrapText="1"/>
    </xf>
    <xf numFmtId="0" fontId="22" fillId="16" borderId="3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31" xfId="0" applyFont="1" applyBorder="1" applyAlignment="1">
      <alignment horizontal="center" vertical="center"/>
    </xf>
    <xf numFmtId="170" fontId="21" fillId="0" borderId="32" xfId="0" applyNumberFormat="1" applyFont="1" applyBorder="1"/>
    <xf numFmtId="170" fontId="21" fillId="0" borderId="33" xfId="0" applyNumberFormat="1" applyFont="1" applyBorder="1"/>
    <xf numFmtId="0" fontId="21" fillId="0" borderId="34" xfId="0" applyFont="1" applyBorder="1"/>
    <xf numFmtId="164" fontId="21" fillId="0" borderId="34" xfId="0" applyNumberFormat="1" applyFont="1" applyBorder="1"/>
    <xf numFmtId="170" fontId="21" fillId="0" borderId="35" xfId="0" applyNumberFormat="1" applyFont="1" applyBorder="1"/>
    <xf numFmtId="170" fontId="21" fillId="0" borderId="0" xfId="0" applyNumberFormat="1" applyFont="1" applyBorder="1"/>
    <xf numFmtId="43" fontId="0" fillId="2" borderId="4" xfId="1" applyFont="1" applyFill="1" applyBorder="1"/>
    <xf numFmtId="0" fontId="10" fillId="6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170" fontId="21" fillId="0" borderId="36" xfId="0" applyNumberFormat="1" applyFont="1" applyBorder="1"/>
    <xf numFmtId="0" fontId="0" fillId="0" borderId="0" xfId="2" applyNumberFormat="1" applyFon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164" fontId="0" fillId="0" borderId="0" xfId="1" applyNumberFormat="1" applyFont="1" applyFill="1" applyBorder="1" applyAlignment="1">
      <alignment horizontal="center" vertical="center"/>
    </xf>
    <xf numFmtId="9" fontId="0" fillId="0" borderId="0" xfId="2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 wrapText="1"/>
    </xf>
    <xf numFmtId="164" fontId="10" fillId="0" borderId="0" xfId="1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166" fontId="0" fillId="0" borderId="0" xfId="1" applyNumberFormat="1" applyFont="1"/>
    <xf numFmtId="0" fontId="0" fillId="8" borderId="0" xfId="0" applyFill="1" applyAlignment="1">
      <alignment horizontal="center"/>
    </xf>
    <xf numFmtId="0" fontId="0" fillId="8" borderId="0" xfId="0" applyFill="1" applyAlignment="1">
      <alignment horizontal="center" vertical="center"/>
    </xf>
    <xf numFmtId="171" fontId="0" fillId="0" borderId="0" xfId="1" applyNumberFormat="1" applyFont="1"/>
    <xf numFmtId="0" fontId="0" fillId="0" borderId="38" xfId="0" applyBorder="1" applyAlignment="1">
      <alignment horizontal="center" vertical="center"/>
    </xf>
    <xf numFmtId="0" fontId="0" fillId="8" borderId="38" xfId="0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center" vertical="center"/>
    </xf>
    <xf numFmtId="0" fontId="2" fillId="0" borderId="0" xfId="2" applyNumberFormat="1" applyFont="1" applyFill="1" applyBorder="1" applyAlignment="1">
      <alignment horizontal="center" vertical="center"/>
    </xf>
    <xf numFmtId="0" fontId="0" fillId="8" borderId="39" xfId="0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71" fontId="0" fillId="0" borderId="0" xfId="0" applyNumberFormat="1" applyAlignment="1">
      <alignment horizontal="center" vertical="center"/>
    </xf>
    <xf numFmtId="2" fontId="0" fillId="0" borderId="0" xfId="0" applyNumberFormat="1"/>
    <xf numFmtId="1" fontId="0" fillId="0" borderId="0" xfId="0" applyNumberFormat="1"/>
    <xf numFmtId="166" fontId="0" fillId="0" borderId="1" xfId="1" applyNumberFormat="1" applyFont="1" applyBorder="1"/>
    <xf numFmtId="165" fontId="0" fillId="0" borderId="1" xfId="2" applyNumberFormat="1" applyFont="1" applyBorder="1" applyAlignment="1">
      <alignment horizontal="center" vertical="center"/>
    </xf>
    <xf numFmtId="17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pivotButton="1" applyFont="1"/>
    <xf numFmtId="0" fontId="0" fillId="0" borderId="0" xfId="0" pivotButton="1"/>
    <xf numFmtId="0" fontId="10" fillId="6" borderId="3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center" vertical="center"/>
    </xf>
    <xf numFmtId="9" fontId="0" fillId="0" borderId="1" xfId="2" applyFont="1" applyBorder="1" applyAlignment="1">
      <alignment horizontal="center" vertical="center"/>
    </xf>
    <xf numFmtId="164" fontId="30" fillId="12" borderId="43" xfId="1" applyNumberFormat="1" applyFont="1" applyFill="1" applyBorder="1" applyAlignment="1">
      <alignment vertical="center"/>
    </xf>
    <xf numFmtId="164" fontId="29" fillId="25" borderId="44" xfId="1" applyNumberFormat="1" applyFont="1" applyFill="1" applyBorder="1" applyAlignment="1">
      <alignment horizontal="right" vertical="center" wrapText="1"/>
    </xf>
    <xf numFmtId="164" fontId="30" fillId="12" borderId="42" xfId="1" applyNumberFormat="1" applyFont="1" applyFill="1" applyBorder="1" applyAlignment="1">
      <alignment vertical="center"/>
    </xf>
    <xf numFmtId="164" fontId="30" fillId="26" borderId="42" xfId="1" applyNumberFormat="1" applyFont="1" applyFill="1" applyBorder="1" applyAlignment="1">
      <alignment vertical="center"/>
    </xf>
    <xf numFmtId="164" fontId="19" fillId="12" borderId="42" xfId="1" applyNumberFormat="1" applyFont="1" applyFill="1" applyBorder="1" applyAlignment="1">
      <alignment vertical="center"/>
    </xf>
    <xf numFmtId="164" fontId="19" fillId="26" borderId="42" xfId="1" applyNumberFormat="1" applyFont="1" applyFill="1" applyBorder="1" applyAlignment="1">
      <alignment vertical="center"/>
    </xf>
    <xf numFmtId="164" fontId="0" fillId="0" borderId="1" xfId="1" applyNumberFormat="1" applyFont="1" applyFill="1" applyBorder="1"/>
    <xf numFmtId="164" fontId="2" fillId="3" borderId="1" xfId="1" applyNumberFormat="1" applyFont="1" applyFill="1" applyBorder="1"/>
    <xf numFmtId="164" fontId="3" fillId="0" borderId="1" xfId="0" applyNumberFormat="1" applyFont="1" applyFill="1" applyBorder="1" applyAlignment="1">
      <alignment vertical="center"/>
    </xf>
    <xf numFmtId="164" fontId="4" fillId="3" borderId="1" xfId="0" applyNumberFormat="1" applyFont="1" applyFill="1" applyBorder="1" applyAlignment="1">
      <alignment horizontal="left" vertical="center"/>
    </xf>
    <xf numFmtId="0" fontId="10" fillId="6" borderId="0" xfId="0" applyFont="1" applyFill="1" applyAlignment="1">
      <alignment horizontal="center"/>
    </xf>
    <xf numFmtId="164" fontId="27" fillId="0" borderId="1" xfId="0" applyNumberFormat="1" applyFont="1" applyBorder="1" applyAlignment="1">
      <alignment horizontal="center" vertical="center" wrapText="1"/>
    </xf>
    <xf numFmtId="164" fontId="27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164" fontId="28" fillId="25" borderId="41" xfId="0" applyNumberFormat="1" applyFont="1" applyFill="1" applyBorder="1" applyAlignment="1">
      <alignment horizontal="center" vertical="center" wrapText="1"/>
    </xf>
    <xf numFmtId="164" fontId="29" fillId="25" borderId="43" xfId="0" applyNumberFormat="1" applyFont="1" applyFill="1" applyBorder="1" applyAlignment="1">
      <alignment horizontal="center" vertical="center"/>
    </xf>
    <xf numFmtId="164" fontId="29" fillId="25" borderId="42" xfId="0" applyNumberFormat="1" applyFont="1" applyFill="1" applyBorder="1" applyAlignment="1">
      <alignment horizontal="center" vertical="center"/>
    </xf>
    <xf numFmtId="164" fontId="3" fillId="12" borderId="1" xfId="0" applyNumberFormat="1" applyFont="1" applyFill="1" applyBorder="1" applyAlignment="1">
      <alignment horizontal="center" vertical="center"/>
    </xf>
    <xf numFmtId="164" fontId="0" fillId="12" borderId="1" xfId="1" applyNumberFormat="1" applyFont="1" applyFill="1" applyBorder="1"/>
    <xf numFmtId="164" fontId="0" fillId="12" borderId="1" xfId="0" applyNumberFormat="1" applyFill="1" applyBorder="1"/>
    <xf numFmtId="164" fontId="3" fillId="27" borderId="1" xfId="0" applyNumberFormat="1" applyFont="1" applyFill="1" applyBorder="1" applyAlignment="1">
      <alignment horizontal="center" vertical="center"/>
    </xf>
    <xf numFmtId="164" fontId="0" fillId="27" borderId="1" xfId="1" applyNumberFormat="1" applyFont="1" applyFill="1" applyBorder="1"/>
    <xf numFmtId="164" fontId="0" fillId="27" borderId="1" xfId="0" applyNumberFormat="1" applyFill="1" applyBorder="1"/>
    <xf numFmtId="164" fontId="3" fillId="28" borderId="1" xfId="0" applyNumberFormat="1" applyFont="1" applyFill="1" applyBorder="1" applyAlignment="1">
      <alignment horizontal="center" vertical="center"/>
    </xf>
    <xf numFmtId="164" fontId="0" fillId="28" borderId="1" xfId="1" applyNumberFormat="1" applyFont="1" applyFill="1" applyBorder="1"/>
    <xf numFmtId="164" fontId="0" fillId="28" borderId="1" xfId="0" applyNumberFormat="1" applyFill="1" applyBorder="1"/>
    <xf numFmtId="0" fontId="10" fillId="6" borderId="1" xfId="0" applyFont="1" applyFill="1" applyBorder="1" applyAlignment="1">
      <alignment horizontal="center" vertical="center"/>
    </xf>
    <xf numFmtId="0" fontId="0" fillId="0" borderId="0" xfId="0" applyNumberFormat="1"/>
    <xf numFmtId="0" fontId="0" fillId="8" borderId="37" xfId="0" applyFill="1" applyBorder="1" applyAlignment="1">
      <alignment horizontal="center"/>
    </xf>
    <xf numFmtId="0" fontId="0" fillId="0" borderId="38" xfId="0" applyFill="1" applyBorder="1" applyAlignment="1">
      <alignment horizontal="center"/>
    </xf>
    <xf numFmtId="0" fontId="0" fillId="8" borderId="38" xfId="0" applyFill="1" applyBorder="1" applyAlignment="1">
      <alignment horizontal="center" vertical="center"/>
    </xf>
    <xf numFmtId="0" fontId="0" fillId="8" borderId="37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10" fillId="6" borderId="11" xfId="0" applyFont="1" applyFill="1" applyBorder="1" applyAlignment="1">
      <alignment horizontal="center" vertical="center" wrapText="1"/>
    </xf>
    <xf numFmtId="0" fontId="24" fillId="6" borderId="2" xfId="0" applyFont="1" applyFill="1" applyBorder="1" applyAlignment="1">
      <alignment horizontal="center" vertical="center" wrapText="1"/>
    </xf>
    <xf numFmtId="164" fontId="0" fillId="0" borderId="5" xfId="1" applyNumberFormat="1" applyFont="1" applyBorder="1" applyAlignment="1">
      <alignment horizontal="center" vertical="center"/>
    </xf>
    <xf numFmtId="0" fontId="24" fillId="6" borderId="16" xfId="0" applyFont="1" applyFill="1" applyBorder="1" applyAlignment="1">
      <alignment horizontal="center" vertical="center" wrapText="1"/>
    </xf>
    <xf numFmtId="164" fontId="0" fillId="0" borderId="7" xfId="1" applyNumberFormat="1" applyFont="1" applyBorder="1" applyAlignment="1">
      <alignment horizontal="center" vertical="center"/>
    </xf>
    <xf numFmtId="9" fontId="0" fillId="0" borderId="7" xfId="2" applyFont="1" applyBorder="1" applyAlignment="1">
      <alignment horizontal="center" vertical="center"/>
    </xf>
    <xf numFmtId="164" fontId="0" fillId="0" borderId="15" xfId="1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vertical="center" wrapText="1"/>
    </xf>
    <xf numFmtId="0" fontId="0" fillId="0" borderId="0" xfId="0" applyFill="1" applyBorder="1" applyAlignment="1">
      <alignment horizontal="center"/>
    </xf>
    <xf numFmtId="0" fontId="0" fillId="8" borderId="0" xfId="0" applyFill="1"/>
    <xf numFmtId="43" fontId="0" fillId="8" borderId="0" xfId="0" applyNumberFormat="1" applyFill="1" applyAlignment="1">
      <alignment horizontal="center" vertical="center"/>
    </xf>
    <xf numFmtId="43" fontId="0" fillId="8" borderId="0" xfId="1" applyFont="1" applyFill="1"/>
    <xf numFmtId="165" fontId="0" fillId="8" borderId="0" xfId="2" applyNumberFormat="1" applyFont="1" applyFill="1"/>
    <xf numFmtId="172" fontId="0" fillId="0" borderId="0" xfId="0" applyNumberFormat="1"/>
    <xf numFmtId="167" fontId="0" fillId="5" borderId="1" xfId="0" applyNumberFormat="1" applyFill="1" applyBorder="1"/>
    <xf numFmtId="165" fontId="0" fillId="0" borderId="1" xfId="2" applyNumberFormat="1" applyFont="1" applyBorder="1" applyAlignment="1">
      <alignment horizontal="center"/>
    </xf>
    <xf numFmtId="0" fontId="31" fillId="6" borderId="1" xfId="0" applyFont="1" applyFill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 vertical="center"/>
    </xf>
    <xf numFmtId="1" fontId="0" fillId="8" borderId="0" xfId="0" applyNumberFormat="1" applyFill="1"/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2" fontId="5" fillId="0" borderId="1" xfId="2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42" fontId="5" fillId="0" borderId="5" xfId="2" applyNumberFormat="1" applyFont="1" applyBorder="1" applyAlignment="1">
      <alignment horizontal="center" vertical="center"/>
    </xf>
    <xf numFmtId="42" fontId="5" fillId="0" borderId="6" xfId="2" applyNumberFormat="1" applyFont="1" applyBorder="1" applyAlignment="1">
      <alignment horizontal="center" vertical="center"/>
    </xf>
    <xf numFmtId="42" fontId="5" fillId="0" borderId="2" xfId="2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2" fontId="5" fillId="0" borderId="11" xfId="2" applyNumberFormat="1" applyFont="1" applyBorder="1" applyAlignment="1">
      <alignment horizontal="center" vertical="center"/>
    </xf>
    <xf numFmtId="42" fontId="5" fillId="0" borderId="9" xfId="2" applyNumberFormat="1" applyFont="1" applyBorder="1" applyAlignment="1">
      <alignment horizontal="center" vertical="center"/>
    </xf>
    <xf numFmtId="10" fontId="2" fillId="0" borderId="9" xfId="0" applyNumberFormat="1" applyFont="1" applyBorder="1" applyAlignment="1">
      <alignment horizontal="left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2" fontId="5" fillId="0" borderId="12" xfId="2" applyNumberFormat="1" applyFont="1" applyBorder="1" applyAlignment="1">
      <alignment horizontal="center" vertical="center"/>
    </xf>
    <xf numFmtId="42" fontId="5" fillId="0" borderId="13" xfId="2" applyNumberFormat="1" applyFont="1" applyBorder="1" applyAlignment="1">
      <alignment horizontal="center" vertical="center"/>
    </xf>
    <xf numFmtId="42" fontId="5" fillId="0" borderId="14" xfId="2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/>
    </xf>
    <xf numFmtId="0" fontId="10" fillId="6" borderId="26" xfId="0" applyFont="1" applyFill="1" applyBorder="1" applyAlignment="1">
      <alignment horizontal="center" vertical="center"/>
    </xf>
    <xf numFmtId="0" fontId="10" fillId="6" borderId="27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/>
    </xf>
    <xf numFmtId="43" fontId="10" fillId="6" borderId="1" xfId="1" applyFont="1" applyFill="1" applyBorder="1" applyAlignment="1">
      <alignment horizontal="center"/>
    </xf>
    <xf numFmtId="0" fontId="12" fillId="6" borderId="17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6" borderId="0" xfId="0" applyFont="1" applyFill="1" applyAlignment="1">
      <alignment horizontal="center"/>
    </xf>
    <xf numFmtId="0" fontId="18" fillId="6" borderId="0" xfId="0" applyFont="1" applyFill="1" applyAlignment="1">
      <alignment horizontal="center"/>
    </xf>
    <xf numFmtId="164" fontId="28" fillId="25" borderId="45" xfId="0" applyNumberFormat="1" applyFont="1" applyFill="1" applyBorder="1" applyAlignment="1">
      <alignment horizontal="center" vertical="center"/>
    </xf>
    <xf numFmtId="164" fontId="28" fillId="25" borderId="46" xfId="0" applyNumberFormat="1" applyFont="1" applyFill="1" applyBorder="1" applyAlignment="1">
      <alignment horizontal="center" vertical="center"/>
    </xf>
    <xf numFmtId="164" fontId="28" fillId="25" borderId="47" xfId="0" applyNumberFormat="1" applyFont="1" applyFill="1" applyBorder="1" applyAlignment="1">
      <alignment horizontal="center" vertical="center"/>
    </xf>
    <xf numFmtId="164" fontId="28" fillId="25" borderId="41" xfId="0" applyNumberFormat="1" applyFont="1" applyFill="1" applyBorder="1" applyAlignment="1">
      <alignment horizontal="center" vertical="center" wrapText="1"/>
    </xf>
    <xf numFmtId="164" fontId="28" fillId="25" borderId="45" xfId="0" applyNumberFormat="1" applyFont="1" applyFill="1" applyBorder="1" applyAlignment="1">
      <alignment horizontal="center" vertical="center" wrapText="1"/>
    </xf>
    <xf numFmtId="164" fontId="28" fillId="25" borderId="47" xfId="0" applyNumberFormat="1" applyFont="1" applyFill="1" applyBorder="1" applyAlignment="1">
      <alignment horizontal="center" vertical="center" wrapText="1"/>
    </xf>
    <xf numFmtId="164" fontId="28" fillId="25" borderId="48" xfId="0" applyNumberFormat="1" applyFont="1" applyFill="1" applyBorder="1" applyAlignment="1">
      <alignment horizontal="center" vertical="center" wrapText="1"/>
    </xf>
    <xf numFmtId="164" fontId="28" fillId="25" borderId="49" xfId="0" applyNumberFormat="1" applyFont="1" applyFill="1" applyBorder="1" applyAlignment="1">
      <alignment horizontal="center" vertical="center" wrapText="1"/>
    </xf>
    <xf numFmtId="164" fontId="26" fillId="0" borderId="0" xfId="0" applyNumberFormat="1" applyFont="1" applyAlignment="1">
      <alignment horizontal="center"/>
    </xf>
    <xf numFmtId="164" fontId="27" fillId="0" borderId="7" xfId="0" applyNumberFormat="1" applyFont="1" applyBorder="1" applyAlignment="1">
      <alignment horizontal="center" vertical="center" wrapText="1"/>
    </xf>
    <xf numFmtId="164" fontId="27" fillId="0" borderId="3" xfId="0" applyNumberFormat="1" applyFont="1" applyBorder="1" applyAlignment="1">
      <alignment horizontal="center" vertical="center" wrapText="1"/>
    </xf>
    <xf numFmtId="164" fontId="27" fillId="0" borderId="40" xfId="0" applyNumberFormat="1" applyFont="1" applyBorder="1" applyAlignment="1">
      <alignment horizontal="center" vertical="center" wrapText="1"/>
    </xf>
    <xf numFmtId="164" fontId="27" fillId="0" borderId="0" xfId="0" applyNumberFormat="1" applyFont="1" applyBorder="1" applyAlignment="1">
      <alignment horizontal="center" vertical="center" wrapText="1"/>
    </xf>
    <xf numFmtId="164" fontId="27" fillId="0" borderId="1" xfId="0" applyNumberFormat="1" applyFont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10" fillId="6" borderId="15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/>
    </xf>
    <xf numFmtId="0" fontId="10" fillId="6" borderId="16" xfId="0" applyFont="1" applyFill="1" applyBorder="1" applyAlignment="1">
      <alignment horizontal="center" vertical="center"/>
    </xf>
    <xf numFmtId="0" fontId="10" fillId="6" borderId="11" xfId="0" applyFont="1" applyFill="1" applyBorder="1" applyAlignment="1">
      <alignment horizontal="center" vertical="center"/>
    </xf>
    <xf numFmtId="0" fontId="10" fillId="6" borderId="9" xfId="0" applyFont="1" applyFill="1" applyBorder="1" applyAlignment="1">
      <alignment horizontal="center" vertical="center"/>
    </xf>
    <xf numFmtId="0" fontId="10" fillId="6" borderId="10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6" borderId="5" xfId="0" applyFont="1" applyFill="1" applyBorder="1" applyAlignment="1">
      <alignment horizontal="center" vertical="center"/>
    </xf>
    <xf numFmtId="0" fontId="10" fillId="6" borderId="5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 wrapText="1"/>
    </xf>
    <xf numFmtId="0" fontId="0" fillId="19" borderId="0" xfId="0" applyFill="1" applyAlignment="1">
      <alignment horizontal="center"/>
    </xf>
    <xf numFmtId="0" fontId="0" fillId="21" borderId="0" xfId="0" applyFill="1" applyAlignment="1">
      <alignment horizontal="center"/>
    </xf>
  </cellXfs>
  <cellStyles count="4">
    <cellStyle name="Moeda" xfId="3" builtinId="4"/>
    <cellStyle name="Normal" xfId="0" builtinId="0"/>
    <cellStyle name="Porcentagem" xfId="2" builtinId="5"/>
    <cellStyle name="Vírgula" xfId="1" builtinId="3"/>
  </cellStyles>
  <dxfs count="3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  <border diagonalUp="0" diagonalDown="0">
        <start style="thin">
          <color indexed="64"/>
        </start>
        <end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  <border diagonalUp="0" diagonalDown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  <border diagonalUp="0" diagonalDown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scheme val="minor"/>
      </font>
      <fill>
        <patternFill patternType="solid">
          <fgColor indexed="64"/>
          <bgColor rgb="FF006666"/>
        </patternFill>
      </fill>
      <alignment horizontal="center" vertical="center" textRotation="0" wrapText="1" indent="0" justifyLastLine="0" shrinkToFit="0" readingOrder="0"/>
      <border diagonalUp="0" diagonalDown="0">
        <start/>
        <end style="thin">
          <color indexed="64"/>
        </end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6666"/>
        </patternFill>
      </fill>
      <alignment horizontal="center" vertical="center" textRotation="0" wrapText="1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/>
        <bottom/>
      </border>
    </dxf>
    <dxf>
      <numFmt numFmtId="172" formatCode="0.0"/>
    </dxf>
    <dxf>
      <numFmt numFmtId="172" formatCode="0.0"/>
    </dxf>
    <dxf>
      <numFmt numFmtId="165" formatCode="0.0%"/>
    </dxf>
    <dxf>
      <numFmt numFmtId="165" formatCode="0.0%"/>
    </dxf>
    <dxf>
      <numFmt numFmtId="165" formatCode="0.0%"/>
    </dxf>
    <dxf>
      <numFmt numFmtId="1" formatCode="0"/>
    </dxf>
    <dxf>
      <numFmt numFmtId="165" formatCode="0.0%"/>
    </dxf>
    <dxf>
      <alignment wrapText="1" readingOrder="0"/>
    </dxf>
    <dxf>
      <alignment vertical="center" readingOrder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alignment horizontal="center" readingOrder="0"/>
    </dxf>
    <dxf>
      <font>
        <b val="0"/>
      </font>
    </dxf>
    <dxf>
      <font>
        <b val="0"/>
      </font>
    </dxf>
    <dxf>
      <alignment wrapText="1" readingOrder="0"/>
    </dxf>
    <dxf>
      <alignment horizontal="center" readingOrder="0"/>
    </dxf>
    <dxf>
      <alignment vertical="center" readingOrder="0"/>
    </dxf>
    <dxf>
      <font>
        <color rgb="FF9C0006"/>
      </font>
      <fill>
        <patternFill>
          <bgColor rgb="FFFFC7CE"/>
        </patternFill>
      </fill>
    </dxf>
    <dxf>
      <font>
        <b/>
        <color theme="1"/>
      </font>
      <fill>
        <patternFill>
          <bgColor rgb="FF5E9AA6"/>
        </patternFill>
      </fill>
      <border>
        <bottom/>
        <vertical/>
        <horizontal/>
      </border>
    </dxf>
    <dxf>
      <font>
        <sz val="10"/>
        <color theme="1"/>
      </font>
      <fill>
        <patternFill patternType="none">
          <bgColor auto="1"/>
        </patternFill>
      </fill>
      <border>
        <start style="thin">
          <color rgb="FF006871"/>
        </start>
        <end style="thin">
          <color rgb="FF006871"/>
        </end>
        <top style="thin">
          <color rgb="FF006871"/>
        </top>
        <bottom style="thin">
          <color rgb="FF006871"/>
        </bottom>
        <vertical/>
        <horizontal/>
      </border>
    </dxf>
  </dxfs>
  <tableStyles count="1" defaultTableStyle="TableStyleMedium2" defaultPivotStyle="PivotStyleLight16">
    <tableStyle name="CAU" pivot="0" table="0" count="10" xr9:uid="{00000000-0011-0000-FFFF-FFFF00000000}">
      <tableStyleElement type="wholeTable" dxfId="32"/>
      <tableStyleElement type="headerRow" dxfId="31"/>
    </tableStyle>
  </tableStyles>
  <colors>
    <mruColors>
      <color rgb="FF4F81BD"/>
      <color rgb="FF006666"/>
      <color rgb="FF33CCFF"/>
      <color rgb="FFD9D9D9"/>
      <color rgb="FF2A5664"/>
      <color rgb="FF5E9AA6"/>
      <color rgb="FFFFFADE"/>
      <color rgb="FF008F9A"/>
      <color rgb="FFFFF3AB"/>
      <color rgb="FF006871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start style="thin">
              <color rgb="FF999999"/>
            </start>
            <end style="thin">
              <color rgb="FF999999"/>
            </end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start style="thin">
              <color rgb="FF999999"/>
            </start>
            <end style="thin">
              <color rgb="FF999999"/>
            </end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start style="thin">
              <color rgb="FF999999"/>
            </start>
            <end style="thin">
              <color rgb="FF999999"/>
            </end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start style="thin">
              <color rgb="FF999999"/>
            </start>
            <end style="thin">
              <color rgb="FF999999"/>
            </end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3AB"/>
              <bgColor rgb="FFFFF3AB"/>
            </patternFill>
          </fill>
          <border>
            <start style="thin">
              <color rgb="FFCCCCCC"/>
            </start>
            <end style="thin">
              <color rgb="FFCCCCCC"/>
            </end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color theme="0"/>
          </font>
          <fill>
            <patternFill patternType="solid">
              <fgColor rgb="FF008F9A"/>
              <bgColor rgb="FF008F9A"/>
            </patternFill>
          </fill>
          <border>
            <start style="thin">
              <color rgb="FF999999"/>
            </start>
            <end style="thin">
              <color rgb="FF999999"/>
            </end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start style="thin">
              <color rgb="FFE0E0E0"/>
            </start>
            <end style="thin">
              <color rgb="FFE0E0E0"/>
            </end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start style="thin">
              <color rgb="FFCCCCCC"/>
            </start>
            <end style="thin">
              <color rgb="FFCCCCCC"/>
            </end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CAU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purl.oclc.org/ooxml/officeDocument/relationships/worksheet" Target="worksheets/sheet13.xml"/><Relationship Id="rId18" Type="http://purl.oclc.org/ooxml/officeDocument/relationships/worksheet" Target="worksheets/sheet18.xml"/><Relationship Id="rId26" Type="http://purl.oclc.org/ooxml/officeDocument/relationships/worksheet" Target="worksheets/sheet26.xml"/><Relationship Id="rId39" Type="http://purl.oclc.org/ooxml/officeDocument/relationships/worksheet" Target="worksheets/sheet39.xml"/><Relationship Id="rId21" Type="http://purl.oclc.org/ooxml/officeDocument/relationships/worksheet" Target="worksheets/sheet21.xml"/><Relationship Id="rId34" Type="http://purl.oclc.org/ooxml/officeDocument/relationships/worksheet" Target="worksheets/sheet34.xml"/><Relationship Id="rId42" Type="http://schemas.microsoft.com/office/2007/relationships/slicerCache" Target="slicerCaches/slicerCache1.xml"/><Relationship Id="rId47" Type="http://purl.oclc.org/ooxml/officeDocument/relationships/calcChain" Target="calcChain.xml"/><Relationship Id="rId7" Type="http://purl.oclc.org/ooxml/officeDocument/relationships/worksheet" Target="worksheets/sheet7.xml"/><Relationship Id="rId2" Type="http://purl.oclc.org/ooxml/officeDocument/relationships/worksheet" Target="worksheets/sheet2.xml"/><Relationship Id="rId16" Type="http://purl.oclc.org/ooxml/officeDocument/relationships/worksheet" Target="worksheets/sheet16.xml"/><Relationship Id="rId29" Type="http://purl.oclc.org/ooxml/officeDocument/relationships/worksheet" Target="worksheets/sheet29.xml"/><Relationship Id="rId1" Type="http://purl.oclc.org/ooxml/officeDocument/relationships/worksheet" Target="worksheets/sheet1.xml"/><Relationship Id="rId6" Type="http://purl.oclc.org/ooxml/officeDocument/relationships/worksheet" Target="worksheets/sheet6.xml"/><Relationship Id="rId11" Type="http://purl.oclc.org/ooxml/officeDocument/relationships/worksheet" Target="worksheets/sheet11.xml"/><Relationship Id="rId24" Type="http://purl.oclc.org/ooxml/officeDocument/relationships/worksheet" Target="worksheets/sheet24.xml"/><Relationship Id="rId32" Type="http://purl.oclc.org/ooxml/officeDocument/relationships/worksheet" Target="worksheets/sheet32.xml"/><Relationship Id="rId37" Type="http://purl.oclc.org/ooxml/officeDocument/relationships/worksheet" Target="worksheets/sheet37.xml"/><Relationship Id="rId40" Type="http://purl.oclc.org/ooxml/officeDocument/relationships/pivotCacheDefinition" Target="pivotCache/pivotCacheDefinition1.xml"/><Relationship Id="rId45" Type="http://purl.oclc.org/ooxml/officeDocument/relationships/styles" Target="styles.xml"/><Relationship Id="rId5" Type="http://purl.oclc.org/ooxml/officeDocument/relationships/worksheet" Target="worksheets/sheet5.xml"/><Relationship Id="rId15" Type="http://purl.oclc.org/ooxml/officeDocument/relationships/worksheet" Target="worksheets/sheet15.xml"/><Relationship Id="rId23" Type="http://purl.oclc.org/ooxml/officeDocument/relationships/worksheet" Target="worksheets/sheet23.xml"/><Relationship Id="rId28" Type="http://purl.oclc.org/ooxml/officeDocument/relationships/worksheet" Target="worksheets/sheet28.xml"/><Relationship Id="rId36" Type="http://purl.oclc.org/ooxml/officeDocument/relationships/worksheet" Target="worksheets/sheet36.xml"/><Relationship Id="rId10" Type="http://purl.oclc.org/ooxml/officeDocument/relationships/worksheet" Target="worksheets/sheet10.xml"/><Relationship Id="rId19" Type="http://purl.oclc.org/ooxml/officeDocument/relationships/worksheet" Target="worksheets/sheet19.xml"/><Relationship Id="rId31" Type="http://purl.oclc.org/ooxml/officeDocument/relationships/worksheet" Target="worksheets/sheet31.xml"/><Relationship Id="rId44" Type="http://purl.oclc.org/ooxml/officeDocument/relationships/theme" Target="theme/theme1.xml"/><Relationship Id="rId4" Type="http://purl.oclc.org/ooxml/officeDocument/relationships/worksheet" Target="worksheets/sheet4.xml"/><Relationship Id="rId9" Type="http://purl.oclc.org/ooxml/officeDocument/relationships/worksheet" Target="worksheets/sheet9.xml"/><Relationship Id="rId14" Type="http://purl.oclc.org/ooxml/officeDocument/relationships/worksheet" Target="worksheets/sheet14.xml"/><Relationship Id="rId22" Type="http://purl.oclc.org/ooxml/officeDocument/relationships/worksheet" Target="worksheets/sheet22.xml"/><Relationship Id="rId27" Type="http://purl.oclc.org/ooxml/officeDocument/relationships/worksheet" Target="worksheets/sheet27.xml"/><Relationship Id="rId30" Type="http://purl.oclc.org/ooxml/officeDocument/relationships/worksheet" Target="worksheets/sheet30.xml"/><Relationship Id="rId35" Type="http://purl.oclc.org/ooxml/officeDocument/relationships/worksheet" Target="worksheets/sheet35.xml"/><Relationship Id="rId43" Type="http://schemas.microsoft.com/office/2007/relationships/slicerCache" Target="slicerCaches/slicerCache2.xml"/><Relationship Id="rId8" Type="http://purl.oclc.org/ooxml/officeDocument/relationships/worksheet" Target="worksheets/sheet8.xml"/><Relationship Id="rId3" Type="http://purl.oclc.org/ooxml/officeDocument/relationships/worksheet" Target="worksheets/sheet3.xml"/><Relationship Id="rId12" Type="http://purl.oclc.org/ooxml/officeDocument/relationships/worksheet" Target="worksheets/sheet12.xml"/><Relationship Id="rId17" Type="http://purl.oclc.org/ooxml/officeDocument/relationships/worksheet" Target="worksheets/sheet17.xml"/><Relationship Id="rId25" Type="http://purl.oclc.org/ooxml/officeDocument/relationships/worksheet" Target="worksheets/sheet25.xml"/><Relationship Id="rId33" Type="http://purl.oclc.org/ooxml/officeDocument/relationships/worksheet" Target="worksheets/sheet33.xml"/><Relationship Id="rId38" Type="http://purl.oclc.org/ooxml/officeDocument/relationships/worksheet" Target="worksheets/sheet38.xml"/><Relationship Id="rId46" Type="http://purl.oclc.org/ooxml/officeDocument/relationships/sharedStrings" Target="sharedStrings.xml"/><Relationship Id="rId20" Type="http://purl.oclc.org/ooxml/officeDocument/relationships/worksheet" Target="worksheets/sheet20.xml"/><Relationship Id="rId41" Type="http://purl.oclc.org/ooxml/officeDocument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purl.oclc.org/ooxml/officeDocument/relationships/chartUserShapes" Target="../drawings/drawing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purl.oclc.org/ooxml/officeDocument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purl.oclc.org/ooxml/officeDocument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purl.oclc.org/ooxml/officeDocument/relationships/chartUserShapes" Target="../drawings/drawing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purl.oclc.org/ooxml/officeDocument/relationships/chartUserShapes" Target="../drawings/drawing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.xml.rels><?xml version="1.0" encoding="UTF-8" standalone="yes"?>
<Relationships xmlns="http://schemas.openxmlformats.org/package/2006/relationships"><Relationship Id="rId3" Type="http://purl.oclc.org/ooxml/officeDocument/relationships/chartUserShapes" Target="../drawings/drawing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purl.oclc.org/ooxml/officeDocument/relationships/chartUserShapes" Target="../drawings/drawing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Janeiro PF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0-B791-477C-A573-921E9EBC49FC}"/>
            </c:ext>
          </c:extLst>
        </c:ser>
        <c:ser>
          <c:idx val="3"/>
          <c:order val="3"/>
          <c:tx>
            <c:v>Janeiro PJ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1-B791-477C-A573-921E9EBC49FC}"/>
            </c:ext>
          </c:extLst>
        </c:ser>
        <c:ser>
          <c:idx val="4"/>
          <c:order val="4"/>
          <c:tx>
            <c:v>Fevereiro PF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2-B791-477C-A573-921E9EBC49FC}"/>
            </c:ext>
          </c:extLst>
        </c:ser>
        <c:ser>
          <c:idx val="5"/>
          <c:order val="5"/>
          <c:tx>
            <c:v>Fevereiro PJ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3-B791-477C-A573-921E9EBC49FC}"/>
            </c:ext>
          </c:extLst>
        </c:ser>
        <c:ser>
          <c:idx val="6"/>
          <c:order val="6"/>
          <c:tx>
            <c:v>Março PF</c:v>
          </c:tx>
          <c:spPr>
            <a:solidFill>
              <a:schemeClr val="accent1">
                <a:lumMod val="60%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4-B791-477C-A573-921E9EBC49FC}"/>
            </c:ext>
          </c:extLst>
        </c:ser>
        <c:ser>
          <c:idx val="7"/>
          <c:order val="7"/>
          <c:tx>
            <c:v>Março PJ</c:v>
          </c:tx>
          <c:spPr>
            <a:solidFill>
              <a:schemeClr val="accent2">
                <a:lumMod val="60%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5-B791-477C-A573-921E9EBC49FC}"/>
            </c:ext>
          </c:extLst>
        </c:ser>
        <c:ser>
          <c:idx val="10"/>
          <c:order val="10"/>
          <c:tx>
            <c:strRef>
              <c:f>'EXERCÍCIOS ANTERIORES'!$AD$1:$AD$2</c:f>
              <c:strCache>
                <c:ptCount val="2"/>
                <c:pt idx="0">
                  <c:v>EXECUÇÃO %</c:v>
                </c:pt>
                <c:pt idx="1">
                  <c:v>PF</c:v>
                </c:pt>
              </c:strCache>
            </c:strRef>
          </c:tx>
          <c:spPr>
            <a:solidFill>
              <a:schemeClr val="accent5">
                <a:lumMod val="60%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D429929-92BB-4F6B-80EC-A64C93978E63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B791-477C-A573-921E9EBC49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2250B98-BED1-49DC-AA97-68061FFE5AB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791-477C-A573-921E9EBC49F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0FFD850-6CB2-43FB-9925-EB3271AC296C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791-477C-A573-921E9EBC49F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29533CA-99CB-4930-8646-F17F6D40C5DF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B791-477C-A573-921E9EBC49F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E902F80-0CB1-40AA-A1E7-F5986EA38759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791-477C-A573-921E9EBC49F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49025F7-6E34-4541-896D-36BC91F465A7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791-477C-A573-921E9EBC49F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171F375-1057-4889-9106-55C71C85D9D5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791-477C-A573-921E9EBC49F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81DD08D-0295-4197-9A0F-4F602464B3F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791-477C-A573-921E9EBC49F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A429F0C-B989-48B7-9E50-2F74364002A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791-477C-A573-921E9EBC49F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733B7DE-9767-425D-BCE7-6D40D166C9F1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791-477C-A573-921E9EBC49F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D8B3937-B0DB-4BF4-974B-1B5ACD730C0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B791-477C-A573-921E9EBC49F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1A4CF15-CC0C-4704-8BE1-F3BDDF0E3650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B791-477C-A573-921E9EBC49F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F6F63AF-D784-4DBF-AEC1-251851976CC0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B791-477C-A573-921E9EBC49F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0BADDDD-25DD-41F4-8C85-316A8B754E3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B791-477C-A573-921E9EBC49F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441835D-BA94-4C87-AE79-F1795B7FD6D3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B791-477C-A573-921E9EBC49F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E32816BF-28FB-4D7A-BEAB-02F5E34C6CD7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B791-477C-A573-921E9EBC49F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32A08A0-B71E-48B8-9681-3DFFD498DFAF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B791-477C-A573-921E9EBC49F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20A7333-BF4A-4E7E-9D0B-BD998841D751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B791-477C-A573-921E9EBC49F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43B98E4-1EE9-4409-991F-C0CBDACE3DA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B791-477C-A573-921E9EBC49F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CE513BE7-0393-4344-B2F7-52E3662475F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B791-477C-A573-921E9EBC49F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B2776045-6E68-45F5-97BE-8784429F2625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B791-477C-A573-921E9EBC49F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684DDAF-4CBF-49CD-9E6C-9B820EBD78AC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B791-477C-A573-921E9EBC49F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14B86BDB-7032-40E5-9138-845F43ED56B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B791-477C-A573-921E9EBC49F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BB483AB2-9D19-4C34-81A5-18AF19457C0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B791-477C-A573-921E9EBC49F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339742F8-70A3-4D07-95AA-4D45DF3F46A2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B791-477C-A573-921E9EBC49F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5D03CDD6-A37B-4B2C-A74F-51D60CEC3271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B791-477C-A573-921E9EBC49F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FDBAF6BA-19E6-4057-9D07-9EE8304C8BC1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B791-477C-A573-921E9EBC49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'EXERCÍCIOS ANTERIORES'!$A$3:$A$29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AP</c:v>
                </c:pt>
                <c:pt idx="3">
                  <c:v>AM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MT</c:v>
                </c:pt>
                <c:pt idx="11">
                  <c:v>MS</c:v>
                </c:pt>
                <c:pt idx="12">
                  <c:v>MG</c:v>
                </c:pt>
                <c:pt idx="13">
                  <c:v>PA</c:v>
                </c:pt>
                <c:pt idx="14">
                  <c:v>PB</c:v>
                </c:pt>
                <c:pt idx="15">
                  <c:v>PR</c:v>
                </c:pt>
                <c:pt idx="16">
                  <c:v>PE</c:v>
                </c:pt>
                <c:pt idx="17">
                  <c:v>PI</c:v>
                </c:pt>
                <c:pt idx="18">
                  <c:v>RJ</c:v>
                </c:pt>
                <c:pt idx="19">
                  <c:v>RN</c:v>
                </c:pt>
                <c:pt idx="20">
                  <c:v>RS</c:v>
                </c:pt>
                <c:pt idx="21">
                  <c:v>RO</c:v>
                </c:pt>
                <c:pt idx="22">
                  <c:v>RR</c:v>
                </c:pt>
                <c:pt idx="23">
                  <c:v>SC</c:v>
                </c:pt>
                <c:pt idx="24">
                  <c:v>SP</c:v>
                </c:pt>
                <c:pt idx="25">
                  <c:v>SE</c:v>
                </c:pt>
                <c:pt idx="26">
                  <c:v>TO</c:v>
                </c:pt>
              </c:strCache>
              <c:extLst/>
            </c:strRef>
          </c:cat>
          <c:val>
            <c:numRef>
              <c:f>'EXERCÍCIOS ANTERIORES'!$AD$3:$AD$29</c:f>
              <c:numCache>
                <c:formatCode>0.0%</c:formatCode>
                <c:ptCount val="27"/>
                <c:pt idx="0">
                  <c:v>0.95553600000000016</c:v>
                </c:pt>
                <c:pt idx="1">
                  <c:v>1.2710701333333336</c:v>
                </c:pt>
                <c:pt idx="2">
                  <c:v>2.4391776774723017</c:v>
                </c:pt>
                <c:pt idx="3">
                  <c:v>2.4277246707323492</c:v>
                </c:pt>
                <c:pt idx="4">
                  <c:v>0.59713453333333344</c:v>
                </c:pt>
                <c:pt idx="5">
                  <c:v>0.94904253092878688</c:v>
                </c:pt>
                <c:pt idx="6">
                  <c:v>0.62200536000000006</c:v>
                </c:pt>
                <c:pt idx="7">
                  <c:v>1.2656744705882352</c:v>
                </c:pt>
                <c:pt idx="8">
                  <c:v>0.70584508571428572</c:v>
                </c:pt>
                <c:pt idx="9">
                  <c:v>0.86600559999999993</c:v>
                </c:pt>
                <c:pt idx="10">
                  <c:v>0</c:v>
                </c:pt>
                <c:pt idx="11">
                  <c:v>0.86948102857142862</c:v>
                </c:pt>
                <c:pt idx="12">
                  <c:v>0.61588621333333349</c:v>
                </c:pt>
                <c:pt idx="13">
                  <c:v>0</c:v>
                </c:pt>
                <c:pt idx="14">
                  <c:v>0.6769949978562243</c:v>
                </c:pt>
                <c:pt idx="15">
                  <c:v>0</c:v>
                </c:pt>
                <c:pt idx="16">
                  <c:v>0.6059647352415759</c:v>
                </c:pt>
                <c:pt idx="17">
                  <c:v>0.31844923076923076</c:v>
                </c:pt>
                <c:pt idx="18">
                  <c:v>0.32286357800000004</c:v>
                </c:pt>
                <c:pt idx="19">
                  <c:v>0</c:v>
                </c:pt>
                <c:pt idx="20">
                  <c:v>0.61780345000000003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0.39560801274064733</c:v>
                </c:pt>
                <c:pt idx="25">
                  <c:v>0.79016072370900881</c:v>
                </c:pt>
                <c:pt idx="26">
                  <c:v>1.1948408796895214</c:v>
                </c:pt>
              </c:numCache>
              <c:extLst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datalabelsRange>
                <c15:f>'EXERCÍCIOS ANTERIORES'!$AB$3:$AB$29</c15:f>
                <c15:dlblRangeCache>
                  <c:ptCount val="27"/>
                  <c:pt idx="0">
                    <c:v> 6.689 </c:v>
                  </c:pt>
                  <c:pt idx="1">
                    <c:v> 38.132 </c:v>
                  </c:pt>
                  <c:pt idx="2">
                    <c:v> 23.777 </c:v>
                  </c:pt>
                  <c:pt idx="3">
                    <c:v> 74.752 </c:v>
                  </c:pt>
                  <c:pt idx="4">
                    <c:v> 107.484 </c:v>
                  </c:pt>
                  <c:pt idx="5">
                    <c:v> 61.676 </c:v>
                  </c:pt>
                  <c:pt idx="6">
                    <c:v> 124.401 </c:v>
                  </c:pt>
                  <c:pt idx="7">
                    <c:v> 86.066 </c:v>
                  </c:pt>
                  <c:pt idx="8">
                    <c:v> 98.818 </c:v>
                  </c:pt>
                  <c:pt idx="9">
                    <c:v> 43.300 </c:v>
                  </c:pt>
                  <c:pt idx="10">
                    <c:v> 60.101 </c:v>
                  </c:pt>
                  <c:pt idx="11">
                    <c:v> 60.864 </c:v>
                  </c:pt>
                  <c:pt idx="12">
                    <c:v> 369.532 </c:v>
                  </c:pt>
                  <c:pt idx="13">
                    <c:v> 70.448 </c:v>
                  </c:pt>
                  <c:pt idx="14">
                    <c:v> 56.843 </c:v>
                  </c:pt>
                  <c:pt idx="15">
                    <c:v> 215.979 </c:v>
                  </c:pt>
                  <c:pt idx="16">
                    <c:v> 133.308 </c:v>
                  </c:pt>
                  <c:pt idx="17">
                    <c:v> 16.559 </c:v>
                  </c:pt>
                  <c:pt idx="18">
                    <c:v> 322.864 </c:v>
                  </c:pt>
                  <c:pt idx="19">
                    <c:v> 61.394 </c:v>
                  </c:pt>
                  <c:pt idx="20">
                    <c:v> 370.682 </c:v>
                  </c:pt>
                  <c:pt idx="21">
                    <c:v> 16.284 </c:v>
                  </c:pt>
                  <c:pt idx="22">
                    <c:v> 2.884 </c:v>
                  </c:pt>
                  <c:pt idx="23">
                    <c:v> 163.491 </c:v>
                  </c:pt>
                  <c:pt idx="24">
                    <c:v> 1.153.901 </c:v>
                  </c:pt>
                  <c:pt idx="25">
                    <c:v> 41.926 </c:v>
                  </c:pt>
                  <c:pt idx="26">
                    <c:v> 20.319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B791-477C-A573-921E9EBC4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749776"/>
        <c:axId val="2625131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'EXERCÍCIOS ANTERIORES'!$B$1:$B$2</c15:sqref>
                        </c15:formulaRef>
                      </c:ext>
                    </c:extLst>
                    <c:strCache>
                      <c:ptCount val="2"/>
                      <c:pt idx="0">
                        <c:v>PREVISTO</c:v>
                      </c:pt>
                      <c:pt idx="1">
                        <c:v>PF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'EXERCÍCIOS ANTERIORES'!$B$3:$B$29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7000</c:v>
                      </c:pt>
                      <c:pt idx="1">
                        <c:v>30000</c:v>
                      </c:pt>
                      <c:pt idx="2">
                        <c:v>9748</c:v>
                      </c:pt>
                      <c:pt idx="3">
                        <c:v>30791.06</c:v>
                      </c:pt>
                      <c:pt idx="4">
                        <c:v>180000</c:v>
                      </c:pt>
                      <c:pt idx="5">
                        <c:v>64988</c:v>
                      </c:pt>
                      <c:pt idx="6">
                        <c:v>200000</c:v>
                      </c:pt>
                      <c:pt idx="7">
                        <c:v>68000</c:v>
                      </c:pt>
                      <c:pt idx="8">
                        <c:v>140000</c:v>
                      </c:pt>
                      <c:pt idx="9">
                        <c:v>50000</c:v>
                      </c:pt>
                      <c:pt idx="10">
                        <c:v>0</c:v>
                      </c:pt>
                      <c:pt idx="11">
                        <c:v>70000</c:v>
                      </c:pt>
                      <c:pt idx="12">
                        <c:v>600000</c:v>
                      </c:pt>
                      <c:pt idx="13">
                        <c:v>0</c:v>
                      </c:pt>
                      <c:pt idx="14">
                        <c:v>83964</c:v>
                      </c:pt>
                      <c:pt idx="15">
                        <c:v>0</c:v>
                      </c:pt>
                      <c:pt idx="16">
                        <c:v>219993</c:v>
                      </c:pt>
                      <c:pt idx="17">
                        <c:v>52000</c:v>
                      </c:pt>
                      <c:pt idx="18">
                        <c:v>1000000</c:v>
                      </c:pt>
                      <c:pt idx="19">
                        <c:v>0</c:v>
                      </c:pt>
                      <c:pt idx="20">
                        <c:v>600000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2916777.6153120385</c:v>
                      </c:pt>
                      <c:pt idx="25">
                        <c:v>53060</c:v>
                      </c:pt>
                      <c:pt idx="26">
                        <c:v>17006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B791-477C-A573-921E9EBC49F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ANTERIORES'!$C$1:$C$2</c15:sqref>
                        </c15:formulaRef>
                      </c:ext>
                    </c:extLst>
                    <c:strCache>
                      <c:ptCount val="2"/>
                      <c:pt idx="0">
                        <c:v>PREVISTO</c:v>
                      </c:pt>
                      <c:pt idx="1">
                        <c:v>PJ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ANTERIORES'!$C$3:$C$29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1000</c:v>
                      </c:pt>
                      <c:pt idx="1">
                        <c:v>2000</c:v>
                      </c:pt>
                      <c:pt idx="2">
                        <c:v>3886</c:v>
                      </c:pt>
                      <c:pt idx="3">
                        <c:v>9631.6200000000008</c:v>
                      </c:pt>
                      <c:pt idx="4">
                        <c:v>30000</c:v>
                      </c:pt>
                      <c:pt idx="5">
                        <c:v>7890</c:v>
                      </c:pt>
                      <c:pt idx="6">
                        <c:v>20000</c:v>
                      </c:pt>
                      <c:pt idx="7">
                        <c:v>34694.67</c:v>
                      </c:pt>
                      <c:pt idx="8">
                        <c:v>25000</c:v>
                      </c:pt>
                      <c:pt idx="9">
                        <c:v>4200</c:v>
                      </c:pt>
                      <c:pt idx="10">
                        <c:v>0</c:v>
                      </c:pt>
                      <c:pt idx="11">
                        <c:v>10000</c:v>
                      </c:pt>
                      <c:pt idx="12">
                        <c:v>80611</c:v>
                      </c:pt>
                      <c:pt idx="13">
                        <c:v>0</c:v>
                      </c:pt>
                      <c:pt idx="14">
                        <c:v>21423</c:v>
                      </c:pt>
                      <c:pt idx="15">
                        <c:v>0</c:v>
                      </c:pt>
                      <c:pt idx="16">
                        <c:v>7955</c:v>
                      </c:pt>
                      <c:pt idx="17">
                        <c:v>20500</c:v>
                      </c:pt>
                      <c:pt idx="18">
                        <c:v>200000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290779.50842432189</c:v>
                      </c:pt>
                      <c:pt idx="25">
                        <c:v>7758</c:v>
                      </c:pt>
                      <c:pt idx="26">
                        <c:v>5391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B791-477C-A573-921E9EBC49FC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ANTERIORES'!$AB$1:$AB$2</c15:sqref>
                        </c15:formulaRef>
                      </c:ext>
                    </c:extLst>
                    <c:strCache>
                      <c:ptCount val="2"/>
                      <c:pt idx="0">
                        <c:v>Jan. a Mar./2019</c:v>
                      </c:pt>
                      <c:pt idx="1">
                        <c:v>PF</c:v>
                      </c:pt>
                    </c:strCache>
                  </c:strRef>
                </c:tx>
                <c:spPr>
                  <a:solidFill>
                    <a:schemeClr val="accent3">
                      <a:lumMod val="60%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dLbl>
                    <c:idx val="0"/>
                    <c:tx>
                      <c:rich>
                        <a:bodyPr/>
                        <a:lstStyle/>
                        <a:p>
                          <a:fld id="{5BF0F980-4023-471C-92A8-597FB9EE8B00}" type="CELLRANGE">
                            <a:rPr lang="en-US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4-B791-477C-A573-921E9EBC49FC}"/>
                      </c:ext>
                    </c:extLst>
                  </c:dLbl>
                  <c:dLbl>
                    <c:idx val="1"/>
                    <c:tx>
                      <c:rich>
                        <a:bodyPr/>
                        <a:lstStyle/>
                        <a:p>
                          <a:fld id="{AAA97030-CD05-4E28-955D-E826A31E0344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5-B791-477C-A573-921E9EBC49FC}"/>
                      </c:ext>
                    </c:extLst>
                  </c:dLbl>
                  <c:dLbl>
                    <c:idx val="2"/>
                    <c:tx>
                      <c:rich>
                        <a:bodyPr/>
                        <a:lstStyle/>
                        <a:p>
                          <a:fld id="{FCE44901-35F9-41B3-BB02-1E17107E9DC2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6-B791-477C-A573-921E9EBC49FC}"/>
                      </c:ext>
                    </c:extLst>
                  </c:dLbl>
                  <c:dLbl>
                    <c:idx val="3"/>
                    <c:tx>
                      <c:rich>
                        <a:bodyPr/>
                        <a:lstStyle/>
                        <a:p>
                          <a:fld id="{81030257-0F57-4013-B2C8-FB123FDF7BAB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7-B791-477C-A573-921E9EBC49FC}"/>
                      </c:ext>
                    </c:extLst>
                  </c:dLbl>
                  <c:dLbl>
                    <c:idx val="4"/>
                    <c:tx>
                      <c:rich>
                        <a:bodyPr/>
                        <a:lstStyle/>
                        <a:p>
                          <a:fld id="{ADBAB45C-98D9-4CF8-B818-ABC954C3C862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8-B791-477C-A573-921E9EBC49FC}"/>
                      </c:ext>
                    </c:extLst>
                  </c:dLbl>
                  <c:dLbl>
                    <c:idx val="5"/>
                    <c:tx>
                      <c:rich>
                        <a:bodyPr/>
                        <a:lstStyle/>
                        <a:p>
                          <a:fld id="{9AFF65B0-23D1-4576-8B7D-F9780844D033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9-B791-477C-A573-921E9EBC49FC}"/>
                      </c:ext>
                    </c:extLst>
                  </c:dLbl>
                  <c:dLbl>
                    <c:idx val="6"/>
                    <c:tx>
                      <c:rich>
                        <a:bodyPr/>
                        <a:lstStyle/>
                        <a:p>
                          <a:fld id="{39A2DD7A-C297-4888-A1BF-87FE080ECAAE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A-B791-477C-A573-921E9EBC49FC}"/>
                      </c:ext>
                    </c:extLst>
                  </c:dLbl>
                  <c:dLbl>
                    <c:idx val="7"/>
                    <c:tx>
                      <c:rich>
                        <a:bodyPr/>
                        <a:lstStyle/>
                        <a:p>
                          <a:fld id="{02F1BB90-82E4-4B52-A40E-1E2A3E52B3AB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B-B791-477C-A573-921E9EBC49FC}"/>
                      </c:ext>
                    </c:extLst>
                  </c:dLbl>
                  <c:dLbl>
                    <c:idx val="8"/>
                    <c:tx>
                      <c:rich>
                        <a:bodyPr/>
                        <a:lstStyle/>
                        <a:p>
                          <a:fld id="{FC89CC0E-4EFD-4344-8986-DD1EA899F766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C-B791-477C-A573-921E9EBC49FC}"/>
                      </c:ext>
                    </c:extLst>
                  </c:dLbl>
                  <c:dLbl>
                    <c:idx val="9"/>
                    <c:tx>
                      <c:rich>
                        <a:bodyPr/>
                        <a:lstStyle/>
                        <a:p>
                          <a:fld id="{E2E98B14-ED75-4CAA-A522-0922939CE654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D-B791-477C-A573-921E9EBC49FC}"/>
                      </c:ext>
                    </c:extLst>
                  </c:dLbl>
                  <c:dLbl>
                    <c:idx val="10"/>
                    <c:tx>
                      <c:rich>
                        <a:bodyPr/>
                        <a:lstStyle/>
                        <a:p>
                          <a:fld id="{C9EC6F47-9B3B-43CF-A706-6314D39D874C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E-B791-477C-A573-921E9EBC49FC}"/>
                      </c:ext>
                    </c:extLst>
                  </c:dLbl>
                  <c:dLbl>
                    <c:idx val="11"/>
                    <c:tx>
                      <c:rich>
                        <a:bodyPr/>
                        <a:lstStyle/>
                        <a:p>
                          <a:fld id="{CB1A4973-176F-40F8-8685-64BBCD160640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F-B791-477C-A573-921E9EBC49FC}"/>
                      </c:ext>
                    </c:extLst>
                  </c:dLbl>
                  <c:dLbl>
                    <c:idx val="12"/>
                    <c:tx>
                      <c:rich>
                        <a:bodyPr/>
                        <a:lstStyle/>
                        <a:p>
                          <a:fld id="{1D1C684F-3250-4D99-B9FB-9F97DC887025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0-B791-477C-A573-921E9EBC49FC}"/>
                      </c:ext>
                    </c:extLst>
                  </c:dLbl>
                  <c:dLbl>
                    <c:idx val="13"/>
                    <c:tx>
                      <c:rich>
                        <a:bodyPr/>
                        <a:lstStyle/>
                        <a:p>
                          <a:fld id="{8AD9334B-96D5-4BB2-AA56-17B00923DD25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1-B791-477C-A573-921E9EBC49FC}"/>
                      </c:ext>
                    </c:extLst>
                  </c:dLbl>
                  <c:dLbl>
                    <c:idx val="14"/>
                    <c:tx>
                      <c:rich>
                        <a:bodyPr/>
                        <a:lstStyle/>
                        <a:p>
                          <a:fld id="{797B9781-C1F2-4D66-BF05-40E61C2710E6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2-B791-477C-A573-921E9EBC49FC}"/>
                      </c:ext>
                    </c:extLst>
                  </c:dLbl>
                  <c:dLbl>
                    <c:idx val="15"/>
                    <c:tx>
                      <c:rich>
                        <a:bodyPr/>
                        <a:lstStyle/>
                        <a:p>
                          <a:fld id="{7B82477E-E0B7-4142-AA78-C0B973F495A5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3-B791-477C-A573-921E9EBC49FC}"/>
                      </c:ext>
                    </c:extLst>
                  </c:dLbl>
                  <c:dLbl>
                    <c:idx val="16"/>
                    <c:tx>
                      <c:rich>
                        <a:bodyPr/>
                        <a:lstStyle/>
                        <a:p>
                          <a:fld id="{54338362-7EFA-45E5-BB0C-AC12A108C137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4-B791-477C-A573-921E9EBC49FC}"/>
                      </c:ext>
                    </c:extLst>
                  </c:dLbl>
                  <c:dLbl>
                    <c:idx val="17"/>
                    <c:tx>
                      <c:rich>
                        <a:bodyPr/>
                        <a:lstStyle/>
                        <a:p>
                          <a:fld id="{28C1114D-EBE9-4945-8DAB-F3B89D36CF04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5-B791-477C-A573-921E9EBC49FC}"/>
                      </c:ext>
                    </c:extLst>
                  </c:dLbl>
                  <c:dLbl>
                    <c:idx val="18"/>
                    <c:tx>
                      <c:rich>
                        <a:bodyPr/>
                        <a:lstStyle/>
                        <a:p>
                          <a:fld id="{B1BCA665-2A22-4B26-8995-4A9CD27A1AB3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6-B791-477C-A573-921E9EBC49FC}"/>
                      </c:ext>
                    </c:extLst>
                  </c:dLbl>
                  <c:dLbl>
                    <c:idx val="19"/>
                    <c:tx>
                      <c:rich>
                        <a:bodyPr/>
                        <a:lstStyle/>
                        <a:p>
                          <a:fld id="{B9A31A6B-73B9-4E4A-A60D-6B1FCD174523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7-B791-477C-A573-921E9EBC49FC}"/>
                      </c:ext>
                    </c:extLst>
                  </c:dLbl>
                  <c:dLbl>
                    <c:idx val="20"/>
                    <c:tx>
                      <c:rich>
                        <a:bodyPr/>
                        <a:lstStyle/>
                        <a:p>
                          <a:fld id="{70650083-EA44-4C1E-968B-369535AB590C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8-B791-477C-A573-921E9EBC49FC}"/>
                      </c:ext>
                    </c:extLst>
                  </c:dLbl>
                  <c:dLbl>
                    <c:idx val="21"/>
                    <c:tx>
                      <c:rich>
                        <a:bodyPr/>
                        <a:lstStyle/>
                        <a:p>
                          <a:fld id="{7FD5E8DC-BF77-4BD6-9435-7047D822B6A1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9-B791-477C-A573-921E9EBC49FC}"/>
                      </c:ext>
                    </c:extLst>
                  </c:dLbl>
                  <c:dLbl>
                    <c:idx val="22"/>
                    <c:tx>
                      <c:rich>
                        <a:bodyPr/>
                        <a:lstStyle/>
                        <a:p>
                          <a:fld id="{7B2F9AF3-6595-4018-9491-F15CFD53DCBE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A-B791-477C-A573-921E9EBC49FC}"/>
                      </c:ext>
                    </c:extLst>
                  </c:dLbl>
                  <c:dLbl>
                    <c:idx val="23"/>
                    <c:tx>
                      <c:rich>
                        <a:bodyPr/>
                        <a:lstStyle/>
                        <a:p>
                          <a:fld id="{FF2DAAB9-53E2-4C61-92D8-112D13152E39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B-B791-477C-A573-921E9EBC49FC}"/>
                      </c:ext>
                    </c:extLst>
                  </c:dLbl>
                  <c:dLbl>
                    <c:idx val="24"/>
                    <c:tx>
                      <c:rich>
                        <a:bodyPr/>
                        <a:lstStyle/>
                        <a:p>
                          <a:fld id="{B83FDF98-88D3-462D-B1E5-95BFDB61909E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C-B791-477C-A573-921E9EBC49FC}"/>
                      </c:ext>
                    </c:extLst>
                  </c:dLbl>
                  <c:dLbl>
                    <c:idx val="25"/>
                    <c:tx>
                      <c:rich>
                        <a:bodyPr/>
                        <a:lstStyle/>
                        <a:p>
                          <a:fld id="{BE8E8363-4601-4389-8727-07C73C5E74A8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D-B791-477C-A573-921E9EBC49FC}"/>
                      </c:ext>
                    </c:extLst>
                  </c:dLbl>
                  <c:dLbl>
                    <c:idx val="26"/>
                    <c:tx>
                      <c:rich>
                        <a:bodyPr/>
                        <a:lstStyle/>
                        <a:p>
                          <a:fld id="{CB1FB805-0107-44C1-A646-EB20177E97A1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E-B791-477C-A573-921E9EBC49F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DataLabelsRange val="1"/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%"/>
                                <a:lumOff val="65%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ANTERIORES'!$AB$3:$AB$29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6688.7520000000013</c:v>
                      </c:pt>
                      <c:pt idx="1">
                        <c:v>38132.104000000007</c:v>
                      </c:pt>
                      <c:pt idx="2">
                        <c:v>23777.103999999999</c:v>
                      </c:pt>
                      <c:pt idx="3">
                        <c:v>74752.216000000015</c:v>
                      </c:pt>
                      <c:pt idx="4">
                        <c:v>107484.21600000001</c:v>
                      </c:pt>
                      <c:pt idx="5">
                        <c:v>61676.376000000004</c:v>
                      </c:pt>
                      <c:pt idx="6">
                        <c:v>124401.07200000001</c:v>
                      </c:pt>
                      <c:pt idx="7">
                        <c:v>86065.864000000001</c:v>
                      </c:pt>
                      <c:pt idx="8">
                        <c:v>98818.312000000005</c:v>
                      </c:pt>
                      <c:pt idx="9">
                        <c:v>43300.28</c:v>
                      </c:pt>
                      <c:pt idx="10">
                        <c:v>60100.625999999997</c:v>
                      </c:pt>
                      <c:pt idx="11">
                        <c:v>60863.672000000006</c:v>
                      </c:pt>
                      <c:pt idx="12">
                        <c:v>369531.72800000006</c:v>
                      </c:pt>
                      <c:pt idx="13">
                        <c:v>70447.831999999995</c:v>
                      </c:pt>
                      <c:pt idx="14">
                        <c:v>56843.208000000013</c:v>
                      </c:pt>
                      <c:pt idx="15">
                        <c:v>215979.24000000002</c:v>
                      </c:pt>
                      <c:pt idx="16">
                        <c:v>133308</c:v>
                      </c:pt>
                      <c:pt idx="17">
                        <c:v>16559.36</c:v>
                      </c:pt>
                      <c:pt idx="18">
                        <c:v>322863.57800000004</c:v>
                      </c:pt>
                      <c:pt idx="19">
                        <c:v>61394.414000000004</c:v>
                      </c:pt>
                      <c:pt idx="20">
                        <c:v>370682.07</c:v>
                      </c:pt>
                      <c:pt idx="21">
                        <c:v>16284.136000000002</c:v>
                      </c:pt>
                      <c:pt idx="22">
                        <c:v>2883.5840000000003</c:v>
                      </c:pt>
                      <c:pt idx="23">
                        <c:v>163490.72</c:v>
                      </c:pt>
                      <c:pt idx="24">
                        <c:v>1153900.5959999999</c:v>
                      </c:pt>
                      <c:pt idx="25">
                        <c:v>41925.928000000007</c:v>
                      </c:pt>
                      <c:pt idx="26">
                        <c:v>20319.464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datalabelsRange>
                      <c15:f>'EXERCÍCIOS ANTERIORES'!$AD$3:$AD$29</c15:f>
                      <c15:dlblRangeCache>
                        <c:ptCount val="27"/>
                        <c:pt idx="0">
                          <c:v>95,6%</c:v>
                        </c:pt>
                        <c:pt idx="1">
                          <c:v>127,1%</c:v>
                        </c:pt>
                        <c:pt idx="2">
                          <c:v>243,9%</c:v>
                        </c:pt>
                        <c:pt idx="3">
                          <c:v>242,8%</c:v>
                        </c:pt>
                        <c:pt idx="4">
                          <c:v>59,7%</c:v>
                        </c:pt>
                        <c:pt idx="5">
                          <c:v>94,9%</c:v>
                        </c:pt>
                        <c:pt idx="6">
                          <c:v>62,2%</c:v>
                        </c:pt>
                        <c:pt idx="7">
                          <c:v>126,6%</c:v>
                        </c:pt>
                        <c:pt idx="8">
                          <c:v>70,6%</c:v>
                        </c:pt>
                        <c:pt idx="9">
                          <c:v>86,6%</c:v>
                        </c:pt>
                        <c:pt idx="10">
                          <c:v>0,0%</c:v>
                        </c:pt>
                        <c:pt idx="11">
                          <c:v>86,9%</c:v>
                        </c:pt>
                        <c:pt idx="12">
                          <c:v>61,6%</c:v>
                        </c:pt>
                        <c:pt idx="13">
                          <c:v>0,0%</c:v>
                        </c:pt>
                        <c:pt idx="14">
                          <c:v>67,7%</c:v>
                        </c:pt>
                        <c:pt idx="15">
                          <c:v>0,0%</c:v>
                        </c:pt>
                        <c:pt idx="16">
                          <c:v>60,6%</c:v>
                        </c:pt>
                        <c:pt idx="17">
                          <c:v>31,8%</c:v>
                        </c:pt>
                        <c:pt idx="18">
                          <c:v>32,3%</c:v>
                        </c:pt>
                        <c:pt idx="19">
                          <c:v>0,0%</c:v>
                        </c:pt>
                        <c:pt idx="20">
                          <c:v>61,8%</c:v>
                        </c:pt>
                        <c:pt idx="21">
                          <c:v>0,0%</c:v>
                        </c:pt>
                        <c:pt idx="22">
                          <c:v>0,0%</c:v>
                        </c:pt>
                        <c:pt idx="23">
                          <c:v>0,0%</c:v>
                        </c:pt>
                        <c:pt idx="24">
                          <c:v>39,6%</c:v>
                        </c:pt>
                        <c:pt idx="25">
                          <c:v>79,0%</c:v>
                        </c:pt>
                        <c:pt idx="26">
                          <c:v>119,5%</c:v>
                        </c:pt>
                      </c15:dlblRangeCache>
                    </c15:datalabelsRange>
                  </c:ext>
                  <c:ext xmlns:c16="http://schemas.microsoft.com/office/drawing/2014/chart" uri="{C3380CC4-5D6E-409C-BE32-E72D297353CC}">
                    <c16:uniqueId val="{0000003F-B791-477C-A573-921E9EBC49FC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ANTERIORES'!$AC$1:$AC$2</c15:sqref>
                        </c15:formulaRef>
                      </c:ext>
                    </c:extLst>
                    <c:strCache>
                      <c:ptCount val="2"/>
                      <c:pt idx="0">
                        <c:v>Jan. a Mar./2019</c:v>
                      </c:pt>
                      <c:pt idx="1">
                        <c:v>PJ</c:v>
                      </c:pt>
                    </c:strCache>
                  </c:strRef>
                </c:tx>
                <c:spPr>
                  <a:solidFill>
                    <a:schemeClr val="accent4">
                      <a:lumMod val="60%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ANTERIORES'!$AC$3:$AC$29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1292.1680000000001</c:v>
                      </c:pt>
                      <c:pt idx="1">
                        <c:v>955.87200000000007</c:v>
                      </c:pt>
                      <c:pt idx="2">
                        <c:v>2034.6320000000001</c:v>
                      </c:pt>
                      <c:pt idx="3">
                        <c:v>6920.6880000000001</c:v>
                      </c:pt>
                      <c:pt idx="4">
                        <c:v>14547.712000000001</c:v>
                      </c:pt>
                      <c:pt idx="5">
                        <c:v>6519.12</c:v>
                      </c:pt>
                      <c:pt idx="6">
                        <c:v>22435.864000000001</c:v>
                      </c:pt>
                      <c:pt idx="7">
                        <c:v>12791.136</c:v>
                      </c:pt>
                      <c:pt idx="8">
                        <c:v>12989.720000000001</c:v>
                      </c:pt>
                      <c:pt idx="9">
                        <c:v>5524.7920000000004</c:v>
                      </c:pt>
                      <c:pt idx="10">
                        <c:v>4750.808</c:v>
                      </c:pt>
                      <c:pt idx="11">
                        <c:v>9390.8320000000003</c:v>
                      </c:pt>
                      <c:pt idx="12">
                        <c:v>69245.464000000007</c:v>
                      </c:pt>
                      <c:pt idx="13">
                        <c:v>11245.432000000001</c:v>
                      </c:pt>
                      <c:pt idx="14">
                        <c:v>8589.4160000000011</c:v>
                      </c:pt>
                      <c:pt idx="15">
                        <c:v>62118</c:v>
                      </c:pt>
                      <c:pt idx="16">
                        <c:v>16284.056</c:v>
                      </c:pt>
                      <c:pt idx="17">
                        <c:v>1501.6000000000001</c:v>
                      </c:pt>
                      <c:pt idx="18">
                        <c:v>56500.298000000003</c:v>
                      </c:pt>
                      <c:pt idx="19">
                        <c:v>7149.5760000000009</c:v>
                      </c:pt>
                      <c:pt idx="20">
                        <c:v>83099.662000000011</c:v>
                      </c:pt>
                      <c:pt idx="21">
                        <c:v>3695.0320000000002</c:v>
                      </c:pt>
                      <c:pt idx="22">
                        <c:v>152.43200000000002</c:v>
                      </c:pt>
                      <c:pt idx="23">
                        <c:v>33841.392000000007</c:v>
                      </c:pt>
                      <c:pt idx="24">
                        <c:v>154376.66999999998</c:v>
                      </c:pt>
                      <c:pt idx="25">
                        <c:v>2669.52</c:v>
                      </c:pt>
                      <c:pt idx="26">
                        <c:v>7135.7040000000006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0-B791-477C-A573-921E9EBC49FC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ANTERIORES'!$AE$1:$AE$2</c15:sqref>
                        </c15:formulaRef>
                      </c:ext>
                    </c:extLst>
                    <c:strCache>
                      <c:ptCount val="2"/>
                      <c:pt idx="0">
                        <c:v>EXECUÇÃO %</c:v>
                      </c:pt>
                      <c:pt idx="1">
                        <c:v>PJ</c:v>
                      </c:pt>
                    </c:strCache>
                  </c:strRef>
                </c:tx>
                <c:spPr>
                  <a:solidFill>
                    <a:schemeClr val="accent6">
                      <a:lumMod val="60%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ANTERIORES'!$AE$3:$AE$29</c15:sqref>
                        </c15:formulaRef>
                      </c:ext>
                    </c:extLst>
                    <c:numCache>
                      <c:formatCode>0.0%</c:formatCode>
                      <c:ptCount val="27"/>
                      <c:pt idx="0">
                        <c:v>1.2921680000000002</c:v>
                      </c:pt>
                      <c:pt idx="1">
                        <c:v>0.47793600000000003</c:v>
                      </c:pt>
                      <c:pt idx="2">
                        <c:v>0.52358003088008231</c:v>
                      </c:pt>
                      <c:pt idx="3">
                        <c:v>0.71853831442685645</c:v>
                      </c:pt>
                      <c:pt idx="4">
                        <c:v>0.48492373333333338</c:v>
                      </c:pt>
                      <c:pt idx="5">
                        <c:v>0.82625095057034215</c:v>
                      </c:pt>
                      <c:pt idx="6">
                        <c:v>1.1217932000000002</c:v>
                      </c:pt>
                      <c:pt idx="7">
                        <c:v>0.36867726368344189</c:v>
                      </c:pt>
                      <c:pt idx="8">
                        <c:v>0.51958880000000007</c:v>
                      </c:pt>
                      <c:pt idx="9">
                        <c:v>1.3154266666666667</c:v>
                      </c:pt>
                      <c:pt idx="10">
                        <c:v>0</c:v>
                      </c:pt>
                      <c:pt idx="11">
                        <c:v>0.93908320000000001</c:v>
                      </c:pt>
                      <c:pt idx="12">
                        <c:v>0.85900762923174268</c:v>
                      </c:pt>
                      <c:pt idx="13">
                        <c:v>0</c:v>
                      </c:pt>
                      <c:pt idx="14">
                        <c:v>0.40094365868459136</c:v>
                      </c:pt>
                      <c:pt idx="15">
                        <c:v>0</c:v>
                      </c:pt>
                      <c:pt idx="16">
                        <c:v>2.0470214959145192</c:v>
                      </c:pt>
                      <c:pt idx="17">
                        <c:v>7.3248780487804879E-2</c:v>
                      </c:pt>
                      <c:pt idx="18">
                        <c:v>0.28250149000000002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0.53090628991202782</c:v>
                      </c:pt>
                      <c:pt idx="25">
                        <c:v>0.34409899458623355</c:v>
                      </c:pt>
                      <c:pt idx="26">
                        <c:v>1.3236327212020034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1-B791-477C-A573-921E9EBC49FC}"/>
                  </c:ext>
                </c:extLst>
              </c15:ser>
            </c15:filteredBarSeries>
          </c:ext>
        </c:extLst>
      </c:barChart>
      <c:catAx>
        <c:axId val="19774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62513152"/>
        <c:crosses val="autoZero"/>
        <c:auto val="1"/>
        <c:lblAlgn val="ctr"/>
        <c:lblOffset val="100"/>
        <c:noMultiLvlLbl val="0"/>
      </c:catAx>
      <c:valAx>
        <c:axId val="26251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7749776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%"/>
          <a:lumOff val="85%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Composição</a:t>
            </a:r>
            <a:r>
              <a:rPr lang="pt-BR" baseline="0%"/>
              <a:t> da Arrecadação de Janeiro 2019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1421676273582627"/>
          <c:y val="0.17171296296296296"/>
          <c:w val="0.77744905264820352"/>
          <c:h val="0.506381598133566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Gráficos!$AX$4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1C394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B87FC47-16D5-4603-9FE4-7665DFABECC3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DB1-4556-9629-B491792627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0C128E7-C3FF-4042-AAAB-F01E47078F2F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DB1-4556-9629-B491792627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3B4B3F3-8D8D-4F93-8E85-E4DBDBE2EC50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DB1-4556-9629-B491792627A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1F54364-9141-42E9-AA2A-D0D138AD9709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DB1-4556-9629-B491792627A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AEDFEB8-CC4E-4148-9FB2-29DC370F5E9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DB1-4556-9629-B491792627A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8ACBD04-5EE9-43D6-B974-F0398C40206A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DB1-4556-9629-B491792627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Gráficos!$AV$5:$AV$10</c:f>
              <c:strCache>
                <c:ptCount val="6"/>
                <c:pt idx="0">
                  <c:v>Anuid. PF - Exerc.</c:v>
                </c:pt>
                <c:pt idx="1">
                  <c:v>Anuid. PF - Exerc. Ant.</c:v>
                </c:pt>
                <c:pt idx="2">
                  <c:v>Anuid. PJ - Exerc.</c:v>
                </c:pt>
                <c:pt idx="3">
                  <c:v>Anuid. PJ - Exerc. Ant.</c:v>
                </c:pt>
                <c:pt idx="4">
                  <c:v>RRT</c:v>
                </c:pt>
                <c:pt idx="5">
                  <c:v>Taxas e Multas</c:v>
                </c:pt>
              </c:strCache>
            </c:strRef>
          </c:cat>
          <c:val>
            <c:numRef>
              <c:f>Gráficos!$AX$5:$AX$10</c:f>
              <c:numCache>
                <c:formatCode>_-* #,##0.0_-;\-* #,##0.0_-;_-* "-"??_-;_-@_-</c:formatCode>
                <c:ptCount val="6"/>
                <c:pt idx="0">
                  <c:v>10.754868249999998</c:v>
                </c:pt>
                <c:pt idx="1">
                  <c:v>1.4460323099999999</c:v>
                </c:pt>
                <c:pt idx="2">
                  <c:v>1.1109201000000002</c:v>
                </c:pt>
                <c:pt idx="3">
                  <c:v>0.21095700000000001</c:v>
                </c:pt>
                <c:pt idx="4">
                  <c:v>5.4559214999999988</c:v>
                </c:pt>
                <c:pt idx="5">
                  <c:v>0.64869231000000016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Gráficos!$AY$5:$AY$10</c15:f>
                <c15:dlblRangeCache>
                  <c:ptCount val="6"/>
                  <c:pt idx="0">
                    <c:v>70,5%</c:v>
                  </c:pt>
                  <c:pt idx="1">
                    <c:v>110,4%</c:v>
                  </c:pt>
                  <c:pt idx="2">
                    <c:v>49,7%</c:v>
                  </c:pt>
                  <c:pt idx="3">
                    <c:v>141,6%</c:v>
                  </c:pt>
                  <c:pt idx="4">
                    <c:v>103,1%</c:v>
                  </c:pt>
                  <c:pt idx="5">
                    <c:v>89,1%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3DB1-4556-9629-B491792627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75273920"/>
        <c:axId val="275274480"/>
      </c:barChart>
      <c:lineChart>
        <c:grouping val="standard"/>
        <c:varyColors val="0"/>
        <c:ser>
          <c:idx val="0"/>
          <c:order val="0"/>
          <c:tx>
            <c:strRef>
              <c:f>Gráficos!$AW$4</c:f>
              <c:strCache>
                <c:ptCount val="1"/>
                <c:pt idx="0">
                  <c:v>Previsto</c:v>
                </c:pt>
              </c:strCache>
            </c:strRef>
          </c:tx>
          <c:spPr>
            <a:ln w="28575" cap="rnd">
              <a:solidFill>
                <a:srgbClr val="AECCD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Gráficos!$AV$5:$AV$10</c:f>
              <c:strCache>
                <c:ptCount val="6"/>
                <c:pt idx="0">
                  <c:v>Anuid. PF - Exerc.</c:v>
                </c:pt>
                <c:pt idx="1">
                  <c:v>Anuid. PF - Exerc. Ant.</c:v>
                </c:pt>
                <c:pt idx="2">
                  <c:v>Anuid. PJ - Exerc.</c:v>
                </c:pt>
                <c:pt idx="3">
                  <c:v>Anuid. PJ - Exerc. Ant.</c:v>
                </c:pt>
                <c:pt idx="4">
                  <c:v>RRT</c:v>
                </c:pt>
                <c:pt idx="5">
                  <c:v>Taxas e Multas</c:v>
                </c:pt>
              </c:strCache>
            </c:strRef>
          </c:cat>
          <c:val>
            <c:numRef>
              <c:f>Gráficos!$AW$5:$AW$10</c:f>
              <c:numCache>
                <c:formatCode>_-* #,##0.0_-;\-* #,##0.0_-;_-* "-"??_-;_-@_-</c:formatCode>
                <c:ptCount val="6"/>
                <c:pt idx="0">
                  <c:v>15.252812062210579</c:v>
                </c:pt>
                <c:pt idx="1">
                  <c:v>1.3102300516277592</c:v>
                </c:pt>
                <c:pt idx="2">
                  <c:v>2.2354857726254838</c:v>
                </c:pt>
                <c:pt idx="3">
                  <c:v>0.14903288527663414</c:v>
                </c:pt>
                <c:pt idx="4">
                  <c:v>5.2896915194252587</c:v>
                </c:pt>
                <c:pt idx="5">
                  <c:v>0.72800679763874976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B1-4556-9629-B491792627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5273920"/>
        <c:axId val="275274480"/>
      </c:lineChart>
      <c:catAx>
        <c:axId val="27527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75274480"/>
        <c:crosses val="autoZero"/>
        <c:auto val="1"/>
        <c:lblAlgn val="ctr"/>
        <c:lblOffset val="100"/>
        <c:noMultiLvlLbl val="0"/>
      </c:catAx>
      <c:valAx>
        <c:axId val="27527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%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752739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1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0907252591348811E-3"/>
                  <c:y val="7.52840416504514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D1-4772-8A22-30F5F7FAA6C3}"/>
                </c:ext>
              </c:extLst>
            </c:dLbl>
            <c:dLbl>
              <c:idx val="1"/>
              <c:layout>
                <c:manualLayout>
                  <c:x val="-9.0907252591348811E-3"/>
                  <c:y val="2.634941457765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D1-4772-8A22-30F5F7FAA6C3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Gráficos!$Y$5:$Y$16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Gráficos!$Z$5:$Z$16</c:f>
              <c:numCache>
                <c:formatCode>_-[$R$-416]\ * #,##0_-;\-[$R$-416]\ * #,##0_-;_-[$R$-416]\ * "-"??_-;_-@_-</c:formatCode>
                <c:ptCount val="12"/>
                <c:pt idx="0">
                  <c:v>24965259.088804461</c:v>
                </c:pt>
                <c:pt idx="1">
                  <c:v>45611582.811293431</c:v>
                </c:pt>
                <c:pt idx="2">
                  <c:v>61665519.902792975</c:v>
                </c:pt>
                <c:pt idx="3">
                  <c:v>75245419.01921387</c:v>
                </c:pt>
                <c:pt idx="4">
                  <c:v>92062355.461077303</c:v>
                </c:pt>
                <c:pt idx="5">
                  <c:v>106642143.14316694</c:v>
                </c:pt>
                <c:pt idx="6">
                  <c:v>117349884.97077161</c:v>
                </c:pt>
                <c:pt idx="7">
                  <c:v>129233343.80541581</c:v>
                </c:pt>
                <c:pt idx="8">
                  <c:v>138993372.92205</c:v>
                </c:pt>
                <c:pt idx="9">
                  <c:v>150019716.42441604</c:v>
                </c:pt>
                <c:pt idx="10">
                  <c:v>159670741.00496891</c:v>
                </c:pt>
                <c:pt idx="11">
                  <c:v>168641948.04524186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CD1-4772-8A22-30F5F7FAA6C3}"/>
            </c:ext>
          </c:extLst>
        </c:ser>
        <c:ser>
          <c:idx val="1"/>
          <c:order val="1"/>
          <c:tx>
            <c:strRef>
              <c:f>Gráficos!$AA$4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5453626295674426E-2"/>
                  <c:y val="5.6463031237838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D1-4772-8A22-30F5F7FAA6C3}"/>
                </c:ext>
              </c:extLst>
            </c:dLbl>
            <c:dLbl>
              <c:idx val="1"/>
              <c:layout>
                <c:manualLayout>
                  <c:x val="-3.4090219721755806E-2"/>
                  <c:y val="0.13927547705333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D1-4772-8A22-30F5F7FAA6C3}"/>
                </c:ext>
              </c:extLst>
            </c:dLbl>
            <c:dLbl>
              <c:idx val="2"/>
              <c:layout>
                <c:manualLayout>
                  <c:x val="-3.1817538406972087E-2"/>
                  <c:y val="0.13927547705333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1-4772-8A22-30F5F7FAA6C3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Gráficos!$Y$5:$Y$16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Gráficos!$AA$5:$AA$16</c:f>
              <c:numCache>
                <c:formatCode>_-[$R$-416]\ * #,##0_-;\-[$R$-416]\ * #,##0_-;_-[$R$-416]\ * "-"??_-;_-@_-</c:formatCode>
                <c:ptCount val="12"/>
                <c:pt idx="0">
                  <c:v>19627391.469999995</c:v>
                </c:pt>
                <c:pt idx="1">
                  <c:v>41572368.199999996</c:v>
                </c:pt>
                <c:pt idx="2">
                  <c:v>54886741.919999994</c:v>
                </c:pt>
                <c:pt idx="3">
                  <c:v>70055080.932999998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D1-4772-8A22-30F5F7FAA6C3}"/>
            </c:ext>
          </c:extLst>
        </c:ser>
        <c:ser>
          <c:idx val="2"/>
          <c:order val="2"/>
          <c:tx>
            <c:strRef>
              <c:f>Gráficos!$AB$4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7726307610458131E-2"/>
                  <c:y val="-8.65766478980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D1-4772-8A22-30F5F7FAA6C3}"/>
                </c:ext>
              </c:extLst>
            </c:dLbl>
            <c:dLbl>
              <c:idx val="1"/>
              <c:layout>
                <c:manualLayout>
                  <c:x val="-4.999898892524185E-2"/>
                  <c:y val="-5.6463031237838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D1-4772-8A22-30F5F7FAA6C3}"/>
                </c:ext>
              </c:extLst>
            </c:dLbl>
            <c:dLbl>
              <c:idx val="2"/>
              <c:layout>
                <c:manualLayout>
                  <c:x val="-4.7726307610458131E-2"/>
                  <c:y val="-5.269882915531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D1-4772-8A22-30F5F7FAA6C3}"/>
                </c:ext>
              </c:extLst>
            </c:dLbl>
            <c:dLbl>
              <c:idx val="3"/>
              <c:layout>
                <c:manualLayout>
                  <c:x val="-5.6817032869593054E-2"/>
                  <c:y val="-5.269882915531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D1-4772-8A22-30F5F7FAA6C3}"/>
                </c:ext>
              </c:extLst>
            </c:dLbl>
            <c:dLbl>
              <c:idx val="4"/>
              <c:layout>
                <c:manualLayout>
                  <c:x val="-5.9089714184376731E-2"/>
                  <c:y val="-4.8934627072793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D1-4772-8A22-30F5F7FAA6C3}"/>
                </c:ext>
              </c:extLst>
            </c:dLbl>
            <c:dLbl>
              <c:idx val="5"/>
              <c:layout>
                <c:manualLayout>
                  <c:x val="-5.4544351554809287E-2"/>
                  <c:y val="-4.51704249902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D1-4772-8A22-30F5F7FAA6C3}"/>
                </c:ext>
              </c:extLst>
            </c:dLbl>
            <c:dLbl>
              <c:idx val="6"/>
              <c:layout>
                <c:manualLayout>
                  <c:x val="-6.3635076813944175E-2"/>
                  <c:y val="-5.6463031237838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D1-4772-8A22-30F5F7FAA6C3}"/>
                </c:ext>
              </c:extLst>
            </c:dLbl>
            <c:dLbl>
              <c:idx val="7"/>
              <c:layout>
                <c:manualLayout>
                  <c:x val="-5.454435155480937E-2"/>
                  <c:y val="-6.399143540288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D1-4772-8A22-30F5F7FAA6C3}"/>
                </c:ext>
              </c:extLst>
            </c:dLbl>
            <c:dLbl>
              <c:idx val="8"/>
              <c:layout>
                <c:manualLayout>
                  <c:x val="-5.9089714184376814E-2"/>
                  <c:y val="-5.646303123783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D1-4772-8A22-30F5F7FAA6C3}"/>
                </c:ext>
              </c:extLst>
            </c:dLbl>
            <c:dLbl>
              <c:idx val="9"/>
              <c:layout>
                <c:manualLayout>
                  <c:x val="-5.6817032869593179E-2"/>
                  <c:y val="-4.5170424990270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D1-4772-8A22-30F5F7FAA6C3}"/>
                </c:ext>
              </c:extLst>
            </c:dLbl>
            <c:dLbl>
              <c:idx val="10"/>
              <c:layout>
                <c:manualLayout>
                  <c:x val="-5.6817032869593012E-2"/>
                  <c:y val="-3.7642020825225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D1-4772-8A22-30F5F7FAA6C3}"/>
                </c:ext>
              </c:extLst>
            </c:dLbl>
            <c:dLbl>
              <c:idx val="11"/>
              <c:layout>
                <c:manualLayout>
                  <c:x val="-2.0454131833053484E-2"/>
                  <c:y val="-3.764202082522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D1-4772-8A22-30F5F7FAA6C3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Gráficos!$Y$5:$Y$16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Gráficos!$AB$5:$AB$16</c:f>
              <c:numCache>
                <c:formatCode>_-[$R$-416]\ * #,##0_-;\-[$R$-416]\ * #,##0_-;_-[$R$-416]\ * "-"??_-;_-@_-</c:formatCode>
                <c:ptCount val="12"/>
                <c:pt idx="0">
                  <c:v>30816008.244936071</c:v>
                </c:pt>
                <c:pt idx="1">
                  <c:v>56060907.175773323</c:v>
                </c:pt>
                <c:pt idx="2">
                  <c:v>74557558.862407714</c:v>
                </c:pt>
                <c:pt idx="3">
                  <c:v>90014499.019715726</c:v>
                </c:pt>
                <c:pt idx="4">
                  <c:v>109479745.39463836</c:v>
                </c:pt>
                <c:pt idx="5">
                  <c:v>126151605.80077417</c:v>
                </c:pt>
                <c:pt idx="6">
                  <c:v>137592515.6627574</c:v>
                </c:pt>
                <c:pt idx="7">
                  <c:v>150211170.28373092</c:v>
                </c:pt>
                <c:pt idx="8">
                  <c:v>160496788.82766566</c:v>
                </c:pt>
                <c:pt idx="9">
                  <c:v>172157654.32052997</c:v>
                </c:pt>
                <c:pt idx="10">
                  <c:v>182326151.10667112</c:v>
                </c:pt>
                <c:pt idx="11">
                  <c:v>191743910.43033302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CD1-4772-8A22-30F5F7FAA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605616"/>
        <c:axId val="275606176"/>
      </c:lineChart>
      <c:catAx>
        <c:axId val="27560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75606176"/>
        <c:crosses val="autoZero"/>
        <c:auto val="1"/>
        <c:lblAlgn val="ctr"/>
        <c:lblOffset val="100"/>
        <c:noMultiLvlLbl val="0"/>
      </c:catAx>
      <c:valAx>
        <c:axId val="275606176"/>
        <c:scaling>
          <c:orientation val="minMax"/>
          <c:max val="200000001"/>
          <c:min val="1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756056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Gráficos!$Z$20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6350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Gráficos!$Z$21:$Z$32</c:f>
              <c:numCache>
                <c:formatCode>_-[$R$-416]\ * #,##0_-;\-[$R$-416]\ * #,##0_-;_-[$R$-416]\ * "-"??_-;_-@_-</c:formatCode>
                <c:ptCount val="12"/>
                <c:pt idx="0">
                  <c:v>15252812.062210578</c:v>
                </c:pt>
                <c:pt idx="1">
                  <c:v>26809292.790883284</c:v>
                </c:pt>
                <c:pt idx="2">
                  <c:v>32947429.23768796</c:v>
                </c:pt>
                <c:pt idx="3">
                  <c:v>37580588.917632326</c:v>
                </c:pt>
                <c:pt idx="4">
                  <c:v>44125894.299319766</c:v>
                </c:pt>
                <c:pt idx="5">
                  <c:v>49047533.149651267</c:v>
                </c:pt>
                <c:pt idx="6">
                  <c:v>50716750.551594459</c:v>
                </c:pt>
                <c:pt idx="7">
                  <c:v>52432349.163573302</c:v>
                </c:pt>
                <c:pt idx="8">
                  <c:v>53662858.289542615</c:v>
                </c:pt>
                <c:pt idx="9">
                  <c:v>55170040.772948697</c:v>
                </c:pt>
                <c:pt idx="10">
                  <c:v>56458732.682435155</c:v>
                </c:pt>
                <c:pt idx="11">
                  <c:v>57560604.893544175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BAA-4B3A-8886-B304BD5C3A3B}"/>
            </c:ext>
          </c:extLst>
        </c:ser>
        <c:ser>
          <c:idx val="1"/>
          <c:order val="1"/>
          <c:tx>
            <c:strRef>
              <c:f>Gráficos!$AB$20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21038379021172E-2"/>
                  <c:y val="-6.5399628382287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AA-4B3A-8886-B304BD5C3A3B}"/>
                </c:ext>
              </c:extLst>
            </c:dLbl>
            <c:dLbl>
              <c:idx val="1"/>
              <c:layout>
                <c:manualLayout>
                  <c:x val="-4.167454477552468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A-4B3A-8886-B304BD5C3A3B}"/>
                </c:ext>
              </c:extLst>
            </c:dLbl>
            <c:dLbl>
              <c:idx val="2"/>
              <c:layout>
                <c:manualLayout>
                  <c:x val="-4.365904690769256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AA-4B3A-8886-B304BD5C3A3B}"/>
                </c:ext>
              </c:extLst>
            </c:dLbl>
            <c:dLbl>
              <c:idx val="3"/>
              <c:layout>
                <c:manualLayout>
                  <c:x val="-4.3659046907692525E-2"/>
                  <c:y val="-5.38585174912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AA-4B3A-8886-B304BD5C3A3B}"/>
                </c:ext>
              </c:extLst>
            </c:dLbl>
            <c:dLbl>
              <c:idx val="4"/>
              <c:layout>
                <c:manualLayout>
                  <c:x val="-4.5643549039860364E-2"/>
                  <c:y val="-4.6164443563967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AA-4B3A-8886-B304BD5C3A3B}"/>
                </c:ext>
              </c:extLst>
            </c:dLbl>
            <c:dLbl>
              <c:idx val="5"/>
              <c:layout>
                <c:manualLayout>
                  <c:x val="-4.1674544775524756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A-4B3A-8886-B304BD5C3A3B}"/>
                </c:ext>
              </c:extLst>
            </c:dLbl>
            <c:dLbl>
              <c:idx val="6"/>
              <c:layout>
                <c:manualLayout>
                  <c:x val="-3.7705540511189073E-2"/>
                  <c:y val="-4.231740660030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A-4B3A-8886-B304BD5C3A3B}"/>
                </c:ext>
              </c:extLst>
            </c:dLbl>
            <c:dLbl>
              <c:idx val="7"/>
              <c:layout>
                <c:manualLayout>
                  <c:x val="-3.9690042643356765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AA-4B3A-8886-B304BD5C3A3B}"/>
                </c:ext>
              </c:extLst>
            </c:dLbl>
            <c:dLbl>
              <c:idx val="8"/>
              <c:layout>
                <c:manualLayout>
                  <c:x val="-3.9690042643356842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AA-4B3A-8886-B304BD5C3A3B}"/>
                </c:ext>
              </c:extLst>
            </c:dLbl>
            <c:dLbl>
              <c:idx val="9"/>
              <c:layout>
                <c:manualLayout>
                  <c:x val="-3.9690042643356842E-2"/>
                  <c:y val="-4.231740660030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AA-4B3A-8886-B304BD5C3A3B}"/>
                </c:ext>
              </c:extLst>
            </c:dLbl>
            <c:dLbl>
              <c:idx val="10"/>
              <c:layout>
                <c:manualLayout>
                  <c:x val="-4.5643549039860509E-2"/>
                  <c:y val="-3.4623332672975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AA-4B3A-8886-B304BD5C3A3B}"/>
                </c:ext>
              </c:extLst>
            </c:dLbl>
            <c:dLbl>
              <c:idx val="11"/>
              <c:layout>
                <c:manualLayout>
                  <c:x val="-3.3736536246853313E-2"/>
                  <c:y val="-3.4623332672975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AA-4B3A-8886-B304BD5C3A3B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Gráficos!$AB$21:$AB$32</c:f>
              <c:numCache>
                <c:formatCode>_-[$R$-416]\ * #,##0_-;\-[$R$-416]\ * #,##0_-;_-[$R$-416]\ * "-"??_-;_-@_-</c:formatCode>
                <c:ptCount val="12"/>
                <c:pt idx="0">
                  <c:v>19794821.398333404</c:v>
                </c:pt>
                <c:pt idx="1">
                  <c:v>34792611.385146126</c:v>
                </c:pt>
                <c:pt idx="2">
                  <c:v>42758572.952595614</c:v>
                </c:pt>
                <c:pt idx="3">
                  <c:v>48771403.111414634</c:v>
                </c:pt>
                <c:pt idx="4">
                  <c:v>57265781.098871179</c:v>
                </c:pt>
                <c:pt idx="5">
                  <c:v>63652994.265339039</c:v>
                </c:pt>
                <c:pt idx="6">
                  <c:v>65819274.175672293</c:v>
                </c:pt>
                <c:pt idx="7">
                  <c:v>68045746.774747133</c:v>
                </c:pt>
                <c:pt idx="8">
                  <c:v>69642679.083244458</c:v>
                </c:pt>
                <c:pt idx="9">
                  <c:v>71598673.030592427</c:v>
                </c:pt>
                <c:pt idx="10">
                  <c:v>73271113.894724101</c:v>
                </c:pt>
                <c:pt idx="11">
                  <c:v>74701103.560480773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AA-4B3A-8886-B304BD5C3A3B}"/>
            </c:ext>
          </c:extLst>
        </c:ser>
        <c:ser>
          <c:idx val="2"/>
          <c:order val="2"/>
          <c:tx>
            <c:strRef>
              <c:f>Gráficos!$AA$20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3814025586014104E-2"/>
                  <c:y val="6.155259141862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AA-4B3A-8886-B304BD5C3A3B}"/>
                </c:ext>
              </c:extLst>
            </c:dLbl>
            <c:dLbl>
              <c:idx val="2"/>
              <c:layout>
                <c:manualLayout>
                  <c:x val="-3.175203411468551E-2"/>
                  <c:y val="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AA-4B3A-8886-B304BD5C3A3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AA-4B3A-8886-B304BD5C3A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AA-4B3A-8886-B304BD5C3A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AA-4B3A-8886-B304BD5C3A3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AA-4B3A-8886-B304BD5C3A3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AA-4B3A-8886-B304BD5C3A3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AA-4B3A-8886-B304BD5C3A3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AA-4B3A-8886-B304BD5C3A3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AA-4B3A-8886-B304BD5C3A3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AA-4B3A-8886-B304BD5C3A3B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Gráficos!$AA$21:$AA$32</c:f>
              <c:numCache>
                <c:formatCode>_-[$R$-416]\ * #,##0_-;\-[$R$-416]\ * #,##0_-;_-[$R$-416]\ * "-"??_-;_-@_-</c:formatCode>
                <c:ptCount val="12"/>
                <c:pt idx="0">
                  <c:v>10754868.249999998</c:v>
                </c:pt>
                <c:pt idx="1">
                  <c:v>22148663.869999997</c:v>
                </c:pt>
                <c:pt idx="2">
                  <c:v>26639003.68</c:v>
                </c:pt>
                <c:pt idx="3">
                  <c:v>31687335.240000002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AA-4B3A-8886-B304BD5C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610096"/>
        <c:axId val="275610656"/>
      </c:lineChart>
      <c:catAx>
        <c:axId val="27561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75610656"/>
        <c:crosses val="autoZero"/>
        <c:auto val="1"/>
        <c:lblAlgn val="ctr"/>
        <c:lblOffset val="100"/>
        <c:noMultiLvlLbl val="0"/>
      </c:catAx>
      <c:valAx>
        <c:axId val="27561065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756100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1310230.0516277591</c:v>
                </c:pt>
                <c:pt idx="1">
                  <c:v>2138806.5617406666</c:v>
                </c:pt>
                <c:pt idx="2">
                  <c:v>2875295.2254140498</c:v>
                </c:pt>
                <c:pt idx="3">
                  <c:v>3508232.95521536</c:v>
                </c:pt>
                <c:pt idx="4">
                  <c:v>4196266.4682252845</c:v>
                </c:pt>
                <c:pt idx="5">
                  <c:v>4792472.3572983611</c:v>
                </c:pt>
                <c:pt idx="6">
                  <c:v>5379422.8673073482</c:v>
                </c:pt>
                <c:pt idx="7">
                  <c:v>5990230.9955518246</c:v>
                </c:pt>
                <c:pt idx="8">
                  <c:v>6455772.3440091806</c:v>
                </c:pt>
                <c:pt idx="9">
                  <c:v>7087618.0440178793</c:v>
                </c:pt>
                <c:pt idx="10">
                  <c:v>7617587.9502158975</c:v>
                </c:pt>
                <c:pt idx="11">
                  <c:v>8145741.0494781248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ACA-473D-A0E3-56BFF65CE267}"/>
            </c:ext>
          </c:extLst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CA-473D-A0E3-56BFF65CE267}"/>
                </c:ext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CA-473D-A0E3-56BFF65CE267}"/>
                </c:ext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CA-473D-A0E3-56BFF65CE267}"/>
                </c:ext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CA-473D-A0E3-56BFF65CE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36112"/>
        <c:axId val="27583667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FACA-473D-A0E3-56BFF65CE267}"/>
                  </c:ext>
                </c:extLst>
              </c15:ser>
            </c15:filteredLineSeries>
          </c:ext>
        </c:extLst>
      </c:lineChart>
      <c:catAx>
        <c:axId val="27583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75836672"/>
        <c:crosses val="autoZero"/>
        <c:auto val="1"/>
        <c:lblAlgn val="ctr"/>
        <c:lblOffset val="100"/>
        <c:noMultiLvlLbl val="0"/>
      </c:catAx>
      <c:valAx>
        <c:axId val="27583667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758361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7A-4CD9-80C3-27EBF31CA553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2235485.7726254836</c:v>
                </c:pt>
                <c:pt idx="1">
                  <c:v>4212235.8701483989</c:v>
                </c:pt>
                <c:pt idx="2">
                  <c:v>5262541.4014268918</c:v>
                </c:pt>
                <c:pt idx="3">
                  <c:v>6112110.4281369606</c:v>
                </c:pt>
                <c:pt idx="4">
                  <c:v>7306492.2853614269</c:v>
                </c:pt>
                <c:pt idx="5">
                  <c:v>8376627.2778502097</c:v>
                </c:pt>
                <c:pt idx="6">
                  <c:v>8779924.0493827146</c:v>
                </c:pt>
                <c:pt idx="7">
                  <c:v>9163092.7915643938</c:v>
                </c:pt>
                <c:pt idx="8">
                  <c:v>9434967.9727359042</c:v>
                </c:pt>
                <c:pt idx="9">
                  <c:v>9752183.9950471818</c:v>
                </c:pt>
                <c:pt idx="10">
                  <c:v>9980599.4679945931</c:v>
                </c:pt>
                <c:pt idx="11">
                  <c:v>10182900.468229098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87A-4CD9-80C3-27EBF31CA553}"/>
            </c:ext>
          </c:extLst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7A-4CD9-80C3-27EBF31CA553}"/>
                </c:ext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7A-4CD9-80C3-27EBF31CA553}"/>
                </c:ext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7A-4CD9-80C3-27EBF31CA553}"/>
                </c:ext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7A-4CD9-80C3-27EBF31CA553}"/>
                </c:ext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7A-4CD9-80C3-27EBF31CA553}"/>
                </c:ext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7A-4CD9-80C3-27EBF31CA553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7A-4CD9-80C3-27EBF31CA553}"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7A-4CD9-80C3-27EBF31CA553}"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7A-4CD9-80C3-27EBF31CA553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7A-4CD9-80C3-27EBF31CA553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7A-4CD9-80C3-27EBF31CA553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7A-4CD9-80C3-27EBF31CA553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3544225.5926342681</c:v>
                </c:pt>
                <c:pt idx="1">
                  <c:v>6678241.6403654478</c:v>
                </c:pt>
                <c:pt idx="2">
                  <c:v>8343436.6461339798</c:v>
                </c:pt>
                <c:pt idx="3">
                  <c:v>9690376.2348564994</c:v>
                </c:pt>
                <c:pt idx="4">
                  <c:v>11583995.419371074</c:v>
                </c:pt>
                <c:pt idx="5">
                  <c:v>13280628.819769654</c:v>
                </c:pt>
                <c:pt idx="6">
                  <c:v>13920031.117290674</c:v>
                </c:pt>
                <c:pt idx="7">
                  <c:v>14527521.658705674</c:v>
                </c:pt>
                <c:pt idx="8">
                  <c:v>14958563.084649732</c:v>
                </c:pt>
                <c:pt idx="9">
                  <c:v>15461489.633517385</c:v>
                </c:pt>
                <c:pt idx="10">
                  <c:v>15823628.357407847</c:v>
                </c:pt>
                <c:pt idx="11">
                  <c:v>16144364.18638365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87A-4CD9-80C3-27EBF31CA553}"/>
            </c:ext>
          </c:extLst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7A-4CD9-80C3-27EBF31CA553}"/>
                </c:ext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7A-4CD9-80C3-27EBF31CA553}"/>
                </c:ext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7A-4CD9-80C3-27EBF31CA553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7A-4CD9-80C3-27EBF31CA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40592"/>
        <c:axId val="275841152"/>
      </c:lineChart>
      <c:catAx>
        <c:axId val="27584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75841152"/>
        <c:crosses val="autoZero"/>
        <c:auto val="1"/>
        <c:lblAlgn val="ctr"/>
        <c:lblOffset val="100"/>
        <c:noMultiLvlLbl val="0"/>
      </c:catAx>
      <c:valAx>
        <c:axId val="2758411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758405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E1-4579-B940-70E543791B51}"/>
                </c:ext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E1-4579-B940-70E543791B51}"/>
                </c:ext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E1-4579-B940-70E543791B51}"/>
                </c:ext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1-4579-B940-70E543791B51}"/>
                </c:ext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E1-4579-B940-70E543791B51}"/>
                </c:ext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E1-4579-B940-70E543791B51}"/>
                </c:ext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E1-4579-B940-70E543791B51}"/>
                </c:ext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E1-4579-B940-70E543791B51}"/>
                </c:ext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E1-4579-B940-70E543791B51}"/>
                </c:ext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E1-4579-B940-70E543791B51}"/>
                </c:ext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E1-4579-B940-70E543791B51}"/>
                </c:ext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E1-4579-B940-70E543791B51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149032.88527663413</c:v>
                </c:pt>
                <c:pt idx="1">
                  <c:v>254452.53292839986</c:v>
                </c:pt>
                <c:pt idx="2">
                  <c:v>351791.47133290104</c:v>
                </c:pt>
                <c:pt idx="3">
                  <c:v>435601.46585815132</c:v>
                </c:pt>
                <c:pt idx="4">
                  <c:v>520609.99117925472</c:v>
                </c:pt>
                <c:pt idx="5">
                  <c:v>603925.31113934948</c:v>
                </c:pt>
                <c:pt idx="6">
                  <c:v>677295.37754477479</c:v>
                </c:pt>
                <c:pt idx="7">
                  <c:v>754583.73676182423</c:v>
                </c:pt>
                <c:pt idx="8">
                  <c:v>813921.49769616686</c:v>
                </c:pt>
                <c:pt idx="9">
                  <c:v>889347.10772690573</c:v>
                </c:pt>
                <c:pt idx="10">
                  <c:v>956788.17683665326</c:v>
                </c:pt>
                <c:pt idx="11">
                  <c:v>1026714.548424322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E1E1-4579-B940-70E543791B51}"/>
            </c:ext>
          </c:extLst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E1-4579-B940-70E543791B51}"/>
                </c:ext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E1-4579-B940-70E543791B51}"/>
                </c:ext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E1-4579-B940-70E543791B51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E1-4579-B940-70E543791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44512"/>
        <c:axId val="275845072"/>
      </c:lineChart>
      <c:catAx>
        <c:axId val="27584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75845072"/>
        <c:crosses val="autoZero"/>
        <c:auto val="1"/>
        <c:lblAlgn val="ctr"/>
        <c:lblOffset val="100"/>
        <c:noMultiLvlLbl val="0"/>
      </c:catAx>
      <c:valAx>
        <c:axId val="27584507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758445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19-4DBE-8881-71C5223CB28D}"/>
                </c:ext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19-4DBE-8881-71C5223CB28D}"/>
                </c:ext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19-4DBE-8881-71C5223CB28D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5289691.519425259</c:v>
                </c:pt>
                <c:pt idx="1">
                  <c:v>10946126.084264638</c:v>
                </c:pt>
                <c:pt idx="2">
                  <c:v>18483532.833525073</c:v>
                </c:pt>
                <c:pt idx="3">
                  <c:v>25403790.303136677</c:v>
                </c:pt>
                <c:pt idx="4">
                  <c:v>33225436.985169947</c:v>
                </c:pt>
                <c:pt idx="5">
                  <c:v>40648530.656770773</c:v>
                </c:pt>
                <c:pt idx="6">
                  <c:v>48092325.603216611</c:v>
                </c:pt>
                <c:pt idx="7">
                  <c:v>56573819.691179112</c:v>
                </c:pt>
                <c:pt idx="8">
                  <c:v>63808638.033217229</c:v>
                </c:pt>
                <c:pt idx="9">
                  <c:v>71594760.70306471</c:v>
                </c:pt>
                <c:pt idx="10">
                  <c:v>78493365.828256473</c:v>
                </c:pt>
                <c:pt idx="11">
                  <c:v>84943109.670736536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419-4DBE-8881-71C5223CB28D}"/>
            </c:ext>
          </c:extLst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19-4DBE-8881-71C5223CB28D}"/>
                </c:ext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19-4DBE-8881-71C5223CB28D}"/>
                </c:ext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19-4DBE-8881-71C5223CB28D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19-4DBE-8881-71C5223CB28D}"/>
            </c:ext>
          </c:extLst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19-4DBE-8881-71C5223CB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48992"/>
        <c:axId val="275972576"/>
      </c:lineChart>
      <c:catAx>
        <c:axId val="27584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75972576"/>
        <c:crosses val="autoZero"/>
        <c:auto val="1"/>
        <c:lblAlgn val="ctr"/>
        <c:lblOffset val="100"/>
        <c:noMultiLvlLbl val="0"/>
      </c:catAx>
      <c:valAx>
        <c:axId val="27597257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758489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F0-4C0B-8F51-5A34F59749A6}"/>
                </c:ext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F0-4C0B-8F51-5A34F59749A6}"/>
                </c:ext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F0-4C0B-8F51-5A34F59749A6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728006.7976387497</c:v>
                </c:pt>
                <c:pt idx="1">
                  <c:v>1250668.9713280427</c:v>
                </c:pt>
                <c:pt idx="2">
                  <c:v>1744929.7334060951</c:v>
                </c:pt>
                <c:pt idx="3">
                  <c:v>2205094.9492343953</c:v>
                </c:pt>
                <c:pt idx="4">
                  <c:v>2687655.4318216094</c:v>
                </c:pt>
                <c:pt idx="5">
                  <c:v>3173054.3904569834</c:v>
                </c:pt>
                <c:pt idx="6">
                  <c:v>3704166.521725696</c:v>
                </c:pt>
                <c:pt idx="7">
                  <c:v>4319267.4267853573</c:v>
                </c:pt>
                <c:pt idx="8">
                  <c:v>4817214.7848488986</c:v>
                </c:pt>
                <c:pt idx="9">
                  <c:v>5525765.8016106859</c:v>
                </c:pt>
                <c:pt idx="10">
                  <c:v>6163666.8992301533</c:v>
                </c:pt>
                <c:pt idx="11">
                  <c:v>6782877.4148296248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BF0-4C0B-8F51-5A34F59749A6}"/>
            </c:ext>
          </c:extLst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F0-4C0B-8F51-5A34F59749A6}"/>
                </c:ext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F0-4C0B-8F51-5A34F59749A6}"/>
                </c:ext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F0-4C0B-8F51-5A34F59749A6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F0-4C0B-8F51-5A34F59749A6}"/>
            </c:ext>
          </c:extLst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F0-4C0B-8F51-5A34F59749A6}"/>
                </c:ext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F0-4C0B-8F51-5A34F59749A6}"/>
                </c:ext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F0-4C0B-8F51-5A34F59749A6}"/>
                </c:ext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F0-4C0B-8F51-5A34F59749A6}"/>
                </c:ext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F0-4C0B-8F51-5A34F59749A6}"/>
                </c:ext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F0-4C0B-8F51-5A34F59749A6}"/>
                </c:ext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F0-4C0B-8F51-5A34F59749A6}"/>
                </c:ext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F0-4C0B-8F51-5A34F59749A6}"/>
                </c:ext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F0-4C0B-8F51-5A34F59749A6}"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F0-4C0B-8F51-5A34F59749A6}"/>
                </c:ext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F0-4C0B-8F51-5A34F59749A6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F0-4C0B-8F51-5A34F59749A6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821304.99769217195</c:v>
                </c:pt>
                <c:pt idx="1">
                  <c:v>1410949.2932509058</c:v>
                </c:pt>
                <c:pt idx="2">
                  <c:v>1968552.3752200392</c:v>
                </c:pt>
                <c:pt idx="3">
                  <c:v>2487690.3733124947</c:v>
                </c:pt>
                <c:pt idx="4">
                  <c:v>3032093.7186151734</c:v>
                </c:pt>
                <c:pt idx="5">
                  <c:v>3579699.3067701771</c:v>
                </c:pt>
                <c:pt idx="6">
                  <c:v>4178876.4698965959</c:v>
                </c:pt>
                <c:pt idx="7">
                  <c:v>4872806.044522848</c:v>
                </c:pt>
                <c:pt idx="8">
                  <c:v>5434568.1806617696</c:v>
                </c:pt>
                <c:pt idx="9">
                  <c:v>6233924.0288129207</c:v>
                </c:pt>
                <c:pt idx="10">
                  <c:v>6953575.7699882351</c:v>
                </c:pt>
                <c:pt idx="11">
                  <c:v>7652141.625052887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BF0-4C0B-8F51-5A34F5974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976496"/>
        <c:axId val="275977056"/>
      </c:lineChart>
      <c:catAx>
        <c:axId val="27597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75977056"/>
        <c:crosses val="autoZero"/>
        <c:auto val="1"/>
        <c:lblAlgn val="ctr"/>
        <c:lblOffset val="100"/>
        <c:noMultiLvlLbl val="0"/>
      </c:catAx>
      <c:valAx>
        <c:axId val="275977056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759764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%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pt-BR" sz="1800" b="1">
                <a:solidFill>
                  <a:schemeClr val="bg1"/>
                </a:solidFill>
              </a:rPr>
              <a:t>Composição por Gênero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%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1.4272647373956315E-3"/>
          <c:y val="9.9939873486609654E-2"/>
          <c:w val="0.98681501768800639"/>
          <c:h val="1"/>
        </c:manualLayout>
      </c:layout>
      <c:doughnutChart>
        <c:varyColors val="1"/>
        <c:ser>
          <c:idx val="0"/>
          <c:order val="0"/>
          <c:spPr>
            <a:solidFill>
              <a:srgbClr val="008F9A"/>
            </a:solidFill>
            <a:ln>
              <a:noFill/>
            </a:ln>
          </c:spPr>
          <c:dPt>
            <c:idx val="0"/>
            <c:bubble3D val="0"/>
            <c:spPr>
              <a:solidFill>
                <a:srgbClr val="FFF3A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AC-4BEE-9E6C-F515465FA0D6}"/>
              </c:ext>
            </c:extLst>
          </c:dPt>
          <c:dPt>
            <c:idx val="1"/>
            <c:bubble3D val="0"/>
            <c:spPr>
              <a:solidFill>
                <a:srgbClr val="5E9AA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EAC-4BEE-9E6C-F515465FA0D6}"/>
              </c:ext>
            </c:extLst>
          </c:dPt>
          <c:cat>
            <c:strRef>
              <c:f>'Dados - Receita e Qntd'!$AQ$64:$AQ$65</c:f>
              <c:strCache>
                <c:ptCount val="2"/>
                <c:pt idx="0">
                  <c:v>Masculino</c:v>
                </c:pt>
                <c:pt idx="1">
                  <c:v>Feminino</c:v>
                </c:pt>
              </c:strCache>
            </c:strRef>
          </c:cat>
          <c:val>
            <c:numRef>
              <c:f>'Dados - Receita e Qntd'!$AR$64:$AR$65</c:f>
              <c:numCache>
                <c:formatCode>_-* #,##0_-;\-* #,##0_-;_-* "-"??_-;_-@_-</c:formatCode>
                <c:ptCount val="2"/>
                <c:pt idx="0">
                  <c:v>62472.928645149186</c:v>
                </c:pt>
                <c:pt idx="1">
                  <c:v>107785.07135485082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AC-4BEE-9E6C-F515465FA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%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[arrecadacao_2019_CAU.xlsx]Dados - RRT!Tabela dinâmica3</c:name>
    <c:fmtId val="9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pt-BR" sz="1400" b="1" i="0" u="none" strike="noStrike" kern="1200" baseline="0%">
                  <a:solidFill>
                    <a:schemeClr val="bg1"/>
                  </a:solidFill>
                  <a:effectLst>
                    <a:outerShdw blurRad="63500" sx="102%" sy="102%" algn="ctr" rotWithShape="0">
                      <a:prstClr val="black">
                        <a:alpha val="40%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%">
                  <a:ln w="3175">
                    <a:noFill/>
                  </a:ln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pt-BR" sz="1400" b="1" i="0" u="none" strike="noStrike" kern="1200" baseline="0%">
                  <a:solidFill>
                    <a:schemeClr val="bg1"/>
                  </a:solidFill>
                  <a:effectLst>
                    <a:outerShdw blurRad="63500" sx="102%" sy="102%" algn="ctr" rotWithShape="0">
                      <a:prstClr val="black">
                        <a:alpha val="40%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%">
                  <a:ln w="3175">
                    <a:noFill/>
                  </a:ln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pt-BR" sz="1400" b="1" i="0" u="none" strike="noStrike" kern="1200" baseline="0%">
                  <a:solidFill>
                    <a:schemeClr val="bg1"/>
                  </a:solidFill>
                  <a:effectLst>
                    <a:outerShdw blurRad="63500" sx="102%" sy="102%" algn="ctr" rotWithShape="0">
                      <a:prstClr val="black">
                        <a:alpha val="40%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%">
                  <a:ln w="3175">
                    <a:noFill/>
                  </a:ln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3075516056286381E-2"/>
          <c:y val="9.5877135988803791E-2"/>
          <c:w val="0.93654604485837012"/>
          <c:h val="0.5789149278664971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'Dados - RRT'!$J$1</c:f>
              <c:strCache>
                <c:ptCount val="1"/>
                <c:pt idx="0">
                  <c:v>Soma de Masc. RRT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400" b="1" i="0" u="none" strike="noStrike" kern="1200" baseline="0%">
                    <a:solidFill>
                      <a:schemeClr val="bg1"/>
                    </a:solidFill>
                    <a:effectLst>
                      <a:outerShdw blurRad="63500" sx="102%" sy="102%" algn="ctr" rotWithShape="0">
                        <a:prstClr val="black">
                          <a:alpha val="40%"/>
                        </a:prst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'Dados - RRT'!$I$2:$I$15</c:f>
              <c:multiLvlStrCache>
                <c:ptCount val="11"/>
                <c:lvl>
                  <c:pt idx="0">
                    <c:v>1.1 - ARQ. DAS EDIFICAÇÕES  </c:v>
                  </c:pt>
                  <c:pt idx="1">
                    <c:v>1.10 - RELATÓRIOS TÉCNICOS E URB.</c:v>
                  </c:pt>
                  <c:pt idx="2">
                    <c:v>1.11 - PATR. ARQ., URB. E PAISAGÍSTICO</c:v>
                  </c:pt>
                  <c:pt idx="3">
                    <c:v>1.2 - SIST. CONST. E ESTRUTURAIS  </c:v>
                  </c:pt>
                  <c:pt idx="4">
                    <c:v>1.3 - CONFORTO AMBIENTAL  </c:v>
                  </c:pt>
                  <c:pt idx="5">
                    <c:v>1.4 - ARQ. DE INTERIORES  </c:v>
                  </c:pt>
                  <c:pt idx="6">
                    <c:v>1.5 - INSTALAÇÕES E EQUIP. REF. À ARQ.</c:v>
                  </c:pt>
                  <c:pt idx="7">
                    <c:v>1.6 - ARQ. PAISAGÍSTICA </c:v>
                  </c:pt>
                  <c:pt idx="8">
                    <c:v>1.7 - RELATÓRIOS TÉCNICOS DE ARQ.</c:v>
                  </c:pt>
                  <c:pt idx="9">
                    <c:v>1.8 - URBANISMO E DESENHO URBANO  </c:v>
                  </c:pt>
                  <c:pt idx="10">
                    <c:v>1.9 - INSTAL.E EQUIP. REF. AO URB.</c:v>
                  </c:pt>
                </c:lvl>
                <c:lvl>
                  <c:pt idx="0">
                    <c:v>1 - Projeto</c:v>
                  </c:pt>
                </c:lvl>
              </c:multiLvlStrCache>
            </c:multiLvlStrRef>
          </c:cat>
          <c:val>
            <c:numRef>
              <c:f>'Dados - RRT'!$J$2:$J$15</c:f>
              <c:numCache>
                <c:formatCode>General</c:formatCode>
                <c:ptCount val="11"/>
                <c:pt idx="0">
                  <c:v>37762</c:v>
                </c:pt>
                <c:pt idx="1">
                  <c:v>934</c:v>
                </c:pt>
                <c:pt idx="2">
                  <c:v>73</c:v>
                </c:pt>
                <c:pt idx="3">
                  <c:v>8399</c:v>
                </c:pt>
                <c:pt idx="4">
                  <c:v>764</c:v>
                </c:pt>
                <c:pt idx="5">
                  <c:v>2428</c:v>
                </c:pt>
                <c:pt idx="6">
                  <c:v>17508</c:v>
                </c:pt>
                <c:pt idx="7">
                  <c:v>520</c:v>
                </c:pt>
                <c:pt idx="8">
                  <c:v>2545</c:v>
                </c:pt>
                <c:pt idx="9">
                  <c:v>5056</c:v>
                </c:pt>
                <c:pt idx="10">
                  <c:v>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10-4AE6-826D-A09DE4A9782A}"/>
            </c:ext>
          </c:extLst>
        </c:ser>
        <c:ser>
          <c:idx val="1"/>
          <c:order val="1"/>
          <c:tx>
            <c:strRef>
              <c:f>'Dados - RRT'!$K$1</c:f>
              <c:strCache>
                <c:ptCount val="1"/>
                <c:pt idx="0">
                  <c:v>Soma de Fem. RRT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%">
                    <a:ln w="3175">
                      <a:noFill/>
                    </a:ln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'Dados - RRT'!$I$2:$I$15</c:f>
              <c:multiLvlStrCache>
                <c:ptCount val="11"/>
                <c:lvl>
                  <c:pt idx="0">
                    <c:v>1.1 - ARQ. DAS EDIFICAÇÕES  </c:v>
                  </c:pt>
                  <c:pt idx="1">
                    <c:v>1.10 - RELATÓRIOS TÉCNICOS E URB.</c:v>
                  </c:pt>
                  <c:pt idx="2">
                    <c:v>1.11 - PATR. ARQ., URB. E PAISAGÍSTICO</c:v>
                  </c:pt>
                  <c:pt idx="3">
                    <c:v>1.2 - SIST. CONST. E ESTRUTURAIS  </c:v>
                  </c:pt>
                  <c:pt idx="4">
                    <c:v>1.3 - CONFORTO AMBIENTAL  </c:v>
                  </c:pt>
                  <c:pt idx="5">
                    <c:v>1.4 - ARQ. DE INTERIORES  </c:v>
                  </c:pt>
                  <c:pt idx="6">
                    <c:v>1.5 - INSTALAÇÕES E EQUIP. REF. À ARQ.</c:v>
                  </c:pt>
                  <c:pt idx="7">
                    <c:v>1.6 - ARQ. PAISAGÍSTICA </c:v>
                  </c:pt>
                  <c:pt idx="8">
                    <c:v>1.7 - RELATÓRIOS TÉCNICOS DE ARQ.</c:v>
                  </c:pt>
                  <c:pt idx="9">
                    <c:v>1.8 - URBANISMO E DESENHO URBANO  </c:v>
                  </c:pt>
                  <c:pt idx="10">
                    <c:v>1.9 - INSTAL.E EQUIP. REF. AO URB.</c:v>
                  </c:pt>
                </c:lvl>
                <c:lvl>
                  <c:pt idx="0">
                    <c:v>1 - Projeto</c:v>
                  </c:pt>
                </c:lvl>
              </c:multiLvlStrCache>
            </c:multiLvlStrRef>
          </c:cat>
          <c:val>
            <c:numRef>
              <c:f>'Dados - RRT'!$K$2:$K$15</c:f>
              <c:numCache>
                <c:formatCode>General</c:formatCode>
                <c:ptCount val="11"/>
                <c:pt idx="0">
                  <c:v>32349</c:v>
                </c:pt>
                <c:pt idx="1">
                  <c:v>614</c:v>
                </c:pt>
                <c:pt idx="2">
                  <c:v>76</c:v>
                </c:pt>
                <c:pt idx="3">
                  <c:v>4911</c:v>
                </c:pt>
                <c:pt idx="4">
                  <c:v>772</c:v>
                </c:pt>
                <c:pt idx="5">
                  <c:v>8379</c:v>
                </c:pt>
                <c:pt idx="6">
                  <c:v>11173</c:v>
                </c:pt>
                <c:pt idx="7">
                  <c:v>509</c:v>
                </c:pt>
                <c:pt idx="8">
                  <c:v>2014</c:v>
                </c:pt>
                <c:pt idx="9">
                  <c:v>3388</c:v>
                </c:pt>
                <c:pt idx="10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10-4AE6-826D-A09DE4A97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282008272"/>
        <c:axId val="282008832"/>
      </c:barChart>
      <c:catAx>
        <c:axId val="28200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2008832"/>
        <c:crosses val="autoZero"/>
        <c:auto val="1"/>
        <c:lblAlgn val="ctr"/>
        <c:lblOffset val="100"/>
        <c:noMultiLvlLbl val="0"/>
      </c:catAx>
      <c:valAx>
        <c:axId val="28200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200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837717376896101"/>
          <c:y val="0.89204980116960797"/>
          <c:w val="0.30275557125879138"/>
          <c:h val="9.43203895520656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%"/>
          <a:lumOff val="85%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Janeiro PF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0-80EE-4112-B546-ED20EC56085F}"/>
            </c:ext>
          </c:extLst>
        </c:ser>
        <c:ser>
          <c:idx val="3"/>
          <c:order val="3"/>
          <c:tx>
            <c:v>Janeiro PJ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1-80EE-4112-B546-ED20EC56085F}"/>
            </c:ext>
          </c:extLst>
        </c:ser>
        <c:ser>
          <c:idx val="4"/>
          <c:order val="4"/>
          <c:tx>
            <c:v>Fevereiro PF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2-80EE-4112-B546-ED20EC56085F}"/>
            </c:ext>
          </c:extLst>
        </c:ser>
        <c:ser>
          <c:idx val="5"/>
          <c:order val="5"/>
          <c:tx>
            <c:v>Fevereiro PJ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3-80EE-4112-B546-ED20EC56085F}"/>
            </c:ext>
          </c:extLst>
        </c:ser>
        <c:ser>
          <c:idx val="6"/>
          <c:order val="6"/>
          <c:tx>
            <c:v>Março PF</c:v>
          </c:tx>
          <c:spPr>
            <a:solidFill>
              <a:schemeClr val="accent1">
                <a:lumMod val="60%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4-80EE-4112-B546-ED20EC56085F}"/>
            </c:ext>
          </c:extLst>
        </c:ser>
        <c:ser>
          <c:idx val="7"/>
          <c:order val="7"/>
          <c:tx>
            <c:v>Março PJ</c:v>
          </c:tx>
          <c:spPr>
            <a:solidFill>
              <a:schemeClr val="accent2">
                <a:lumMod val="60%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5-80EE-4112-B546-ED20EC56085F}"/>
            </c:ext>
          </c:extLst>
        </c:ser>
        <c:ser>
          <c:idx val="11"/>
          <c:order val="11"/>
          <c:tx>
            <c:strRef>
              <c:f>'EXERCÍCIOS ANTERIORES'!$AE$1:$AE$2</c:f>
              <c:strCache>
                <c:ptCount val="2"/>
                <c:pt idx="0">
                  <c:v>EXECUÇÃO %</c:v>
                </c:pt>
                <c:pt idx="1">
                  <c:v>PJ</c:v>
                </c:pt>
              </c:strCache>
            </c:strRef>
          </c:tx>
          <c:spPr>
            <a:solidFill>
              <a:schemeClr val="accent6">
                <a:lumMod val="60%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2F0E7A4-CE78-458F-855D-344D18B2571D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0EE-4112-B546-ED20EC56085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B402B61-C145-4AE1-AE4D-497E6C11C5E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0EE-4112-B546-ED20EC56085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CAE37DE-EAF8-42F1-907D-03C9F3DA915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0EE-4112-B546-ED20EC56085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58CCA68-5831-4D0E-8538-960534CF1F1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0EE-4112-B546-ED20EC56085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6543F1E-B6A0-4F48-AFBE-3B3D2A4452D5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0EE-4112-B546-ED20EC56085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88A8354-9FE8-4662-BCE6-DFD74687F2EF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0EE-4112-B546-ED20EC56085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22313B6-2DD2-4AEA-A100-3148D2E3F7D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0EE-4112-B546-ED20EC56085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3135CD0-9C44-4A46-BCDD-81C91306410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0EE-4112-B546-ED20EC56085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FA40EA5-0380-403A-B5D1-AD6D68053A7F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0EE-4112-B546-ED20EC56085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85A9FDB-2C7A-4E40-8F5D-5F13F271E050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0EE-4112-B546-ED20EC56085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E861D7F-F8DE-4D9C-8EB9-12D90D0205C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0EE-4112-B546-ED20EC56085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602DD38-1E0A-47AE-9998-D5294FE9BD8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0EE-4112-B546-ED20EC56085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57792AC-B44F-47C1-A3B5-3FCC04941FA5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80EE-4112-B546-ED20EC56085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5882596-5931-4D5E-BBB0-5E2E77FD7FFA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80EE-4112-B546-ED20EC56085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779F6AB8-D5F7-4E90-BDDB-DC0F09ACBEA0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80EE-4112-B546-ED20EC56085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E700501D-662B-42BE-A067-2DE5685BF5E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0EE-4112-B546-ED20EC56085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8C33A08-A676-4206-B8D7-CB3F00D90199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80EE-4112-B546-ED20EC56085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3FD9FB9-C170-4D2D-85CC-3E5540FAD16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80EE-4112-B546-ED20EC56085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A5AD058-FC7D-4377-BBF3-EB74F934BE65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80EE-4112-B546-ED20EC56085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7086F2DF-E8CD-4637-839D-330EE7C496E9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80EE-4112-B546-ED20EC56085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252EA71E-7CAC-4F16-8B33-74C154B3D89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80EE-4112-B546-ED20EC56085F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78C4CDCE-72A9-44CE-9DCD-DCF449F1BBA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80EE-4112-B546-ED20EC56085F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0125DE64-8D1B-4774-8433-56557F68CF9E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80EE-4112-B546-ED20EC56085F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B8E0109D-B8A7-40FC-9F0F-818D2597D1D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80EE-4112-B546-ED20EC56085F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89FBFC5B-B131-4F12-B4AB-B0B3E582B030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80EE-4112-B546-ED20EC56085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CF6055A0-B14E-4BDB-A3C5-F4E66EC12D62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80EE-4112-B546-ED20EC56085F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5D6368FF-0A2A-4478-B440-24AF36B38605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80EE-4112-B546-ED20EC5608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'EXERCÍCIOS ANTERIORES'!$A$3:$A$29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AP</c:v>
                </c:pt>
                <c:pt idx="3">
                  <c:v>AM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MT</c:v>
                </c:pt>
                <c:pt idx="11">
                  <c:v>MS</c:v>
                </c:pt>
                <c:pt idx="12">
                  <c:v>MG</c:v>
                </c:pt>
                <c:pt idx="13">
                  <c:v>PA</c:v>
                </c:pt>
                <c:pt idx="14">
                  <c:v>PB</c:v>
                </c:pt>
                <c:pt idx="15">
                  <c:v>PR</c:v>
                </c:pt>
                <c:pt idx="16">
                  <c:v>PE</c:v>
                </c:pt>
                <c:pt idx="17">
                  <c:v>PI</c:v>
                </c:pt>
                <c:pt idx="18">
                  <c:v>RJ</c:v>
                </c:pt>
                <c:pt idx="19">
                  <c:v>RN</c:v>
                </c:pt>
                <c:pt idx="20">
                  <c:v>RS</c:v>
                </c:pt>
                <c:pt idx="21">
                  <c:v>RO</c:v>
                </c:pt>
                <c:pt idx="22">
                  <c:v>RR</c:v>
                </c:pt>
                <c:pt idx="23">
                  <c:v>SC</c:v>
                </c:pt>
                <c:pt idx="24">
                  <c:v>SP</c:v>
                </c:pt>
                <c:pt idx="25">
                  <c:v>SE</c:v>
                </c:pt>
                <c:pt idx="26">
                  <c:v>TO</c:v>
                </c:pt>
              </c:strCache>
              <c:extLst/>
            </c:strRef>
          </c:cat>
          <c:val>
            <c:numRef>
              <c:f>'EXERCÍCIOS ANTERIORES'!$AE$3:$AE$29</c:f>
              <c:numCache>
                <c:formatCode>0.0%</c:formatCode>
                <c:ptCount val="27"/>
                <c:pt idx="0">
                  <c:v>1.2921680000000002</c:v>
                </c:pt>
                <c:pt idx="1">
                  <c:v>0.47793600000000003</c:v>
                </c:pt>
                <c:pt idx="2">
                  <c:v>0.52358003088008231</c:v>
                </c:pt>
                <c:pt idx="3">
                  <c:v>0.71853831442685645</c:v>
                </c:pt>
                <c:pt idx="4">
                  <c:v>0.48492373333333338</c:v>
                </c:pt>
                <c:pt idx="5">
                  <c:v>0.82625095057034215</c:v>
                </c:pt>
                <c:pt idx="6">
                  <c:v>1.1217932000000002</c:v>
                </c:pt>
                <c:pt idx="7">
                  <c:v>0.36867726368344189</c:v>
                </c:pt>
                <c:pt idx="8">
                  <c:v>0.51958880000000007</c:v>
                </c:pt>
                <c:pt idx="9">
                  <c:v>1.3154266666666667</c:v>
                </c:pt>
                <c:pt idx="10">
                  <c:v>0</c:v>
                </c:pt>
                <c:pt idx="11">
                  <c:v>0.93908320000000001</c:v>
                </c:pt>
                <c:pt idx="12">
                  <c:v>0.85900762923174268</c:v>
                </c:pt>
                <c:pt idx="13">
                  <c:v>0</c:v>
                </c:pt>
                <c:pt idx="14">
                  <c:v>0.40094365868459136</c:v>
                </c:pt>
                <c:pt idx="15">
                  <c:v>0</c:v>
                </c:pt>
                <c:pt idx="16">
                  <c:v>2.0470214959145192</c:v>
                </c:pt>
                <c:pt idx="17">
                  <c:v>7.3248780487804879E-2</c:v>
                </c:pt>
                <c:pt idx="18">
                  <c:v>0.28250149000000002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0.53090628991202782</c:v>
                </c:pt>
                <c:pt idx="25">
                  <c:v>0.34409899458623355</c:v>
                </c:pt>
                <c:pt idx="26">
                  <c:v>1.3236327212020034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datalabelsRange>
                <c15:f>'EXERCÍCIOS ANTERIORES'!$AC$3:$AC$29</c15:f>
                <c15:dlblRangeCache>
                  <c:ptCount val="27"/>
                  <c:pt idx="0">
                    <c:v> 1.292 </c:v>
                  </c:pt>
                  <c:pt idx="1">
                    <c:v> 956 </c:v>
                  </c:pt>
                  <c:pt idx="2">
                    <c:v> 2.035 </c:v>
                  </c:pt>
                  <c:pt idx="3">
                    <c:v> 6.921 </c:v>
                  </c:pt>
                  <c:pt idx="4">
                    <c:v> 14.548 </c:v>
                  </c:pt>
                  <c:pt idx="5">
                    <c:v> 6.519 </c:v>
                  </c:pt>
                  <c:pt idx="6">
                    <c:v> 22.436 </c:v>
                  </c:pt>
                  <c:pt idx="7">
                    <c:v> 12.791 </c:v>
                  </c:pt>
                  <c:pt idx="8">
                    <c:v> 12.990 </c:v>
                  </c:pt>
                  <c:pt idx="9">
                    <c:v> 5.525 </c:v>
                  </c:pt>
                  <c:pt idx="10">
                    <c:v> 4.751 </c:v>
                  </c:pt>
                  <c:pt idx="11">
                    <c:v> 9.391 </c:v>
                  </c:pt>
                  <c:pt idx="12">
                    <c:v> 69.245 </c:v>
                  </c:pt>
                  <c:pt idx="13">
                    <c:v> 11.245 </c:v>
                  </c:pt>
                  <c:pt idx="14">
                    <c:v> 8.589 </c:v>
                  </c:pt>
                  <c:pt idx="15">
                    <c:v> 62.118 </c:v>
                  </c:pt>
                  <c:pt idx="16">
                    <c:v> 16.284 </c:v>
                  </c:pt>
                  <c:pt idx="17">
                    <c:v> 1.502 </c:v>
                  </c:pt>
                  <c:pt idx="18">
                    <c:v> 56.500 </c:v>
                  </c:pt>
                  <c:pt idx="19">
                    <c:v> 7.150 </c:v>
                  </c:pt>
                  <c:pt idx="20">
                    <c:v> 83.100 </c:v>
                  </c:pt>
                  <c:pt idx="21">
                    <c:v> 3.695 </c:v>
                  </c:pt>
                  <c:pt idx="22">
                    <c:v> 152 </c:v>
                  </c:pt>
                  <c:pt idx="23">
                    <c:v> 33.841 </c:v>
                  </c:pt>
                  <c:pt idx="24">
                    <c:v> 154.377 </c:v>
                  </c:pt>
                  <c:pt idx="25">
                    <c:v> 2.670 </c:v>
                  </c:pt>
                  <c:pt idx="26">
                    <c:v> 7.136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80EE-4112-B546-ED20EC560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2644272"/>
        <c:axId val="2626448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'EXERCÍCIOS ANTERIORES'!$B$1:$B$2</c15:sqref>
                        </c15:formulaRef>
                      </c:ext>
                    </c:extLst>
                    <c:strCache>
                      <c:ptCount val="2"/>
                      <c:pt idx="0">
                        <c:v>PREVISTO</c:v>
                      </c:pt>
                      <c:pt idx="1">
                        <c:v>PF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'EXERCÍCIOS ANTERIORES'!$B$3:$B$29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7000</c:v>
                      </c:pt>
                      <c:pt idx="1">
                        <c:v>30000</c:v>
                      </c:pt>
                      <c:pt idx="2">
                        <c:v>9748</c:v>
                      </c:pt>
                      <c:pt idx="3">
                        <c:v>30791.06</c:v>
                      </c:pt>
                      <c:pt idx="4">
                        <c:v>180000</c:v>
                      </c:pt>
                      <c:pt idx="5">
                        <c:v>64988</c:v>
                      </c:pt>
                      <c:pt idx="6">
                        <c:v>200000</c:v>
                      </c:pt>
                      <c:pt idx="7">
                        <c:v>68000</c:v>
                      </c:pt>
                      <c:pt idx="8">
                        <c:v>140000</c:v>
                      </c:pt>
                      <c:pt idx="9">
                        <c:v>50000</c:v>
                      </c:pt>
                      <c:pt idx="10">
                        <c:v>0</c:v>
                      </c:pt>
                      <c:pt idx="11">
                        <c:v>70000</c:v>
                      </c:pt>
                      <c:pt idx="12">
                        <c:v>600000</c:v>
                      </c:pt>
                      <c:pt idx="13">
                        <c:v>0</c:v>
                      </c:pt>
                      <c:pt idx="14">
                        <c:v>83964</c:v>
                      </c:pt>
                      <c:pt idx="15">
                        <c:v>0</c:v>
                      </c:pt>
                      <c:pt idx="16">
                        <c:v>219993</c:v>
                      </c:pt>
                      <c:pt idx="17">
                        <c:v>52000</c:v>
                      </c:pt>
                      <c:pt idx="18">
                        <c:v>1000000</c:v>
                      </c:pt>
                      <c:pt idx="19">
                        <c:v>0</c:v>
                      </c:pt>
                      <c:pt idx="20">
                        <c:v>600000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2916777.6153120385</c:v>
                      </c:pt>
                      <c:pt idx="25">
                        <c:v>53060</c:v>
                      </c:pt>
                      <c:pt idx="26">
                        <c:v>17006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80EE-4112-B546-ED20EC56085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ANTERIORES'!$C$1:$C$2</c15:sqref>
                        </c15:formulaRef>
                      </c:ext>
                    </c:extLst>
                    <c:strCache>
                      <c:ptCount val="2"/>
                      <c:pt idx="0">
                        <c:v>PREVISTO</c:v>
                      </c:pt>
                      <c:pt idx="1">
                        <c:v>PJ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ANTERIORES'!$C$3:$C$29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1000</c:v>
                      </c:pt>
                      <c:pt idx="1">
                        <c:v>2000</c:v>
                      </c:pt>
                      <c:pt idx="2">
                        <c:v>3886</c:v>
                      </c:pt>
                      <c:pt idx="3">
                        <c:v>9631.6200000000008</c:v>
                      </c:pt>
                      <c:pt idx="4">
                        <c:v>30000</c:v>
                      </c:pt>
                      <c:pt idx="5">
                        <c:v>7890</c:v>
                      </c:pt>
                      <c:pt idx="6">
                        <c:v>20000</c:v>
                      </c:pt>
                      <c:pt idx="7">
                        <c:v>34694.67</c:v>
                      </c:pt>
                      <c:pt idx="8">
                        <c:v>25000</c:v>
                      </c:pt>
                      <c:pt idx="9">
                        <c:v>4200</c:v>
                      </c:pt>
                      <c:pt idx="10">
                        <c:v>0</c:v>
                      </c:pt>
                      <c:pt idx="11">
                        <c:v>10000</c:v>
                      </c:pt>
                      <c:pt idx="12">
                        <c:v>80611</c:v>
                      </c:pt>
                      <c:pt idx="13">
                        <c:v>0</c:v>
                      </c:pt>
                      <c:pt idx="14">
                        <c:v>21423</c:v>
                      </c:pt>
                      <c:pt idx="15">
                        <c:v>0</c:v>
                      </c:pt>
                      <c:pt idx="16">
                        <c:v>7955</c:v>
                      </c:pt>
                      <c:pt idx="17">
                        <c:v>20500</c:v>
                      </c:pt>
                      <c:pt idx="18">
                        <c:v>200000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290779.50842432189</c:v>
                      </c:pt>
                      <c:pt idx="25">
                        <c:v>7758</c:v>
                      </c:pt>
                      <c:pt idx="26">
                        <c:v>5391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80EE-4112-B546-ED20EC56085F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ANTERIORES'!$AB$1:$AB$2</c15:sqref>
                        </c15:formulaRef>
                      </c:ext>
                    </c:extLst>
                    <c:strCache>
                      <c:ptCount val="2"/>
                      <c:pt idx="0">
                        <c:v>Jan. a Mar./2019</c:v>
                      </c:pt>
                      <c:pt idx="1">
                        <c:v>PF</c:v>
                      </c:pt>
                    </c:strCache>
                  </c:strRef>
                </c:tx>
                <c:spPr>
                  <a:solidFill>
                    <a:schemeClr val="accent3">
                      <a:lumMod val="60%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dLbl>
                    <c:idx val="0"/>
                    <c:tx>
                      <c:rich>
                        <a:bodyPr/>
                        <a:lstStyle/>
                        <a:p>
                          <a:fld id="{9D9A38FF-6CCD-490C-B14F-593D7150E625}" type="CELLRANGE">
                            <a:rPr lang="en-US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4-80EE-4112-B546-ED20EC56085F}"/>
                      </c:ext>
                    </c:extLst>
                  </c:dLbl>
                  <c:dLbl>
                    <c:idx val="1"/>
                    <c:tx>
                      <c:rich>
                        <a:bodyPr/>
                        <a:lstStyle/>
                        <a:p>
                          <a:fld id="{1E4D30D8-605E-47A6-9571-22288CC7CA37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5-80EE-4112-B546-ED20EC56085F}"/>
                      </c:ext>
                    </c:extLst>
                  </c:dLbl>
                  <c:dLbl>
                    <c:idx val="2"/>
                    <c:tx>
                      <c:rich>
                        <a:bodyPr/>
                        <a:lstStyle/>
                        <a:p>
                          <a:fld id="{8E99CA7C-2CB0-4C5E-BFD2-A27D09D517F3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6-80EE-4112-B546-ED20EC56085F}"/>
                      </c:ext>
                    </c:extLst>
                  </c:dLbl>
                  <c:dLbl>
                    <c:idx val="3"/>
                    <c:tx>
                      <c:rich>
                        <a:bodyPr/>
                        <a:lstStyle/>
                        <a:p>
                          <a:fld id="{C24E3A1F-AC95-4E84-B383-A2EDC6DF53E5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7-80EE-4112-B546-ED20EC56085F}"/>
                      </c:ext>
                    </c:extLst>
                  </c:dLbl>
                  <c:dLbl>
                    <c:idx val="4"/>
                    <c:tx>
                      <c:rich>
                        <a:bodyPr/>
                        <a:lstStyle/>
                        <a:p>
                          <a:fld id="{FEEBCC65-B5ED-4F32-A7ED-F9B3B27AADFF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8-80EE-4112-B546-ED20EC56085F}"/>
                      </c:ext>
                    </c:extLst>
                  </c:dLbl>
                  <c:dLbl>
                    <c:idx val="5"/>
                    <c:tx>
                      <c:rich>
                        <a:bodyPr/>
                        <a:lstStyle/>
                        <a:p>
                          <a:fld id="{AD4EED14-0F63-4FF5-9FB9-0DE16E26AB1D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9-80EE-4112-B546-ED20EC56085F}"/>
                      </c:ext>
                    </c:extLst>
                  </c:dLbl>
                  <c:dLbl>
                    <c:idx val="6"/>
                    <c:tx>
                      <c:rich>
                        <a:bodyPr/>
                        <a:lstStyle/>
                        <a:p>
                          <a:fld id="{5104FCAE-7176-4797-82AC-A6F909BF9310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A-80EE-4112-B546-ED20EC56085F}"/>
                      </c:ext>
                    </c:extLst>
                  </c:dLbl>
                  <c:dLbl>
                    <c:idx val="7"/>
                    <c:tx>
                      <c:rich>
                        <a:bodyPr/>
                        <a:lstStyle/>
                        <a:p>
                          <a:fld id="{A2BF48FD-0831-4042-9FF7-0CF2CB108199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B-80EE-4112-B546-ED20EC56085F}"/>
                      </c:ext>
                    </c:extLst>
                  </c:dLbl>
                  <c:dLbl>
                    <c:idx val="8"/>
                    <c:tx>
                      <c:rich>
                        <a:bodyPr/>
                        <a:lstStyle/>
                        <a:p>
                          <a:fld id="{0EB1ED36-A812-4019-9C37-412A2BF5A788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C-80EE-4112-B546-ED20EC56085F}"/>
                      </c:ext>
                    </c:extLst>
                  </c:dLbl>
                  <c:dLbl>
                    <c:idx val="9"/>
                    <c:tx>
                      <c:rich>
                        <a:bodyPr/>
                        <a:lstStyle/>
                        <a:p>
                          <a:fld id="{042AB9C6-0238-4C9A-AC0F-96D27924744A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D-80EE-4112-B546-ED20EC56085F}"/>
                      </c:ext>
                    </c:extLst>
                  </c:dLbl>
                  <c:dLbl>
                    <c:idx val="10"/>
                    <c:tx>
                      <c:rich>
                        <a:bodyPr/>
                        <a:lstStyle/>
                        <a:p>
                          <a:fld id="{AF5A6EE3-68A5-4276-9531-5E4D89C617C5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E-80EE-4112-B546-ED20EC56085F}"/>
                      </c:ext>
                    </c:extLst>
                  </c:dLbl>
                  <c:dLbl>
                    <c:idx val="11"/>
                    <c:tx>
                      <c:rich>
                        <a:bodyPr/>
                        <a:lstStyle/>
                        <a:p>
                          <a:fld id="{7C28E458-E6D1-4328-896E-45EF9F8EFAF4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F-80EE-4112-B546-ED20EC56085F}"/>
                      </c:ext>
                    </c:extLst>
                  </c:dLbl>
                  <c:dLbl>
                    <c:idx val="12"/>
                    <c:tx>
                      <c:rich>
                        <a:bodyPr/>
                        <a:lstStyle/>
                        <a:p>
                          <a:fld id="{568CAE4C-847D-4BC0-B266-47F17970B447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0-80EE-4112-B546-ED20EC56085F}"/>
                      </c:ext>
                    </c:extLst>
                  </c:dLbl>
                  <c:dLbl>
                    <c:idx val="13"/>
                    <c:tx>
                      <c:rich>
                        <a:bodyPr/>
                        <a:lstStyle/>
                        <a:p>
                          <a:fld id="{D4041CA3-DFF6-44A3-B28F-DDA99D112C64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1-80EE-4112-B546-ED20EC56085F}"/>
                      </c:ext>
                    </c:extLst>
                  </c:dLbl>
                  <c:dLbl>
                    <c:idx val="14"/>
                    <c:tx>
                      <c:rich>
                        <a:bodyPr/>
                        <a:lstStyle/>
                        <a:p>
                          <a:fld id="{E8E85E0C-37DE-4D49-AF50-1CF9D37B5372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2-80EE-4112-B546-ED20EC56085F}"/>
                      </c:ext>
                    </c:extLst>
                  </c:dLbl>
                  <c:dLbl>
                    <c:idx val="15"/>
                    <c:tx>
                      <c:rich>
                        <a:bodyPr/>
                        <a:lstStyle/>
                        <a:p>
                          <a:fld id="{7EC4A128-7219-45B3-A83E-5BF1BDA5131D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3-80EE-4112-B546-ED20EC56085F}"/>
                      </c:ext>
                    </c:extLst>
                  </c:dLbl>
                  <c:dLbl>
                    <c:idx val="16"/>
                    <c:tx>
                      <c:rich>
                        <a:bodyPr/>
                        <a:lstStyle/>
                        <a:p>
                          <a:fld id="{6527A4BA-40CC-463E-9868-BDAF6B186162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4-80EE-4112-B546-ED20EC56085F}"/>
                      </c:ext>
                    </c:extLst>
                  </c:dLbl>
                  <c:dLbl>
                    <c:idx val="17"/>
                    <c:tx>
                      <c:rich>
                        <a:bodyPr/>
                        <a:lstStyle/>
                        <a:p>
                          <a:fld id="{C4E4F218-9359-4761-A919-D51DDEC33697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5-80EE-4112-B546-ED20EC56085F}"/>
                      </c:ext>
                    </c:extLst>
                  </c:dLbl>
                  <c:dLbl>
                    <c:idx val="18"/>
                    <c:tx>
                      <c:rich>
                        <a:bodyPr/>
                        <a:lstStyle/>
                        <a:p>
                          <a:fld id="{BF83591D-57F6-4F16-9A47-04E62CC09C13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6-80EE-4112-B546-ED20EC56085F}"/>
                      </c:ext>
                    </c:extLst>
                  </c:dLbl>
                  <c:dLbl>
                    <c:idx val="19"/>
                    <c:tx>
                      <c:rich>
                        <a:bodyPr/>
                        <a:lstStyle/>
                        <a:p>
                          <a:fld id="{4A58C7F9-FC1B-40B7-B8F2-3859816F7C98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7-80EE-4112-B546-ED20EC56085F}"/>
                      </c:ext>
                    </c:extLst>
                  </c:dLbl>
                  <c:dLbl>
                    <c:idx val="20"/>
                    <c:tx>
                      <c:rich>
                        <a:bodyPr/>
                        <a:lstStyle/>
                        <a:p>
                          <a:fld id="{E935CFD0-CC27-4D60-ADAC-9C572A91E242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8-80EE-4112-B546-ED20EC56085F}"/>
                      </c:ext>
                    </c:extLst>
                  </c:dLbl>
                  <c:dLbl>
                    <c:idx val="21"/>
                    <c:tx>
                      <c:rich>
                        <a:bodyPr/>
                        <a:lstStyle/>
                        <a:p>
                          <a:fld id="{9EC14DB1-6384-453C-97B6-1F582656EA52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9-80EE-4112-B546-ED20EC56085F}"/>
                      </c:ext>
                    </c:extLst>
                  </c:dLbl>
                  <c:dLbl>
                    <c:idx val="22"/>
                    <c:tx>
                      <c:rich>
                        <a:bodyPr/>
                        <a:lstStyle/>
                        <a:p>
                          <a:fld id="{6660253B-43AF-4235-87F3-8A8E1E05FB86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A-80EE-4112-B546-ED20EC56085F}"/>
                      </c:ext>
                    </c:extLst>
                  </c:dLbl>
                  <c:dLbl>
                    <c:idx val="23"/>
                    <c:tx>
                      <c:rich>
                        <a:bodyPr/>
                        <a:lstStyle/>
                        <a:p>
                          <a:fld id="{BC47F8EF-1913-417E-8C55-B8538BE09509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B-80EE-4112-B546-ED20EC56085F}"/>
                      </c:ext>
                    </c:extLst>
                  </c:dLbl>
                  <c:dLbl>
                    <c:idx val="24"/>
                    <c:tx>
                      <c:rich>
                        <a:bodyPr/>
                        <a:lstStyle/>
                        <a:p>
                          <a:fld id="{2D1B43DB-6E03-463A-A3E1-935D129CEC37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C-80EE-4112-B546-ED20EC56085F}"/>
                      </c:ext>
                    </c:extLst>
                  </c:dLbl>
                  <c:dLbl>
                    <c:idx val="25"/>
                    <c:tx>
                      <c:rich>
                        <a:bodyPr/>
                        <a:lstStyle/>
                        <a:p>
                          <a:fld id="{6039E424-9326-4AF5-88A7-2D46EF58317A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D-80EE-4112-B546-ED20EC56085F}"/>
                      </c:ext>
                    </c:extLst>
                  </c:dLbl>
                  <c:dLbl>
                    <c:idx val="26"/>
                    <c:tx>
                      <c:rich>
                        <a:bodyPr/>
                        <a:lstStyle/>
                        <a:p>
                          <a:fld id="{7DB5BDFE-0B46-41C5-8BFB-6049C000EE90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E-80EE-4112-B546-ED20EC56085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DataLabelsRange val="1"/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%"/>
                                <a:lumOff val="65%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ANTERIORES'!$AB$3:$AB$29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6688.7520000000013</c:v>
                      </c:pt>
                      <c:pt idx="1">
                        <c:v>38132.104000000007</c:v>
                      </c:pt>
                      <c:pt idx="2">
                        <c:v>23777.103999999999</c:v>
                      </c:pt>
                      <c:pt idx="3">
                        <c:v>74752.216000000015</c:v>
                      </c:pt>
                      <c:pt idx="4">
                        <c:v>107484.21600000001</c:v>
                      </c:pt>
                      <c:pt idx="5">
                        <c:v>61676.376000000004</c:v>
                      </c:pt>
                      <c:pt idx="6">
                        <c:v>124401.07200000001</c:v>
                      </c:pt>
                      <c:pt idx="7">
                        <c:v>86065.864000000001</c:v>
                      </c:pt>
                      <c:pt idx="8">
                        <c:v>98818.312000000005</c:v>
                      </c:pt>
                      <c:pt idx="9">
                        <c:v>43300.28</c:v>
                      </c:pt>
                      <c:pt idx="10">
                        <c:v>60100.625999999997</c:v>
                      </c:pt>
                      <c:pt idx="11">
                        <c:v>60863.672000000006</c:v>
                      </c:pt>
                      <c:pt idx="12">
                        <c:v>369531.72800000006</c:v>
                      </c:pt>
                      <c:pt idx="13">
                        <c:v>70447.831999999995</c:v>
                      </c:pt>
                      <c:pt idx="14">
                        <c:v>56843.208000000013</c:v>
                      </c:pt>
                      <c:pt idx="15">
                        <c:v>215979.24000000002</c:v>
                      </c:pt>
                      <c:pt idx="16">
                        <c:v>133308</c:v>
                      </c:pt>
                      <c:pt idx="17">
                        <c:v>16559.36</c:v>
                      </c:pt>
                      <c:pt idx="18">
                        <c:v>322863.57800000004</c:v>
                      </c:pt>
                      <c:pt idx="19">
                        <c:v>61394.414000000004</c:v>
                      </c:pt>
                      <c:pt idx="20">
                        <c:v>370682.07</c:v>
                      </c:pt>
                      <c:pt idx="21">
                        <c:v>16284.136000000002</c:v>
                      </c:pt>
                      <c:pt idx="22">
                        <c:v>2883.5840000000003</c:v>
                      </c:pt>
                      <c:pt idx="23">
                        <c:v>163490.72</c:v>
                      </c:pt>
                      <c:pt idx="24">
                        <c:v>1153900.5959999999</c:v>
                      </c:pt>
                      <c:pt idx="25">
                        <c:v>41925.928000000007</c:v>
                      </c:pt>
                      <c:pt idx="26">
                        <c:v>20319.464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datalabelsRange>
                      <c15:f>'EXERCÍCIOS ANTERIORES'!$AD$3:$AD$29</c15:f>
                      <c15:dlblRangeCache>
                        <c:ptCount val="27"/>
                        <c:pt idx="0">
                          <c:v>95,6%</c:v>
                        </c:pt>
                        <c:pt idx="1">
                          <c:v>127,1%</c:v>
                        </c:pt>
                        <c:pt idx="2">
                          <c:v>243,9%</c:v>
                        </c:pt>
                        <c:pt idx="3">
                          <c:v>242,8%</c:v>
                        </c:pt>
                        <c:pt idx="4">
                          <c:v>59,7%</c:v>
                        </c:pt>
                        <c:pt idx="5">
                          <c:v>94,9%</c:v>
                        </c:pt>
                        <c:pt idx="6">
                          <c:v>62,2%</c:v>
                        </c:pt>
                        <c:pt idx="7">
                          <c:v>126,6%</c:v>
                        </c:pt>
                        <c:pt idx="8">
                          <c:v>70,6%</c:v>
                        </c:pt>
                        <c:pt idx="9">
                          <c:v>86,6%</c:v>
                        </c:pt>
                        <c:pt idx="10">
                          <c:v>0,0%</c:v>
                        </c:pt>
                        <c:pt idx="11">
                          <c:v>86,9%</c:v>
                        </c:pt>
                        <c:pt idx="12">
                          <c:v>61,6%</c:v>
                        </c:pt>
                        <c:pt idx="13">
                          <c:v>0,0%</c:v>
                        </c:pt>
                        <c:pt idx="14">
                          <c:v>67,7%</c:v>
                        </c:pt>
                        <c:pt idx="15">
                          <c:v>0,0%</c:v>
                        </c:pt>
                        <c:pt idx="16">
                          <c:v>60,6%</c:v>
                        </c:pt>
                        <c:pt idx="17">
                          <c:v>31,8%</c:v>
                        </c:pt>
                        <c:pt idx="18">
                          <c:v>32,3%</c:v>
                        </c:pt>
                        <c:pt idx="19">
                          <c:v>0,0%</c:v>
                        </c:pt>
                        <c:pt idx="20">
                          <c:v>61,8%</c:v>
                        </c:pt>
                        <c:pt idx="21">
                          <c:v>0,0%</c:v>
                        </c:pt>
                        <c:pt idx="22">
                          <c:v>0,0%</c:v>
                        </c:pt>
                        <c:pt idx="23">
                          <c:v>0,0%</c:v>
                        </c:pt>
                        <c:pt idx="24">
                          <c:v>39,6%</c:v>
                        </c:pt>
                        <c:pt idx="25">
                          <c:v>79,0%</c:v>
                        </c:pt>
                        <c:pt idx="26">
                          <c:v>119,5%</c:v>
                        </c:pt>
                      </c15:dlblRangeCache>
                    </c15:datalabelsRange>
                  </c:ext>
                  <c:ext xmlns:c16="http://schemas.microsoft.com/office/drawing/2014/chart" uri="{C3380CC4-5D6E-409C-BE32-E72D297353CC}">
                    <c16:uniqueId val="{0000003F-80EE-4112-B546-ED20EC56085F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ANTERIORES'!$AC$1:$AC$2</c15:sqref>
                        </c15:formulaRef>
                      </c:ext>
                    </c:extLst>
                    <c:strCache>
                      <c:ptCount val="2"/>
                      <c:pt idx="0">
                        <c:v>Jan. a Mar./2019</c:v>
                      </c:pt>
                      <c:pt idx="1">
                        <c:v>PJ</c:v>
                      </c:pt>
                    </c:strCache>
                  </c:strRef>
                </c:tx>
                <c:spPr>
                  <a:solidFill>
                    <a:schemeClr val="accent4">
                      <a:lumMod val="60%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dLbl>
                    <c:idx val="0"/>
                    <c:tx>
                      <c:rich>
                        <a:bodyPr/>
                        <a:lstStyle/>
                        <a:p>
                          <a:fld id="{2CA53652-C03F-4815-84C9-31467F657B11}" type="CELLRANGE">
                            <a:rPr lang="en-US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0-80EE-4112-B546-ED20EC56085F}"/>
                      </c:ext>
                    </c:extLst>
                  </c:dLbl>
                  <c:dLbl>
                    <c:idx val="1"/>
                    <c:tx>
                      <c:rich>
                        <a:bodyPr/>
                        <a:lstStyle/>
                        <a:p>
                          <a:fld id="{E1B234C1-A5D0-488C-BB04-8DC699D793BC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1-80EE-4112-B546-ED20EC56085F}"/>
                      </c:ext>
                    </c:extLst>
                  </c:dLbl>
                  <c:dLbl>
                    <c:idx val="2"/>
                    <c:tx>
                      <c:rich>
                        <a:bodyPr/>
                        <a:lstStyle/>
                        <a:p>
                          <a:fld id="{980D75BC-AFB0-43A3-AC0A-57FD3AFEA5B1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2-80EE-4112-B546-ED20EC56085F}"/>
                      </c:ext>
                    </c:extLst>
                  </c:dLbl>
                  <c:dLbl>
                    <c:idx val="3"/>
                    <c:tx>
                      <c:rich>
                        <a:bodyPr/>
                        <a:lstStyle/>
                        <a:p>
                          <a:fld id="{16023512-2264-4425-896B-79471C001C22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3-80EE-4112-B546-ED20EC56085F}"/>
                      </c:ext>
                    </c:extLst>
                  </c:dLbl>
                  <c:dLbl>
                    <c:idx val="4"/>
                    <c:tx>
                      <c:rich>
                        <a:bodyPr/>
                        <a:lstStyle/>
                        <a:p>
                          <a:fld id="{598386BA-66ED-4D6F-9121-7C80C312BAE9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4-80EE-4112-B546-ED20EC56085F}"/>
                      </c:ext>
                    </c:extLst>
                  </c:dLbl>
                  <c:dLbl>
                    <c:idx val="5"/>
                    <c:tx>
                      <c:rich>
                        <a:bodyPr/>
                        <a:lstStyle/>
                        <a:p>
                          <a:fld id="{ED7E1A10-AEDB-4033-9790-39B15E856C66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5-80EE-4112-B546-ED20EC56085F}"/>
                      </c:ext>
                    </c:extLst>
                  </c:dLbl>
                  <c:dLbl>
                    <c:idx val="6"/>
                    <c:tx>
                      <c:rich>
                        <a:bodyPr/>
                        <a:lstStyle/>
                        <a:p>
                          <a:fld id="{2E0E5ADC-3F88-48A2-81C3-304296624816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6-80EE-4112-B546-ED20EC56085F}"/>
                      </c:ext>
                    </c:extLst>
                  </c:dLbl>
                  <c:dLbl>
                    <c:idx val="7"/>
                    <c:tx>
                      <c:rich>
                        <a:bodyPr/>
                        <a:lstStyle/>
                        <a:p>
                          <a:fld id="{5909412E-F692-40CC-B0B0-E1729927CFAB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7-80EE-4112-B546-ED20EC56085F}"/>
                      </c:ext>
                    </c:extLst>
                  </c:dLbl>
                  <c:dLbl>
                    <c:idx val="8"/>
                    <c:tx>
                      <c:rich>
                        <a:bodyPr/>
                        <a:lstStyle/>
                        <a:p>
                          <a:fld id="{57F06356-08C2-40CF-9227-A1FF264A32FA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8-80EE-4112-B546-ED20EC56085F}"/>
                      </c:ext>
                    </c:extLst>
                  </c:dLbl>
                  <c:dLbl>
                    <c:idx val="9"/>
                    <c:tx>
                      <c:rich>
                        <a:bodyPr/>
                        <a:lstStyle/>
                        <a:p>
                          <a:fld id="{386D51F6-3D10-4428-88D4-7402C2F37763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9-80EE-4112-B546-ED20EC56085F}"/>
                      </c:ext>
                    </c:extLst>
                  </c:dLbl>
                  <c:dLbl>
                    <c:idx val="10"/>
                    <c:tx>
                      <c:rich>
                        <a:bodyPr/>
                        <a:lstStyle/>
                        <a:p>
                          <a:fld id="{F9EBB1D7-D0A7-46AE-835D-BBC19CA8701A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A-80EE-4112-B546-ED20EC56085F}"/>
                      </c:ext>
                    </c:extLst>
                  </c:dLbl>
                  <c:dLbl>
                    <c:idx val="11"/>
                    <c:tx>
                      <c:rich>
                        <a:bodyPr/>
                        <a:lstStyle/>
                        <a:p>
                          <a:fld id="{6408803A-59C2-4B2D-A7D2-F4EA81EA79CB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B-80EE-4112-B546-ED20EC56085F}"/>
                      </c:ext>
                    </c:extLst>
                  </c:dLbl>
                  <c:dLbl>
                    <c:idx val="12"/>
                    <c:tx>
                      <c:rich>
                        <a:bodyPr/>
                        <a:lstStyle/>
                        <a:p>
                          <a:fld id="{3D47A50B-4325-4C25-BE0B-2BECFAAE8FBC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C-80EE-4112-B546-ED20EC56085F}"/>
                      </c:ext>
                    </c:extLst>
                  </c:dLbl>
                  <c:dLbl>
                    <c:idx val="13"/>
                    <c:tx>
                      <c:rich>
                        <a:bodyPr/>
                        <a:lstStyle/>
                        <a:p>
                          <a:fld id="{DAFE0A40-F30E-4793-B210-9E55D321FAB2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D-80EE-4112-B546-ED20EC56085F}"/>
                      </c:ext>
                    </c:extLst>
                  </c:dLbl>
                  <c:dLbl>
                    <c:idx val="14"/>
                    <c:tx>
                      <c:rich>
                        <a:bodyPr/>
                        <a:lstStyle/>
                        <a:p>
                          <a:fld id="{208A08AC-A0A9-49B3-9C7B-EAF46A5C579F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E-80EE-4112-B546-ED20EC56085F}"/>
                      </c:ext>
                    </c:extLst>
                  </c:dLbl>
                  <c:dLbl>
                    <c:idx val="15"/>
                    <c:tx>
                      <c:rich>
                        <a:bodyPr/>
                        <a:lstStyle/>
                        <a:p>
                          <a:fld id="{A1330C4F-65D5-4B0E-B697-CDB7004E6D43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F-80EE-4112-B546-ED20EC56085F}"/>
                      </c:ext>
                    </c:extLst>
                  </c:dLbl>
                  <c:dLbl>
                    <c:idx val="16"/>
                    <c:tx>
                      <c:rich>
                        <a:bodyPr/>
                        <a:lstStyle/>
                        <a:p>
                          <a:fld id="{D2C5038D-EA2E-48E3-855E-44FB962257FF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0-80EE-4112-B546-ED20EC56085F}"/>
                      </c:ext>
                    </c:extLst>
                  </c:dLbl>
                  <c:dLbl>
                    <c:idx val="17"/>
                    <c:tx>
                      <c:rich>
                        <a:bodyPr/>
                        <a:lstStyle/>
                        <a:p>
                          <a:fld id="{F263B657-54EC-4378-AFB6-72C1A1FEFA4B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1-80EE-4112-B546-ED20EC56085F}"/>
                      </c:ext>
                    </c:extLst>
                  </c:dLbl>
                  <c:dLbl>
                    <c:idx val="18"/>
                    <c:tx>
                      <c:rich>
                        <a:bodyPr/>
                        <a:lstStyle/>
                        <a:p>
                          <a:fld id="{967223DD-7EFD-4621-8E2E-6FBD6ACFF204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2-80EE-4112-B546-ED20EC56085F}"/>
                      </c:ext>
                    </c:extLst>
                  </c:dLbl>
                  <c:dLbl>
                    <c:idx val="19"/>
                    <c:tx>
                      <c:rich>
                        <a:bodyPr/>
                        <a:lstStyle/>
                        <a:p>
                          <a:fld id="{79D0E21C-E67E-4864-A413-3F4AA6F87A08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3-80EE-4112-B546-ED20EC56085F}"/>
                      </c:ext>
                    </c:extLst>
                  </c:dLbl>
                  <c:dLbl>
                    <c:idx val="20"/>
                    <c:tx>
                      <c:rich>
                        <a:bodyPr/>
                        <a:lstStyle/>
                        <a:p>
                          <a:fld id="{CF7A5222-D8CA-4727-BA59-FCCB40ED0E70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4-80EE-4112-B546-ED20EC56085F}"/>
                      </c:ext>
                    </c:extLst>
                  </c:dLbl>
                  <c:dLbl>
                    <c:idx val="21"/>
                    <c:tx>
                      <c:rich>
                        <a:bodyPr/>
                        <a:lstStyle/>
                        <a:p>
                          <a:fld id="{14B683A8-2326-4575-89FD-AFB9BA0AAB7E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5-80EE-4112-B546-ED20EC56085F}"/>
                      </c:ext>
                    </c:extLst>
                  </c:dLbl>
                  <c:dLbl>
                    <c:idx val="22"/>
                    <c:tx>
                      <c:rich>
                        <a:bodyPr/>
                        <a:lstStyle/>
                        <a:p>
                          <a:fld id="{84526236-65C7-49AE-80E0-11580DDE7DC8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6-80EE-4112-B546-ED20EC56085F}"/>
                      </c:ext>
                    </c:extLst>
                  </c:dLbl>
                  <c:dLbl>
                    <c:idx val="23"/>
                    <c:tx>
                      <c:rich>
                        <a:bodyPr/>
                        <a:lstStyle/>
                        <a:p>
                          <a:fld id="{055E167E-80D8-460D-9530-22BEFFDCCB25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7-80EE-4112-B546-ED20EC56085F}"/>
                      </c:ext>
                    </c:extLst>
                  </c:dLbl>
                  <c:dLbl>
                    <c:idx val="24"/>
                    <c:tx>
                      <c:rich>
                        <a:bodyPr/>
                        <a:lstStyle/>
                        <a:p>
                          <a:fld id="{934B7A7C-44A9-4298-B4B7-BC3B0BEF7E1D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8-80EE-4112-B546-ED20EC56085F}"/>
                      </c:ext>
                    </c:extLst>
                  </c:dLbl>
                  <c:dLbl>
                    <c:idx val="25"/>
                    <c:tx>
                      <c:rich>
                        <a:bodyPr/>
                        <a:lstStyle/>
                        <a:p>
                          <a:fld id="{8B7869EB-5492-4C95-97F2-A0A1AAF0F855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9-80EE-4112-B546-ED20EC56085F}"/>
                      </c:ext>
                    </c:extLst>
                  </c:dLbl>
                  <c:dLbl>
                    <c:idx val="26"/>
                    <c:tx>
                      <c:rich>
                        <a:bodyPr/>
                        <a:lstStyle/>
                        <a:p>
                          <a:fld id="{016DAD9A-86D1-4AE7-A78D-9D307DC4678F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A-80EE-4112-B546-ED20EC56085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DataLabelsRange val="1"/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%"/>
                                <a:lumOff val="65%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ANTERIORES'!$AC$3:$AC$29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1292.1680000000001</c:v>
                      </c:pt>
                      <c:pt idx="1">
                        <c:v>955.87200000000007</c:v>
                      </c:pt>
                      <c:pt idx="2">
                        <c:v>2034.6320000000001</c:v>
                      </c:pt>
                      <c:pt idx="3">
                        <c:v>6920.6880000000001</c:v>
                      </c:pt>
                      <c:pt idx="4">
                        <c:v>14547.712000000001</c:v>
                      </c:pt>
                      <c:pt idx="5">
                        <c:v>6519.12</c:v>
                      </c:pt>
                      <c:pt idx="6">
                        <c:v>22435.864000000001</c:v>
                      </c:pt>
                      <c:pt idx="7">
                        <c:v>12791.136</c:v>
                      </c:pt>
                      <c:pt idx="8">
                        <c:v>12989.720000000001</c:v>
                      </c:pt>
                      <c:pt idx="9">
                        <c:v>5524.7920000000004</c:v>
                      </c:pt>
                      <c:pt idx="10">
                        <c:v>4750.808</c:v>
                      </c:pt>
                      <c:pt idx="11">
                        <c:v>9390.8320000000003</c:v>
                      </c:pt>
                      <c:pt idx="12">
                        <c:v>69245.464000000007</c:v>
                      </c:pt>
                      <c:pt idx="13">
                        <c:v>11245.432000000001</c:v>
                      </c:pt>
                      <c:pt idx="14">
                        <c:v>8589.4160000000011</c:v>
                      </c:pt>
                      <c:pt idx="15">
                        <c:v>62118</c:v>
                      </c:pt>
                      <c:pt idx="16">
                        <c:v>16284.056</c:v>
                      </c:pt>
                      <c:pt idx="17">
                        <c:v>1501.6000000000001</c:v>
                      </c:pt>
                      <c:pt idx="18">
                        <c:v>56500.298000000003</c:v>
                      </c:pt>
                      <c:pt idx="19">
                        <c:v>7149.5760000000009</c:v>
                      </c:pt>
                      <c:pt idx="20">
                        <c:v>83099.662000000011</c:v>
                      </c:pt>
                      <c:pt idx="21">
                        <c:v>3695.0320000000002</c:v>
                      </c:pt>
                      <c:pt idx="22">
                        <c:v>152.43200000000002</c:v>
                      </c:pt>
                      <c:pt idx="23">
                        <c:v>33841.392000000007</c:v>
                      </c:pt>
                      <c:pt idx="24">
                        <c:v>154376.66999999998</c:v>
                      </c:pt>
                      <c:pt idx="25">
                        <c:v>2669.52</c:v>
                      </c:pt>
                      <c:pt idx="26">
                        <c:v>7135.7040000000006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datalabelsRange>
                      <c15:f>'EXERCÍCIOS ANTERIORES'!$AE$3:$AE$29</c15:f>
                      <c15:dlblRangeCache>
                        <c:ptCount val="27"/>
                        <c:pt idx="0">
                          <c:v>129,2%</c:v>
                        </c:pt>
                        <c:pt idx="1">
                          <c:v>47,8%</c:v>
                        </c:pt>
                        <c:pt idx="2">
                          <c:v>52,4%</c:v>
                        </c:pt>
                        <c:pt idx="3">
                          <c:v>71,9%</c:v>
                        </c:pt>
                        <c:pt idx="4">
                          <c:v>48,5%</c:v>
                        </c:pt>
                        <c:pt idx="5">
                          <c:v>82,6%</c:v>
                        </c:pt>
                        <c:pt idx="6">
                          <c:v>112,2%</c:v>
                        </c:pt>
                        <c:pt idx="7">
                          <c:v>36,9%</c:v>
                        </c:pt>
                        <c:pt idx="8">
                          <c:v>52,0%</c:v>
                        </c:pt>
                        <c:pt idx="9">
                          <c:v>131,5%</c:v>
                        </c:pt>
                        <c:pt idx="10">
                          <c:v>0,0%</c:v>
                        </c:pt>
                        <c:pt idx="11">
                          <c:v>93,9%</c:v>
                        </c:pt>
                        <c:pt idx="12">
                          <c:v>85,9%</c:v>
                        </c:pt>
                        <c:pt idx="13">
                          <c:v>0,0%</c:v>
                        </c:pt>
                        <c:pt idx="14">
                          <c:v>40,1%</c:v>
                        </c:pt>
                        <c:pt idx="15">
                          <c:v>0,0%</c:v>
                        </c:pt>
                        <c:pt idx="16">
                          <c:v>204,7%</c:v>
                        </c:pt>
                        <c:pt idx="17">
                          <c:v>7,3%</c:v>
                        </c:pt>
                        <c:pt idx="18">
                          <c:v>28,3%</c:v>
                        </c:pt>
                        <c:pt idx="19">
                          <c:v>0,0%</c:v>
                        </c:pt>
                        <c:pt idx="20">
                          <c:v>0,0%</c:v>
                        </c:pt>
                        <c:pt idx="21">
                          <c:v>0,0%</c:v>
                        </c:pt>
                        <c:pt idx="22">
                          <c:v>0,0%</c:v>
                        </c:pt>
                        <c:pt idx="23">
                          <c:v>0,0%</c:v>
                        </c:pt>
                        <c:pt idx="24">
                          <c:v>53,1%</c:v>
                        </c:pt>
                        <c:pt idx="25">
                          <c:v>34,4%</c:v>
                        </c:pt>
                        <c:pt idx="26">
                          <c:v>132,4%</c:v>
                        </c:pt>
                      </c15:dlblRangeCache>
                    </c15:datalabelsRange>
                  </c:ext>
                  <c:ext xmlns:c16="http://schemas.microsoft.com/office/drawing/2014/chart" uri="{C3380CC4-5D6E-409C-BE32-E72D297353CC}">
                    <c16:uniqueId val="{0000005B-80EE-4112-B546-ED20EC56085F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ANTERIORES'!$AD$1:$AD$2</c15:sqref>
                        </c15:formulaRef>
                      </c:ext>
                    </c:extLst>
                    <c:strCache>
                      <c:ptCount val="2"/>
                      <c:pt idx="0">
                        <c:v>EXECUÇÃO %</c:v>
                      </c:pt>
                      <c:pt idx="1">
                        <c:v>PF</c:v>
                      </c:pt>
                    </c:strCache>
                  </c:strRef>
                </c:tx>
                <c:spPr>
                  <a:solidFill>
                    <a:schemeClr val="accent5">
                      <a:lumMod val="60%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dLbl>
                    <c:idx val="0"/>
                    <c:tx>
                      <c:rich>
                        <a:bodyPr/>
                        <a:lstStyle/>
                        <a:p>
                          <a:fld id="{899E3502-06C3-47A6-9320-4466B6F21ED5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C-80EE-4112-B546-ED20EC56085F}"/>
                      </c:ext>
                    </c:extLst>
                  </c:dLbl>
                  <c:dLbl>
                    <c:idx val="1"/>
                    <c:tx>
                      <c:rich>
                        <a:bodyPr/>
                        <a:lstStyle/>
                        <a:p>
                          <a:fld id="{1EC91CB4-A9C4-4C50-BE3C-F1A6B79351E4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D-80EE-4112-B546-ED20EC56085F}"/>
                      </c:ext>
                    </c:extLst>
                  </c:dLbl>
                  <c:dLbl>
                    <c:idx val="2"/>
                    <c:tx>
                      <c:rich>
                        <a:bodyPr/>
                        <a:lstStyle/>
                        <a:p>
                          <a:fld id="{E5E4EAC6-54FA-4539-B5B3-8091DD144936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E-80EE-4112-B546-ED20EC56085F}"/>
                      </c:ext>
                    </c:extLst>
                  </c:dLbl>
                  <c:dLbl>
                    <c:idx val="3"/>
                    <c:tx>
                      <c:rich>
                        <a:bodyPr/>
                        <a:lstStyle/>
                        <a:p>
                          <a:fld id="{5CA3BD81-11E7-448C-AF81-ADE98D12FA59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F-80EE-4112-B546-ED20EC56085F}"/>
                      </c:ext>
                    </c:extLst>
                  </c:dLbl>
                  <c:dLbl>
                    <c:idx val="4"/>
                    <c:tx>
                      <c:rich>
                        <a:bodyPr/>
                        <a:lstStyle/>
                        <a:p>
                          <a:fld id="{E34E509A-C35B-4B9D-B2CA-FCAD16672766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0-80EE-4112-B546-ED20EC56085F}"/>
                      </c:ext>
                    </c:extLst>
                  </c:dLbl>
                  <c:dLbl>
                    <c:idx val="5"/>
                    <c:tx>
                      <c:rich>
                        <a:bodyPr/>
                        <a:lstStyle/>
                        <a:p>
                          <a:fld id="{B0D563F1-E1D1-4715-9F6A-EFB536BE79A1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1-80EE-4112-B546-ED20EC56085F}"/>
                      </c:ext>
                    </c:extLst>
                  </c:dLbl>
                  <c:dLbl>
                    <c:idx val="6"/>
                    <c:tx>
                      <c:rich>
                        <a:bodyPr/>
                        <a:lstStyle/>
                        <a:p>
                          <a:fld id="{22CFBCC1-98C2-4582-9F0A-27067FCF28B7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2-80EE-4112-B546-ED20EC56085F}"/>
                      </c:ext>
                    </c:extLst>
                  </c:dLbl>
                  <c:dLbl>
                    <c:idx val="7"/>
                    <c:tx>
                      <c:rich>
                        <a:bodyPr/>
                        <a:lstStyle/>
                        <a:p>
                          <a:fld id="{C9F59E9B-7858-494F-9BE4-4CA8784D297E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3-80EE-4112-B546-ED20EC56085F}"/>
                      </c:ext>
                    </c:extLst>
                  </c:dLbl>
                  <c:dLbl>
                    <c:idx val="8"/>
                    <c:tx>
                      <c:rich>
                        <a:bodyPr/>
                        <a:lstStyle/>
                        <a:p>
                          <a:fld id="{69891229-42ED-4438-892B-DA22A0D7157C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4-80EE-4112-B546-ED20EC56085F}"/>
                      </c:ext>
                    </c:extLst>
                  </c:dLbl>
                  <c:dLbl>
                    <c:idx val="9"/>
                    <c:tx>
                      <c:rich>
                        <a:bodyPr/>
                        <a:lstStyle/>
                        <a:p>
                          <a:fld id="{6D135739-23BC-4E08-AA48-71967E3B868E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5-80EE-4112-B546-ED20EC56085F}"/>
                      </c:ext>
                    </c:extLst>
                  </c:dLbl>
                  <c:dLbl>
                    <c:idx val="10"/>
                    <c:tx>
                      <c:rich>
                        <a:bodyPr/>
                        <a:lstStyle/>
                        <a:p>
                          <a:fld id="{D9ADDEE8-7A45-424F-8A6D-9E6734AF08DF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6-80EE-4112-B546-ED20EC56085F}"/>
                      </c:ext>
                    </c:extLst>
                  </c:dLbl>
                  <c:dLbl>
                    <c:idx val="11"/>
                    <c:tx>
                      <c:rich>
                        <a:bodyPr/>
                        <a:lstStyle/>
                        <a:p>
                          <a:fld id="{1D546C9C-6239-4C2B-B9A3-A16450C44967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7-80EE-4112-B546-ED20EC56085F}"/>
                      </c:ext>
                    </c:extLst>
                  </c:dLbl>
                  <c:dLbl>
                    <c:idx val="12"/>
                    <c:tx>
                      <c:rich>
                        <a:bodyPr/>
                        <a:lstStyle/>
                        <a:p>
                          <a:fld id="{9EBB0C26-9728-4537-9A3C-AEE794D7868B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8-80EE-4112-B546-ED20EC56085F}"/>
                      </c:ext>
                    </c:extLst>
                  </c:dLbl>
                  <c:dLbl>
                    <c:idx val="13"/>
                    <c:tx>
                      <c:rich>
                        <a:bodyPr/>
                        <a:lstStyle/>
                        <a:p>
                          <a:fld id="{F987071D-AFA1-46A8-BE41-5D4AD8F8496A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9-80EE-4112-B546-ED20EC56085F}"/>
                      </c:ext>
                    </c:extLst>
                  </c:dLbl>
                  <c:dLbl>
                    <c:idx val="14"/>
                    <c:tx>
                      <c:rich>
                        <a:bodyPr/>
                        <a:lstStyle/>
                        <a:p>
                          <a:fld id="{21B1DA6B-C0B9-44C8-8A3F-3375DD15CBC5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A-80EE-4112-B546-ED20EC56085F}"/>
                      </c:ext>
                    </c:extLst>
                  </c:dLbl>
                  <c:dLbl>
                    <c:idx val="15"/>
                    <c:tx>
                      <c:rich>
                        <a:bodyPr/>
                        <a:lstStyle/>
                        <a:p>
                          <a:fld id="{A0872419-439E-44C2-BB6F-49922E86B392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B-80EE-4112-B546-ED20EC56085F}"/>
                      </c:ext>
                    </c:extLst>
                  </c:dLbl>
                  <c:dLbl>
                    <c:idx val="16"/>
                    <c:tx>
                      <c:rich>
                        <a:bodyPr/>
                        <a:lstStyle/>
                        <a:p>
                          <a:fld id="{11FCCCE9-F589-45D9-9B81-D58A91851838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C-80EE-4112-B546-ED20EC56085F}"/>
                      </c:ext>
                    </c:extLst>
                  </c:dLbl>
                  <c:dLbl>
                    <c:idx val="17"/>
                    <c:tx>
                      <c:rich>
                        <a:bodyPr/>
                        <a:lstStyle/>
                        <a:p>
                          <a:fld id="{F223B089-1BEB-4CD6-8C5C-D57449BC0358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D-80EE-4112-B546-ED20EC56085F}"/>
                      </c:ext>
                    </c:extLst>
                  </c:dLbl>
                  <c:dLbl>
                    <c:idx val="18"/>
                    <c:tx>
                      <c:rich>
                        <a:bodyPr/>
                        <a:lstStyle/>
                        <a:p>
                          <a:fld id="{EF372EE4-57E9-41FB-A396-2C622E27E436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E-80EE-4112-B546-ED20EC56085F}"/>
                      </c:ext>
                    </c:extLst>
                  </c:dLbl>
                  <c:dLbl>
                    <c:idx val="19"/>
                    <c:tx>
                      <c:rich>
                        <a:bodyPr/>
                        <a:lstStyle/>
                        <a:p>
                          <a:fld id="{AED0E426-9D32-4A54-A735-0A24D64BB486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F-80EE-4112-B546-ED20EC56085F}"/>
                      </c:ext>
                    </c:extLst>
                  </c:dLbl>
                  <c:dLbl>
                    <c:idx val="20"/>
                    <c:tx>
                      <c:rich>
                        <a:bodyPr/>
                        <a:lstStyle/>
                        <a:p>
                          <a:fld id="{7447169F-C1EE-40B7-A006-500DD913008E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70-80EE-4112-B546-ED20EC56085F}"/>
                      </c:ext>
                    </c:extLst>
                  </c:dLbl>
                  <c:dLbl>
                    <c:idx val="21"/>
                    <c:tx>
                      <c:rich>
                        <a:bodyPr/>
                        <a:lstStyle/>
                        <a:p>
                          <a:fld id="{F433C39A-922E-4C25-8600-832B0B32C127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71-80EE-4112-B546-ED20EC56085F}"/>
                      </c:ext>
                    </c:extLst>
                  </c:dLbl>
                  <c:dLbl>
                    <c:idx val="22"/>
                    <c:tx>
                      <c:rich>
                        <a:bodyPr/>
                        <a:lstStyle/>
                        <a:p>
                          <a:fld id="{09D45B9F-8E99-44FF-92EE-0636398C8284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72-80EE-4112-B546-ED20EC56085F}"/>
                      </c:ext>
                    </c:extLst>
                  </c:dLbl>
                  <c:dLbl>
                    <c:idx val="23"/>
                    <c:tx>
                      <c:rich>
                        <a:bodyPr/>
                        <a:lstStyle/>
                        <a:p>
                          <a:fld id="{142DE7D1-9C45-4E5C-B7E8-7182C4A7B567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73-80EE-4112-B546-ED20EC56085F}"/>
                      </c:ext>
                    </c:extLst>
                  </c:dLbl>
                  <c:dLbl>
                    <c:idx val="24"/>
                    <c:tx>
                      <c:rich>
                        <a:bodyPr/>
                        <a:lstStyle/>
                        <a:p>
                          <a:fld id="{567635A2-34A4-4B7C-8DAD-DD2B2D284391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74-80EE-4112-B546-ED20EC56085F}"/>
                      </c:ext>
                    </c:extLst>
                  </c:dLbl>
                  <c:dLbl>
                    <c:idx val="25"/>
                    <c:tx>
                      <c:rich>
                        <a:bodyPr/>
                        <a:lstStyle/>
                        <a:p>
                          <a:fld id="{CEFA3F87-CD52-4D76-AF70-B230953414FB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75-80EE-4112-B546-ED20EC56085F}"/>
                      </c:ext>
                    </c:extLst>
                  </c:dLbl>
                  <c:dLbl>
                    <c:idx val="26"/>
                    <c:tx>
                      <c:rich>
                        <a:bodyPr/>
                        <a:lstStyle/>
                        <a:p>
                          <a:fld id="{82681AE5-71F6-4A0C-9076-2F4AF04BB390}" type="CELLRANGE">
                            <a:rPr lang="pt-BR"/>
                            <a:pPr/>
                            <a:t>[INTERVALODACÉLULA]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76-80EE-4112-B546-ED20EC56085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DataLabelsRange val="1"/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%"/>
                                <a:lumOff val="65%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ANTERIORES'!$A$3:$A$29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ANTERIORES'!$AD$3:$AD$29</c15:sqref>
                        </c15:formulaRef>
                      </c:ext>
                    </c:extLst>
                    <c:numCache>
                      <c:formatCode>0.0%</c:formatCode>
                      <c:ptCount val="27"/>
                      <c:pt idx="0">
                        <c:v>0.95553600000000016</c:v>
                      </c:pt>
                      <c:pt idx="1">
                        <c:v>1.2710701333333336</c:v>
                      </c:pt>
                      <c:pt idx="2">
                        <c:v>2.4391776774723017</c:v>
                      </c:pt>
                      <c:pt idx="3">
                        <c:v>2.4277246707323492</c:v>
                      </c:pt>
                      <c:pt idx="4">
                        <c:v>0.59713453333333344</c:v>
                      </c:pt>
                      <c:pt idx="5">
                        <c:v>0.94904253092878688</c:v>
                      </c:pt>
                      <c:pt idx="6">
                        <c:v>0.62200536000000006</c:v>
                      </c:pt>
                      <c:pt idx="7">
                        <c:v>1.2656744705882352</c:v>
                      </c:pt>
                      <c:pt idx="8">
                        <c:v>0.70584508571428572</c:v>
                      </c:pt>
                      <c:pt idx="9">
                        <c:v>0.86600559999999993</c:v>
                      </c:pt>
                      <c:pt idx="10">
                        <c:v>0</c:v>
                      </c:pt>
                      <c:pt idx="11">
                        <c:v>0.86948102857142862</c:v>
                      </c:pt>
                      <c:pt idx="12">
                        <c:v>0.61588621333333349</c:v>
                      </c:pt>
                      <c:pt idx="13">
                        <c:v>0</c:v>
                      </c:pt>
                      <c:pt idx="14">
                        <c:v>0.6769949978562243</c:v>
                      </c:pt>
                      <c:pt idx="15">
                        <c:v>0</c:v>
                      </c:pt>
                      <c:pt idx="16">
                        <c:v>0.6059647352415759</c:v>
                      </c:pt>
                      <c:pt idx="17">
                        <c:v>0.31844923076923076</c:v>
                      </c:pt>
                      <c:pt idx="18">
                        <c:v>0.32286357800000004</c:v>
                      </c:pt>
                      <c:pt idx="19">
                        <c:v>0</c:v>
                      </c:pt>
                      <c:pt idx="20">
                        <c:v>0.61780345000000003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0.39560801274064733</c:v>
                      </c:pt>
                      <c:pt idx="25">
                        <c:v>0.79016072370900881</c:v>
                      </c:pt>
                      <c:pt idx="26">
                        <c:v>1.1948408796895214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datalabelsRange>
                      <c15:f>'EXERCÍCIOS ANTERIORES'!$AB$3:$AB$29</c15:f>
                      <c15:dlblRangeCache>
                        <c:ptCount val="27"/>
                        <c:pt idx="0">
                          <c:v> 6.689 </c:v>
                        </c:pt>
                        <c:pt idx="1">
                          <c:v> 38.132 </c:v>
                        </c:pt>
                        <c:pt idx="2">
                          <c:v> 23.777 </c:v>
                        </c:pt>
                        <c:pt idx="3">
                          <c:v> 74.752 </c:v>
                        </c:pt>
                        <c:pt idx="4">
                          <c:v> 107.484 </c:v>
                        </c:pt>
                        <c:pt idx="5">
                          <c:v> 61.676 </c:v>
                        </c:pt>
                        <c:pt idx="6">
                          <c:v> 124.401 </c:v>
                        </c:pt>
                        <c:pt idx="7">
                          <c:v> 86.066 </c:v>
                        </c:pt>
                        <c:pt idx="8">
                          <c:v> 98.818 </c:v>
                        </c:pt>
                        <c:pt idx="9">
                          <c:v> 43.300 </c:v>
                        </c:pt>
                        <c:pt idx="10">
                          <c:v> 60.101 </c:v>
                        </c:pt>
                        <c:pt idx="11">
                          <c:v> 60.864 </c:v>
                        </c:pt>
                        <c:pt idx="12">
                          <c:v> 369.532 </c:v>
                        </c:pt>
                        <c:pt idx="13">
                          <c:v> 70.448 </c:v>
                        </c:pt>
                        <c:pt idx="14">
                          <c:v> 56.843 </c:v>
                        </c:pt>
                        <c:pt idx="15">
                          <c:v> 215.979 </c:v>
                        </c:pt>
                        <c:pt idx="16">
                          <c:v> 133.308 </c:v>
                        </c:pt>
                        <c:pt idx="17">
                          <c:v> 16.559 </c:v>
                        </c:pt>
                        <c:pt idx="18">
                          <c:v> 322.864 </c:v>
                        </c:pt>
                        <c:pt idx="19">
                          <c:v> 61.394 </c:v>
                        </c:pt>
                        <c:pt idx="20">
                          <c:v> 370.682 </c:v>
                        </c:pt>
                        <c:pt idx="21">
                          <c:v> 16.284 </c:v>
                        </c:pt>
                        <c:pt idx="22">
                          <c:v> 2.884 </c:v>
                        </c:pt>
                        <c:pt idx="23">
                          <c:v> 163.491 </c:v>
                        </c:pt>
                        <c:pt idx="24">
                          <c:v> 1.153.901 </c:v>
                        </c:pt>
                        <c:pt idx="25">
                          <c:v> 41.926 </c:v>
                        </c:pt>
                        <c:pt idx="26">
                          <c:v> 20.319 </c:v>
                        </c:pt>
                      </c15:dlblRangeCache>
                    </c15:datalabelsRange>
                  </c:ext>
                  <c:ext xmlns:c16="http://schemas.microsoft.com/office/drawing/2014/chart" uri="{C3380CC4-5D6E-409C-BE32-E72D297353CC}">
                    <c16:uniqueId val="{00000077-80EE-4112-B546-ED20EC56085F}"/>
                  </c:ext>
                </c:extLst>
              </c15:ser>
            </c15:filteredBarSeries>
          </c:ext>
        </c:extLst>
      </c:barChart>
      <c:catAx>
        <c:axId val="26264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62644832"/>
        <c:crosses val="autoZero"/>
        <c:auto val="1"/>
        <c:lblAlgn val="ctr"/>
        <c:lblOffset val="100"/>
        <c:noMultiLvlLbl val="0"/>
      </c:catAx>
      <c:valAx>
        <c:axId val="262644832"/>
        <c:scaling>
          <c:orientation val="minMax"/>
          <c:max val="4.099999999999999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62644272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%"/>
          <a:lumOff val="85%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68724869962753"/>
          <c:y val="6.4675925925925928E-2"/>
          <c:w val="0.81372604908727442"/>
          <c:h val="0.77552592592592595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chemeClr val="tx2">
                  <a:lumMod val="60%"/>
                  <a:lumOff val="40%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%"/>
                  <a:lumOff val="40%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8-443B-BEF0-2C1793EB48CF}"/>
                </c:ext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8-443B-BEF0-2C1793EB48CF}"/>
                </c:ext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A8-443B-BEF0-2C1793EB48CF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728006.7976387497</c:v>
                </c:pt>
                <c:pt idx="1">
                  <c:v>1250668.9713280427</c:v>
                </c:pt>
                <c:pt idx="2">
                  <c:v>1744929.7334060951</c:v>
                </c:pt>
                <c:pt idx="3">
                  <c:v>2205094.9492343953</c:v>
                </c:pt>
                <c:pt idx="4">
                  <c:v>2687655.4318216094</c:v>
                </c:pt>
                <c:pt idx="5">
                  <c:v>3173054.3904569834</c:v>
                </c:pt>
                <c:pt idx="6">
                  <c:v>3704166.521725696</c:v>
                </c:pt>
                <c:pt idx="7">
                  <c:v>4319267.4267853573</c:v>
                </c:pt>
                <c:pt idx="8">
                  <c:v>4817214.7848488986</c:v>
                </c:pt>
                <c:pt idx="9">
                  <c:v>5525765.8016106859</c:v>
                </c:pt>
                <c:pt idx="10">
                  <c:v>6163666.8992301533</c:v>
                </c:pt>
                <c:pt idx="11">
                  <c:v>6782877.4148296248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EA8-443B-BEF0-2C1793EB48CF}"/>
            </c:ext>
          </c:extLst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1930208333333337E-2"/>
                  <c:y val="3.9892708333333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A8-443B-BEF0-2C1793EB48CF}"/>
                </c:ext>
              </c:extLst>
            </c:dLbl>
            <c:dLbl>
              <c:idx val="1"/>
              <c:layout>
                <c:manualLayout>
                  <c:x val="-2.0980729166666667E-2"/>
                  <c:y val="9.1696180555555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8-443B-BEF0-2C1793EB48CF}"/>
                </c:ext>
              </c:extLst>
            </c:dLbl>
            <c:dLbl>
              <c:idx val="2"/>
              <c:layout>
                <c:manualLayout>
                  <c:x val="-2.0250347222222222E-2"/>
                  <c:y val="0.127128125000000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A8-443B-BEF0-2C1793EB48CF}"/>
                </c:ext>
              </c:extLst>
            </c:dLbl>
            <c:dLbl>
              <c:idx val="3"/>
              <c:layout>
                <c:manualLayout>
                  <c:x val="-1.1024305555555636E-2"/>
                  <c:y val="0.16315972222222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8-443B-BEF0-2C1793EB48CF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A8-443B-BEF0-2C1793EB48CF}"/>
            </c:ext>
          </c:extLst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rgbClr val="0066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8-443B-BEF0-2C1793EB48CF}"/>
                </c:ext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A8-443B-BEF0-2C1793EB48CF}"/>
                </c:ext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A8-443B-BEF0-2C1793EB48CF}"/>
                </c:ext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A8-443B-BEF0-2C1793EB48CF}"/>
                </c:ext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A8-443B-BEF0-2C1793EB48CF}"/>
                </c:ext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A8-443B-BEF0-2C1793EB48CF}"/>
                </c:ext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A8-443B-BEF0-2C1793EB48CF}"/>
                </c:ext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A8-443B-BEF0-2C1793EB48CF}"/>
                </c:ext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A8-443B-BEF0-2C1793EB48CF}"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A8-443B-BEF0-2C1793EB48CF}"/>
                </c:ext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A8-443B-BEF0-2C1793EB48CF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A8-443B-BEF0-2C1793EB48CF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6666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821304.99769217195</c:v>
                </c:pt>
                <c:pt idx="1">
                  <c:v>1410949.2932509058</c:v>
                </c:pt>
                <c:pt idx="2">
                  <c:v>1968552.3752200392</c:v>
                </c:pt>
                <c:pt idx="3">
                  <c:v>2487690.3733124947</c:v>
                </c:pt>
                <c:pt idx="4">
                  <c:v>3032093.7186151734</c:v>
                </c:pt>
                <c:pt idx="5">
                  <c:v>3579699.3067701771</c:v>
                </c:pt>
                <c:pt idx="6">
                  <c:v>4178876.4698965959</c:v>
                </c:pt>
                <c:pt idx="7">
                  <c:v>4872806.044522848</c:v>
                </c:pt>
                <c:pt idx="8">
                  <c:v>5434568.1806617696</c:v>
                </c:pt>
                <c:pt idx="9">
                  <c:v>6233924.0288129207</c:v>
                </c:pt>
                <c:pt idx="10">
                  <c:v>6953575.7699882351</c:v>
                </c:pt>
                <c:pt idx="11">
                  <c:v>7652141.625052887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A8-443B-BEF0-2C1793EB4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756448"/>
        <c:axId val="285757008"/>
      </c:lineChart>
      <c:catAx>
        <c:axId val="28575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5757008"/>
        <c:crosses val="autoZero"/>
        <c:auto val="1"/>
        <c:lblAlgn val="ctr"/>
        <c:lblOffset val="100"/>
        <c:noMultiLvlLbl val="0"/>
      </c:catAx>
      <c:valAx>
        <c:axId val="285757008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857564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4475248001682836E-3"/>
                <c:y val="1.2717821008157486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703888888888888"/>
          <c:y val="0.90973564814814811"/>
          <c:w val="0.50846616161616154"/>
          <c:h val="8.59916666666666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68724869962753"/>
          <c:y val="6.4675925925925928E-2"/>
          <c:w val="0.81515052854408354"/>
          <c:h val="0.79892685185185186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chemeClr val="tx2">
                  <a:lumMod val="60%"/>
                  <a:lumOff val="40%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%"/>
                  <a:lumOff val="40%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99-49A1-8B25-C48B029E9996}"/>
                </c:ext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99-49A1-8B25-C48B029E9996}"/>
                </c:ext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99-49A1-8B25-C48B029E9996}"/>
                </c:ext>
              </c:extLst>
            </c:dLbl>
            <c:dLbl>
              <c:idx val="3"/>
              <c:layout>
                <c:manualLayout>
                  <c:x val="-3.0173611111111109E-2"/>
                  <c:y val="5.34347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99-49A1-8B25-C48B029E9996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5289691.519425259</c:v>
                </c:pt>
                <c:pt idx="1">
                  <c:v>10946126.084264638</c:v>
                </c:pt>
                <c:pt idx="2">
                  <c:v>18483532.833525073</c:v>
                </c:pt>
                <c:pt idx="3">
                  <c:v>25403790.303136677</c:v>
                </c:pt>
                <c:pt idx="4">
                  <c:v>33225436.985169947</c:v>
                </c:pt>
                <c:pt idx="5">
                  <c:v>40648530.656770773</c:v>
                </c:pt>
                <c:pt idx="6">
                  <c:v>48092325.603216611</c:v>
                </c:pt>
                <c:pt idx="7">
                  <c:v>56573819.691179112</c:v>
                </c:pt>
                <c:pt idx="8">
                  <c:v>63808638.033217229</c:v>
                </c:pt>
                <c:pt idx="9">
                  <c:v>71594760.70306471</c:v>
                </c:pt>
                <c:pt idx="10">
                  <c:v>78493365.828256473</c:v>
                </c:pt>
                <c:pt idx="11">
                  <c:v>84943109.670736536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A99-49A1-8B25-C48B029E9996}"/>
            </c:ext>
          </c:extLst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99-49A1-8B25-C48B029E9996}"/>
                </c:ext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99-49A1-8B25-C48B029E9996}"/>
                </c:ext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99-49A1-8B25-C48B029E9996}"/>
                </c:ext>
              </c:extLst>
            </c:dLbl>
            <c:dLbl>
              <c:idx val="3"/>
              <c:layout>
                <c:manualLayout>
                  <c:x val="-5.2916666666666751E-2"/>
                  <c:y val="-8.819444444444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99-49A1-8B25-C48B029E9996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99-49A1-8B25-C48B029E9996}"/>
            </c:ext>
          </c:extLst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99-49A1-8B25-C48B029E9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675648"/>
        <c:axId val="287676208"/>
      </c:lineChart>
      <c:catAx>
        <c:axId val="28767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7676208"/>
        <c:crosses val="autoZero"/>
        <c:auto val="1"/>
        <c:lblAlgn val="ctr"/>
        <c:lblOffset val="100"/>
        <c:noMultiLvlLbl val="0"/>
      </c:catAx>
      <c:valAx>
        <c:axId val="28767620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876756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4475248001682836E-3"/>
                <c:y val="1.678838297466791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62897272727272724"/>
          <c:y val="0.63008611111111112"/>
          <c:w val="0.33895656565656568"/>
          <c:h val="0.198438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71067601241303"/>
          <c:y val="6.4675925925925928E-2"/>
          <c:w val="0.83671195493562323"/>
          <c:h val="0.77552592592592595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chemeClr val="tx2">
                  <a:lumMod val="60%"/>
                  <a:lumOff val="40%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%"/>
                  <a:lumOff val="40%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66-49D2-9A91-A3816CE6E68A}"/>
                </c:ext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66-49D2-9A91-A3816CE6E68A}"/>
                </c:ext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66-49D2-9A91-A3816CE6E68A}"/>
                </c:ext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6-49D2-9A91-A3816CE6E68A}"/>
                </c:ext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66-49D2-9A91-A3816CE6E68A}"/>
                </c:ext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66-49D2-9A91-A3816CE6E68A}"/>
                </c:ext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66-49D2-9A91-A3816CE6E68A}"/>
                </c:ext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66-49D2-9A91-A3816CE6E68A}"/>
                </c:ext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66-49D2-9A91-A3816CE6E68A}"/>
                </c:ext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66-49D2-9A91-A3816CE6E68A}"/>
                </c:ext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66-49D2-9A91-A3816CE6E68A}"/>
                </c:ext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66-49D2-9A91-A3816CE6E68A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149032.88527663413</c:v>
                </c:pt>
                <c:pt idx="1">
                  <c:v>254452.53292839986</c:v>
                </c:pt>
                <c:pt idx="2">
                  <c:v>351791.47133290104</c:v>
                </c:pt>
                <c:pt idx="3">
                  <c:v>435601.46585815132</c:v>
                </c:pt>
                <c:pt idx="4">
                  <c:v>520609.99117925472</c:v>
                </c:pt>
                <c:pt idx="5">
                  <c:v>603925.31113934948</c:v>
                </c:pt>
                <c:pt idx="6">
                  <c:v>677295.37754477479</c:v>
                </c:pt>
                <c:pt idx="7">
                  <c:v>754583.73676182423</c:v>
                </c:pt>
                <c:pt idx="8">
                  <c:v>813921.49769616686</c:v>
                </c:pt>
                <c:pt idx="9">
                  <c:v>889347.10772690573</c:v>
                </c:pt>
                <c:pt idx="10">
                  <c:v>956788.17683665326</c:v>
                </c:pt>
                <c:pt idx="11">
                  <c:v>1026714.548424322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C666-49D2-9A91-A3816CE6E68A}"/>
            </c:ext>
          </c:extLst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66-49D2-9A91-A3816CE6E68A}"/>
                </c:ext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66-49D2-9A91-A3816CE6E68A}"/>
                </c:ext>
              </c:extLst>
            </c:dLbl>
            <c:dLbl>
              <c:idx val="2"/>
              <c:layout>
                <c:manualLayout>
                  <c:x val="-5.9221354166666705E-2"/>
                  <c:y val="-5.1246874999999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66-49D2-9A91-A3816CE6E68A}"/>
                </c:ext>
              </c:extLst>
            </c:dLbl>
            <c:dLbl>
              <c:idx val="3"/>
              <c:layout>
                <c:manualLayout>
                  <c:x val="-6.3940972222222225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66-49D2-9A91-A3816CE6E68A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666-49D2-9A91-A3816CE6E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679568"/>
        <c:axId val="287680128"/>
      </c:lineChart>
      <c:catAx>
        <c:axId val="28767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7680128"/>
        <c:crosses val="autoZero"/>
        <c:auto val="1"/>
        <c:lblAlgn val="ctr"/>
        <c:lblOffset val="100"/>
        <c:noMultiLvlLbl val="0"/>
      </c:catAx>
      <c:valAx>
        <c:axId val="2876801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876795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6509239371505537E-3"/>
                <c:y val="2.1682483649196511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037222222222228"/>
          <c:y val="0.60656759259259263"/>
          <c:w val="0.2775570707070707"/>
          <c:h val="0.198438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20798611111108"/>
          <c:y val="6.4675925925925928E-2"/>
          <c:w val="0.83524305555555556"/>
          <c:h val="0.77552592592592595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chemeClr val="tx2">
                  <a:lumMod val="60%"/>
                  <a:lumOff val="40%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%"/>
                  <a:lumOff val="40%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7B-4A33-8318-0B84EB77E628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2235485.7726254836</c:v>
                </c:pt>
                <c:pt idx="1">
                  <c:v>4212235.8701483989</c:v>
                </c:pt>
                <c:pt idx="2">
                  <c:v>5262541.4014268918</c:v>
                </c:pt>
                <c:pt idx="3">
                  <c:v>6112110.4281369606</c:v>
                </c:pt>
                <c:pt idx="4">
                  <c:v>7306492.2853614269</c:v>
                </c:pt>
                <c:pt idx="5">
                  <c:v>8376627.2778502097</c:v>
                </c:pt>
                <c:pt idx="6">
                  <c:v>8779924.0493827146</c:v>
                </c:pt>
                <c:pt idx="7">
                  <c:v>9163092.7915643938</c:v>
                </c:pt>
                <c:pt idx="8">
                  <c:v>9434967.9727359042</c:v>
                </c:pt>
                <c:pt idx="9">
                  <c:v>9752183.9950471818</c:v>
                </c:pt>
                <c:pt idx="10">
                  <c:v>9980599.4679945931</c:v>
                </c:pt>
                <c:pt idx="11">
                  <c:v>10182900.468229098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C7B-4A33-8318-0B84EB77E628}"/>
            </c:ext>
          </c:extLst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rgbClr val="0066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B-4A33-8318-0B84EB77E628}"/>
                </c:ext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B-4A33-8318-0B84EB77E628}"/>
                </c:ext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B-4A33-8318-0B84EB77E628}"/>
                </c:ext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B-4A33-8318-0B84EB77E628}"/>
                </c:ext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B-4A33-8318-0B84EB77E628}"/>
                </c:ext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7B-4A33-8318-0B84EB77E628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7B-4A33-8318-0B84EB77E628}"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7B-4A33-8318-0B84EB77E628}"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7B-4A33-8318-0B84EB77E628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7B-4A33-8318-0B84EB77E628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7B-4A33-8318-0B84EB77E628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7B-4A33-8318-0B84EB77E628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6666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3544225.5926342681</c:v>
                </c:pt>
                <c:pt idx="1">
                  <c:v>6678241.6403654478</c:v>
                </c:pt>
                <c:pt idx="2">
                  <c:v>8343436.6461339798</c:v>
                </c:pt>
                <c:pt idx="3">
                  <c:v>9690376.2348564994</c:v>
                </c:pt>
                <c:pt idx="4">
                  <c:v>11583995.419371074</c:v>
                </c:pt>
                <c:pt idx="5">
                  <c:v>13280628.819769654</c:v>
                </c:pt>
                <c:pt idx="6">
                  <c:v>13920031.117290674</c:v>
                </c:pt>
                <c:pt idx="7">
                  <c:v>14527521.658705674</c:v>
                </c:pt>
                <c:pt idx="8">
                  <c:v>14958563.084649732</c:v>
                </c:pt>
                <c:pt idx="9">
                  <c:v>15461489.633517385</c:v>
                </c:pt>
                <c:pt idx="10">
                  <c:v>15823628.357407847</c:v>
                </c:pt>
                <c:pt idx="11">
                  <c:v>16144364.18638365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C7B-4A33-8318-0B84EB77E628}"/>
            </c:ext>
          </c:extLst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7B-4A33-8318-0B84EB77E628}"/>
                </c:ext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7B-4A33-8318-0B84EB77E628}"/>
                </c:ext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7B-4A33-8318-0B84EB77E628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7B-4A33-8318-0B84EB77E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631632"/>
        <c:axId val="288632192"/>
      </c:lineChart>
      <c:catAx>
        <c:axId val="28863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8632192"/>
        <c:crosses val="autoZero"/>
        <c:auto val="1"/>
        <c:lblAlgn val="ctr"/>
        <c:lblOffset val="100"/>
        <c:noMultiLvlLbl val="0"/>
      </c:catAx>
      <c:valAx>
        <c:axId val="2886321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886316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0"/>
                <c:y val="1.2192533906432736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999343434343431"/>
          <c:y val="0.52168009259259274"/>
          <c:w val="0.2775570707070707"/>
          <c:h val="0.297658333333333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91536902321201"/>
          <c:y val="6.4675925925925928E-2"/>
          <c:w val="0.86109324725427272"/>
          <c:h val="0.77552592592592595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chemeClr val="tx2">
                  <a:lumMod val="60%"/>
                  <a:lumOff val="40%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%"/>
                  <a:lumOff val="40%"/>
                </a:schemeClr>
              </a:solidFill>
              <a:ln w="9525">
                <a:noFill/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1310230.0516277591</c:v>
                </c:pt>
                <c:pt idx="1">
                  <c:v>2138806.5617406666</c:v>
                </c:pt>
                <c:pt idx="2">
                  <c:v>2875295.2254140498</c:v>
                </c:pt>
                <c:pt idx="3">
                  <c:v>3508232.95521536</c:v>
                </c:pt>
                <c:pt idx="4">
                  <c:v>4196266.4682252845</c:v>
                </c:pt>
                <c:pt idx="5">
                  <c:v>4792472.3572983611</c:v>
                </c:pt>
                <c:pt idx="6">
                  <c:v>5379422.8673073482</c:v>
                </c:pt>
                <c:pt idx="7">
                  <c:v>5990230.9955518246</c:v>
                </c:pt>
                <c:pt idx="8">
                  <c:v>6455772.3440091806</c:v>
                </c:pt>
                <c:pt idx="9">
                  <c:v>7087618.0440178793</c:v>
                </c:pt>
                <c:pt idx="10">
                  <c:v>7617587.9502158975</c:v>
                </c:pt>
                <c:pt idx="11">
                  <c:v>8145741.0494781248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79-48D2-A0B4-1587E6C050CA}"/>
            </c:ext>
          </c:extLst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79-48D2-A0B4-1587E6C050CA}"/>
                </c:ext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79-48D2-A0B4-1587E6C050CA}"/>
                </c:ext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79-48D2-A0B4-1587E6C050CA}"/>
                </c:ext>
              </c:extLst>
            </c:dLbl>
            <c:dLbl>
              <c:idx val="3"/>
              <c:layout>
                <c:manualLayout>
                  <c:x val="-4.1892361111111109E-2"/>
                  <c:y val="-4.409722222222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79-48D2-A0B4-1587E6C050CA}"/>
                </c:ext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79-48D2-A0B4-1587E6C05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636112"/>
        <c:axId val="28863667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AF79-48D2-A0B4-1587E6C050CA}"/>
                  </c:ext>
                </c:extLst>
              </c15:ser>
            </c15:filteredLineSeries>
          </c:ext>
        </c:extLst>
      </c:lineChart>
      <c:catAx>
        <c:axId val="28863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8636672"/>
        <c:crosses val="autoZero"/>
        <c:auto val="1"/>
        <c:lblAlgn val="ctr"/>
        <c:lblOffset val="100"/>
        <c:noMultiLvlLbl val="0"/>
      </c:catAx>
      <c:valAx>
        <c:axId val="28863667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886361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0"/>
                <c:y val="0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8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037222222222228"/>
          <c:y val="0.6006879629629629"/>
          <c:w val="0.2775570707070707"/>
          <c:h val="0.198438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8E-4058-BCB7-0C278418A047}"/>
                </c:ext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8E-4058-BCB7-0C278418A047}"/>
                </c:ext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8E-4058-BCB7-0C278418A047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728006.7976387497</c:v>
                </c:pt>
                <c:pt idx="1">
                  <c:v>1250668.9713280427</c:v>
                </c:pt>
                <c:pt idx="2">
                  <c:v>1744929.7334060951</c:v>
                </c:pt>
                <c:pt idx="3">
                  <c:v>2205094.9492343953</c:v>
                </c:pt>
                <c:pt idx="4">
                  <c:v>2687655.4318216094</c:v>
                </c:pt>
                <c:pt idx="5">
                  <c:v>3173054.3904569834</c:v>
                </c:pt>
                <c:pt idx="6">
                  <c:v>3704166.521725696</c:v>
                </c:pt>
                <c:pt idx="7">
                  <c:v>4319267.4267853573</c:v>
                </c:pt>
                <c:pt idx="8">
                  <c:v>4817214.7848488986</c:v>
                </c:pt>
                <c:pt idx="9">
                  <c:v>5525765.8016106859</c:v>
                </c:pt>
                <c:pt idx="10">
                  <c:v>6163666.8992301533</c:v>
                </c:pt>
                <c:pt idx="11">
                  <c:v>6782877.4148296248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18E-4058-BCB7-0C278418A047}"/>
            </c:ext>
          </c:extLst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8E-4058-BCB7-0C278418A047}"/>
                </c:ext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8E-4058-BCB7-0C278418A047}"/>
                </c:ext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8E-4058-BCB7-0C278418A047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8E-4058-BCB7-0C278418A047}"/>
            </c:ext>
          </c:extLst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8E-4058-BCB7-0C278418A047}"/>
                </c:ext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8E-4058-BCB7-0C278418A047}"/>
                </c:ext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8E-4058-BCB7-0C278418A047}"/>
                </c:ext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8E-4058-BCB7-0C278418A047}"/>
                </c:ext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8E-4058-BCB7-0C278418A047}"/>
                </c:ext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8E-4058-BCB7-0C278418A047}"/>
                </c:ext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8E-4058-BCB7-0C278418A047}"/>
                </c:ext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8E-4058-BCB7-0C278418A047}"/>
                </c:ext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8E-4058-BCB7-0C278418A047}"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8E-4058-BCB7-0C278418A047}"/>
                </c:ext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8E-4058-BCB7-0C278418A047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8E-4058-BCB7-0C278418A047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821304.99769217195</c:v>
                </c:pt>
                <c:pt idx="1">
                  <c:v>1410949.2932509058</c:v>
                </c:pt>
                <c:pt idx="2">
                  <c:v>1968552.3752200392</c:v>
                </c:pt>
                <c:pt idx="3">
                  <c:v>2487690.3733124947</c:v>
                </c:pt>
                <c:pt idx="4">
                  <c:v>3032093.7186151734</c:v>
                </c:pt>
                <c:pt idx="5">
                  <c:v>3579699.3067701771</c:v>
                </c:pt>
                <c:pt idx="6">
                  <c:v>4178876.4698965959</c:v>
                </c:pt>
                <c:pt idx="7">
                  <c:v>4872806.044522848</c:v>
                </c:pt>
                <c:pt idx="8">
                  <c:v>5434568.1806617696</c:v>
                </c:pt>
                <c:pt idx="9">
                  <c:v>6233924.0288129207</c:v>
                </c:pt>
                <c:pt idx="10">
                  <c:v>6953575.7699882351</c:v>
                </c:pt>
                <c:pt idx="11">
                  <c:v>7652141.625052887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18E-4058-BCB7-0C278418A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640592"/>
        <c:axId val="288641152"/>
      </c:lineChart>
      <c:catAx>
        <c:axId val="28864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8641152"/>
        <c:crosses val="autoZero"/>
        <c:auto val="1"/>
        <c:lblAlgn val="ctr"/>
        <c:lblOffset val="100"/>
        <c:noMultiLvlLbl val="0"/>
      </c:catAx>
      <c:valAx>
        <c:axId val="288641152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886405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69201388888886"/>
          <c:y val="6.4675925925925928E-2"/>
          <c:w val="0.86773072916666671"/>
          <c:h val="0.77552592592592595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Gráficos!$Z$20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chemeClr val="tx2">
                  <a:lumMod val="60%"/>
                  <a:lumOff val="40%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%"/>
                  <a:lumOff val="40%"/>
                </a:schemeClr>
              </a:solidFill>
              <a:ln w="6350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7.4685063144492567E-2"/>
                  <c:y val="9.544940049527692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14-4400-9C96-68CD4E54DE1A}"/>
                </c:ext>
              </c:extLst>
            </c:dLbl>
            <c:dLbl>
              <c:idx val="1"/>
              <c:layout>
                <c:manualLayout>
                  <c:x val="-4.5862005815937808E-2"/>
                  <c:y val="-4.4547312796970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14-4400-9C96-68CD4E54DE1A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Gráficos!$Z$21:$Z$32</c:f>
              <c:numCache>
                <c:formatCode>_-[$R$-416]\ * #,##0_-;\-[$R$-416]\ * #,##0_-;_-[$R$-416]\ * "-"??_-;_-@_-</c:formatCode>
                <c:ptCount val="12"/>
                <c:pt idx="0">
                  <c:v>15252812.062210578</c:v>
                </c:pt>
                <c:pt idx="1">
                  <c:v>26809292.790883284</c:v>
                </c:pt>
                <c:pt idx="2">
                  <c:v>32947429.23768796</c:v>
                </c:pt>
                <c:pt idx="3">
                  <c:v>37580588.917632326</c:v>
                </c:pt>
                <c:pt idx="4">
                  <c:v>44125894.299319766</c:v>
                </c:pt>
                <c:pt idx="5">
                  <c:v>49047533.149651267</c:v>
                </c:pt>
                <c:pt idx="6">
                  <c:v>50716750.551594459</c:v>
                </c:pt>
                <c:pt idx="7">
                  <c:v>52432349.163573302</c:v>
                </c:pt>
                <c:pt idx="8">
                  <c:v>53662858.289542615</c:v>
                </c:pt>
                <c:pt idx="9">
                  <c:v>55170040.772948697</c:v>
                </c:pt>
                <c:pt idx="10">
                  <c:v>56458732.682435155</c:v>
                </c:pt>
                <c:pt idx="11">
                  <c:v>57560604.893544175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14-4400-9C96-68CD4E54DE1A}"/>
            </c:ext>
          </c:extLst>
        </c:ser>
        <c:ser>
          <c:idx val="1"/>
          <c:order val="1"/>
          <c:tx>
            <c:strRef>
              <c:f>Gráficos!$AB$20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rgbClr val="0066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902398773195709E-2"/>
                  <c:y val="-0.101461307179752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14-4400-9C96-68CD4E54DE1A}"/>
                </c:ext>
              </c:extLst>
            </c:dLbl>
            <c:dLbl>
              <c:idx val="1"/>
              <c:layout>
                <c:manualLayout>
                  <c:x val="-4.167454477552468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14-4400-9C96-68CD4E54DE1A}"/>
                </c:ext>
              </c:extLst>
            </c:dLbl>
            <c:dLbl>
              <c:idx val="2"/>
              <c:layout>
                <c:manualLayout>
                  <c:x val="-4.365904690769256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14-4400-9C96-68CD4E54DE1A}"/>
                </c:ext>
              </c:extLst>
            </c:dLbl>
            <c:dLbl>
              <c:idx val="3"/>
              <c:layout>
                <c:manualLayout>
                  <c:x val="-4.3659046907692525E-2"/>
                  <c:y val="-5.38585174912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14-4400-9C96-68CD4E54DE1A}"/>
                </c:ext>
              </c:extLst>
            </c:dLbl>
            <c:dLbl>
              <c:idx val="4"/>
              <c:layout>
                <c:manualLayout>
                  <c:x val="-4.5643549039860364E-2"/>
                  <c:y val="-4.6164443563967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14-4400-9C96-68CD4E54DE1A}"/>
                </c:ext>
              </c:extLst>
            </c:dLbl>
            <c:dLbl>
              <c:idx val="5"/>
              <c:layout>
                <c:manualLayout>
                  <c:x val="-4.1674544775524756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14-4400-9C96-68CD4E54DE1A}"/>
                </c:ext>
              </c:extLst>
            </c:dLbl>
            <c:dLbl>
              <c:idx val="6"/>
              <c:layout>
                <c:manualLayout>
                  <c:x val="-3.7705540511189073E-2"/>
                  <c:y val="-4.231740660030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14-4400-9C96-68CD4E54DE1A}"/>
                </c:ext>
              </c:extLst>
            </c:dLbl>
            <c:dLbl>
              <c:idx val="7"/>
              <c:layout>
                <c:manualLayout>
                  <c:x val="-3.9690042643356765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14-4400-9C96-68CD4E54DE1A}"/>
                </c:ext>
              </c:extLst>
            </c:dLbl>
            <c:dLbl>
              <c:idx val="8"/>
              <c:layout>
                <c:manualLayout>
                  <c:x val="-3.9690042643356842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14-4400-9C96-68CD4E54DE1A}"/>
                </c:ext>
              </c:extLst>
            </c:dLbl>
            <c:dLbl>
              <c:idx val="9"/>
              <c:layout>
                <c:manualLayout>
                  <c:x val="-3.9690042643356842E-2"/>
                  <c:y val="-4.231740660030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14-4400-9C96-68CD4E54DE1A}"/>
                </c:ext>
              </c:extLst>
            </c:dLbl>
            <c:dLbl>
              <c:idx val="10"/>
              <c:layout>
                <c:manualLayout>
                  <c:x val="-4.5643549039860509E-2"/>
                  <c:y val="-3.4623332672975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14-4400-9C96-68CD4E54DE1A}"/>
                </c:ext>
              </c:extLst>
            </c:dLbl>
            <c:dLbl>
              <c:idx val="11"/>
              <c:layout>
                <c:manualLayout>
                  <c:x val="-3.3736536246853313E-2"/>
                  <c:y val="-3.4623332672975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14-4400-9C96-68CD4E54DE1A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6666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Gráficos!$AB$21:$AB$32</c:f>
              <c:numCache>
                <c:formatCode>_-[$R$-416]\ * #,##0_-;\-[$R$-416]\ * #,##0_-;_-[$R$-416]\ * "-"??_-;_-@_-</c:formatCode>
                <c:ptCount val="12"/>
                <c:pt idx="0">
                  <c:v>19794821.398333404</c:v>
                </c:pt>
                <c:pt idx="1">
                  <c:v>34792611.385146126</c:v>
                </c:pt>
                <c:pt idx="2">
                  <c:v>42758572.952595614</c:v>
                </c:pt>
                <c:pt idx="3">
                  <c:v>48771403.111414634</c:v>
                </c:pt>
                <c:pt idx="4">
                  <c:v>57265781.098871179</c:v>
                </c:pt>
                <c:pt idx="5">
                  <c:v>63652994.265339039</c:v>
                </c:pt>
                <c:pt idx="6">
                  <c:v>65819274.175672293</c:v>
                </c:pt>
                <c:pt idx="7">
                  <c:v>68045746.774747133</c:v>
                </c:pt>
                <c:pt idx="8">
                  <c:v>69642679.083244458</c:v>
                </c:pt>
                <c:pt idx="9">
                  <c:v>71598673.030592427</c:v>
                </c:pt>
                <c:pt idx="10">
                  <c:v>73271113.894724101</c:v>
                </c:pt>
                <c:pt idx="11">
                  <c:v>74701103.560480773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14-4400-9C96-68CD4E54DE1A}"/>
            </c:ext>
          </c:extLst>
        </c:ser>
        <c:ser>
          <c:idx val="2"/>
          <c:order val="2"/>
          <c:tx>
            <c:strRef>
              <c:f>Gráficos!$AA$20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1.5434027777777738E-2"/>
                  <c:y val="3.9687499999999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14-4400-9C96-68CD4E54DE1A}"/>
                </c:ext>
              </c:extLst>
            </c:dLbl>
            <c:dLbl>
              <c:idx val="2"/>
              <c:layout>
                <c:manualLayout>
                  <c:x val="-1.984375000000008E-2"/>
                  <c:y val="4.4097222222222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14-4400-9C96-68CD4E54DE1A}"/>
                </c:ext>
              </c:extLst>
            </c:dLbl>
            <c:dLbl>
              <c:idx val="3"/>
              <c:layout>
                <c:manualLayout>
                  <c:x val="-1.7638888888888971E-2"/>
                  <c:y val="4.85069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14-4400-9C96-68CD4E54DE1A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Gráficos!$AA$21:$AA$32</c:f>
              <c:numCache>
                <c:formatCode>_-[$R$-416]\ * #,##0_-;\-[$R$-416]\ * #,##0_-;_-[$R$-416]\ * "-"??_-;_-@_-</c:formatCode>
                <c:ptCount val="12"/>
                <c:pt idx="0">
                  <c:v>10754868.249999998</c:v>
                </c:pt>
                <c:pt idx="1">
                  <c:v>22148663.869999997</c:v>
                </c:pt>
                <c:pt idx="2">
                  <c:v>26639003.68</c:v>
                </c:pt>
                <c:pt idx="3">
                  <c:v>31687335.240000002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414-4400-9C96-68CD4E54D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091056"/>
        <c:axId val="290091616"/>
      </c:lineChart>
      <c:catAx>
        <c:axId val="29009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0091616"/>
        <c:crosses val="autoZero"/>
        <c:auto val="1"/>
        <c:lblAlgn val="ctr"/>
        <c:lblOffset val="100"/>
        <c:noMultiLvlLbl val="0"/>
      </c:catAx>
      <c:valAx>
        <c:axId val="2900916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00910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5.8400234030476974E-3"/>
                <c:y val="3.151408993366629E-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678636363636359"/>
          <c:y val="0.52168009259259274"/>
          <c:w val="0.2775570707070707"/>
          <c:h val="0.297658333333333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1310230.0516277591</c:v>
                </c:pt>
                <c:pt idx="1">
                  <c:v>2138806.5617406666</c:v>
                </c:pt>
                <c:pt idx="2">
                  <c:v>2875295.2254140498</c:v>
                </c:pt>
                <c:pt idx="3">
                  <c:v>3508232.95521536</c:v>
                </c:pt>
                <c:pt idx="4">
                  <c:v>4196266.4682252845</c:v>
                </c:pt>
                <c:pt idx="5">
                  <c:v>4792472.3572983611</c:v>
                </c:pt>
                <c:pt idx="6">
                  <c:v>5379422.8673073482</c:v>
                </c:pt>
                <c:pt idx="7">
                  <c:v>5990230.9955518246</c:v>
                </c:pt>
                <c:pt idx="8">
                  <c:v>6455772.3440091806</c:v>
                </c:pt>
                <c:pt idx="9">
                  <c:v>7087618.0440178793</c:v>
                </c:pt>
                <c:pt idx="10">
                  <c:v>7617587.9502158975</c:v>
                </c:pt>
                <c:pt idx="11">
                  <c:v>8145741.0494781248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FE9-4C1A-BB7D-E342B1BAE7F1}"/>
            </c:ext>
          </c:extLst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E9-4C1A-BB7D-E342B1BAE7F1}"/>
                </c:ext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E9-4C1A-BB7D-E342B1BAE7F1}"/>
                </c:ext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E9-4C1A-BB7D-E342B1BAE7F1}"/>
                </c:ext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E9-4C1A-BB7D-E342B1BAE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01136"/>
        <c:axId val="29010169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2FE9-4C1A-BB7D-E342B1BAE7F1}"/>
                  </c:ext>
                </c:extLst>
              </c15:ser>
            </c15:filteredLineSeries>
          </c:ext>
        </c:extLst>
      </c:lineChart>
      <c:catAx>
        <c:axId val="29010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0101696"/>
        <c:crosses val="autoZero"/>
        <c:auto val="1"/>
        <c:lblAlgn val="ctr"/>
        <c:lblOffset val="100"/>
        <c:noMultiLvlLbl val="0"/>
      </c:catAx>
      <c:valAx>
        <c:axId val="2901016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01011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1D-4433-8D3A-13001D523267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2235485.7726254836</c:v>
                </c:pt>
                <c:pt idx="1">
                  <c:v>4212235.8701483989</c:v>
                </c:pt>
                <c:pt idx="2">
                  <c:v>5262541.4014268918</c:v>
                </c:pt>
                <c:pt idx="3">
                  <c:v>6112110.4281369606</c:v>
                </c:pt>
                <c:pt idx="4">
                  <c:v>7306492.2853614269</c:v>
                </c:pt>
                <c:pt idx="5">
                  <c:v>8376627.2778502097</c:v>
                </c:pt>
                <c:pt idx="6">
                  <c:v>8779924.0493827146</c:v>
                </c:pt>
                <c:pt idx="7">
                  <c:v>9163092.7915643938</c:v>
                </c:pt>
                <c:pt idx="8">
                  <c:v>9434967.9727359042</c:v>
                </c:pt>
                <c:pt idx="9">
                  <c:v>9752183.9950471818</c:v>
                </c:pt>
                <c:pt idx="10">
                  <c:v>9980599.4679945931</c:v>
                </c:pt>
                <c:pt idx="11">
                  <c:v>10182900.468229098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41D-4433-8D3A-13001D523267}"/>
            </c:ext>
          </c:extLst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1D-4433-8D3A-13001D523267}"/>
                </c:ext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1D-4433-8D3A-13001D523267}"/>
                </c:ext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1D-4433-8D3A-13001D523267}"/>
                </c:ext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1D-4433-8D3A-13001D523267}"/>
                </c:ext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1D-4433-8D3A-13001D523267}"/>
                </c:ext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1D-4433-8D3A-13001D523267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1D-4433-8D3A-13001D523267}"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1D-4433-8D3A-13001D523267}"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1D-4433-8D3A-13001D523267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1D-4433-8D3A-13001D523267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1D-4433-8D3A-13001D523267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1D-4433-8D3A-13001D523267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3544225.5926342681</c:v>
                </c:pt>
                <c:pt idx="1">
                  <c:v>6678241.6403654478</c:v>
                </c:pt>
                <c:pt idx="2">
                  <c:v>8343436.6461339798</c:v>
                </c:pt>
                <c:pt idx="3">
                  <c:v>9690376.2348564994</c:v>
                </c:pt>
                <c:pt idx="4">
                  <c:v>11583995.419371074</c:v>
                </c:pt>
                <c:pt idx="5">
                  <c:v>13280628.819769654</c:v>
                </c:pt>
                <c:pt idx="6">
                  <c:v>13920031.117290674</c:v>
                </c:pt>
                <c:pt idx="7">
                  <c:v>14527521.658705674</c:v>
                </c:pt>
                <c:pt idx="8">
                  <c:v>14958563.084649732</c:v>
                </c:pt>
                <c:pt idx="9">
                  <c:v>15461489.633517385</c:v>
                </c:pt>
                <c:pt idx="10">
                  <c:v>15823628.357407847</c:v>
                </c:pt>
                <c:pt idx="11">
                  <c:v>16144364.18638365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41D-4433-8D3A-13001D523267}"/>
            </c:ext>
          </c:extLst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1D-4433-8D3A-13001D523267}"/>
                </c:ext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1D-4433-8D3A-13001D523267}"/>
                </c:ext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1D-4433-8D3A-13001D523267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1D-4433-8D3A-13001D523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05616"/>
        <c:axId val="290106176"/>
      </c:lineChart>
      <c:catAx>
        <c:axId val="29010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0106176"/>
        <c:crosses val="autoZero"/>
        <c:auto val="1"/>
        <c:lblAlgn val="ctr"/>
        <c:lblOffset val="100"/>
        <c:noMultiLvlLbl val="0"/>
      </c:catAx>
      <c:valAx>
        <c:axId val="29010617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01056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28-40EE-812A-D98C0F827196}"/>
                </c:ext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28-40EE-812A-D98C0F827196}"/>
                </c:ext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28-40EE-812A-D98C0F827196}"/>
                </c:ext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28-40EE-812A-D98C0F827196}"/>
                </c:ext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28-40EE-812A-D98C0F827196}"/>
                </c:ext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28-40EE-812A-D98C0F827196}"/>
                </c:ext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28-40EE-812A-D98C0F827196}"/>
                </c:ext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28-40EE-812A-D98C0F827196}"/>
                </c:ext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28-40EE-812A-D98C0F827196}"/>
                </c:ext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28-40EE-812A-D98C0F827196}"/>
                </c:ext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28-40EE-812A-D98C0F827196}"/>
                </c:ext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28-40EE-812A-D98C0F827196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149032.88527663413</c:v>
                </c:pt>
                <c:pt idx="1">
                  <c:v>254452.53292839986</c:v>
                </c:pt>
                <c:pt idx="2">
                  <c:v>351791.47133290104</c:v>
                </c:pt>
                <c:pt idx="3">
                  <c:v>435601.46585815132</c:v>
                </c:pt>
                <c:pt idx="4">
                  <c:v>520609.99117925472</c:v>
                </c:pt>
                <c:pt idx="5">
                  <c:v>603925.31113934948</c:v>
                </c:pt>
                <c:pt idx="6">
                  <c:v>677295.37754477479</c:v>
                </c:pt>
                <c:pt idx="7">
                  <c:v>754583.73676182423</c:v>
                </c:pt>
                <c:pt idx="8">
                  <c:v>813921.49769616686</c:v>
                </c:pt>
                <c:pt idx="9">
                  <c:v>889347.10772690573</c:v>
                </c:pt>
                <c:pt idx="10">
                  <c:v>956788.17683665326</c:v>
                </c:pt>
                <c:pt idx="11">
                  <c:v>1026714.548424322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AF28-40EE-812A-D98C0F827196}"/>
            </c:ext>
          </c:extLst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28-40EE-812A-D98C0F827196}"/>
                </c:ext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28-40EE-812A-D98C0F827196}"/>
                </c:ext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28-40EE-812A-D98C0F827196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28-40EE-812A-D98C0F827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350320"/>
        <c:axId val="290350880"/>
      </c:lineChart>
      <c:catAx>
        <c:axId val="29035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0350880"/>
        <c:crosses val="autoZero"/>
        <c:auto val="1"/>
        <c:lblAlgn val="ctr"/>
        <c:lblOffset val="100"/>
        <c:noMultiLvlLbl val="0"/>
      </c:catAx>
      <c:valAx>
        <c:axId val="29035088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03503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8885264118713"/>
          <c:y val="0.23570125263245767"/>
          <c:w val="0.77196913138946543"/>
          <c:h val="0.56344674239594883"/>
        </c:manualLayout>
      </c:layout>
      <c:doughnutChart>
        <c:varyColors val="1"/>
        <c:ser>
          <c:idx val="12"/>
          <c:order val="12"/>
          <c:tx>
            <c:strRef>
              <c:f>Gráficos!$N$119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008F9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D1-446A-A38B-80BDE63FBD8E}"/>
              </c:ext>
            </c:extLst>
          </c:dPt>
          <c:dPt>
            <c:idx val="1"/>
            <c:bubble3D val="0"/>
            <c:spPr>
              <a:solidFill>
                <a:srgbClr val="5E9AA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D1-446A-A38B-80BDE63FBD8E}"/>
              </c:ext>
            </c:extLst>
          </c:dPt>
          <c:dPt>
            <c:idx val="2"/>
            <c:bubble3D val="0"/>
            <c:spPr>
              <a:solidFill>
                <a:srgbClr val="AECCD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D1-446A-A38B-80BDE63FBD8E}"/>
              </c:ext>
            </c:extLst>
          </c:dPt>
          <c:dPt>
            <c:idx val="3"/>
            <c:bubble3D val="0"/>
            <c:spPr>
              <a:solidFill>
                <a:srgbClr val="1C39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D1-446A-A38B-80BDE63FBD8E}"/>
              </c:ext>
            </c:extLst>
          </c:dPt>
          <c:dPt>
            <c:idx val="4"/>
            <c:bubble3D val="0"/>
            <c:spPr>
              <a:solidFill>
                <a:srgbClr val="2A566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7D1-446A-A38B-80BDE63FBD8E}"/>
              </c:ext>
            </c:extLst>
          </c:dPt>
          <c:dPt>
            <c:idx val="5"/>
            <c:bubble3D val="0"/>
            <c:spPr>
              <a:solidFill>
                <a:srgbClr val="00687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7D1-446A-A38B-80BDE63FBD8E}"/>
              </c:ext>
            </c:extLst>
          </c:dPt>
          <c:dLbls>
            <c:dLbl>
              <c:idx val="0"/>
              <c:layout>
                <c:manualLayout>
                  <c:x val="1.1111111111111112E-2"/>
                  <c:y val="-8.33333333333333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D1-446A-A38B-80BDE63FBD8E}"/>
                </c:ext>
              </c:extLst>
            </c:dLbl>
            <c:dLbl>
              <c:idx val="1"/>
              <c:layout>
                <c:manualLayout>
                  <c:x val="6.1135891757453591E-2"/>
                  <c:y val="-7.07480122435456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D1-446A-A38B-80BDE63FBD8E}"/>
                </c:ext>
              </c:extLst>
            </c:dLbl>
            <c:dLbl>
              <c:idx val="2"/>
              <c:layout>
                <c:manualLayout>
                  <c:x val="7.3898718278895187E-2"/>
                  <c:y val="-3.40531918919004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D1-446A-A38B-80BDE63FBD8E}"/>
                </c:ext>
              </c:extLst>
            </c:dLbl>
            <c:dLbl>
              <c:idx val="3"/>
              <c:layout>
                <c:manualLayout>
                  <c:x val="4.2185030017964677E-2"/>
                  <c:y val="-1.30928932958876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D1-446A-A38B-80BDE63FBD8E}"/>
                </c:ext>
              </c:extLst>
            </c:dLbl>
            <c:dLbl>
              <c:idx val="4"/>
              <c:layout>
                <c:manualLayout>
                  <c:x val="-2.6459261305388195E-2"/>
                  <c:y val="1.834163328344986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D1-446A-A38B-80BDE63FBD8E}"/>
                </c:ext>
              </c:extLst>
            </c:dLbl>
            <c:dLbl>
              <c:idx val="5"/>
              <c:layout>
                <c:manualLayout>
                  <c:x val="-1.7242447129461019E-3"/>
                  <c:y val="-3.591493988132530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D1-446A-A38B-80BDE63FBD8E}"/>
                </c:ext>
              </c:extLst>
            </c:dLbl>
            <c:numFmt formatCode="0.0%" sourceLinked="0"/>
            <c:spPr>
              <a:solidFill>
                <a:schemeClr val="lt1"/>
              </a:solidFill>
              <a:ln>
                <a:solidFill>
                  <a:schemeClr val="dk1">
                    <a:lumMod val="25%"/>
                    <a:lumOff val="75%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%">
                    <a:solidFill>
                      <a:schemeClr val="dk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%"/>
                      <a:lumOff val="65%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OffpageConnector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Gráficos!$A$120:$A$154</c15:sqref>
                  </c15:fullRef>
                </c:ext>
              </c:extLst>
              <c:f>(Gráficos!$A$127,Gráficos!$A$137,Gráficos!$A$142,Gráficos!$A$147,Gráficos!$A$151,Gráficos!$A$153)</c:f>
              <c:strCache>
                <c:ptCount val="6"/>
                <c:pt idx="0">
                  <c:v>NORTE</c:v>
                </c:pt>
                <c:pt idx="1">
                  <c:v>NORDESTE</c:v>
                </c:pt>
                <c:pt idx="2">
                  <c:v>CENTRO-OESTE</c:v>
                </c:pt>
                <c:pt idx="3">
                  <c:v>SUDESTE</c:v>
                </c:pt>
                <c:pt idx="4">
                  <c:v>SUL</c:v>
                </c:pt>
                <c:pt idx="5">
                  <c:v>CAU/BR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Gráficos!$N$120:$N$154</c15:sqref>
                  </c15:fullRef>
                </c:ext>
              </c:extLst>
              <c:f>(Gráficos!$N$127,Gráficos!$N$137,Gráficos!$N$142,Gráficos!$N$147,Gráficos!$N$151,Gráficos!$N$153)</c:f>
              <c:numCache>
                <c:formatCode>_-* #,##0_-;\-* #,##0_-;_-* "-"??_-;_-@_-</c:formatCode>
                <c:ptCount val="6"/>
                <c:pt idx="0">
                  <c:v>1996418.2320000001</c:v>
                </c:pt>
                <c:pt idx="1">
                  <c:v>6337988.8020000001</c:v>
                </c:pt>
                <c:pt idx="2">
                  <c:v>5097406.8660000004</c:v>
                </c:pt>
                <c:pt idx="3">
                  <c:v>29253420.258400001</c:v>
                </c:pt>
                <c:pt idx="4">
                  <c:v>13363829.569999998</c:v>
                </c:pt>
                <c:pt idx="5">
                  <c:v>13551870.288000001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C-67D1-446A-A38B-80BDE63FBD8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Gráficos!$B$119</c15:sqref>
                        </c15:formulaRef>
                      </c:ext>
                    </c:extLst>
                    <c:strCache>
                      <c:ptCount val="1"/>
                      <c:pt idx="0">
                        <c:v>PF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67D1-446A-A38B-80BDE63FBD8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67D1-446A-A38B-80BDE63FBD8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67D1-446A-A38B-80BDE63FBD8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67D1-446A-A38B-80BDE63FBD8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67D1-446A-A38B-80BDE63FBD8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67D1-446A-A38B-80BDE63FBD8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Gráficos!$A$120:$A$154</c15:sqref>
                        </c15:fullRef>
                        <c15:formulaRef>
                          <c15:sqref>(Gráficos!$A$127,Gráficos!$A$137,Gráficos!$A$142,Gráficos!$A$147,Gráficos!$A$151,Gráficos!$A$153)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Gráficos!$B$120:$B$154</c15:sqref>
                        </c15:fullRef>
                        <c15:formulaRef>
                          <c15:sqref>(Gráficos!$B$127,Gráficos!$B$137,Gráficos!$B$142,Gráficos!$B$147,Gráficos!$B$151,Gráficos!$B$153)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823336.07199999993</c:v>
                      </c:pt>
                      <c:pt idx="1">
                        <c:v>3055260.9600000004</c:v>
                      </c:pt>
                      <c:pt idx="2">
                        <c:v>2071654.5840000003</c:v>
                      </c:pt>
                      <c:pt idx="3">
                        <c:v>13628502.992000001</c:v>
                      </c:pt>
                      <c:pt idx="4">
                        <c:v>5771113.5839999998</c:v>
                      </c:pt>
                      <c:pt idx="5">
                        <c:v>6337467.0480000004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9-67D1-446A-A38B-80BDE63FBD8E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Gráficos!$C$119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B-67D1-446A-A38B-80BDE63FBD8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D-67D1-446A-A38B-80BDE63FBD8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F-67D1-446A-A38B-80BDE63FBD8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1-67D1-446A-A38B-80BDE63FBD8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3-67D1-446A-A38B-80BDE63FBD8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5-67D1-446A-A38B-80BDE63FBD8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(Gráficos!$A$127,Gráficos!$A$137,Gráficos!$A$142,Gráficos!$A$147,Gráficos!$A$151,Gráficos!$A$153)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Gráficos!$C$120:$C$154</c15:sqref>
                        </c15:fullRef>
                        <c15:formulaRef>
                          <c15:sqref>(Gráficos!$C$127,Gráficos!$C$137,Gráficos!$C$142,Gráficos!$C$147,Gráficos!$C$151,Gráficos!$C$153)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0.41240660839647147</c:v>
                      </c:pt>
                      <c:pt idx="1">
                        <c:v>0.48205527896103095</c:v>
                      </c:pt>
                      <c:pt idx="2">
                        <c:v>0.40641342519037604</c:v>
                      </c:pt>
                      <c:pt idx="3">
                        <c:v>0.46587725030500088</c:v>
                      </c:pt>
                      <c:pt idx="4">
                        <c:v>0.43184579343599039</c:v>
                      </c:pt>
                      <c:pt idx="5">
                        <c:v>0.46764519681181882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26-67D1-446A-A38B-80BDE63FBD8E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Gráficos!$D$119</c15:sqref>
                        </c15:formulaRef>
                      </c:ext>
                    </c:extLst>
                    <c:strCache>
                      <c:ptCount val="1"/>
                      <c:pt idx="0">
                        <c:v>PF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8-67D1-446A-A38B-80BDE63FBD8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A-67D1-446A-A38B-80BDE63FBD8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C-67D1-446A-A38B-80BDE63FBD8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E-67D1-446A-A38B-80BDE63FBD8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0-67D1-446A-A38B-80BDE63FBD8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2-67D1-446A-A38B-80BDE63FBD8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(Gráficos!$A$127,Gráficos!$A$137,Gráficos!$A$142,Gráficos!$A$147,Gráficos!$A$151,Gráficos!$A$153)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Gráficos!$D$120:$D$154</c15:sqref>
                        </c15:fullRef>
                        <c15:formulaRef>
                          <c15:sqref>(Gráficos!$D$127,Gráficos!$D$137,Gráficos!$D$142,Gráficos!$D$147,Gráficos!$D$151,Gráficos!$D$153)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215153.08800000002</c:v>
                      </c:pt>
                      <c:pt idx="1">
                        <c:v>560623.88599999994</c:v>
                      </c:pt>
                      <c:pt idx="2">
                        <c:v>344183.68200000003</c:v>
                      </c:pt>
                      <c:pt idx="3">
                        <c:v>1932361.7660000001</c:v>
                      </c:pt>
                      <c:pt idx="4">
                        <c:v>750152.03</c:v>
                      </c:pt>
                      <c:pt idx="5">
                        <c:v>949044.08799999999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33-67D1-446A-A38B-80BDE63FBD8E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Gráficos!$E$119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5-67D1-446A-A38B-80BDE63FBD8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7-67D1-446A-A38B-80BDE63FBD8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9-67D1-446A-A38B-80BDE63FBD8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B-67D1-446A-A38B-80BDE63FBD8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D-67D1-446A-A38B-80BDE63FBD8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F-67D1-446A-A38B-80BDE63FBD8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(Gráficos!$A$127,Gráficos!$A$137,Gráficos!$A$142,Gráficos!$A$147,Gráficos!$A$151,Gráficos!$A$153)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Gráficos!$E$120:$E$154</c15:sqref>
                        </c15:fullRef>
                        <c15:formulaRef>
                          <c15:sqref>(Gráficos!$E$127,Gráficos!$E$137,Gráficos!$E$142,Gráficos!$E$147,Gráficos!$E$151,Gráficos!$E$153)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0.10776954675697432</c:v>
                      </c:pt>
                      <c:pt idx="1">
                        <c:v>8.845454031460119E-2</c:v>
                      </c:pt>
                      <c:pt idx="2">
                        <c:v>6.7521328206254269E-2</c:v>
                      </c:pt>
                      <c:pt idx="3">
                        <c:v>6.6055926073982071E-2</c:v>
                      </c:pt>
                      <c:pt idx="4">
                        <c:v>5.6133013824419799E-2</c:v>
                      </c:pt>
                      <c:pt idx="5">
                        <c:v>7.0030487883312009E-2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40-67D1-446A-A38B-80BDE63FBD8E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Gráficos!$F$119</c15:sqref>
                        </c15:formulaRef>
                      </c:ext>
                    </c:extLst>
                    <c:strCache>
                      <c:ptCount val="1"/>
                      <c:pt idx="0">
                        <c:v>PJ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2-67D1-446A-A38B-80BDE63FBD8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4-67D1-446A-A38B-80BDE63FBD8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6-67D1-446A-A38B-80BDE63FBD8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8-67D1-446A-A38B-80BDE63FBD8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A-67D1-446A-A38B-80BDE63FBD8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C-67D1-446A-A38B-80BDE63FBD8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(Gráficos!$A$127,Gráficos!$A$137,Gráficos!$A$142,Gráficos!$A$147,Gráficos!$A$151,Gráficos!$A$153)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Gráficos!$F$120:$F$154</c15:sqref>
                        </c15:fullRef>
                        <c15:formulaRef>
                          <c15:sqref>(Gráficos!$F$127,Gráficos!$F$137,Gráficos!$F$142,Gráficos!$F$147,Gráficos!$F$151,Gráficos!$F$153)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91926.52800000002</c:v>
                      </c:pt>
                      <c:pt idx="1">
                        <c:v>350359.60000000003</c:v>
                      </c:pt>
                      <c:pt idx="2">
                        <c:v>238575.63200000004</c:v>
                      </c:pt>
                      <c:pt idx="3">
                        <c:v>1696771.0160000003</c:v>
                      </c:pt>
                      <c:pt idx="4">
                        <c:v>815914.97600000014</c:v>
                      </c:pt>
                      <c:pt idx="5">
                        <c:v>798386.93800000008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4D-67D1-446A-A38B-80BDE63FBD8E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Gráficos!$G$119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F-67D1-446A-A38B-80BDE63FBD8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1-67D1-446A-A38B-80BDE63FBD8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3-67D1-446A-A38B-80BDE63FBD8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5-67D1-446A-A38B-80BDE63FBD8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7-67D1-446A-A38B-80BDE63FBD8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9-67D1-446A-A38B-80BDE63FBD8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(Gráficos!$A$127,Gráficos!$A$137,Gráficos!$A$142,Gráficos!$A$147,Gráficos!$A$151,Gráficos!$A$153)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Gráficos!$G$120:$G$154</c15:sqref>
                        </c15:fullRef>
                        <c15:formulaRef>
                          <c15:sqref>(Gráficos!$G$127,Gráficos!$G$137,Gráficos!$G$142,Gráficos!$G$147,Gráficos!$G$151,Gráficos!$G$153)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4.6045726554955653E-2</c:v>
                      </c:pt>
                      <c:pt idx="1">
                        <c:v>5.5279302464125754E-2</c:v>
                      </c:pt>
                      <c:pt idx="2">
                        <c:v>4.6803333198947361E-2</c:v>
                      </c:pt>
                      <c:pt idx="3">
                        <c:v>5.8002483163068067E-2</c:v>
                      </c:pt>
                      <c:pt idx="4">
                        <c:v>6.1053979454483591E-2</c:v>
                      </c:pt>
                      <c:pt idx="5">
                        <c:v>5.8913413501822033E-2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5A-67D1-446A-A38B-80BDE63FBD8E}"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Gráficos!$H$119</c15:sqref>
                        </c15:formulaRef>
                      </c:ext>
                    </c:extLst>
                    <c:strCache>
                      <c:ptCount val="1"/>
                      <c:pt idx="0">
                        <c:v>PJ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C-67D1-446A-A38B-80BDE63FBD8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E-67D1-446A-A38B-80BDE63FBD8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0-67D1-446A-A38B-80BDE63FBD8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2-67D1-446A-A38B-80BDE63FBD8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4-67D1-446A-A38B-80BDE63FBD8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6-67D1-446A-A38B-80BDE63FBD8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(Gráficos!$A$127,Gráficos!$A$137,Gráficos!$A$142,Gráficos!$A$147,Gráficos!$A$151,Gráficos!$A$153)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Gráficos!$H$120:$H$154</c15:sqref>
                        </c15:fullRef>
                        <c15:formulaRef>
                          <c15:sqref>(Gráficos!$H$127,Gráficos!$H$137,Gráficos!$H$142,Gráficos!$H$147,Gráficos!$H$151,Gráficos!$H$153)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32476.088</c:v>
                      </c:pt>
                      <c:pt idx="1">
                        <c:v>63741.664000000004</c:v>
                      </c:pt>
                      <c:pt idx="2">
                        <c:v>49567.224000000002</c:v>
                      </c:pt>
                      <c:pt idx="3">
                        <c:v>292913.56799999997</c:v>
                      </c:pt>
                      <c:pt idx="4">
                        <c:v>179059.054</c:v>
                      </c:pt>
                      <c:pt idx="5">
                        <c:v>154164.98200000002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67-67D1-446A-A38B-80BDE63FBD8E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Gráficos!$I$119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9-67D1-446A-A38B-80BDE63FBD8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B-67D1-446A-A38B-80BDE63FBD8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D-67D1-446A-A38B-80BDE63FBD8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F-67D1-446A-A38B-80BDE63FBD8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1-67D1-446A-A38B-80BDE63FBD8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3-67D1-446A-A38B-80BDE63FBD8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(Gráficos!$A$127,Gráficos!$A$137,Gráficos!$A$142,Gráficos!$A$147,Gráficos!$A$151,Gráficos!$A$153)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Gráficos!$I$120:$I$154</c15:sqref>
                        </c15:fullRef>
                        <c15:formulaRef>
                          <c15:sqref>(Gráficos!$I$127,Gráficos!$I$137,Gráficos!$I$142,Gráficos!$I$147,Gráficos!$I$151,Gráficos!$I$153)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1.6267176626345296E-2</c:v>
                      </c:pt>
                      <c:pt idx="1">
                        <c:v>1.0057080564718865E-2</c:v>
                      </c:pt>
                      <c:pt idx="2">
                        <c:v>9.7240077755252896E-3</c:v>
                      </c:pt>
                      <c:pt idx="3">
                        <c:v>1.0012968241410713E-2</c:v>
                      </c:pt>
                      <c:pt idx="4">
                        <c:v>1.3398783115429989E-2</c:v>
                      </c:pt>
                      <c:pt idx="5">
                        <c:v>1.1375919243892928E-2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74-67D1-446A-A38B-80BDE63FBD8E}"/>
                  </c:ext>
                </c:extLst>
              </c15:ser>
            </c15:filteredPieSeries>
            <c15:filteredPi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Gráficos!$J$119</c15:sqref>
                        </c15:formulaRef>
                      </c:ext>
                    </c:extLst>
                    <c:strCache>
                      <c:ptCount val="1"/>
                      <c:pt idx="0">
                        <c:v>RRT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6-67D1-446A-A38B-80BDE63FBD8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8-67D1-446A-A38B-80BDE63FBD8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A-67D1-446A-A38B-80BDE63FBD8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C-67D1-446A-A38B-80BDE63FBD8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E-67D1-446A-A38B-80BDE63FBD8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80-67D1-446A-A38B-80BDE63FBD8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(Gráficos!$A$127,Gráficos!$A$137,Gráficos!$A$142,Gráficos!$A$147,Gráficos!$A$151,Gráficos!$A$153)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Gráficos!$J$120:$J$154</c15:sqref>
                        </c15:fullRef>
                        <c15:formulaRef>
                          <c15:sqref>(Gráficos!$J$127,Gráficos!$J$137,Gráficos!$J$142,Gráficos!$J$147,Gráficos!$J$151,Gráficos!$J$153)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737892.74400000018</c:v>
                      </c:pt>
                      <c:pt idx="1">
                        <c:v>2043757.1519999998</c:v>
                      </c:pt>
                      <c:pt idx="2">
                        <c:v>2204090.6720000003</c:v>
                      </c:pt>
                      <c:pt idx="3">
                        <c:v>10758414.144000001</c:v>
                      </c:pt>
                      <c:pt idx="4">
                        <c:v>5503159.7359999996</c:v>
                      </c:pt>
                      <c:pt idx="5">
                        <c:v>5312807.2320000008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81-67D1-446A-A38B-80BDE63FBD8E}"/>
                  </c:ext>
                </c:extLst>
              </c15:ser>
            </c15:filteredPieSeries>
            <c15:filteredPi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Gráficos!$K$119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83-67D1-446A-A38B-80BDE63FBD8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85-67D1-446A-A38B-80BDE63FBD8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87-67D1-446A-A38B-80BDE63FBD8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89-67D1-446A-A38B-80BDE63FBD8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8B-67D1-446A-A38B-80BDE63FBD8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8D-67D1-446A-A38B-80BDE63FBD8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(Gráficos!$A$127,Gráficos!$A$137,Gráficos!$A$142,Gráficos!$A$147,Gráficos!$A$151,Gráficos!$A$153)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Gráficos!$K$120:$K$154</c15:sqref>
                        </c15:fullRef>
                        <c15:formulaRef>
                          <c15:sqref>(Gráficos!$K$127,Gráficos!$K$137,Gráficos!$K$142,Gráficos!$K$147,Gráficos!$K$151,Gráficos!$K$153)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0.36960829758641484</c:v>
                      </c:pt>
                      <c:pt idx="1">
                        <c:v>0.32246146464554765</c:v>
                      </c:pt>
                      <c:pt idx="2">
                        <c:v>0.4323944958565919</c:v>
                      </c:pt>
                      <c:pt idx="3">
                        <c:v>0.3677660269797261</c:v>
                      </c:pt>
                      <c:pt idx="4">
                        <c:v>0.4117951151033723</c:v>
                      </c:pt>
                      <c:pt idx="5">
                        <c:v>0.39203498255915425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8E-67D1-446A-A38B-80BDE63FBD8E}"/>
                  </c:ext>
                </c:extLst>
              </c15:ser>
            </c15:filteredPieSeries>
            <c15:filteredPi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Gráficos!$L$119</c15:sqref>
                        </c15:formulaRef>
                      </c:ext>
                    </c:extLst>
                    <c:strCache>
                      <c:ptCount val="1"/>
                      <c:pt idx="0">
                        <c:v>Taxas
e Multas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90-67D1-446A-A38B-80BDE63FBD8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92-67D1-446A-A38B-80BDE63FBD8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94-67D1-446A-A38B-80BDE63FBD8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96-67D1-446A-A38B-80BDE63FBD8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98-67D1-446A-A38B-80BDE63FBD8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9A-67D1-446A-A38B-80BDE63FBD8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(Gráficos!$A$127,Gráficos!$A$137,Gráficos!$A$142,Gráficos!$A$147,Gráficos!$A$151,Gráficos!$A$153)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Gráficos!$L$120:$L$154</c15:sqref>
                        </c15:fullRef>
                        <c15:formulaRef>
                          <c15:sqref>(Gráficos!$L$127,Gráficos!$L$137,Gráficos!$L$142,Gráficos!$L$147,Gráficos!$L$151,Gráficos!$L$153)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95633.712</c:v>
                      </c:pt>
                      <c:pt idx="1">
                        <c:v>264245.54000000004</c:v>
                      </c:pt>
                      <c:pt idx="2">
                        <c:v>189335.07200000001</c:v>
                      </c:pt>
                      <c:pt idx="3">
                        <c:v>944456.77240000002</c:v>
                      </c:pt>
                      <c:pt idx="4">
                        <c:v>344430.19000000006</c:v>
                      </c:pt>
                      <c:pt idx="5">
                        <c:v>454146.9166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9B-67D1-446A-A38B-80BDE63FBD8E}"/>
                  </c:ext>
                </c:extLst>
              </c15:ser>
            </c15:filteredPieSeries>
            <c15:filteredPi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Gráficos!$M$119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9D-67D1-446A-A38B-80BDE63FBD8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9F-67D1-446A-A38B-80BDE63FBD8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A1-67D1-446A-A38B-80BDE63FBD8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A3-67D1-446A-A38B-80BDE63FBD8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A5-67D1-446A-A38B-80BDE63FBD8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A7-67D1-446A-A38B-80BDE63FBD8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(Gráficos!$A$127,Gráficos!$A$137,Gráficos!$A$142,Gráficos!$A$147,Gráficos!$A$151,Gráficos!$A$153)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Gráficos!$M$120:$M$154</c15:sqref>
                        </c15:fullRef>
                        <c15:formulaRef>
                          <c15:sqref>(Gráficos!$M$127,Gráficos!$M$137,Gráficos!$M$142,Gráficos!$M$147,Gráficos!$M$151,Gráficos!$M$153)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4.7902644078838486E-2</c:v>
                      </c:pt>
                      <c:pt idx="1">
                        <c:v>4.1692333049975626E-2</c:v>
                      </c:pt>
                      <c:pt idx="2">
                        <c:v>3.7143409772305194E-2</c:v>
                      </c:pt>
                      <c:pt idx="3">
                        <c:v>3.2285345236812202E-2</c:v>
                      </c:pt>
                      <c:pt idx="4">
                        <c:v>2.5773315066304016E-2</c:v>
                      </c:pt>
                      <c:pt idx="5">
                        <c:v>3.351175202747779E-2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A8-67D1-446A-A38B-80BDE63FBD8E}"/>
                  </c:ext>
                </c:extLst>
              </c15:ser>
            </c15:filteredPieSeries>
            <c15:filteredPi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Gráficos!$O$119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AA-67D1-446A-A38B-80BDE63FBD8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AC-67D1-446A-A38B-80BDE63FBD8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AE-67D1-446A-A38B-80BDE63FBD8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B0-67D1-446A-A38B-80BDE63FBD8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B2-67D1-446A-A38B-80BDE63FBD8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B4-67D1-446A-A38B-80BDE63FBD8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(Gráficos!$A$127,Gráficos!$A$137,Gráficos!$A$142,Gráficos!$A$147,Gráficos!$A$151,Gráficos!$A$153)</c15:sqref>
                        </c15:formulaRef>
                      </c:ext>
                    </c:extLst>
                    <c:strCache>
                      <c:ptCount val="6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CENTRO-OESTE</c:v>
                      </c:pt>
                      <c:pt idx="3">
                        <c:v>SUDESTE</c:v>
                      </c:pt>
                      <c:pt idx="4">
                        <c:v>SUL</c:v>
                      </c:pt>
                      <c:pt idx="5">
                        <c:v>CAU/BR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Gráficos!$O$120:$O$154</c15:sqref>
                        </c15:fullRef>
                        <c15:formulaRef>
                          <c15:sqref>(Gráficos!$O$127,Gráficos!$O$137,Gráficos!$O$142,Gráficos!$O$147,Gráficos!$O$151,Gráficos!$O$153)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2.8497836351218487E-2</c:v>
                      </c:pt>
                      <c:pt idx="1">
                        <c:v>9.0471507813424598E-2</c:v>
                      </c:pt>
                      <c:pt idx="2">
                        <c:v>7.2762843153020007E-2</c:v>
                      </c:pt>
                      <c:pt idx="3">
                        <c:v>0.41757742434667511</c:v>
                      </c:pt>
                      <c:pt idx="4">
                        <c:v>0.19076174621482542</c:v>
                      </c:pt>
                      <c:pt idx="5">
                        <c:v>0.19344593008122968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B5-67D1-446A-A38B-80BDE63FBD8E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0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F5-4D03-AEDF-7842BD675B55}"/>
                </c:ext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F5-4D03-AEDF-7842BD675B55}"/>
                </c:ext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F5-4D03-AEDF-7842BD675B55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5289691.519425259</c:v>
                </c:pt>
                <c:pt idx="1">
                  <c:v>10946126.084264638</c:v>
                </c:pt>
                <c:pt idx="2">
                  <c:v>18483532.833525073</c:v>
                </c:pt>
                <c:pt idx="3">
                  <c:v>25403790.303136677</c:v>
                </c:pt>
                <c:pt idx="4">
                  <c:v>33225436.985169947</c:v>
                </c:pt>
                <c:pt idx="5">
                  <c:v>40648530.656770773</c:v>
                </c:pt>
                <c:pt idx="6">
                  <c:v>48092325.603216611</c:v>
                </c:pt>
                <c:pt idx="7">
                  <c:v>56573819.691179112</c:v>
                </c:pt>
                <c:pt idx="8">
                  <c:v>63808638.033217229</c:v>
                </c:pt>
                <c:pt idx="9">
                  <c:v>71594760.70306471</c:v>
                </c:pt>
                <c:pt idx="10">
                  <c:v>78493365.828256473</c:v>
                </c:pt>
                <c:pt idx="11">
                  <c:v>84943109.670736536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5F5-4D03-AEDF-7842BD675B55}"/>
            </c:ext>
          </c:extLst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F5-4D03-AEDF-7842BD675B55}"/>
                </c:ext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F5-4D03-AEDF-7842BD675B55}"/>
                </c:ext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F5-4D03-AEDF-7842BD675B55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F5-4D03-AEDF-7842BD675B55}"/>
            </c:ext>
          </c:extLst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F5-4D03-AEDF-7842BD675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354800"/>
        <c:axId val="290355360"/>
      </c:lineChart>
      <c:catAx>
        <c:axId val="29035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0355360"/>
        <c:crosses val="autoZero"/>
        <c:auto val="1"/>
        <c:lblAlgn val="ctr"/>
        <c:lblOffset val="100"/>
        <c:noMultiLvlLbl val="0"/>
      </c:catAx>
      <c:valAx>
        <c:axId val="2903553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03548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7D-4897-82FC-69F9E3A25B61}"/>
                </c:ext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D-4897-82FC-69F9E3A25B61}"/>
                </c:ext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D-4897-82FC-69F9E3A25B61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728006.7976387497</c:v>
                </c:pt>
                <c:pt idx="1">
                  <c:v>1250668.9713280427</c:v>
                </c:pt>
                <c:pt idx="2">
                  <c:v>1744929.7334060951</c:v>
                </c:pt>
                <c:pt idx="3">
                  <c:v>2205094.9492343953</c:v>
                </c:pt>
                <c:pt idx="4">
                  <c:v>2687655.4318216094</c:v>
                </c:pt>
                <c:pt idx="5">
                  <c:v>3173054.3904569834</c:v>
                </c:pt>
                <c:pt idx="6">
                  <c:v>3704166.521725696</c:v>
                </c:pt>
                <c:pt idx="7">
                  <c:v>4319267.4267853573</c:v>
                </c:pt>
                <c:pt idx="8">
                  <c:v>4817214.7848488986</c:v>
                </c:pt>
                <c:pt idx="9">
                  <c:v>5525765.8016106859</c:v>
                </c:pt>
                <c:pt idx="10">
                  <c:v>6163666.8992301533</c:v>
                </c:pt>
                <c:pt idx="11">
                  <c:v>6782877.4148296248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E7D-4897-82FC-69F9E3A25B61}"/>
            </c:ext>
          </c:extLst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7D-4897-82FC-69F9E3A25B61}"/>
                </c:ext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D-4897-82FC-69F9E3A25B61}"/>
                </c:ext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7D-4897-82FC-69F9E3A25B61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7D-4897-82FC-69F9E3A25B61}"/>
            </c:ext>
          </c:extLst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7D-4897-82FC-69F9E3A25B61}"/>
                </c:ext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D-4897-82FC-69F9E3A25B61}"/>
                </c:ext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7D-4897-82FC-69F9E3A25B61}"/>
                </c:ext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7D-4897-82FC-69F9E3A25B61}"/>
                </c:ext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7D-4897-82FC-69F9E3A25B61}"/>
                </c:ext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7D-4897-82FC-69F9E3A25B61}"/>
                </c:ext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7D-4897-82FC-69F9E3A25B61}"/>
                </c:ext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7D-4897-82FC-69F9E3A25B61}"/>
                </c:ext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7D-4897-82FC-69F9E3A25B61}"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7D-4897-82FC-69F9E3A25B61}"/>
                </c:ext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7D-4897-82FC-69F9E3A25B61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7D-4897-82FC-69F9E3A25B61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821304.99769217195</c:v>
                </c:pt>
                <c:pt idx="1">
                  <c:v>1410949.2932509058</c:v>
                </c:pt>
                <c:pt idx="2">
                  <c:v>1968552.3752200392</c:v>
                </c:pt>
                <c:pt idx="3">
                  <c:v>2487690.3733124947</c:v>
                </c:pt>
                <c:pt idx="4">
                  <c:v>3032093.7186151734</c:v>
                </c:pt>
                <c:pt idx="5">
                  <c:v>3579699.3067701771</c:v>
                </c:pt>
                <c:pt idx="6">
                  <c:v>4178876.4698965959</c:v>
                </c:pt>
                <c:pt idx="7">
                  <c:v>4872806.044522848</c:v>
                </c:pt>
                <c:pt idx="8">
                  <c:v>5434568.1806617696</c:v>
                </c:pt>
                <c:pt idx="9">
                  <c:v>6233924.0288129207</c:v>
                </c:pt>
                <c:pt idx="10">
                  <c:v>6953575.7699882351</c:v>
                </c:pt>
                <c:pt idx="11">
                  <c:v>7652141.625052887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E7D-4897-82FC-69F9E3A2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359280"/>
        <c:axId val="290359840"/>
      </c:lineChart>
      <c:catAx>
        <c:axId val="29035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0359840"/>
        <c:crosses val="autoZero"/>
        <c:auto val="1"/>
        <c:lblAlgn val="ctr"/>
        <c:lblOffset val="100"/>
        <c:noMultiLvlLbl val="0"/>
      </c:catAx>
      <c:valAx>
        <c:axId val="290359840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03592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79672676109782E-2"/>
          <c:y val="6.4675925925925928E-2"/>
          <c:w val="0.93664310434193554"/>
          <c:h val="0.87534639007631942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Gráficos!$Z$20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%"/>
                  <a:lumOff val="40%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%"/>
                  <a:lumOff val="40%"/>
                </a:schemeClr>
              </a:solidFill>
              <a:ln w="6350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7024985913537177E-2"/>
                  <c:y val="3.15745084242544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E3-45CB-B9EE-799000028C7B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tx2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Gráficos!$Z$21:$Z$32</c:f>
              <c:numCache>
                <c:formatCode>_-[$R$-416]\ * #,##0_-;\-[$R$-416]\ * #,##0_-;_-[$R$-416]\ * "-"??_-;_-@_-</c:formatCode>
                <c:ptCount val="12"/>
                <c:pt idx="0">
                  <c:v>15252812.062210578</c:v>
                </c:pt>
                <c:pt idx="1">
                  <c:v>26809292.790883284</c:v>
                </c:pt>
                <c:pt idx="2">
                  <c:v>32947429.23768796</c:v>
                </c:pt>
                <c:pt idx="3">
                  <c:v>37580588.917632326</c:v>
                </c:pt>
                <c:pt idx="4">
                  <c:v>44125894.299319766</c:v>
                </c:pt>
                <c:pt idx="5">
                  <c:v>49047533.149651267</c:v>
                </c:pt>
                <c:pt idx="6">
                  <c:v>50716750.551594459</c:v>
                </c:pt>
                <c:pt idx="7">
                  <c:v>52432349.163573302</c:v>
                </c:pt>
                <c:pt idx="8">
                  <c:v>53662858.289542615</c:v>
                </c:pt>
                <c:pt idx="9">
                  <c:v>55170040.772948697</c:v>
                </c:pt>
                <c:pt idx="10">
                  <c:v>56458732.682435155</c:v>
                </c:pt>
                <c:pt idx="11">
                  <c:v>57560604.893544175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9E3-45CB-B9EE-799000028C7B}"/>
            </c:ext>
          </c:extLst>
        </c:ser>
        <c:ser>
          <c:idx val="1"/>
          <c:order val="1"/>
          <c:tx>
            <c:strRef>
              <c:f>Gráficos!$AB$20</c:f>
              <c:strCache>
                <c:ptCount val="1"/>
                <c:pt idx="0">
                  <c:v>Potencial</c:v>
                </c:pt>
              </c:strCache>
            </c:strRef>
          </c:tx>
          <c:spPr>
            <a:ln w="38100" cap="rnd">
              <a:solidFill>
                <a:srgbClr val="0066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21038379021172E-2"/>
                  <c:y val="-6.5399628382287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E3-45CB-B9EE-799000028C7B}"/>
                </c:ext>
              </c:extLst>
            </c:dLbl>
            <c:dLbl>
              <c:idx val="1"/>
              <c:layout>
                <c:manualLayout>
                  <c:x val="-4.167454477552468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E3-45CB-B9EE-799000028C7B}"/>
                </c:ext>
              </c:extLst>
            </c:dLbl>
            <c:dLbl>
              <c:idx val="2"/>
              <c:layout>
                <c:manualLayout>
                  <c:x val="-4.365904690769256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E3-45CB-B9EE-799000028C7B}"/>
                </c:ext>
              </c:extLst>
            </c:dLbl>
            <c:dLbl>
              <c:idx val="3"/>
              <c:layout>
                <c:manualLayout>
                  <c:x val="-4.3659046907692525E-2"/>
                  <c:y val="-5.38585174912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E3-45CB-B9EE-799000028C7B}"/>
                </c:ext>
              </c:extLst>
            </c:dLbl>
            <c:dLbl>
              <c:idx val="4"/>
              <c:layout>
                <c:manualLayout>
                  <c:x val="-4.5643549039860364E-2"/>
                  <c:y val="-4.6164443563967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3-45CB-B9EE-799000028C7B}"/>
                </c:ext>
              </c:extLst>
            </c:dLbl>
            <c:dLbl>
              <c:idx val="5"/>
              <c:layout>
                <c:manualLayout>
                  <c:x val="-4.1674544775524756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E3-45CB-B9EE-799000028C7B}"/>
                </c:ext>
              </c:extLst>
            </c:dLbl>
            <c:dLbl>
              <c:idx val="6"/>
              <c:layout>
                <c:manualLayout>
                  <c:x val="-3.7705540511189073E-2"/>
                  <c:y val="-4.231740660030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E3-45CB-B9EE-799000028C7B}"/>
                </c:ext>
              </c:extLst>
            </c:dLbl>
            <c:dLbl>
              <c:idx val="7"/>
              <c:layout>
                <c:manualLayout>
                  <c:x val="-3.9690042643356765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E3-45CB-B9EE-799000028C7B}"/>
                </c:ext>
              </c:extLst>
            </c:dLbl>
            <c:dLbl>
              <c:idx val="8"/>
              <c:layout>
                <c:manualLayout>
                  <c:x val="-3.9690042643356842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E3-45CB-B9EE-799000028C7B}"/>
                </c:ext>
              </c:extLst>
            </c:dLbl>
            <c:dLbl>
              <c:idx val="9"/>
              <c:layout>
                <c:manualLayout>
                  <c:x val="-3.9690042643356842E-2"/>
                  <c:y val="-4.231740660030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E3-45CB-B9EE-799000028C7B}"/>
                </c:ext>
              </c:extLst>
            </c:dLbl>
            <c:dLbl>
              <c:idx val="10"/>
              <c:layout>
                <c:manualLayout>
                  <c:x val="-4.5643549039860509E-2"/>
                  <c:y val="-3.4623332672975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E3-45CB-B9EE-799000028C7B}"/>
                </c:ext>
              </c:extLst>
            </c:dLbl>
            <c:dLbl>
              <c:idx val="11"/>
              <c:layout>
                <c:manualLayout>
                  <c:x val="-3.3736536246853313E-2"/>
                  <c:y val="-3.4623332672975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E3-45CB-B9EE-799000028C7B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rgbClr val="006666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Gráficos!$AB$21:$AB$32</c:f>
              <c:numCache>
                <c:formatCode>_-[$R$-416]\ * #,##0_-;\-[$R$-416]\ * #,##0_-;_-[$R$-416]\ * "-"??_-;_-@_-</c:formatCode>
                <c:ptCount val="12"/>
                <c:pt idx="0">
                  <c:v>19794821.398333404</c:v>
                </c:pt>
                <c:pt idx="1">
                  <c:v>34792611.385146126</c:v>
                </c:pt>
                <c:pt idx="2">
                  <c:v>42758572.952595614</c:v>
                </c:pt>
                <c:pt idx="3">
                  <c:v>48771403.111414634</c:v>
                </c:pt>
                <c:pt idx="4">
                  <c:v>57265781.098871179</c:v>
                </c:pt>
                <c:pt idx="5">
                  <c:v>63652994.265339039</c:v>
                </c:pt>
                <c:pt idx="6">
                  <c:v>65819274.175672293</c:v>
                </c:pt>
                <c:pt idx="7">
                  <c:v>68045746.774747133</c:v>
                </c:pt>
                <c:pt idx="8">
                  <c:v>69642679.083244458</c:v>
                </c:pt>
                <c:pt idx="9">
                  <c:v>71598673.030592427</c:v>
                </c:pt>
                <c:pt idx="10">
                  <c:v>73271113.894724101</c:v>
                </c:pt>
                <c:pt idx="11">
                  <c:v>74701103.560480773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9E3-45CB-B9EE-799000028C7B}"/>
            </c:ext>
          </c:extLst>
        </c:ser>
        <c:ser>
          <c:idx val="2"/>
          <c:order val="2"/>
          <c:tx>
            <c:strRef>
              <c:f>Gráficos!$AA$20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2529521760733244E-2"/>
                  <c:y val="5.6420275348713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E3-45CB-B9EE-799000028C7B}"/>
                </c:ext>
              </c:extLst>
            </c:dLbl>
            <c:dLbl>
              <c:idx val="1"/>
              <c:layout>
                <c:manualLayout>
                  <c:x val="-1.5434027777777738E-2"/>
                  <c:y val="3.9687499999999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E3-45CB-B9EE-799000028C7B}"/>
                </c:ext>
              </c:extLst>
            </c:dLbl>
            <c:dLbl>
              <c:idx val="2"/>
              <c:layout>
                <c:manualLayout>
                  <c:x val="-1.984375000000008E-2"/>
                  <c:y val="4.4097222222222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E3-45CB-B9EE-799000028C7B}"/>
                </c:ext>
              </c:extLst>
            </c:dLbl>
            <c:dLbl>
              <c:idx val="3"/>
              <c:layout>
                <c:manualLayout>
                  <c:x val="-1.7638888888888971E-2"/>
                  <c:y val="4.85069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E3-45CB-B9EE-799000028C7B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Gráficos!$Y$21:$Y$32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Gráficos!$AA$21:$AA$32</c:f>
              <c:numCache>
                <c:formatCode>_-[$R$-416]\ * #,##0_-;\-[$R$-416]\ * #,##0_-;_-[$R$-416]\ * "-"??_-;_-@_-</c:formatCode>
                <c:ptCount val="12"/>
                <c:pt idx="0">
                  <c:v>10754868.249999998</c:v>
                </c:pt>
                <c:pt idx="1">
                  <c:v>22148663.869999997</c:v>
                </c:pt>
                <c:pt idx="2">
                  <c:v>26639003.68</c:v>
                </c:pt>
                <c:pt idx="3">
                  <c:v>31687335.240000002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9E3-45CB-B9EE-799000028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363760"/>
        <c:axId val="291069312"/>
      </c:lineChart>
      <c:catAx>
        <c:axId val="29036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1069312"/>
        <c:crosses val="autoZero"/>
        <c:auto val="1"/>
        <c:lblAlgn val="ctr"/>
        <c:lblOffset val="100"/>
        <c:noMultiLvlLbl val="0"/>
      </c:catAx>
      <c:valAx>
        <c:axId val="2910693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03637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5.8400234030476974E-3"/>
                <c:y val="3.151408993366629E-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853280163436261"/>
          <c:y val="0.80595150180110875"/>
          <c:w val="0.27364161054176739"/>
          <c:h val="0.1175474232747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1310230.0516277591</c:v>
                </c:pt>
                <c:pt idx="1">
                  <c:v>2138806.5617406666</c:v>
                </c:pt>
                <c:pt idx="2">
                  <c:v>2875295.2254140498</c:v>
                </c:pt>
                <c:pt idx="3">
                  <c:v>3508232.95521536</c:v>
                </c:pt>
                <c:pt idx="4">
                  <c:v>4196266.4682252845</c:v>
                </c:pt>
                <c:pt idx="5">
                  <c:v>4792472.3572983611</c:v>
                </c:pt>
                <c:pt idx="6">
                  <c:v>5379422.8673073482</c:v>
                </c:pt>
                <c:pt idx="7">
                  <c:v>5990230.9955518246</c:v>
                </c:pt>
                <c:pt idx="8">
                  <c:v>6455772.3440091806</c:v>
                </c:pt>
                <c:pt idx="9">
                  <c:v>7087618.0440178793</c:v>
                </c:pt>
                <c:pt idx="10">
                  <c:v>7617587.9502158975</c:v>
                </c:pt>
                <c:pt idx="11">
                  <c:v>8145741.0494781248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10F-410C-945C-D6D852F7415D}"/>
            </c:ext>
          </c:extLst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0F-410C-945C-D6D852F7415D}"/>
                </c:ext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0F-410C-945C-D6D852F7415D}"/>
                </c:ext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0F-410C-945C-D6D852F7415D}"/>
                </c:ext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0F-410C-945C-D6D852F74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074352"/>
        <c:axId val="29107491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C10F-410C-945C-D6D852F7415D}"/>
                  </c:ext>
                </c:extLst>
              </c15:ser>
            </c15:filteredLineSeries>
          </c:ext>
        </c:extLst>
      </c:lineChart>
      <c:catAx>
        <c:axId val="29107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1074912"/>
        <c:crosses val="autoZero"/>
        <c:auto val="1"/>
        <c:lblAlgn val="ctr"/>
        <c:lblOffset val="100"/>
        <c:noMultiLvlLbl val="0"/>
      </c:catAx>
      <c:valAx>
        <c:axId val="2910749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10743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53-4238-9A4B-1E1D60F66A3D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2235485.7726254836</c:v>
                </c:pt>
                <c:pt idx="1">
                  <c:v>4212235.8701483989</c:v>
                </c:pt>
                <c:pt idx="2">
                  <c:v>5262541.4014268918</c:v>
                </c:pt>
                <c:pt idx="3">
                  <c:v>6112110.4281369606</c:v>
                </c:pt>
                <c:pt idx="4">
                  <c:v>7306492.2853614269</c:v>
                </c:pt>
                <c:pt idx="5">
                  <c:v>8376627.2778502097</c:v>
                </c:pt>
                <c:pt idx="6">
                  <c:v>8779924.0493827146</c:v>
                </c:pt>
                <c:pt idx="7">
                  <c:v>9163092.7915643938</c:v>
                </c:pt>
                <c:pt idx="8">
                  <c:v>9434967.9727359042</c:v>
                </c:pt>
                <c:pt idx="9">
                  <c:v>9752183.9950471818</c:v>
                </c:pt>
                <c:pt idx="10">
                  <c:v>9980599.4679945931</c:v>
                </c:pt>
                <c:pt idx="11">
                  <c:v>10182900.468229098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53-4238-9A4B-1E1D60F66A3D}"/>
            </c:ext>
          </c:extLst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3-4238-9A4B-1E1D60F66A3D}"/>
                </c:ext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3-4238-9A4B-1E1D60F66A3D}"/>
                </c:ext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3-4238-9A4B-1E1D60F66A3D}"/>
                </c:ext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3-4238-9A4B-1E1D60F66A3D}"/>
                </c:ext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3-4238-9A4B-1E1D60F66A3D}"/>
                </c:ext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53-4238-9A4B-1E1D60F66A3D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53-4238-9A4B-1E1D60F66A3D}"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53-4238-9A4B-1E1D60F66A3D}"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53-4238-9A4B-1E1D60F66A3D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53-4238-9A4B-1E1D60F66A3D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53-4238-9A4B-1E1D60F66A3D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53-4238-9A4B-1E1D60F66A3D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3544225.5926342681</c:v>
                </c:pt>
                <c:pt idx="1">
                  <c:v>6678241.6403654478</c:v>
                </c:pt>
                <c:pt idx="2">
                  <c:v>8343436.6461339798</c:v>
                </c:pt>
                <c:pt idx="3">
                  <c:v>9690376.2348564994</c:v>
                </c:pt>
                <c:pt idx="4">
                  <c:v>11583995.419371074</c:v>
                </c:pt>
                <c:pt idx="5">
                  <c:v>13280628.819769654</c:v>
                </c:pt>
                <c:pt idx="6">
                  <c:v>13920031.117290674</c:v>
                </c:pt>
                <c:pt idx="7">
                  <c:v>14527521.658705674</c:v>
                </c:pt>
                <c:pt idx="8">
                  <c:v>14958563.084649732</c:v>
                </c:pt>
                <c:pt idx="9">
                  <c:v>15461489.633517385</c:v>
                </c:pt>
                <c:pt idx="10">
                  <c:v>15823628.357407847</c:v>
                </c:pt>
                <c:pt idx="11">
                  <c:v>16144364.18638365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A53-4238-9A4B-1E1D60F66A3D}"/>
            </c:ext>
          </c:extLst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53-4238-9A4B-1E1D60F66A3D}"/>
                </c:ext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53-4238-9A4B-1E1D60F66A3D}"/>
                </c:ext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53-4238-9A4B-1E1D60F66A3D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53-4238-9A4B-1E1D60F66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078832"/>
        <c:axId val="291079392"/>
      </c:lineChart>
      <c:catAx>
        <c:axId val="29107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1079392"/>
        <c:crosses val="autoZero"/>
        <c:auto val="1"/>
        <c:lblAlgn val="ctr"/>
        <c:lblOffset val="100"/>
        <c:noMultiLvlLbl val="0"/>
      </c:catAx>
      <c:valAx>
        <c:axId val="2910793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10788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16-4A51-9C4E-3C9CE41AC676}"/>
                </c:ext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6-4A51-9C4E-3C9CE41AC676}"/>
                </c:ext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6-4A51-9C4E-3C9CE41AC676}"/>
                </c:ext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6-4A51-9C4E-3C9CE41AC676}"/>
                </c:ext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6-4A51-9C4E-3C9CE41AC676}"/>
                </c:ext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6-4A51-9C4E-3C9CE41AC676}"/>
                </c:ext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6-4A51-9C4E-3C9CE41AC676}"/>
                </c:ext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6-4A51-9C4E-3C9CE41AC676}"/>
                </c:ext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6-4A51-9C4E-3C9CE41AC676}"/>
                </c:ext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6-4A51-9C4E-3C9CE41AC676}"/>
                </c:ext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6-4A51-9C4E-3C9CE41AC676}"/>
                </c:ext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6-4A51-9C4E-3C9CE41AC676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149032.88527663413</c:v>
                </c:pt>
                <c:pt idx="1">
                  <c:v>254452.53292839986</c:v>
                </c:pt>
                <c:pt idx="2">
                  <c:v>351791.47133290104</c:v>
                </c:pt>
                <c:pt idx="3">
                  <c:v>435601.46585815132</c:v>
                </c:pt>
                <c:pt idx="4">
                  <c:v>520609.99117925472</c:v>
                </c:pt>
                <c:pt idx="5">
                  <c:v>603925.31113934948</c:v>
                </c:pt>
                <c:pt idx="6">
                  <c:v>677295.37754477479</c:v>
                </c:pt>
                <c:pt idx="7">
                  <c:v>754583.73676182423</c:v>
                </c:pt>
                <c:pt idx="8">
                  <c:v>813921.49769616686</c:v>
                </c:pt>
                <c:pt idx="9">
                  <c:v>889347.10772690573</c:v>
                </c:pt>
                <c:pt idx="10">
                  <c:v>956788.17683665326</c:v>
                </c:pt>
                <c:pt idx="11">
                  <c:v>1026714.548424322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1316-4A51-9C4E-3C9CE41AC676}"/>
            </c:ext>
          </c:extLst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6-4A51-9C4E-3C9CE41AC676}"/>
                </c:ext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16-4A51-9C4E-3C9CE41AC676}"/>
                </c:ext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16-4A51-9C4E-3C9CE41AC676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316-4A51-9C4E-3C9CE41AC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082752"/>
        <c:axId val="291083312"/>
      </c:lineChart>
      <c:catAx>
        <c:axId val="29108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1083312"/>
        <c:crosses val="autoZero"/>
        <c:auto val="1"/>
        <c:lblAlgn val="ctr"/>
        <c:lblOffset val="100"/>
        <c:noMultiLvlLbl val="0"/>
      </c:catAx>
      <c:valAx>
        <c:axId val="2910833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10827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9-4B76-B24E-E8D1D931E6D2}"/>
                </c:ext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9-4B76-B24E-E8D1D931E6D2}"/>
                </c:ext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9-4B76-B24E-E8D1D931E6D2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5289691.519425259</c:v>
                </c:pt>
                <c:pt idx="1">
                  <c:v>10946126.084264638</c:v>
                </c:pt>
                <c:pt idx="2">
                  <c:v>18483532.833525073</c:v>
                </c:pt>
                <c:pt idx="3">
                  <c:v>25403790.303136677</c:v>
                </c:pt>
                <c:pt idx="4">
                  <c:v>33225436.985169947</c:v>
                </c:pt>
                <c:pt idx="5">
                  <c:v>40648530.656770773</c:v>
                </c:pt>
                <c:pt idx="6">
                  <c:v>48092325.603216611</c:v>
                </c:pt>
                <c:pt idx="7">
                  <c:v>56573819.691179112</c:v>
                </c:pt>
                <c:pt idx="8">
                  <c:v>63808638.033217229</c:v>
                </c:pt>
                <c:pt idx="9">
                  <c:v>71594760.70306471</c:v>
                </c:pt>
                <c:pt idx="10">
                  <c:v>78493365.828256473</c:v>
                </c:pt>
                <c:pt idx="11">
                  <c:v>84943109.670736536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5C9-4B76-B24E-E8D1D931E6D2}"/>
            </c:ext>
          </c:extLst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9-4B76-B24E-E8D1D931E6D2}"/>
                </c:ext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9-4B76-B24E-E8D1D931E6D2}"/>
                </c:ext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9-4B76-B24E-E8D1D931E6D2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C9-4B76-B24E-E8D1D931E6D2}"/>
            </c:ext>
          </c:extLst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C9-4B76-B24E-E8D1D931E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087232"/>
        <c:axId val="291087792"/>
      </c:lineChart>
      <c:catAx>
        <c:axId val="29108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1087792"/>
        <c:crosses val="autoZero"/>
        <c:auto val="1"/>
        <c:lblAlgn val="ctr"/>
        <c:lblOffset val="100"/>
        <c:noMultiLvlLbl val="0"/>
      </c:catAx>
      <c:valAx>
        <c:axId val="2910877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10872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05-442D-9CE1-40E769EC19E4}"/>
                </c:ext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05-442D-9CE1-40E769EC19E4}"/>
                </c:ext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05-442D-9CE1-40E769EC19E4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728006.7976387497</c:v>
                </c:pt>
                <c:pt idx="1">
                  <c:v>1250668.9713280427</c:v>
                </c:pt>
                <c:pt idx="2">
                  <c:v>1744929.7334060951</c:v>
                </c:pt>
                <c:pt idx="3">
                  <c:v>2205094.9492343953</c:v>
                </c:pt>
                <c:pt idx="4">
                  <c:v>2687655.4318216094</c:v>
                </c:pt>
                <c:pt idx="5">
                  <c:v>3173054.3904569834</c:v>
                </c:pt>
                <c:pt idx="6">
                  <c:v>3704166.521725696</c:v>
                </c:pt>
                <c:pt idx="7">
                  <c:v>4319267.4267853573</c:v>
                </c:pt>
                <c:pt idx="8">
                  <c:v>4817214.7848488986</c:v>
                </c:pt>
                <c:pt idx="9">
                  <c:v>5525765.8016106859</c:v>
                </c:pt>
                <c:pt idx="10">
                  <c:v>6163666.8992301533</c:v>
                </c:pt>
                <c:pt idx="11">
                  <c:v>6782877.4148296248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005-442D-9CE1-40E769EC19E4}"/>
            </c:ext>
          </c:extLst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05-442D-9CE1-40E769EC19E4}"/>
                </c:ext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05-442D-9CE1-40E769EC19E4}"/>
                </c:ext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05-442D-9CE1-40E769EC19E4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05-442D-9CE1-40E769EC19E4}"/>
            </c:ext>
          </c:extLst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05-442D-9CE1-40E769EC19E4}"/>
                </c:ext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05-442D-9CE1-40E769EC19E4}"/>
                </c:ext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05-442D-9CE1-40E769EC19E4}"/>
                </c:ext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05-442D-9CE1-40E769EC19E4}"/>
                </c:ext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05-442D-9CE1-40E769EC19E4}"/>
                </c:ext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05-442D-9CE1-40E769EC19E4}"/>
                </c:ext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05-442D-9CE1-40E769EC19E4}"/>
                </c:ext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05-442D-9CE1-40E769EC19E4}"/>
                </c:ext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05-442D-9CE1-40E769EC19E4}"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05-442D-9CE1-40E769EC19E4}"/>
                </c:ext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05-442D-9CE1-40E769EC19E4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05-442D-9CE1-40E769EC19E4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821304.99769217195</c:v>
                </c:pt>
                <c:pt idx="1">
                  <c:v>1410949.2932509058</c:v>
                </c:pt>
                <c:pt idx="2">
                  <c:v>1968552.3752200392</c:v>
                </c:pt>
                <c:pt idx="3">
                  <c:v>2487690.3733124947</c:v>
                </c:pt>
                <c:pt idx="4">
                  <c:v>3032093.7186151734</c:v>
                </c:pt>
                <c:pt idx="5">
                  <c:v>3579699.3067701771</c:v>
                </c:pt>
                <c:pt idx="6">
                  <c:v>4178876.4698965959</c:v>
                </c:pt>
                <c:pt idx="7">
                  <c:v>4872806.044522848</c:v>
                </c:pt>
                <c:pt idx="8">
                  <c:v>5434568.1806617696</c:v>
                </c:pt>
                <c:pt idx="9">
                  <c:v>6233924.0288129207</c:v>
                </c:pt>
                <c:pt idx="10">
                  <c:v>6953575.7699882351</c:v>
                </c:pt>
                <c:pt idx="11">
                  <c:v>7652141.625052887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005-442D-9CE1-40E769EC1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091712"/>
        <c:axId val="291092272"/>
      </c:lineChart>
      <c:catAx>
        <c:axId val="29109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1092272"/>
        <c:crosses val="autoZero"/>
        <c:auto val="1"/>
        <c:lblAlgn val="ctr"/>
        <c:lblOffset val="100"/>
        <c:noMultiLvlLbl val="0"/>
      </c:catAx>
      <c:valAx>
        <c:axId val="291092272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10917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158865244994018E-2"/>
          <c:y val="6.4675925925925928E-2"/>
          <c:w val="0.9338497354961478"/>
          <c:h val="0.8765896500848096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%"/>
                  <a:lumOff val="40%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%"/>
                  <a:lumOff val="40%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3469838885408112E-3"/>
                  <c:y val="5.5907597710463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AC-48B0-A139-8A31BD72E82F}"/>
                </c:ext>
              </c:extLst>
            </c:dLbl>
            <c:dLbl>
              <c:idx val="1"/>
              <c:layout>
                <c:manualLayout>
                  <c:x val="-3.1293118513877481E-3"/>
                  <c:y val="4.730642883193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AC-48B0-A139-8A31BD72E82F}"/>
                </c:ext>
              </c:extLst>
            </c:dLbl>
            <c:dLbl>
              <c:idx val="2"/>
              <c:layout>
                <c:manualLayout>
                  <c:x val="-1.5646559256938741E-3"/>
                  <c:y val="5.1607013271197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C-48B0-A139-8A31BD72E82F}"/>
                </c:ext>
              </c:extLst>
            </c:dLbl>
            <c:dLbl>
              <c:idx val="3"/>
              <c:layout>
                <c:manualLayout>
                  <c:x val="-3.1293118513877481E-3"/>
                  <c:y val="4.9456721051564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AC-48B0-A139-8A31BD72E82F}"/>
                </c:ext>
              </c:extLst>
            </c:dLbl>
            <c:dLbl>
              <c:idx val="4"/>
              <c:layout>
                <c:manualLayout>
                  <c:x val="-7.8232796284693703E-4"/>
                  <c:y val="5.5907597710463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AC-48B0-A139-8A31BD72E82F}"/>
                </c:ext>
              </c:extLst>
            </c:dLbl>
            <c:dLbl>
              <c:idx val="5"/>
              <c:layout>
                <c:manualLayout>
                  <c:x val="-3.1293118513878054E-3"/>
                  <c:y val="4.9456721051564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AC-48B0-A139-8A31BD72E82F}"/>
                </c:ext>
              </c:extLst>
            </c:dLbl>
            <c:dLbl>
              <c:idx val="6"/>
              <c:layout>
                <c:manualLayout>
                  <c:x val="-3.1293118513878631E-3"/>
                  <c:y val="6.235847436936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AC-48B0-A139-8A31BD72E82F}"/>
                </c:ext>
              </c:extLst>
            </c:dLbl>
            <c:dLbl>
              <c:idx val="7"/>
              <c:layout>
                <c:manualLayout>
                  <c:x val="2.3469838885408112E-3"/>
                  <c:y val="4.9456721051564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AC-48B0-A139-8A31BD72E82F}"/>
                </c:ext>
              </c:extLst>
            </c:dLbl>
            <c:dLbl>
              <c:idx val="8"/>
              <c:layout>
                <c:manualLayout>
                  <c:x val="3.1293118513877481E-3"/>
                  <c:y val="5.5907597710463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AC-48B0-A139-8A31BD72E82F}"/>
                </c:ext>
              </c:extLst>
            </c:dLbl>
            <c:dLbl>
              <c:idx val="9"/>
              <c:layout>
                <c:manualLayout>
                  <c:x val="0"/>
                  <c:y val="5.59075977104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AC-48B0-A139-8A31BD72E82F}"/>
                </c:ext>
              </c:extLst>
            </c:dLbl>
            <c:dLbl>
              <c:idx val="10"/>
              <c:layout>
                <c:manualLayout>
                  <c:x val="-2.3469838885408112E-3"/>
                  <c:y val="5.3757305490830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AC-48B0-A139-8A31BD72E82F}"/>
                </c:ext>
              </c:extLst>
            </c:dLbl>
            <c:dLbl>
              <c:idx val="11"/>
              <c:layout>
                <c:manualLayout>
                  <c:x val="-1.3299575368397815E-2"/>
                  <c:y val="5.5907597710463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AC-48B0-A139-8A31BD72E82F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tx2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1310230.0516277591</c:v>
                </c:pt>
                <c:pt idx="1">
                  <c:v>2138806.5617406666</c:v>
                </c:pt>
                <c:pt idx="2">
                  <c:v>2875295.2254140498</c:v>
                </c:pt>
                <c:pt idx="3">
                  <c:v>3508232.95521536</c:v>
                </c:pt>
                <c:pt idx="4">
                  <c:v>4196266.4682252845</c:v>
                </c:pt>
                <c:pt idx="5">
                  <c:v>4792472.3572983611</c:v>
                </c:pt>
                <c:pt idx="6">
                  <c:v>5379422.8673073482</c:v>
                </c:pt>
                <c:pt idx="7">
                  <c:v>5990230.9955518246</c:v>
                </c:pt>
                <c:pt idx="8">
                  <c:v>6455772.3440091806</c:v>
                </c:pt>
                <c:pt idx="9">
                  <c:v>7087618.0440178793</c:v>
                </c:pt>
                <c:pt idx="10">
                  <c:v>7617587.9502158975</c:v>
                </c:pt>
                <c:pt idx="11">
                  <c:v>8145741.0494781248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D9AC-48B0-A139-8A31BD72E82F}"/>
            </c:ext>
          </c:extLst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0151474709770186E-2"/>
                  <c:y val="-8.0371827853361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AC-48B0-A139-8A31BD72E82F}"/>
                </c:ext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AC-48B0-A139-8A31BD72E82F}"/>
                </c:ext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AC-48B0-A139-8A31BD72E82F}"/>
                </c:ext>
              </c:extLst>
            </c:dLbl>
            <c:dLbl>
              <c:idx val="3"/>
              <c:layout>
                <c:manualLayout>
                  <c:x val="-4.1892361111111109E-2"/>
                  <c:y val="-4.409722222222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AC-48B0-A139-8A31BD72E82F}"/>
                </c:ext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1800" b="1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1587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9AC-48B0-A139-8A31BD72E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096192"/>
        <c:axId val="29109675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D9AC-48B0-A139-8A31BD72E82F}"/>
                  </c:ext>
                </c:extLst>
              </c15:ser>
            </c15:filteredLineSeries>
          </c:ext>
        </c:extLst>
      </c:lineChart>
      <c:catAx>
        <c:axId val="29109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14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1096752"/>
        <c:crosses val="autoZero"/>
        <c:auto val="1"/>
        <c:lblAlgn val="ctr"/>
        <c:lblOffset val="100"/>
        <c:noMultiLvlLbl val="0"/>
      </c:catAx>
      <c:valAx>
        <c:axId val="2910967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10961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0"/>
                <c:y val="0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8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704035044350294"/>
          <c:y val="0.84797163104236351"/>
          <c:w val="0.21105920984506149"/>
          <c:h val="9.52249290318910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1310230.0516277591</c:v>
                </c:pt>
                <c:pt idx="1">
                  <c:v>2138806.5617406666</c:v>
                </c:pt>
                <c:pt idx="2">
                  <c:v>2875295.2254140498</c:v>
                </c:pt>
                <c:pt idx="3">
                  <c:v>3508232.95521536</c:v>
                </c:pt>
                <c:pt idx="4">
                  <c:v>4196266.4682252845</c:v>
                </c:pt>
                <c:pt idx="5">
                  <c:v>4792472.3572983611</c:v>
                </c:pt>
                <c:pt idx="6">
                  <c:v>5379422.8673073482</c:v>
                </c:pt>
                <c:pt idx="7">
                  <c:v>5990230.9955518246</c:v>
                </c:pt>
                <c:pt idx="8">
                  <c:v>6455772.3440091806</c:v>
                </c:pt>
                <c:pt idx="9">
                  <c:v>7087618.0440178793</c:v>
                </c:pt>
                <c:pt idx="10">
                  <c:v>7617587.9502158975</c:v>
                </c:pt>
                <c:pt idx="11">
                  <c:v>8145741.0494781248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4CE-471A-BC92-1CB445C24CBE}"/>
            </c:ext>
          </c:extLst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E-471A-BC92-1CB445C24CBE}"/>
                </c:ext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E-471A-BC92-1CB445C24CBE}"/>
                </c:ext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E-471A-BC92-1CB445C24CBE}"/>
                </c:ext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CE-471A-BC92-1CB445C24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101232"/>
        <c:axId val="29269763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D4CE-471A-BC92-1CB445C24CBE}"/>
                  </c:ext>
                </c:extLst>
              </c15:ser>
            </c15:filteredLineSeries>
          </c:ext>
        </c:extLst>
      </c:lineChart>
      <c:catAx>
        <c:axId val="29110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2697632"/>
        <c:crosses val="autoZero"/>
        <c:auto val="1"/>
        <c:lblAlgn val="ctr"/>
        <c:lblOffset val="100"/>
        <c:noMultiLvlLbl val="0"/>
      </c:catAx>
      <c:valAx>
        <c:axId val="29269763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11012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doughnutChart>
        <c:varyColors val="1"/>
        <c:ser>
          <c:idx val="12"/>
          <c:order val="12"/>
          <c:tx>
            <c:strRef>
              <c:f>Gráficos!$N$119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AECCD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E3-4DCC-BB7E-816728843C29}"/>
              </c:ext>
            </c:extLst>
          </c:dPt>
          <c:dPt>
            <c:idx val="1"/>
            <c:bubble3D val="0"/>
            <c:spPr>
              <a:solidFill>
                <a:srgbClr val="2A566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E3-4DCC-BB7E-816728843C29}"/>
              </c:ext>
            </c:extLst>
          </c:dPt>
          <c:dPt>
            <c:idx val="2"/>
            <c:bubble3D val="0"/>
            <c:spPr>
              <a:solidFill>
                <a:srgbClr val="5E9AA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E3-4DCC-BB7E-816728843C29}"/>
              </c:ext>
            </c:extLst>
          </c:dPt>
          <c:dPt>
            <c:idx val="3"/>
            <c:bubble3D val="0"/>
            <c:spPr>
              <a:solidFill>
                <a:srgbClr val="1C39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BE3-4DCC-BB7E-816728843C29}"/>
              </c:ext>
            </c:extLst>
          </c:dPt>
          <c:dPt>
            <c:idx val="4"/>
            <c:bubble3D val="0"/>
            <c:spPr>
              <a:solidFill>
                <a:srgbClr val="00687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BE3-4DCC-BB7E-816728843C29}"/>
              </c:ext>
            </c:extLst>
          </c:dPt>
          <c:dPt>
            <c:idx val="5"/>
            <c:bubble3D val="0"/>
            <c:spPr>
              <a:solidFill>
                <a:srgbClr val="B7D8D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BE3-4DCC-BB7E-816728843C29}"/>
              </c:ext>
            </c:extLst>
          </c:dPt>
          <c:dPt>
            <c:idx val="6"/>
            <c:bubble3D val="0"/>
            <c:spPr>
              <a:solidFill>
                <a:srgbClr val="008F9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BE3-4DCC-BB7E-816728843C29}"/>
              </c:ext>
            </c:extLst>
          </c:dPt>
          <c:dLbls>
            <c:dLbl>
              <c:idx val="0"/>
              <c:layout>
                <c:manualLayout>
                  <c:x val="3.6265699393695061E-2"/>
                  <c:y val="-0.1296296296296296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E3-4DCC-BB7E-816728843C29}"/>
                </c:ext>
              </c:extLst>
            </c:dLbl>
            <c:dLbl>
              <c:idx val="1"/>
              <c:layout>
                <c:manualLayout>
                  <c:x val="7.5186281612697373E-2"/>
                  <c:y val="-5.09259259259259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3-4DCC-BB7E-816728843C29}"/>
                </c:ext>
              </c:extLst>
            </c:dLbl>
            <c:dLbl>
              <c:idx val="2"/>
              <c:layout>
                <c:manualLayout>
                  <c:x val="6.9421667362373915E-2"/>
                  <c:y val="6.944444444444444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3-4DCC-BB7E-816728843C29}"/>
                </c:ext>
              </c:extLst>
            </c:dLbl>
            <c:dLbl>
              <c:idx val="3"/>
              <c:layout>
                <c:manualLayout>
                  <c:x val="1.5204801819394398E-2"/>
                  <c:y val="9.72222222222222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E3-4DCC-BB7E-816728843C29}"/>
                </c:ext>
              </c:extLst>
            </c:dLbl>
            <c:dLbl>
              <c:idx val="4"/>
              <c:layout>
                <c:manualLayout>
                  <c:x val="-8.9007665574326364E-2"/>
                  <c:y val="-2.31481481481481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E3-4DCC-BB7E-816728843C29}"/>
                </c:ext>
              </c:extLst>
            </c:dLbl>
            <c:dLbl>
              <c:idx val="5"/>
              <c:layout>
                <c:manualLayout>
                  <c:x val="-5.6349728034443144E-2"/>
                  <c:y val="-0.111111111111111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E3-4DCC-BB7E-816728843C29}"/>
                </c:ext>
              </c:extLst>
            </c:dLbl>
            <c:dLbl>
              <c:idx val="6"/>
              <c:layout>
                <c:manualLayout>
                  <c:x val="-2.9093997245958899E-2"/>
                  <c:y val="-0.1296296296296296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E3-4DCC-BB7E-816728843C29}"/>
                </c:ext>
              </c:extLst>
            </c:dLbl>
            <c:numFmt formatCode="0.0%" sourceLinked="0"/>
            <c:spPr>
              <a:solidFill>
                <a:schemeClr val="lt1"/>
              </a:solidFill>
              <a:ln>
                <a:solidFill>
                  <a:schemeClr val="dk1">
                    <a:lumMod val="25%"/>
                    <a:lumOff val="75%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%">
                    <a:solidFill>
                      <a:schemeClr val="dk1">
                        <a:lumMod val="65%"/>
                        <a:lumOff val="3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%"/>
                      <a:lumOff val="65%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OffpageConnector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Gráficos!$A$120:$A$154</c15:sqref>
                  </c15:fullRef>
                </c:ext>
              </c:extLst>
              <c:f>Gráficos!$A$120:$A$126</c:f>
              <c:strCache>
                <c:ptCount val="7"/>
                <c:pt idx="0">
                  <c:v>AC</c:v>
                </c:pt>
                <c:pt idx="1">
                  <c:v>AM</c:v>
                </c:pt>
                <c:pt idx="2">
                  <c:v>AP</c:v>
                </c:pt>
                <c:pt idx="3">
                  <c:v>PA</c:v>
                </c:pt>
                <c:pt idx="4">
                  <c:v>RO</c:v>
                </c:pt>
                <c:pt idx="5">
                  <c:v>RR</c:v>
                </c:pt>
                <c:pt idx="6">
                  <c:v>TO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Gráficos!$N$120:$N$154</c15:sqref>
                  </c15:fullRef>
                </c:ext>
              </c:extLst>
              <c:f>Gráficos!$N$120:$N$126</c:f>
              <c:numCache>
                <c:formatCode>_-* #,##0_-;\-* #,##0_-;_-* "-"??_-;_-@_-</c:formatCode>
                <c:ptCount val="7"/>
                <c:pt idx="0">
                  <c:v>122772.52000000002</c:v>
                </c:pt>
                <c:pt idx="1">
                  <c:v>437432.84800000006</c:v>
                </c:pt>
                <c:pt idx="2">
                  <c:v>160055.50400000002</c:v>
                </c:pt>
                <c:pt idx="3">
                  <c:v>560311.21600000001</c:v>
                </c:pt>
                <c:pt idx="4">
                  <c:v>332348.19200000004</c:v>
                </c:pt>
                <c:pt idx="5">
                  <c:v>69322.248000000007</c:v>
                </c:pt>
                <c:pt idx="6">
                  <c:v>218541.992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Gráficos!$N$127</c15:sqref>
                  <c15:spPr xmlns:c15="http://schemas.microsoft.com/office/drawing/2012/chart">
                    <a:solidFill>
                      <a:schemeClr val="accent5">
                        <a:tint val="3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6"/>
                    <c:layout>
                      <c:manualLayout>
                        <c:x val="1.1111111111111112E-2"/>
                        <c:y val="-8.333333333333334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155-2276-4A7D-A569-30208F16CB53}"/>
                      </c:ext>
                    </c:extLst>
                  </c15:dLbl>
                </c15:categoryFilterException>
                <c15:categoryFilterException>
                  <c15:sqref>Gráficos!$N$137</c15:sqref>
                  <c15:spPr xmlns:c15="http://schemas.microsoft.com/office/drawing/2012/chart">
                    <a:solidFill>
                      <a:schemeClr val="accent5">
                        <a:tint val="5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6"/>
                    <c:layout>
                      <c:manualLayout>
                        <c:x val="3.6111111111111108E-2"/>
                        <c:y val="-1.388888888888888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157-2276-4A7D-A569-30208F16CB53}"/>
                      </c:ext>
                    </c:extLst>
                  </c15:dLbl>
                </c15:categoryFilterException>
                <c15:categoryFilterException>
                  <c15:sqref>Gráficos!$N$142</c15:sqref>
                  <c15:spPr xmlns:c15="http://schemas.microsoft.com/office/drawing/2012/chart">
                    <a:solidFill>
                      <a:schemeClr val="accent5">
                        <a:tint val="6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6"/>
                    <c:layout>
                      <c:manualLayout>
                        <c:x val="6.3888888888888884E-2"/>
                        <c:y val="8.333333333333324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159-2276-4A7D-A569-30208F16CB53}"/>
                      </c:ext>
                    </c:extLst>
                  </c15:dLbl>
                </c15:categoryFilterException>
                <c15:categoryFilterException>
                  <c15:sqref>Gráficos!$N$147</c15:sqref>
                  <c15:spPr xmlns:c15="http://schemas.microsoft.com/office/drawing/2012/chart">
                    <a:solidFill>
                      <a:schemeClr val="accent5">
                        <a:tint val="8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6"/>
                    <c:layout>
                      <c:manualLayout>
                        <c:x val="-5.8333333333333334E-2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15B-2276-4A7D-A569-30208F16CB53}"/>
                      </c:ext>
                    </c:extLst>
                  </c15:dLbl>
                </c15:categoryFilterException>
                <c15:categoryFilterException>
                  <c15:sqref>Gráficos!$N$151</c15:sqref>
                  <c15:spPr xmlns:c15="http://schemas.microsoft.com/office/drawing/2012/chart">
                    <a:solidFill>
                      <a:schemeClr val="accent5">
                        <a:tint val="1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6"/>
                    <c:layout>
                      <c:manualLayout>
                        <c:x val="-6.6666666666666666E-2"/>
                        <c:y val="0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15D-2276-4A7D-A569-30208F16CB53}"/>
                      </c:ext>
                    </c:extLst>
                  </c15:dLbl>
                </c15:categoryFilterException>
                <c15:categoryFilterException>
                  <c15:sqref>Gráficos!$N$153</c15:sqref>
                  <c15:spPr xmlns:c15="http://schemas.microsoft.com/office/drawing/2012/chart">
                    <a:solidFill>
                      <a:schemeClr val="accent5">
                        <a:tint val="7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6"/>
                    <c:layout>
                      <c:manualLayout>
                        <c:x val="-4.4444444444444495E-2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15F-2276-4A7D-A569-30208F16CB53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E-0BE3-4DCC-BB7E-816728843C2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Gráficos!$B$119</c15:sqref>
                        </c15:formulaRef>
                      </c:ext>
                    </c:extLst>
                    <c:strCache>
                      <c:ptCount val="1"/>
                      <c:pt idx="0">
                        <c:v>PF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0BE3-4DCC-BB7E-816728843C2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0BE3-4DCC-BB7E-816728843C2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>
                        <a:shade val="8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0BE3-4DCC-BB7E-816728843C2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0BE3-4DCC-BB7E-816728843C2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>
                        <a:tint val="83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0BE3-4DCC-BB7E-816728843C2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E3-4DCC-BB7E-816728843C29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5">
                        <a:tint val="4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C-0BE3-4DCC-BB7E-816728843C29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Gráficos!$A$120:$A$126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Gráficos!$B$120:$B$154</c15:sqref>
                        </c15:fullRef>
                        <c15:formulaRef>
                          <c15:sqref>Gráficos!$B$120:$B$126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7"/>
                      <c:pt idx="0">
                        <c:v>62046.576000000008</c:v>
                      </c:pt>
                      <c:pt idx="1">
                        <c:v>200498.22400000002</c:v>
                      </c:pt>
                      <c:pt idx="2">
                        <c:v>58709.056000000004</c:v>
                      </c:pt>
                      <c:pt idx="3">
                        <c:v>280469.84000000003</c:v>
                      </c:pt>
                      <c:pt idx="4">
                        <c:v>113993.09600000001</c:v>
                      </c:pt>
                      <c:pt idx="5">
                        <c:v>26127.167999999998</c:v>
                      </c:pt>
                      <c:pt idx="6">
                        <c:v>81492.112000000008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Gráficos!$B$127</c15:sqref>
                        <c15:spPr xmlns:c15="http://schemas.microsoft.com/office/drawing/2012/chart">
                          <a:solidFill>
                            <a:schemeClr val="accent5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Gráficos!$B$137</c15:sqref>
                        <c15:spPr xmlns:c15="http://schemas.microsoft.com/office/drawing/2012/chart">
                          <a:solidFill>
                            <a:schemeClr val="accent5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Gráficos!$B$142</c15:sqref>
                        <c15:spPr xmlns:c15="http://schemas.microsoft.com/office/drawing/2012/chart">
                          <a:solidFill>
                            <a:schemeClr val="accent5">
                              <a:tint val="6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Gráficos!$B$147</c15:sqref>
                        <c15:spPr xmlns:c15="http://schemas.microsoft.com/office/drawing/2012/chart">
                          <a:solidFill>
                            <a:schemeClr val="accent5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Gráficos!$B$151</c15:sqref>
                        <c15:spPr xmlns:c15="http://schemas.microsoft.com/office/drawing/2012/chart">
                          <a:solidFill>
                            <a:schemeClr val="accent5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Gráficos!$B$153</c15:sqref>
                        <c15:spPr xmlns:c15="http://schemas.microsoft.com/office/drawing/2012/chart">
                          <a:solidFill>
                            <a:schemeClr val="accent5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1D-0BE3-4DCC-BB7E-816728843C29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Gráficos!$C$119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0BE3-4DCC-BB7E-816728843C2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0BE3-4DCC-BB7E-816728843C2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>
                        <a:shade val="8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0BE3-4DCC-BB7E-816728843C2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0BE3-4DCC-BB7E-816728843C2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>
                        <a:tint val="83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0BE3-4DCC-BB7E-816728843C2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0BE3-4DCC-BB7E-816728843C29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5">
                        <a:tint val="4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B-0BE3-4DCC-BB7E-816728843C29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Gráficos!$A$120:$A$126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Gráficos!$C$120:$C$154</c15:sqref>
                        </c15:fullRef>
                        <c15:formulaRef>
                          <c15:sqref>Gráficos!$C$120:$C$126</c15:sqref>
                        </c15:formulaRef>
                      </c:ext>
                    </c:extLst>
                    <c:numCache>
                      <c:formatCode>0.0%</c:formatCode>
                      <c:ptCount val="7"/>
                      <c:pt idx="0">
                        <c:v>0.50537836968728833</c:v>
                      </c:pt>
                      <c:pt idx="1">
                        <c:v>0.45835200743772214</c:v>
                      </c:pt>
                      <c:pt idx="2">
                        <c:v>0.36680435556905311</c:v>
                      </c:pt>
                      <c:pt idx="3">
                        <c:v>0.5005608169014415</c:v>
                      </c:pt>
                      <c:pt idx="4">
                        <c:v>0.34299297767806119</c:v>
                      </c:pt>
                      <c:pt idx="5">
                        <c:v>0.37689441346449115</c:v>
                      </c:pt>
                      <c:pt idx="6">
                        <c:v>0.37288994785038843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Gráficos!$C$127</c15:sqref>
                        <c15:spPr xmlns:c15="http://schemas.microsoft.com/office/drawing/2012/chart">
                          <a:solidFill>
                            <a:schemeClr val="accent5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Gráficos!$C$137</c15:sqref>
                        <c15:spPr xmlns:c15="http://schemas.microsoft.com/office/drawing/2012/chart">
                          <a:solidFill>
                            <a:schemeClr val="accent5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Gráficos!$C$142</c15:sqref>
                        <c15:spPr xmlns:c15="http://schemas.microsoft.com/office/drawing/2012/chart">
                          <a:solidFill>
                            <a:schemeClr val="accent5">
                              <a:tint val="6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Gráficos!$C$147</c15:sqref>
                        <c15:spPr xmlns:c15="http://schemas.microsoft.com/office/drawing/2012/chart">
                          <a:solidFill>
                            <a:schemeClr val="accent5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Gráficos!$C$151</c15:sqref>
                        <c15:spPr xmlns:c15="http://schemas.microsoft.com/office/drawing/2012/chart">
                          <a:solidFill>
                            <a:schemeClr val="accent5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Gráficos!$C$153</c15:sqref>
                        <c15:spPr xmlns:c15="http://schemas.microsoft.com/office/drawing/2012/chart">
                          <a:solidFill>
                            <a:schemeClr val="accent5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2C-0BE3-4DCC-BB7E-816728843C29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Gráficos!$D$119</c15:sqref>
                        </c15:formulaRef>
                      </c:ext>
                    </c:extLst>
                    <c:strCache>
                      <c:ptCount val="1"/>
                      <c:pt idx="0">
                        <c:v>PF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E-0BE3-4DCC-BB7E-816728843C2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0-0BE3-4DCC-BB7E-816728843C2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>
                        <a:shade val="8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2-0BE3-4DCC-BB7E-816728843C2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4-0BE3-4DCC-BB7E-816728843C2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>
                        <a:tint val="83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6-0BE3-4DCC-BB7E-816728843C2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8-0BE3-4DCC-BB7E-816728843C29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5">
                        <a:tint val="4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A-0BE3-4DCC-BB7E-816728843C29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Gráficos!$A$120:$A$126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Gráficos!$D$120:$D$154</c15:sqref>
                        </c15:fullRef>
                        <c15:formulaRef>
                          <c15:sqref>Gráficos!$D$120:$D$126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7"/>
                      <c:pt idx="0">
                        <c:v>6688.7520000000013</c:v>
                      </c:pt>
                      <c:pt idx="1">
                        <c:v>74752.216000000015</c:v>
                      </c:pt>
                      <c:pt idx="2">
                        <c:v>23777.103999999999</c:v>
                      </c:pt>
                      <c:pt idx="3">
                        <c:v>70447.831999999995</c:v>
                      </c:pt>
                      <c:pt idx="4">
                        <c:v>16284.136000000002</c:v>
                      </c:pt>
                      <c:pt idx="5">
                        <c:v>2883.5840000000003</c:v>
                      </c:pt>
                      <c:pt idx="6">
                        <c:v>20319.464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Gráficos!$D$127</c15:sqref>
                        <c15:spPr xmlns:c15="http://schemas.microsoft.com/office/drawing/2012/chart">
                          <a:solidFill>
                            <a:schemeClr val="accent5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Gráficos!$D$137</c15:sqref>
                        <c15:spPr xmlns:c15="http://schemas.microsoft.com/office/drawing/2012/chart">
                          <a:solidFill>
                            <a:schemeClr val="accent5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Gráficos!$D$142</c15:sqref>
                        <c15:spPr xmlns:c15="http://schemas.microsoft.com/office/drawing/2012/chart">
                          <a:solidFill>
                            <a:schemeClr val="accent5">
                              <a:tint val="6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Gráficos!$D$147</c15:sqref>
                        <c15:spPr xmlns:c15="http://schemas.microsoft.com/office/drawing/2012/chart">
                          <a:solidFill>
                            <a:schemeClr val="accent5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Gráficos!$D$151</c15:sqref>
                        <c15:spPr xmlns:c15="http://schemas.microsoft.com/office/drawing/2012/chart">
                          <a:solidFill>
                            <a:schemeClr val="accent5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Gráficos!$D$153</c15:sqref>
                        <c15:spPr xmlns:c15="http://schemas.microsoft.com/office/drawing/2012/chart">
                          <a:solidFill>
                            <a:schemeClr val="accent5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3B-0BE3-4DCC-BB7E-816728843C29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Gráficos!$E$119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0BE3-4DCC-BB7E-816728843C2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F-0BE3-4DCC-BB7E-816728843C2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>
                        <a:shade val="8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1-0BE3-4DCC-BB7E-816728843C2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3-0BE3-4DCC-BB7E-816728843C2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>
                        <a:tint val="83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5-0BE3-4DCC-BB7E-816728843C2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7-0BE3-4DCC-BB7E-816728843C29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5">
                        <a:tint val="4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9-0BE3-4DCC-BB7E-816728843C29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Gráficos!$A$120:$A$126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Gráficos!$E$120:$E$154</c15:sqref>
                        </c15:fullRef>
                        <c15:formulaRef>
                          <c15:sqref>Gráficos!$E$120:$E$126</c15:sqref>
                        </c15:formulaRef>
                      </c:ext>
                    </c:extLst>
                    <c:numCache>
                      <c:formatCode>0.0%</c:formatCode>
                      <c:ptCount val="7"/>
                      <c:pt idx="0">
                        <c:v>5.4480856139468348E-2</c:v>
                      </c:pt>
                      <c:pt idx="1">
                        <c:v>0.17088843771513018</c:v>
                      </c:pt>
                      <c:pt idx="2">
                        <c:v>0.1485553661434848</c:v>
                      </c:pt>
                      <c:pt idx="3">
                        <c:v>0.12572982654696671</c:v>
                      </c:pt>
                      <c:pt idx="4">
                        <c:v>4.8997215546760071E-2</c:v>
                      </c:pt>
                      <c:pt idx="5">
                        <c:v>4.1596804535248194E-2</c:v>
                      </c:pt>
                      <c:pt idx="6">
                        <c:v>9.2977389901342161E-2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Gráficos!$E$127</c15:sqref>
                        <c15:spPr xmlns:c15="http://schemas.microsoft.com/office/drawing/2012/chart">
                          <a:solidFill>
                            <a:schemeClr val="accent5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Gráficos!$E$137</c15:sqref>
                        <c15:spPr xmlns:c15="http://schemas.microsoft.com/office/drawing/2012/chart">
                          <a:solidFill>
                            <a:schemeClr val="accent5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Gráficos!$E$142</c15:sqref>
                        <c15:spPr xmlns:c15="http://schemas.microsoft.com/office/drawing/2012/chart">
                          <a:solidFill>
                            <a:schemeClr val="accent5">
                              <a:tint val="6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Gráficos!$E$147</c15:sqref>
                        <c15:spPr xmlns:c15="http://schemas.microsoft.com/office/drawing/2012/chart">
                          <a:solidFill>
                            <a:schemeClr val="accent5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Gráficos!$E$151</c15:sqref>
                        <c15:spPr xmlns:c15="http://schemas.microsoft.com/office/drawing/2012/chart">
                          <a:solidFill>
                            <a:schemeClr val="accent5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Gráficos!$E$153</c15:sqref>
                        <c15:spPr xmlns:c15="http://schemas.microsoft.com/office/drawing/2012/chart">
                          <a:solidFill>
                            <a:schemeClr val="accent5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4A-0BE3-4DCC-BB7E-816728843C29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Gráficos!$F$119</c15:sqref>
                        </c15:formulaRef>
                      </c:ext>
                    </c:extLst>
                    <c:strCache>
                      <c:ptCount val="1"/>
                      <c:pt idx="0">
                        <c:v>PJ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C-0BE3-4DCC-BB7E-816728843C2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E-0BE3-4DCC-BB7E-816728843C2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>
                        <a:shade val="8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0-0BE3-4DCC-BB7E-816728843C2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2-0BE3-4DCC-BB7E-816728843C2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>
                        <a:tint val="83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4-0BE3-4DCC-BB7E-816728843C2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6-0BE3-4DCC-BB7E-816728843C29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5">
                        <a:tint val="4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8-0BE3-4DCC-BB7E-816728843C29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Gráficos!$A$120:$A$126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Gráficos!$F$120:$F$154</c15:sqref>
                        </c15:fullRef>
                        <c15:formulaRef>
                          <c15:sqref>Gráficos!$F$120:$F$126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7"/>
                      <c:pt idx="0">
                        <c:v>8337.1840000000011</c:v>
                      </c:pt>
                      <c:pt idx="1">
                        <c:v>21776.696000000004</c:v>
                      </c:pt>
                      <c:pt idx="2">
                        <c:v>8023.424</c:v>
                      </c:pt>
                      <c:pt idx="3">
                        <c:v>24116.239999999998</c:v>
                      </c:pt>
                      <c:pt idx="4">
                        <c:v>16101.848000000002</c:v>
                      </c:pt>
                      <c:pt idx="5">
                        <c:v>2500.7439999999997</c:v>
                      </c:pt>
                      <c:pt idx="6">
                        <c:v>11070.392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Gráficos!$F$127</c15:sqref>
                        <c15:spPr xmlns:c15="http://schemas.microsoft.com/office/drawing/2012/chart">
                          <a:solidFill>
                            <a:schemeClr val="accent5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Gráficos!$F$137</c15:sqref>
                        <c15:spPr xmlns:c15="http://schemas.microsoft.com/office/drawing/2012/chart">
                          <a:solidFill>
                            <a:schemeClr val="accent5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Gráficos!$F$142</c15:sqref>
                        <c15:spPr xmlns:c15="http://schemas.microsoft.com/office/drawing/2012/chart">
                          <a:solidFill>
                            <a:schemeClr val="accent5">
                              <a:tint val="6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Gráficos!$F$147</c15:sqref>
                        <c15:spPr xmlns:c15="http://schemas.microsoft.com/office/drawing/2012/chart">
                          <a:solidFill>
                            <a:schemeClr val="accent5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Gráficos!$F$151</c15:sqref>
                        <c15:spPr xmlns:c15="http://schemas.microsoft.com/office/drawing/2012/chart">
                          <a:solidFill>
                            <a:schemeClr val="accent5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Gráficos!$F$153</c15:sqref>
                        <c15:spPr xmlns:c15="http://schemas.microsoft.com/office/drawing/2012/chart">
                          <a:solidFill>
                            <a:schemeClr val="accent5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59-0BE3-4DCC-BB7E-816728843C29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Gráficos!$G$119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B-0BE3-4DCC-BB7E-816728843C2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D-0BE3-4DCC-BB7E-816728843C2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>
                        <a:shade val="8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F-0BE3-4DCC-BB7E-816728843C2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1-0BE3-4DCC-BB7E-816728843C2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>
                        <a:tint val="83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3-0BE3-4DCC-BB7E-816728843C2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5-0BE3-4DCC-BB7E-816728843C29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5">
                        <a:tint val="4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7-0BE3-4DCC-BB7E-816728843C29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Gráficos!$A$120:$A$126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Gráficos!$G$120:$G$154</c15:sqref>
                        </c15:fullRef>
                        <c15:formulaRef>
                          <c15:sqref>Gráficos!$G$120:$G$126</c15:sqref>
                        </c15:formulaRef>
                      </c:ext>
                    </c:extLst>
                    <c:numCache>
                      <c:formatCode>0.0%</c:formatCode>
                      <c:ptCount val="7"/>
                      <c:pt idx="0">
                        <c:v>6.7907574105345397E-2</c:v>
                      </c:pt>
                      <c:pt idx="1">
                        <c:v>4.9782946341514804E-2</c:v>
                      </c:pt>
                      <c:pt idx="2">
                        <c:v>5.0129010246345536E-2</c:v>
                      </c:pt>
                      <c:pt idx="3">
                        <c:v>4.3040794671509834E-2</c:v>
                      </c:pt>
                      <c:pt idx="4">
                        <c:v>4.8448730541010433E-2</c:v>
                      </c:pt>
                      <c:pt idx="5">
                        <c:v>3.6074190785042044E-2</c:v>
                      </c:pt>
                      <c:pt idx="6">
                        <c:v>5.0655674448139926E-2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Gráficos!$G$127</c15:sqref>
                        <c15:spPr xmlns:c15="http://schemas.microsoft.com/office/drawing/2012/chart">
                          <a:solidFill>
                            <a:schemeClr val="accent5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Gráficos!$G$137</c15:sqref>
                        <c15:spPr xmlns:c15="http://schemas.microsoft.com/office/drawing/2012/chart">
                          <a:solidFill>
                            <a:schemeClr val="accent5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Gráficos!$G$142</c15:sqref>
                        <c15:spPr xmlns:c15="http://schemas.microsoft.com/office/drawing/2012/chart">
                          <a:solidFill>
                            <a:schemeClr val="accent5">
                              <a:tint val="6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Gráficos!$G$147</c15:sqref>
                        <c15:spPr xmlns:c15="http://schemas.microsoft.com/office/drawing/2012/chart">
                          <a:solidFill>
                            <a:schemeClr val="accent5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Gráficos!$G$151</c15:sqref>
                        <c15:spPr xmlns:c15="http://schemas.microsoft.com/office/drawing/2012/chart">
                          <a:solidFill>
                            <a:schemeClr val="accent5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Gráficos!$G$153</c15:sqref>
                        <c15:spPr xmlns:c15="http://schemas.microsoft.com/office/drawing/2012/chart">
                          <a:solidFill>
                            <a:schemeClr val="accent5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68-0BE3-4DCC-BB7E-816728843C29}"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Gráficos!$H$119</c15:sqref>
                        </c15:formulaRef>
                      </c:ext>
                    </c:extLst>
                    <c:strCache>
                      <c:ptCount val="1"/>
                      <c:pt idx="0">
                        <c:v>PJ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A-0BE3-4DCC-BB7E-816728843C2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C-0BE3-4DCC-BB7E-816728843C2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>
                        <a:shade val="8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E-0BE3-4DCC-BB7E-816728843C2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0-0BE3-4DCC-BB7E-816728843C2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>
                        <a:tint val="83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2-0BE3-4DCC-BB7E-816728843C2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4-0BE3-4DCC-BB7E-816728843C29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5">
                        <a:tint val="4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6-0BE3-4DCC-BB7E-816728843C29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Gráficos!$A$120:$A$126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Gráficos!$H$120:$H$154</c15:sqref>
                        </c15:fullRef>
                        <c15:formulaRef>
                          <c15:sqref>Gráficos!$H$120:$H$126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7"/>
                      <c:pt idx="0">
                        <c:v>1292.1680000000001</c:v>
                      </c:pt>
                      <c:pt idx="1">
                        <c:v>6920.6880000000001</c:v>
                      </c:pt>
                      <c:pt idx="2">
                        <c:v>2034.6320000000001</c:v>
                      </c:pt>
                      <c:pt idx="3">
                        <c:v>11245.432000000001</c:v>
                      </c:pt>
                      <c:pt idx="4">
                        <c:v>3695.0320000000002</c:v>
                      </c:pt>
                      <c:pt idx="5">
                        <c:v>152.43200000000002</c:v>
                      </c:pt>
                      <c:pt idx="6">
                        <c:v>7135.7040000000006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Gráficos!$H$127</c15:sqref>
                        <c15:spPr xmlns:c15="http://schemas.microsoft.com/office/drawing/2012/chart">
                          <a:solidFill>
                            <a:schemeClr val="accent5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Gráficos!$H$137</c15:sqref>
                        <c15:spPr xmlns:c15="http://schemas.microsoft.com/office/drawing/2012/chart">
                          <a:solidFill>
                            <a:schemeClr val="accent5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Gráficos!$H$142</c15:sqref>
                        <c15:spPr xmlns:c15="http://schemas.microsoft.com/office/drawing/2012/chart">
                          <a:solidFill>
                            <a:schemeClr val="accent5">
                              <a:tint val="6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Gráficos!$H$147</c15:sqref>
                        <c15:spPr xmlns:c15="http://schemas.microsoft.com/office/drawing/2012/chart">
                          <a:solidFill>
                            <a:schemeClr val="accent5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Gráficos!$H$151</c15:sqref>
                        <c15:spPr xmlns:c15="http://schemas.microsoft.com/office/drawing/2012/chart">
                          <a:solidFill>
                            <a:schemeClr val="accent5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Gráficos!$H$153</c15:sqref>
                        <c15:spPr xmlns:c15="http://schemas.microsoft.com/office/drawing/2012/chart">
                          <a:solidFill>
                            <a:schemeClr val="accent5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77-0BE3-4DCC-BB7E-816728843C29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Gráficos!$I$119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9-0BE3-4DCC-BB7E-816728843C2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B-0BE3-4DCC-BB7E-816728843C2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>
                        <a:shade val="8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D-0BE3-4DCC-BB7E-816728843C2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F-0BE3-4DCC-BB7E-816728843C2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>
                        <a:tint val="83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1-0BE3-4DCC-BB7E-816728843C2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3-0BE3-4DCC-BB7E-816728843C29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5">
                        <a:tint val="4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5-0BE3-4DCC-BB7E-816728843C29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Gráficos!$A$120:$A$126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Gráficos!$I$120:$I$154</c15:sqref>
                        </c15:fullRef>
                        <c15:formulaRef>
                          <c15:sqref>Gráficos!$I$120:$I$126</c15:sqref>
                        </c15:formulaRef>
                      </c:ext>
                    </c:extLst>
                    <c:numCache>
                      <c:formatCode>0.0%</c:formatCode>
                      <c:ptCount val="7"/>
                      <c:pt idx="0">
                        <c:v>1.0524895962060564E-2</c:v>
                      </c:pt>
                      <c:pt idx="1">
                        <c:v>1.5821143820456754E-2</c:v>
                      </c:pt>
                      <c:pt idx="2">
                        <c:v>1.2712040193256958E-2</c:v>
                      </c:pt>
                      <c:pt idx="3">
                        <c:v>2.0069974826275833E-2</c:v>
                      </c:pt>
                      <c:pt idx="4">
                        <c:v>1.111795426887714E-2</c:v>
                      </c:pt>
                      <c:pt idx="5">
                        <c:v>2.1988900302252171E-3</c:v>
                      </c:pt>
                      <c:pt idx="6">
                        <c:v>3.2651409162592425E-2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Gráficos!$I$127</c15:sqref>
                        <c15:spPr xmlns:c15="http://schemas.microsoft.com/office/drawing/2012/chart">
                          <a:solidFill>
                            <a:schemeClr val="accent5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Gráficos!$I$137</c15:sqref>
                        <c15:spPr xmlns:c15="http://schemas.microsoft.com/office/drawing/2012/chart">
                          <a:solidFill>
                            <a:schemeClr val="accent5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Gráficos!$I$142</c15:sqref>
                        <c15:spPr xmlns:c15="http://schemas.microsoft.com/office/drawing/2012/chart">
                          <a:solidFill>
                            <a:schemeClr val="accent5">
                              <a:tint val="6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Gráficos!$I$147</c15:sqref>
                        <c15:spPr xmlns:c15="http://schemas.microsoft.com/office/drawing/2012/chart">
                          <a:solidFill>
                            <a:schemeClr val="accent5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Gráficos!$I$151</c15:sqref>
                        <c15:spPr xmlns:c15="http://schemas.microsoft.com/office/drawing/2012/chart">
                          <a:solidFill>
                            <a:schemeClr val="accent5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Gráficos!$I$153</c15:sqref>
                        <c15:spPr xmlns:c15="http://schemas.microsoft.com/office/drawing/2012/chart">
                          <a:solidFill>
                            <a:schemeClr val="accent5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86-0BE3-4DCC-BB7E-816728843C29}"/>
                  </c:ext>
                </c:extLst>
              </c15:ser>
            </c15:filteredPieSeries>
            <c15:filteredPi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Gráficos!$J$119</c15:sqref>
                        </c15:formulaRef>
                      </c:ext>
                    </c:extLst>
                    <c:strCache>
                      <c:ptCount val="1"/>
                      <c:pt idx="0">
                        <c:v>RRT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8-0BE3-4DCC-BB7E-816728843C2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A-0BE3-4DCC-BB7E-816728843C2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>
                        <a:shade val="8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C-0BE3-4DCC-BB7E-816728843C2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E-0BE3-4DCC-BB7E-816728843C2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>
                        <a:tint val="83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0-0BE3-4DCC-BB7E-816728843C2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2-0BE3-4DCC-BB7E-816728843C29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5">
                        <a:tint val="4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4-0BE3-4DCC-BB7E-816728843C29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Gráficos!$A$120:$A$126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Gráficos!$J$120:$J$154</c15:sqref>
                        </c15:fullRef>
                        <c15:formulaRef>
                          <c15:sqref>Gráficos!$J$120:$J$126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7"/>
                      <c:pt idx="0">
                        <c:v>44407.839999999997</c:v>
                      </c:pt>
                      <c:pt idx="1">
                        <c:v>133485.02399999998</c:v>
                      </c:pt>
                      <c:pt idx="2">
                        <c:v>67511.288</c:v>
                      </c:pt>
                      <c:pt idx="3">
                        <c:v>174031.872</c:v>
                      </c:pt>
                      <c:pt idx="4">
                        <c:v>182274.08000000002</c:v>
                      </c:pt>
                      <c:pt idx="5">
                        <c:v>37658.320000000007</c:v>
                      </c:pt>
                      <c:pt idx="6">
                        <c:v>98524.32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Gráficos!$J$127</c15:sqref>
                        <c15:spPr xmlns:c15="http://schemas.microsoft.com/office/drawing/2012/chart">
                          <a:solidFill>
                            <a:schemeClr val="accent5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Gráficos!$J$137</c15:sqref>
                        <c15:spPr xmlns:c15="http://schemas.microsoft.com/office/drawing/2012/chart">
                          <a:solidFill>
                            <a:schemeClr val="accent5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Gráficos!$J$142</c15:sqref>
                        <c15:spPr xmlns:c15="http://schemas.microsoft.com/office/drawing/2012/chart">
                          <a:solidFill>
                            <a:schemeClr val="accent5">
                              <a:tint val="6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Gráficos!$J$147</c15:sqref>
                        <c15:spPr xmlns:c15="http://schemas.microsoft.com/office/drawing/2012/chart">
                          <a:solidFill>
                            <a:schemeClr val="accent5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Gráficos!$J$151</c15:sqref>
                        <c15:spPr xmlns:c15="http://schemas.microsoft.com/office/drawing/2012/chart">
                          <a:solidFill>
                            <a:schemeClr val="accent5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Gráficos!$J$153</c15:sqref>
                        <c15:spPr xmlns:c15="http://schemas.microsoft.com/office/drawing/2012/chart">
                          <a:solidFill>
                            <a:schemeClr val="accent5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95-0BE3-4DCC-BB7E-816728843C29}"/>
                  </c:ext>
                </c:extLst>
              </c15:ser>
            </c15:filteredPieSeries>
            <c15:filteredPi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Gráficos!$K$119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7-0BE3-4DCC-BB7E-816728843C2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9-0BE3-4DCC-BB7E-816728843C2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>
                        <a:shade val="8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B-0BE3-4DCC-BB7E-816728843C2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D-0BE3-4DCC-BB7E-816728843C2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>
                        <a:tint val="83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F-0BE3-4DCC-BB7E-816728843C2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1-0BE3-4DCC-BB7E-816728843C29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5">
                        <a:tint val="4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3-0BE3-4DCC-BB7E-816728843C29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Gráficos!$A$120:$A$126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Gráficos!$K$120:$K$154</c15:sqref>
                        </c15:fullRef>
                        <c15:formulaRef>
                          <c15:sqref>Gráficos!$K$120:$K$126</c15:sqref>
                        </c15:formulaRef>
                      </c:ext>
                    </c:extLst>
                    <c:numCache>
                      <c:formatCode>0.0%</c:formatCode>
                      <c:ptCount val="7"/>
                      <c:pt idx="0">
                        <c:v>0.36170830410583726</c:v>
                      </c:pt>
                      <c:pt idx="1">
                        <c:v>0.30515546468517601</c:v>
                      </c:pt>
                      <c:pt idx="2">
                        <c:v>0.42179922784785956</c:v>
                      </c:pt>
                      <c:pt idx="3">
                        <c:v>0.31059858705380616</c:v>
                      </c:pt>
                      <c:pt idx="4">
                        <c:v>0.5484431219652911</c:v>
                      </c:pt>
                      <c:pt idx="5">
                        <c:v>0.54323570118499331</c:v>
                      </c:pt>
                      <c:pt idx="6">
                        <c:v>0.45082557863753714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Gráficos!$K$127</c15:sqref>
                        <c15:spPr xmlns:c15="http://schemas.microsoft.com/office/drawing/2012/chart">
                          <a:solidFill>
                            <a:schemeClr val="accent5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Gráficos!$K$137</c15:sqref>
                        <c15:spPr xmlns:c15="http://schemas.microsoft.com/office/drawing/2012/chart">
                          <a:solidFill>
                            <a:schemeClr val="accent5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Gráficos!$K$142</c15:sqref>
                        <c15:spPr xmlns:c15="http://schemas.microsoft.com/office/drawing/2012/chart">
                          <a:solidFill>
                            <a:schemeClr val="accent5">
                              <a:tint val="6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Gráficos!$K$147</c15:sqref>
                        <c15:spPr xmlns:c15="http://schemas.microsoft.com/office/drawing/2012/chart">
                          <a:solidFill>
                            <a:schemeClr val="accent5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Gráficos!$K$151</c15:sqref>
                        <c15:spPr xmlns:c15="http://schemas.microsoft.com/office/drawing/2012/chart">
                          <a:solidFill>
                            <a:schemeClr val="accent5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Gráficos!$K$153</c15:sqref>
                        <c15:spPr xmlns:c15="http://schemas.microsoft.com/office/drawing/2012/chart">
                          <a:solidFill>
                            <a:schemeClr val="accent5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A4-0BE3-4DCC-BB7E-816728843C29}"/>
                  </c:ext>
                </c:extLst>
              </c15:ser>
            </c15:filteredPieSeries>
            <c15:filteredPi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Gráficos!$L$119</c15:sqref>
                        </c15:formulaRef>
                      </c:ext>
                    </c:extLst>
                    <c:strCache>
                      <c:ptCount val="1"/>
                      <c:pt idx="0">
                        <c:v>Taxas
e Multas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6-0BE3-4DCC-BB7E-816728843C2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8-0BE3-4DCC-BB7E-816728843C2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>
                        <a:shade val="8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A-0BE3-4DCC-BB7E-816728843C2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C-0BE3-4DCC-BB7E-816728843C2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>
                        <a:tint val="83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E-0BE3-4DCC-BB7E-816728843C2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0-0BE3-4DCC-BB7E-816728843C29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5">
                        <a:tint val="4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2-0BE3-4DCC-BB7E-816728843C29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Gráficos!$A$120:$A$126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Gráficos!$L$120:$L$154</c15:sqref>
                        </c15:fullRef>
                        <c15:formulaRef>
                          <c15:sqref>Gráficos!$L$120:$L$126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7"/>
                      <c:pt idx="0">
                        <c:v>5479.4800000000005</c:v>
                      </c:pt>
                      <c:pt idx="1">
                        <c:v>23962.752000000004</c:v>
                      </c:pt>
                      <c:pt idx="2">
                        <c:v>13436.552000000001</c:v>
                      </c:pt>
                      <c:pt idx="3">
                        <c:v>31464.928</c:v>
                      </c:pt>
                      <c:pt idx="4">
                        <c:v>7402.9840000000013</c:v>
                      </c:pt>
                      <c:pt idx="5">
                        <c:v>1214.6640000000002</c:v>
                      </c:pt>
                      <c:pt idx="6">
                        <c:v>12672.351999999999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Gráficos!$L$127</c15:sqref>
                        <c15:spPr xmlns:c15="http://schemas.microsoft.com/office/drawing/2012/chart">
                          <a:solidFill>
                            <a:schemeClr val="accent5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Gráficos!$L$137</c15:sqref>
                        <c15:spPr xmlns:c15="http://schemas.microsoft.com/office/drawing/2012/chart">
                          <a:solidFill>
                            <a:schemeClr val="accent5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Gráficos!$L$142</c15:sqref>
                        <c15:spPr xmlns:c15="http://schemas.microsoft.com/office/drawing/2012/chart">
                          <a:solidFill>
                            <a:schemeClr val="accent5">
                              <a:tint val="6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Gráficos!$L$147</c15:sqref>
                        <c15:spPr xmlns:c15="http://schemas.microsoft.com/office/drawing/2012/chart">
                          <a:solidFill>
                            <a:schemeClr val="accent5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Gráficos!$L$151</c15:sqref>
                        <c15:spPr xmlns:c15="http://schemas.microsoft.com/office/drawing/2012/chart">
                          <a:solidFill>
                            <a:schemeClr val="accent5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Gráficos!$L$153</c15:sqref>
                        <c15:spPr xmlns:c15="http://schemas.microsoft.com/office/drawing/2012/chart">
                          <a:solidFill>
                            <a:schemeClr val="accent5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B3-0BE3-4DCC-BB7E-816728843C29}"/>
                  </c:ext>
                </c:extLst>
              </c15:ser>
            </c15:filteredPieSeries>
            <c15:filteredPi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Gráficos!$M$119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5-0BE3-4DCC-BB7E-816728843C2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7-0BE3-4DCC-BB7E-816728843C2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>
                        <a:shade val="8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9-0BE3-4DCC-BB7E-816728843C2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B-0BE3-4DCC-BB7E-816728843C2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>
                        <a:tint val="83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D-0BE3-4DCC-BB7E-816728843C2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F-0BE3-4DCC-BB7E-816728843C29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5">
                        <a:tint val="4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1-0BE3-4DCC-BB7E-816728843C29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Gráficos!$A$120:$A$126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Gráficos!$M$120:$M$154</c15:sqref>
                        </c15:fullRef>
                        <c15:formulaRef>
                          <c15:sqref>Gráficos!$M$120:$M$126</c15:sqref>
                        </c15:formulaRef>
                      </c:ext>
                    </c:extLst>
                    <c:numCache>
                      <c:formatCode>0.0%</c:formatCode>
                      <c:ptCount val="7"/>
                      <c:pt idx="0">
                        <c:v>4.4631160132576897E-2</c:v>
                      </c:pt>
                      <c:pt idx="1">
                        <c:v>5.47804128326458E-2</c:v>
                      </c:pt>
                      <c:pt idx="2">
                        <c:v>8.3949327978124391E-2</c:v>
                      </c:pt>
                      <c:pt idx="3">
                        <c:v>5.615616304207624E-2</c:v>
                      </c:pt>
                      <c:pt idx="4">
                        <c:v>2.2274783429542474E-2</c:v>
                      </c:pt>
                      <c:pt idx="5">
                        <c:v>1.7521993804932582E-2</c:v>
                      </c:pt>
                      <c:pt idx="6">
                        <c:v>5.7985890418716414E-2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Gráficos!$M$127</c15:sqref>
                        <c15:spPr xmlns:c15="http://schemas.microsoft.com/office/drawing/2012/chart">
                          <a:solidFill>
                            <a:schemeClr val="accent5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Gráficos!$M$137</c15:sqref>
                        <c15:spPr xmlns:c15="http://schemas.microsoft.com/office/drawing/2012/chart">
                          <a:solidFill>
                            <a:schemeClr val="accent5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Gráficos!$M$142</c15:sqref>
                        <c15:spPr xmlns:c15="http://schemas.microsoft.com/office/drawing/2012/chart">
                          <a:solidFill>
                            <a:schemeClr val="accent5">
                              <a:tint val="6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Gráficos!$M$147</c15:sqref>
                        <c15:spPr xmlns:c15="http://schemas.microsoft.com/office/drawing/2012/chart">
                          <a:solidFill>
                            <a:schemeClr val="accent5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Gráficos!$M$151</c15:sqref>
                        <c15:spPr xmlns:c15="http://schemas.microsoft.com/office/drawing/2012/chart">
                          <a:solidFill>
                            <a:schemeClr val="accent5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Gráficos!$M$153</c15:sqref>
                        <c15:spPr xmlns:c15="http://schemas.microsoft.com/office/drawing/2012/chart">
                          <a:solidFill>
                            <a:schemeClr val="accent5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C2-0BE3-4DCC-BB7E-816728843C29}"/>
                  </c:ext>
                </c:extLst>
              </c15:ser>
            </c15:filteredPieSeries>
            <c15:filteredPi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Gráficos!$O$119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5">
                        <a:shade val="47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4-0BE3-4DCC-BB7E-816728843C2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6-0BE3-4DCC-BB7E-816728843C2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>
                        <a:shade val="8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8-0BE3-4DCC-BB7E-816728843C2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A-0BE3-4DCC-BB7E-816728843C2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>
                        <a:tint val="83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C-0BE3-4DCC-BB7E-816728843C2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E-0BE3-4DCC-BB7E-816728843C29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5">
                        <a:tint val="4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D0-0BE3-4DCC-BB7E-816728843C29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Gráficos!$A$120:$A$126</c15:sqref>
                        </c15:formulaRef>
                      </c:ext>
                    </c:extLst>
                    <c:strCache>
                      <c:ptCount val="7"/>
                      <c:pt idx="0">
                        <c:v>AC</c:v>
                      </c:pt>
                      <c:pt idx="1">
                        <c:v>AM</c:v>
                      </c:pt>
                      <c:pt idx="2">
                        <c:v>AP</c:v>
                      </c:pt>
                      <c:pt idx="3">
                        <c:v>PA</c:v>
                      </c:pt>
                      <c:pt idx="4">
                        <c:v>RO</c:v>
                      </c:pt>
                      <c:pt idx="5">
                        <c:v>RR</c:v>
                      </c:pt>
                      <c:pt idx="6">
                        <c:v>TO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Gráficos!$O$120:$O$154</c15:sqref>
                        </c15:fullRef>
                        <c15:formulaRef>
                          <c15:sqref>Gráficos!$O$120:$O$126</c15:sqref>
                        </c15:formulaRef>
                      </c:ext>
                    </c:extLst>
                    <c:numCache>
                      <c:formatCode>0.0%</c:formatCode>
                      <c:ptCount val="7"/>
                      <c:pt idx="0">
                        <c:v>1.7525141412286498E-3</c:v>
                      </c:pt>
                      <c:pt idx="1">
                        <c:v>6.2441273662699314E-3</c:v>
                      </c:pt>
                      <c:pt idx="2">
                        <c:v>2.2847094296140429E-3</c:v>
                      </c:pt>
                      <c:pt idx="3">
                        <c:v>7.9981524328817249E-3</c:v>
                      </c:pt>
                      <c:pt idx="4">
                        <c:v>4.7440983234014779E-3</c:v>
                      </c:pt>
                      <c:pt idx="5">
                        <c:v>9.895391894029664E-4</c:v>
                      </c:pt>
                      <c:pt idx="6">
                        <c:v>3.1195737566702907E-3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Gráficos!$O$127</c15:sqref>
                        <c15:spPr xmlns:c15="http://schemas.microsoft.com/office/drawing/2012/chart">
                          <a:solidFill>
                            <a:schemeClr val="accent5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Gráficos!$O$137</c15:sqref>
                        <c15:spPr xmlns:c15="http://schemas.microsoft.com/office/drawing/2012/chart">
                          <a:solidFill>
                            <a:schemeClr val="accent5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Gráficos!$O$142</c15:sqref>
                        <c15:spPr xmlns:c15="http://schemas.microsoft.com/office/drawing/2012/chart">
                          <a:solidFill>
                            <a:schemeClr val="accent5">
                              <a:tint val="6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Gráficos!$O$147</c15:sqref>
                        <c15:spPr xmlns:c15="http://schemas.microsoft.com/office/drawing/2012/chart">
                          <a:solidFill>
                            <a:schemeClr val="accent5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Gráficos!$O$151</c15:sqref>
                        <c15:spPr xmlns:c15="http://schemas.microsoft.com/office/drawing/2012/chart">
                          <a:solidFill>
                            <a:schemeClr val="accent5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Gráficos!$O$153</c15:sqref>
                        <c15:spPr xmlns:c15="http://schemas.microsoft.com/office/drawing/2012/chart">
                          <a:solidFill>
                            <a:schemeClr val="accent5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D1-0BE3-4DCC-BB7E-816728843C29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0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92-4277-B3AF-837B63F02400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2235485.7726254836</c:v>
                </c:pt>
                <c:pt idx="1">
                  <c:v>4212235.8701483989</c:v>
                </c:pt>
                <c:pt idx="2">
                  <c:v>5262541.4014268918</c:v>
                </c:pt>
                <c:pt idx="3">
                  <c:v>6112110.4281369606</c:v>
                </c:pt>
                <c:pt idx="4">
                  <c:v>7306492.2853614269</c:v>
                </c:pt>
                <c:pt idx="5">
                  <c:v>8376627.2778502097</c:v>
                </c:pt>
                <c:pt idx="6">
                  <c:v>8779924.0493827146</c:v>
                </c:pt>
                <c:pt idx="7">
                  <c:v>9163092.7915643938</c:v>
                </c:pt>
                <c:pt idx="8">
                  <c:v>9434967.9727359042</c:v>
                </c:pt>
                <c:pt idx="9">
                  <c:v>9752183.9950471818</c:v>
                </c:pt>
                <c:pt idx="10">
                  <c:v>9980599.4679945931</c:v>
                </c:pt>
                <c:pt idx="11">
                  <c:v>10182900.468229098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792-4277-B3AF-837B63F02400}"/>
            </c:ext>
          </c:extLst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92-4277-B3AF-837B63F02400}"/>
                </c:ext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2-4277-B3AF-837B63F02400}"/>
                </c:ext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92-4277-B3AF-837B63F02400}"/>
                </c:ext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92-4277-B3AF-837B63F02400}"/>
                </c:ext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92-4277-B3AF-837B63F02400}"/>
                </c:ext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92-4277-B3AF-837B63F02400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92-4277-B3AF-837B63F02400}"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92-4277-B3AF-837B63F02400}"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92-4277-B3AF-837B63F02400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92-4277-B3AF-837B63F02400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92-4277-B3AF-837B63F02400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92-4277-B3AF-837B63F02400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3544225.5926342681</c:v>
                </c:pt>
                <c:pt idx="1">
                  <c:v>6678241.6403654478</c:v>
                </c:pt>
                <c:pt idx="2">
                  <c:v>8343436.6461339798</c:v>
                </c:pt>
                <c:pt idx="3">
                  <c:v>9690376.2348564994</c:v>
                </c:pt>
                <c:pt idx="4">
                  <c:v>11583995.419371074</c:v>
                </c:pt>
                <c:pt idx="5">
                  <c:v>13280628.819769654</c:v>
                </c:pt>
                <c:pt idx="6">
                  <c:v>13920031.117290674</c:v>
                </c:pt>
                <c:pt idx="7">
                  <c:v>14527521.658705674</c:v>
                </c:pt>
                <c:pt idx="8">
                  <c:v>14958563.084649732</c:v>
                </c:pt>
                <c:pt idx="9">
                  <c:v>15461489.633517385</c:v>
                </c:pt>
                <c:pt idx="10">
                  <c:v>15823628.357407847</c:v>
                </c:pt>
                <c:pt idx="11">
                  <c:v>16144364.18638365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792-4277-B3AF-837B63F02400}"/>
            </c:ext>
          </c:extLst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92-4277-B3AF-837B63F02400}"/>
                </c:ext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92-4277-B3AF-837B63F02400}"/>
                </c:ext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92-4277-B3AF-837B63F02400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92-4277-B3AF-837B63F02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1552"/>
        <c:axId val="292702112"/>
      </c:lineChart>
      <c:catAx>
        <c:axId val="29270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2702112"/>
        <c:crosses val="autoZero"/>
        <c:auto val="1"/>
        <c:lblAlgn val="ctr"/>
        <c:lblOffset val="100"/>
        <c:noMultiLvlLbl val="0"/>
      </c:catAx>
      <c:valAx>
        <c:axId val="2927021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27015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78-4B1E-8BBF-562179C697BC}"/>
                </c:ext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78-4B1E-8BBF-562179C697BC}"/>
                </c:ext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78-4B1E-8BBF-562179C697BC}"/>
                </c:ext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8-4B1E-8BBF-562179C697BC}"/>
                </c:ext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78-4B1E-8BBF-562179C697BC}"/>
                </c:ext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8-4B1E-8BBF-562179C697BC}"/>
                </c:ext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78-4B1E-8BBF-562179C697BC}"/>
                </c:ext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8-4B1E-8BBF-562179C697BC}"/>
                </c:ext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78-4B1E-8BBF-562179C697BC}"/>
                </c:ext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8-4B1E-8BBF-562179C697BC}"/>
                </c:ext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78-4B1E-8BBF-562179C697BC}"/>
                </c:ext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8-4B1E-8BBF-562179C697BC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149032.88527663413</c:v>
                </c:pt>
                <c:pt idx="1">
                  <c:v>254452.53292839986</c:v>
                </c:pt>
                <c:pt idx="2">
                  <c:v>351791.47133290104</c:v>
                </c:pt>
                <c:pt idx="3">
                  <c:v>435601.46585815132</c:v>
                </c:pt>
                <c:pt idx="4">
                  <c:v>520609.99117925472</c:v>
                </c:pt>
                <c:pt idx="5">
                  <c:v>603925.31113934948</c:v>
                </c:pt>
                <c:pt idx="6">
                  <c:v>677295.37754477479</c:v>
                </c:pt>
                <c:pt idx="7">
                  <c:v>754583.73676182423</c:v>
                </c:pt>
                <c:pt idx="8">
                  <c:v>813921.49769616686</c:v>
                </c:pt>
                <c:pt idx="9">
                  <c:v>889347.10772690573</c:v>
                </c:pt>
                <c:pt idx="10">
                  <c:v>956788.17683665326</c:v>
                </c:pt>
                <c:pt idx="11">
                  <c:v>1026714.548424322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F978-4B1E-8BBF-562179C697BC}"/>
            </c:ext>
          </c:extLst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8-4B1E-8BBF-562179C697BC}"/>
                </c:ext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78-4B1E-8BBF-562179C697BC}"/>
                </c:ext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8-4B1E-8BBF-562179C697BC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978-4B1E-8BBF-562179C69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5472"/>
        <c:axId val="292706032"/>
      </c:lineChart>
      <c:catAx>
        <c:axId val="29270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2706032"/>
        <c:crosses val="autoZero"/>
        <c:auto val="1"/>
        <c:lblAlgn val="ctr"/>
        <c:lblOffset val="100"/>
        <c:noMultiLvlLbl val="0"/>
      </c:catAx>
      <c:valAx>
        <c:axId val="29270603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27054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25-4466-8873-778570B0A7EE}"/>
                </c:ext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25-4466-8873-778570B0A7EE}"/>
                </c:ext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25-4466-8873-778570B0A7EE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5289691.519425259</c:v>
                </c:pt>
                <c:pt idx="1">
                  <c:v>10946126.084264638</c:v>
                </c:pt>
                <c:pt idx="2">
                  <c:v>18483532.833525073</c:v>
                </c:pt>
                <c:pt idx="3">
                  <c:v>25403790.303136677</c:v>
                </c:pt>
                <c:pt idx="4">
                  <c:v>33225436.985169947</c:v>
                </c:pt>
                <c:pt idx="5">
                  <c:v>40648530.656770773</c:v>
                </c:pt>
                <c:pt idx="6">
                  <c:v>48092325.603216611</c:v>
                </c:pt>
                <c:pt idx="7">
                  <c:v>56573819.691179112</c:v>
                </c:pt>
                <c:pt idx="8">
                  <c:v>63808638.033217229</c:v>
                </c:pt>
                <c:pt idx="9">
                  <c:v>71594760.70306471</c:v>
                </c:pt>
                <c:pt idx="10">
                  <c:v>78493365.828256473</c:v>
                </c:pt>
                <c:pt idx="11">
                  <c:v>84943109.670736536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525-4466-8873-778570B0A7EE}"/>
            </c:ext>
          </c:extLst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25-4466-8873-778570B0A7EE}"/>
                </c:ext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25-4466-8873-778570B0A7EE}"/>
                </c:ext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25-4466-8873-778570B0A7EE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25-4466-8873-778570B0A7EE}"/>
            </c:ext>
          </c:extLst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25-4466-8873-778570B0A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9952"/>
        <c:axId val="292710512"/>
      </c:lineChart>
      <c:catAx>
        <c:axId val="29270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2710512"/>
        <c:crosses val="autoZero"/>
        <c:auto val="1"/>
        <c:lblAlgn val="ctr"/>
        <c:lblOffset val="100"/>
        <c:noMultiLvlLbl val="0"/>
      </c:catAx>
      <c:valAx>
        <c:axId val="2927105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27099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D5-453C-B56E-C911417DF90F}"/>
                </c:ext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D5-453C-B56E-C911417DF90F}"/>
                </c:ext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D5-453C-B56E-C911417DF90F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728006.7976387497</c:v>
                </c:pt>
                <c:pt idx="1">
                  <c:v>1250668.9713280427</c:v>
                </c:pt>
                <c:pt idx="2">
                  <c:v>1744929.7334060951</c:v>
                </c:pt>
                <c:pt idx="3">
                  <c:v>2205094.9492343953</c:v>
                </c:pt>
                <c:pt idx="4">
                  <c:v>2687655.4318216094</c:v>
                </c:pt>
                <c:pt idx="5">
                  <c:v>3173054.3904569834</c:v>
                </c:pt>
                <c:pt idx="6">
                  <c:v>3704166.521725696</c:v>
                </c:pt>
                <c:pt idx="7">
                  <c:v>4319267.4267853573</c:v>
                </c:pt>
                <c:pt idx="8">
                  <c:v>4817214.7848488986</c:v>
                </c:pt>
                <c:pt idx="9">
                  <c:v>5525765.8016106859</c:v>
                </c:pt>
                <c:pt idx="10">
                  <c:v>6163666.8992301533</c:v>
                </c:pt>
                <c:pt idx="11">
                  <c:v>6782877.4148296248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1D5-453C-B56E-C911417DF90F}"/>
            </c:ext>
          </c:extLst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D5-453C-B56E-C911417DF90F}"/>
                </c:ext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D5-453C-B56E-C911417DF90F}"/>
                </c:ext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D5-453C-B56E-C911417DF90F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D5-453C-B56E-C911417DF90F}"/>
            </c:ext>
          </c:extLst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D5-453C-B56E-C911417DF90F}"/>
                </c:ext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D5-453C-B56E-C911417DF90F}"/>
                </c:ext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D5-453C-B56E-C911417DF90F}"/>
                </c:ext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D5-453C-B56E-C911417DF90F}"/>
                </c:ext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D5-453C-B56E-C911417DF90F}"/>
                </c:ext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D5-453C-B56E-C911417DF90F}"/>
                </c:ext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D5-453C-B56E-C911417DF90F}"/>
                </c:ext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D5-453C-B56E-C911417DF90F}"/>
                </c:ext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D5-453C-B56E-C911417DF90F}"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D5-453C-B56E-C911417DF90F}"/>
                </c:ext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D5-453C-B56E-C911417DF90F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D5-453C-B56E-C911417DF90F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821304.99769217195</c:v>
                </c:pt>
                <c:pt idx="1">
                  <c:v>1410949.2932509058</c:v>
                </c:pt>
                <c:pt idx="2">
                  <c:v>1968552.3752200392</c:v>
                </c:pt>
                <c:pt idx="3">
                  <c:v>2487690.3733124947</c:v>
                </c:pt>
                <c:pt idx="4">
                  <c:v>3032093.7186151734</c:v>
                </c:pt>
                <c:pt idx="5">
                  <c:v>3579699.3067701771</c:v>
                </c:pt>
                <c:pt idx="6">
                  <c:v>4178876.4698965959</c:v>
                </c:pt>
                <c:pt idx="7">
                  <c:v>4872806.044522848</c:v>
                </c:pt>
                <c:pt idx="8">
                  <c:v>5434568.1806617696</c:v>
                </c:pt>
                <c:pt idx="9">
                  <c:v>6233924.0288129207</c:v>
                </c:pt>
                <c:pt idx="10">
                  <c:v>6953575.7699882351</c:v>
                </c:pt>
                <c:pt idx="11">
                  <c:v>7652141.625052887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D5-453C-B56E-C911417DF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14432"/>
        <c:axId val="292714992"/>
      </c:lineChart>
      <c:catAx>
        <c:axId val="29271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2714992"/>
        <c:crosses val="autoZero"/>
        <c:auto val="1"/>
        <c:lblAlgn val="ctr"/>
        <c:lblOffset val="100"/>
        <c:noMultiLvlLbl val="0"/>
      </c:catAx>
      <c:valAx>
        <c:axId val="292714992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27144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687570333249233E-2"/>
          <c:y val="6.4675925925925928E-2"/>
          <c:w val="0.93376345666917737"/>
          <c:h val="0.88172143565828098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%"/>
                  <a:lumOff val="40%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%"/>
                  <a:lumOff val="40%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DA-4CF0-90D6-B4B28974BE0B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tx2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2235485.7726254836</c:v>
                </c:pt>
                <c:pt idx="1">
                  <c:v>4212235.8701483989</c:v>
                </c:pt>
                <c:pt idx="2">
                  <c:v>5262541.4014268918</c:v>
                </c:pt>
                <c:pt idx="3">
                  <c:v>6112110.4281369606</c:v>
                </c:pt>
                <c:pt idx="4">
                  <c:v>7306492.2853614269</c:v>
                </c:pt>
                <c:pt idx="5">
                  <c:v>8376627.2778502097</c:v>
                </c:pt>
                <c:pt idx="6">
                  <c:v>8779924.0493827146</c:v>
                </c:pt>
                <c:pt idx="7">
                  <c:v>9163092.7915643938</c:v>
                </c:pt>
                <c:pt idx="8">
                  <c:v>9434967.9727359042</c:v>
                </c:pt>
                <c:pt idx="9">
                  <c:v>9752183.9950471818</c:v>
                </c:pt>
                <c:pt idx="10">
                  <c:v>9980599.4679945931</c:v>
                </c:pt>
                <c:pt idx="11">
                  <c:v>10182900.468229098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EDA-4CF0-90D6-B4B28974BE0B}"/>
            </c:ext>
          </c:extLst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38100" cap="rnd">
              <a:solidFill>
                <a:srgbClr val="0066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DA-4CF0-90D6-B4B28974BE0B}"/>
                </c:ext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DA-4CF0-90D6-B4B28974BE0B}"/>
                </c:ext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DA-4CF0-90D6-B4B28974BE0B}"/>
                </c:ext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DA-4CF0-90D6-B4B28974BE0B}"/>
                </c:ext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DA-4CF0-90D6-B4B28974BE0B}"/>
                </c:ext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DA-4CF0-90D6-B4B28974BE0B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DA-4CF0-90D6-B4B28974BE0B}"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DA-4CF0-90D6-B4B28974BE0B}"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DA-4CF0-90D6-B4B28974BE0B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DA-4CF0-90D6-B4B28974BE0B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DA-4CF0-90D6-B4B28974BE0B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DA-4CF0-90D6-B4B28974BE0B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rgbClr val="006666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3544225.5926342681</c:v>
                </c:pt>
                <c:pt idx="1">
                  <c:v>6678241.6403654478</c:v>
                </c:pt>
                <c:pt idx="2">
                  <c:v>8343436.6461339798</c:v>
                </c:pt>
                <c:pt idx="3">
                  <c:v>9690376.2348564994</c:v>
                </c:pt>
                <c:pt idx="4">
                  <c:v>11583995.419371074</c:v>
                </c:pt>
                <c:pt idx="5">
                  <c:v>13280628.819769654</c:v>
                </c:pt>
                <c:pt idx="6">
                  <c:v>13920031.117290674</c:v>
                </c:pt>
                <c:pt idx="7">
                  <c:v>14527521.658705674</c:v>
                </c:pt>
                <c:pt idx="8">
                  <c:v>14958563.084649732</c:v>
                </c:pt>
                <c:pt idx="9">
                  <c:v>15461489.633517385</c:v>
                </c:pt>
                <c:pt idx="10">
                  <c:v>15823628.357407847</c:v>
                </c:pt>
                <c:pt idx="11">
                  <c:v>16144364.18638365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DA-4CF0-90D6-B4B28974BE0B}"/>
            </c:ext>
          </c:extLst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DA-4CF0-90D6-B4B28974BE0B}"/>
                </c:ext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DA-4CF0-90D6-B4B28974BE0B}"/>
                </c:ext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DA-4CF0-90D6-B4B28974BE0B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DA-4CF0-90D6-B4B28974B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18912"/>
        <c:axId val="292719472"/>
      </c:lineChart>
      <c:catAx>
        <c:axId val="29271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2719472"/>
        <c:crosses val="autoZero"/>
        <c:auto val="1"/>
        <c:lblAlgn val="ctr"/>
        <c:lblOffset val="100"/>
        <c:noMultiLvlLbl val="0"/>
      </c:catAx>
      <c:valAx>
        <c:axId val="29271947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27189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0"/>
                <c:y val="1.2192533906432736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982863160295227"/>
          <c:y val="0.83159759492664265"/>
          <c:w val="0.2775570707070707"/>
          <c:h val="0.113441659701300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1310230.0516277591</c:v>
                </c:pt>
                <c:pt idx="1">
                  <c:v>2138806.5617406666</c:v>
                </c:pt>
                <c:pt idx="2">
                  <c:v>2875295.2254140498</c:v>
                </c:pt>
                <c:pt idx="3">
                  <c:v>3508232.95521536</c:v>
                </c:pt>
                <c:pt idx="4">
                  <c:v>4196266.4682252845</c:v>
                </c:pt>
                <c:pt idx="5">
                  <c:v>4792472.3572983611</c:v>
                </c:pt>
                <c:pt idx="6">
                  <c:v>5379422.8673073482</c:v>
                </c:pt>
                <c:pt idx="7">
                  <c:v>5990230.9955518246</c:v>
                </c:pt>
                <c:pt idx="8">
                  <c:v>6455772.3440091806</c:v>
                </c:pt>
                <c:pt idx="9">
                  <c:v>7087618.0440178793</c:v>
                </c:pt>
                <c:pt idx="10">
                  <c:v>7617587.9502158975</c:v>
                </c:pt>
                <c:pt idx="11">
                  <c:v>8145741.0494781248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79A-451C-B73D-5F31FEB3B4EF}"/>
            </c:ext>
          </c:extLst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9A-451C-B73D-5F31FEB3B4EF}"/>
                </c:ext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9A-451C-B73D-5F31FEB3B4EF}"/>
                </c:ext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A-451C-B73D-5F31FEB3B4EF}"/>
                </c:ext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9A-451C-B73D-5F31FEB3B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24512"/>
        <c:axId val="29272507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379A-451C-B73D-5F31FEB3B4EF}"/>
                  </c:ext>
                </c:extLst>
              </c15:ser>
            </c15:filteredLineSeries>
          </c:ext>
        </c:extLst>
      </c:lineChart>
      <c:catAx>
        <c:axId val="29272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2725072"/>
        <c:crosses val="autoZero"/>
        <c:auto val="1"/>
        <c:lblAlgn val="ctr"/>
        <c:lblOffset val="100"/>
        <c:noMultiLvlLbl val="0"/>
      </c:catAx>
      <c:valAx>
        <c:axId val="29272507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27245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51-41A0-8889-020927B05376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2235485.7726254836</c:v>
                </c:pt>
                <c:pt idx="1">
                  <c:v>4212235.8701483989</c:v>
                </c:pt>
                <c:pt idx="2">
                  <c:v>5262541.4014268918</c:v>
                </c:pt>
                <c:pt idx="3">
                  <c:v>6112110.4281369606</c:v>
                </c:pt>
                <c:pt idx="4">
                  <c:v>7306492.2853614269</c:v>
                </c:pt>
                <c:pt idx="5">
                  <c:v>8376627.2778502097</c:v>
                </c:pt>
                <c:pt idx="6">
                  <c:v>8779924.0493827146</c:v>
                </c:pt>
                <c:pt idx="7">
                  <c:v>9163092.7915643938</c:v>
                </c:pt>
                <c:pt idx="8">
                  <c:v>9434967.9727359042</c:v>
                </c:pt>
                <c:pt idx="9">
                  <c:v>9752183.9950471818</c:v>
                </c:pt>
                <c:pt idx="10">
                  <c:v>9980599.4679945931</c:v>
                </c:pt>
                <c:pt idx="11">
                  <c:v>10182900.468229098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51-41A0-8889-020927B05376}"/>
            </c:ext>
          </c:extLst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51-41A0-8889-020927B05376}"/>
                </c:ext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1-41A0-8889-020927B05376}"/>
                </c:ext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51-41A0-8889-020927B05376}"/>
                </c:ext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1-41A0-8889-020927B05376}"/>
                </c:ext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51-41A0-8889-020927B05376}"/>
                </c:ext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1-41A0-8889-020927B05376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51-41A0-8889-020927B05376}"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1-41A0-8889-020927B05376}"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51-41A0-8889-020927B05376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51-41A0-8889-020927B05376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51-41A0-8889-020927B05376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51-41A0-8889-020927B05376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3544225.5926342681</c:v>
                </c:pt>
                <c:pt idx="1">
                  <c:v>6678241.6403654478</c:v>
                </c:pt>
                <c:pt idx="2">
                  <c:v>8343436.6461339798</c:v>
                </c:pt>
                <c:pt idx="3">
                  <c:v>9690376.2348564994</c:v>
                </c:pt>
                <c:pt idx="4">
                  <c:v>11583995.419371074</c:v>
                </c:pt>
                <c:pt idx="5">
                  <c:v>13280628.819769654</c:v>
                </c:pt>
                <c:pt idx="6">
                  <c:v>13920031.117290674</c:v>
                </c:pt>
                <c:pt idx="7">
                  <c:v>14527521.658705674</c:v>
                </c:pt>
                <c:pt idx="8">
                  <c:v>14958563.084649732</c:v>
                </c:pt>
                <c:pt idx="9">
                  <c:v>15461489.633517385</c:v>
                </c:pt>
                <c:pt idx="10">
                  <c:v>15823628.357407847</c:v>
                </c:pt>
                <c:pt idx="11">
                  <c:v>16144364.18638365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351-41A0-8889-020927B05376}"/>
            </c:ext>
          </c:extLst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51-41A0-8889-020927B05376}"/>
                </c:ext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51-41A0-8889-020927B05376}"/>
                </c:ext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51-41A0-8889-020927B05376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51-41A0-8889-020927B05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28992"/>
        <c:axId val="292729552"/>
      </c:lineChart>
      <c:catAx>
        <c:axId val="29272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2729552"/>
        <c:crosses val="autoZero"/>
        <c:auto val="1"/>
        <c:lblAlgn val="ctr"/>
        <c:lblOffset val="100"/>
        <c:noMultiLvlLbl val="0"/>
      </c:catAx>
      <c:valAx>
        <c:axId val="2927295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27289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89-4319-944E-26AEB47BA069}"/>
                </c:ext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89-4319-944E-26AEB47BA069}"/>
                </c:ext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89-4319-944E-26AEB47BA069}"/>
                </c:ext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89-4319-944E-26AEB47BA069}"/>
                </c:ext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89-4319-944E-26AEB47BA069}"/>
                </c:ext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89-4319-944E-26AEB47BA069}"/>
                </c:ext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89-4319-944E-26AEB47BA069}"/>
                </c:ext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89-4319-944E-26AEB47BA069}"/>
                </c:ext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89-4319-944E-26AEB47BA069}"/>
                </c:ext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89-4319-944E-26AEB47BA069}"/>
                </c:ext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89-4319-944E-26AEB47BA069}"/>
                </c:ext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89-4319-944E-26AEB47BA069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149032.88527663413</c:v>
                </c:pt>
                <c:pt idx="1">
                  <c:v>254452.53292839986</c:v>
                </c:pt>
                <c:pt idx="2">
                  <c:v>351791.47133290104</c:v>
                </c:pt>
                <c:pt idx="3">
                  <c:v>435601.46585815132</c:v>
                </c:pt>
                <c:pt idx="4">
                  <c:v>520609.99117925472</c:v>
                </c:pt>
                <c:pt idx="5">
                  <c:v>603925.31113934948</c:v>
                </c:pt>
                <c:pt idx="6">
                  <c:v>677295.37754477479</c:v>
                </c:pt>
                <c:pt idx="7">
                  <c:v>754583.73676182423</c:v>
                </c:pt>
                <c:pt idx="8">
                  <c:v>813921.49769616686</c:v>
                </c:pt>
                <c:pt idx="9">
                  <c:v>889347.10772690573</c:v>
                </c:pt>
                <c:pt idx="10">
                  <c:v>956788.17683665326</c:v>
                </c:pt>
                <c:pt idx="11">
                  <c:v>1026714.548424322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9089-4319-944E-26AEB47BA069}"/>
            </c:ext>
          </c:extLst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89-4319-944E-26AEB47BA069}"/>
                </c:ext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89-4319-944E-26AEB47BA069}"/>
                </c:ext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89-4319-944E-26AEB47BA069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089-4319-944E-26AEB47BA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243552"/>
        <c:axId val="294244112"/>
      </c:lineChart>
      <c:catAx>
        <c:axId val="29424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4244112"/>
        <c:crosses val="autoZero"/>
        <c:auto val="1"/>
        <c:lblAlgn val="ctr"/>
        <c:lblOffset val="100"/>
        <c:noMultiLvlLbl val="0"/>
      </c:catAx>
      <c:valAx>
        <c:axId val="2942441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42435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FF-4A82-AB72-24FA1DAD47DE}"/>
                </c:ext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FF-4A82-AB72-24FA1DAD47DE}"/>
                </c:ext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FF-4A82-AB72-24FA1DAD47DE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5289691.519425259</c:v>
                </c:pt>
                <c:pt idx="1">
                  <c:v>10946126.084264638</c:v>
                </c:pt>
                <c:pt idx="2">
                  <c:v>18483532.833525073</c:v>
                </c:pt>
                <c:pt idx="3">
                  <c:v>25403790.303136677</c:v>
                </c:pt>
                <c:pt idx="4">
                  <c:v>33225436.985169947</c:v>
                </c:pt>
                <c:pt idx="5">
                  <c:v>40648530.656770773</c:v>
                </c:pt>
                <c:pt idx="6">
                  <c:v>48092325.603216611</c:v>
                </c:pt>
                <c:pt idx="7">
                  <c:v>56573819.691179112</c:v>
                </c:pt>
                <c:pt idx="8">
                  <c:v>63808638.033217229</c:v>
                </c:pt>
                <c:pt idx="9">
                  <c:v>71594760.70306471</c:v>
                </c:pt>
                <c:pt idx="10">
                  <c:v>78493365.828256473</c:v>
                </c:pt>
                <c:pt idx="11">
                  <c:v>84943109.670736536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5FF-4A82-AB72-24FA1DAD47DE}"/>
            </c:ext>
          </c:extLst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FF-4A82-AB72-24FA1DAD47DE}"/>
                </c:ext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FF-4A82-AB72-24FA1DAD47DE}"/>
                </c:ext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FF-4A82-AB72-24FA1DAD47DE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FF-4A82-AB72-24FA1DAD47DE}"/>
            </c:ext>
          </c:extLst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FF-4A82-AB72-24FA1DAD4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248032"/>
        <c:axId val="294248592"/>
      </c:lineChart>
      <c:catAx>
        <c:axId val="2942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4248592"/>
        <c:crosses val="autoZero"/>
        <c:auto val="1"/>
        <c:lblAlgn val="ctr"/>
        <c:lblOffset val="100"/>
        <c:noMultiLvlLbl val="0"/>
      </c:catAx>
      <c:valAx>
        <c:axId val="2942485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42480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28-4EC6-A603-085C6E54FE4E}"/>
                </c:ext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28-4EC6-A603-085C6E54FE4E}"/>
                </c:ext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28-4EC6-A603-085C6E54FE4E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728006.7976387497</c:v>
                </c:pt>
                <c:pt idx="1">
                  <c:v>1250668.9713280427</c:v>
                </c:pt>
                <c:pt idx="2">
                  <c:v>1744929.7334060951</c:v>
                </c:pt>
                <c:pt idx="3">
                  <c:v>2205094.9492343953</c:v>
                </c:pt>
                <c:pt idx="4">
                  <c:v>2687655.4318216094</c:v>
                </c:pt>
                <c:pt idx="5">
                  <c:v>3173054.3904569834</c:v>
                </c:pt>
                <c:pt idx="6">
                  <c:v>3704166.521725696</c:v>
                </c:pt>
                <c:pt idx="7">
                  <c:v>4319267.4267853573</c:v>
                </c:pt>
                <c:pt idx="8">
                  <c:v>4817214.7848488986</c:v>
                </c:pt>
                <c:pt idx="9">
                  <c:v>5525765.8016106859</c:v>
                </c:pt>
                <c:pt idx="10">
                  <c:v>6163666.8992301533</c:v>
                </c:pt>
                <c:pt idx="11">
                  <c:v>6782877.4148296248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028-4EC6-A603-085C6E54FE4E}"/>
            </c:ext>
          </c:extLst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28-4EC6-A603-085C6E54FE4E}"/>
                </c:ext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28-4EC6-A603-085C6E54FE4E}"/>
                </c:ext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28-4EC6-A603-085C6E54FE4E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28-4EC6-A603-085C6E54FE4E}"/>
            </c:ext>
          </c:extLst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28-4EC6-A603-085C6E54FE4E}"/>
                </c:ext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28-4EC6-A603-085C6E54FE4E}"/>
                </c:ext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28-4EC6-A603-085C6E54FE4E}"/>
                </c:ext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28-4EC6-A603-085C6E54FE4E}"/>
                </c:ext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28-4EC6-A603-085C6E54FE4E}"/>
                </c:ext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28-4EC6-A603-085C6E54FE4E}"/>
                </c:ext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28-4EC6-A603-085C6E54FE4E}"/>
                </c:ext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28-4EC6-A603-085C6E54FE4E}"/>
                </c:ext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28-4EC6-A603-085C6E54FE4E}"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28-4EC6-A603-085C6E54FE4E}"/>
                </c:ext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28-4EC6-A603-085C6E54FE4E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28-4EC6-A603-085C6E54FE4E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821304.99769217195</c:v>
                </c:pt>
                <c:pt idx="1">
                  <c:v>1410949.2932509058</c:v>
                </c:pt>
                <c:pt idx="2">
                  <c:v>1968552.3752200392</c:v>
                </c:pt>
                <c:pt idx="3">
                  <c:v>2487690.3733124947</c:v>
                </c:pt>
                <c:pt idx="4">
                  <c:v>3032093.7186151734</c:v>
                </c:pt>
                <c:pt idx="5">
                  <c:v>3579699.3067701771</c:v>
                </c:pt>
                <c:pt idx="6">
                  <c:v>4178876.4698965959</c:v>
                </c:pt>
                <c:pt idx="7">
                  <c:v>4872806.044522848</c:v>
                </c:pt>
                <c:pt idx="8">
                  <c:v>5434568.1806617696</c:v>
                </c:pt>
                <c:pt idx="9">
                  <c:v>6233924.0288129207</c:v>
                </c:pt>
                <c:pt idx="10">
                  <c:v>6953575.7699882351</c:v>
                </c:pt>
                <c:pt idx="11">
                  <c:v>7652141.625052887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28-4EC6-A603-085C6E54F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252512"/>
        <c:axId val="294253072"/>
      </c:lineChart>
      <c:catAx>
        <c:axId val="29425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4253072"/>
        <c:crosses val="autoZero"/>
        <c:auto val="1"/>
        <c:lblAlgn val="ctr"/>
        <c:lblOffset val="100"/>
        <c:noMultiLvlLbl val="0"/>
      </c:catAx>
      <c:valAx>
        <c:axId val="294253072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42525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12"/>
          <c:order val="12"/>
          <c:tx>
            <c:strRef>
              <c:f>Gráficos!$N$119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AECCD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A8-4B94-A868-FAA40EDD584A}"/>
              </c:ext>
            </c:extLst>
          </c:dPt>
          <c:dPt>
            <c:idx val="1"/>
            <c:bubble3D val="0"/>
            <c:spPr>
              <a:solidFill>
                <a:srgbClr val="1C39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A8-4B94-A868-FAA40EDD584A}"/>
              </c:ext>
            </c:extLst>
          </c:dPt>
          <c:dPt>
            <c:idx val="2"/>
            <c:bubble3D val="0"/>
            <c:spPr>
              <a:solidFill>
                <a:srgbClr val="00687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A8-4B94-A868-FAA40EDD584A}"/>
              </c:ext>
            </c:extLst>
          </c:dPt>
          <c:dPt>
            <c:idx val="3"/>
            <c:bubble3D val="0"/>
            <c:spPr>
              <a:solidFill>
                <a:srgbClr val="B7D8D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A8-4B94-A868-FAA40EDD584A}"/>
              </c:ext>
            </c:extLst>
          </c:dPt>
          <c:dPt>
            <c:idx val="4"/>
            <c:bubble3D val="0"/>
            <c:spPr>
              <a:solidFill>
                <a:srgbClr val="008F9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FA8-4B94-A868-FAA40EDD584A}"/>
              </c:ext>
            </c:extLst>
          </c:dPt>
          <c:dPt>
            <c:idx val="5"/>
            <c:bubble3D val="0"/>
            <c:spPr>
              <a:solidFill>
                <a:srgbClr val="2A566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FA8-4B94-A868-FAA40EDD584A}"/>
              </c:ext>
            </c:extLst>
          </c:dPt>
          <c:dPt>
            <c:idx val="6"/>
            <c:bubble3D val="0"/>
            <c:spPr>
              <a:solidFill>
                <a:srgbClr val="FFFAD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FA8-4B94-A868-FAA40EDD584A}"/>
              </c:ext>
            </c:extLst>
          </c:dPt>
          <c:dPt>
            <c:idx val="7"/>
            <c:bubble3D val="0"/>
            <c:spPr>
              <a:solidFill>
                <a:srgbClr val="5E9AA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FA8-4B94-A868-FAA40EDD584A}"/>
              </c:ext>
            </c:extLst>
          </c:dPt>
          <c:dPt>
            <c:idx val="8"/>
            <c:bubble3D val="0"/>
            <c:spPr>
              <a:solidFill>
                <a:srgbClr val="E4F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FA8-4B94-A868-FAA40EDD584A}"/>
              </c:ext>
            </c:extLst>
          </c:dPt>
          <c:dLbls>
            <c:dLbl>
              <c:idx val="0"/>
              <c:layout>
                <c:manualLayout>
                  <c:x val="2.5955296259950807E-2"/>
                  <c:y val="-9.25925925925925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A8-4B94-A868-FAA40EDD584A}"/>
                </c:ext>
              </c:extLst>
            </c:dLbl>
            <c:dLbl>
              <c:idx val="1"/>
              <c:layout>
                <c:manualLayout>
                  <c:x val="6.9653864665270196E-2"/>
                  <c:y val="-3.70370370370370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A8-4B94-A868-FAA40EDD584A}"/>
                </c:ext>
              </c:extLst>
            </c:dLbl>
            <c:dLbl>
              <c:idx val="2"/>
              <c:layout>
                <c:manualLayout>
                  <c:x val="7.4136773511428E-2"/>
                  <c:y val="8.79629629629629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A8-4B94-A868-FAA40EDD584A}"/>
                </c:ext>
              </c:extLst>
            </c:dLbl>
            <c:dLbl>
              <c:idx val="3"/>
              <c:layout>
                <c:manualLayout>
                  <c:x val="1.7994650211508416E-2"/>
                  <c:y val="8.79629629629629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A8-4B94-A868-FAA40EDD584A}"/>
                </c:ext>
              </c:extLst>
            </c:dLbl>
            <c:dLbl>
              <c:idx val="4"/>
              <c:layout>
                <c:manualLayout>
                  <c:x val="-2.9998463800706924E-2"/>
                  <c:y val="0.1064814814814813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A8-4B94-A868-FAA40EDD584A}"/>
                </c:ext>
              </c:extLst>
            </c:dLbl>
            <c:dLbl>
              <c:idx val="5"/>
              <c:layout>
                <c:manualLayout>
                  <c:x val="-5.6813105083874611E-2"/>
                  <c:y val="2.31481615037992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A8-4B94-A868-FAA40EDD584A}"/>
                </c:ext>
              </c:extLst>
            </c:dLbl>
            <c:dLbl>
              <c:idx val="6"/>
              <c:layout>
                <c:manualLayout>
                  <c:x val="-7.3979747375262167E-2"/>
                  <c:y val="-0.106481481481481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A8-4B94-A868-FAA40EDD584A}"/>
                </c:ext>
              </c:extLst>
            </c:dLbl>
            <c:dLbl>
              <c:idx val="7"/>
              <c:layout>
                <c:manualLayout>
                  <c:x val="-3.9404022798423782E-2"/>
                  <c:y val="-0.106481481481481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A8-4B94-A868-FAA40EDD584A}"/>
                </c:ext>
              </c:extLst>
            </c:dLbl>
            <c:dLbl>
              <c:idx val="8"/>
              <c:layout>
                <c:manualLayout>
                  <c:x val="-1.3354715229184926E-2"/>
                  <c:y val="-8.79629629629629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A8-4B94-A868-FAA40EDD584A}"/>
                </c:ext>
              </c:extLst>
            </c:dLbl>
            <c:numFmt formatCode="0.0%" sourceLinked="0"/>
            <c:spPr>
              <a:solidFill>
                <a:schemeClr val="lt1"/>
              </a:solidFill>
              <a:ln>
                <a:solidFill>
                  <a:schemeClr val="dk1">
                    <a:lumMod val="25%"/>
                    <a:lumOff val="75%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%">
                    <a:solidFill>
                      <a:schemeClr val="dk1">
                        <a:lumMod val="65%"/>
                        <a:lumOff val="3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%"/>
                      <a:lumOff val="65%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OffpageConnector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Gráficos!$A$120:$A$154</c15:sqref>
                  </c15:fullRef>
                </c:ext>
              </c:extLst>
              <c:f>Gráficos!$A$128:$A$136</c:f>
              <c:strCache>
                <c:ptCount val="9"/>
                <c:pt idx="0">
                  <c:v>AL</c:v>
                </c:pt>
                <c:pt idx="1">
                  <c:v>BA</c:v>
                </c:pt>
                <c:pt idx="2">
                  <c:v>CE</c:v>
                </c:pt>
                <c:pt idx="3">
                  <c:v>MA</c:v>
                </c:pt>
                <c:pt idx="4">
                  <c:v>PB</c:v>
                </c:pt>
                <c:pt idx="5">
                  <c:v>PE</c:v>
                </c:pt>
                <c:pt idx="6">
                  <c:v>PI</c:v>
                </c:pt>
                <c:pt idx="7">
                  <c:v>RN</c:v>
                </c:pt>
                <c:pt idx="8">
                  <c:v>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Gráficos!$N$120:$N$154</c15:sqref>
                  </c15:fullRef>
                </c:ext>
              </c:extLst>
              <c:f>Gráficos!$N$128:$N$136</c:f>
              <c:numCache>
                <c:formatCode>_-* #,##0_-;\-* #,##0_-;_-* "-"??_-;_-@_-</c:formatCode>
                <c:ptCount val="9"/>
                <c:pt idx="0">
                  <c:v>452480.424</c:v>
                </c:pt>
                <c:pt idx="1">
                  <c:v>1378945.5440000002</c:v>
                </c:pt>
                <c:pt idx="2">
                  <c:v>740470.81599999999</c:v>
                </c:pt>
                <c:pt idx="3">
                  <c:v>345604.94400000002</c:v>
                </c:pt>
                <c:pt idx="4">
                  <c:v>608112.152</c:v>
                </c:pt>
                <c:pt idx="5">
                  <c:v>1298304.2720000001</c:v>
                </c:pt>
                <c:pt idx="6">
                  <c:v>288551.09600000002</c:v>
                </c:pt>
                <c:pt idx="7">
                  <c:v>569589.326</c:v>
                </c:pt>
                <c:pt idx="8">
                  <c:v>391684.68800000008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Gráficos!$N$120</c15:sqref>
                  <c15:spPr xmlns:c15="http://schemas.microsoft.com/office/drawing/2012/chart">
                    <a:solidFill>
                      <a:schemeClr val="accent2">
                        <a:shade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4.3572984749455342E-3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25-0878-4B7C-89CD-D84CFBFD4766}"/>
                      </c:ext>
                    </c:extLst>
                  </c15:dLbl>
                </c15:categoryFilterException>
                <c15:categoryFilterException>
                  <c15:sqref>Gráficos!$N$121</c15:sqref>
                  <c15:spPr xmlns:c15="http://schemas.microsoft.com/office/drawing/2012/chart">
                    <a:solidFill>
                      <a:schemeClr val="accent2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0501089324618737E-2"/>
                        <c:y val="-6.018518518518518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27-0878-4B7C-89CD-D84CFBFD4766}"/>
                      </c:ext>
                    </c:extLst>
                  </c15:dLbl>
                </c15:categoryFilterException>
                <c15:categoryFilterException>
                  <c15:sqref>Gráficos!$N$122</c15:sqref>
                  <c15:spPr xmlns:c15="http://schemas.microsoft.com/office/drawing/2012/chart">
                    <a:solidFill>
                      <a:schemeClr val="accent2">
                        <a:shade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2844E-2"/>
                        <c:y val="-3.2407407407407406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29-0878-4B7C-89CD-D84CFBFD4766}"/>
                      </c:ext>
                    </c:extLst>
                  </c15:dLbl>
                </c15:categoryFilterException>
                <c15:categoryFilterException>
                  <c15:sqref>Gráficos!$N$123</c15:sqref>
                  <c15:spPr xmlns:c15="http://schemas.microsoft.com/office/drawing/2012/chart">
                    <a:solidFill>
                      <a:schemeClr val="accent2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0.10457516339869281"/>
                        <c:y val="2.777777777777769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2B-0878-4B7C-89CD-D84CFBFD4766}"/>
                      </c:ext>
                    </c:extLst>
                  </c15:dLbl>
                </c15:categoryFilterException>
                <c15:categoryFilterException>
                  <c15:sqref>Gráficos!$N$124</c15:sqref>
                  <c15:spPr xmlns:c15="http://schemas.microsoft.com/office/drawing/2012/chart"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301E-2"/>
                        <c:y val="6.481481481481481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2D-0878-4B7C-89CD-D84CFBFD4766}"/>
                      </c:ext>
                    </c:extLst>
                  </c15:dLbl>
                </c15:categoryFilterException>
                <c15:categoryFilterException>
                  <c15:sqref>Gráficos!$N$125</c15:sqref>
                  <c15:spPr xmlns:c15="http://schemas.microsoft.com/office/drawing/2012/chart">
                    <a:solidFill>
                      <a:schemeClr val="accent2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5.2287581699346407E-2"/>
                        <c:y val="7.4074074074074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2F-0878-4B7C-89CD-D84CFBFD4766}"/>
                      </c:ext>
                    </c:extLst>
                  </c15:dLbl>
                </c15:categoryFilterException>
                <c15:categoryFilterException>
                  <c15:sqref>Gráficos!$N$126</c15:sqref>
                  <c15:spPr xmlns:c15="http://schemas.microsoft.com/office/drawing/2012/chart">
                    <a:solidFill>
                      <a:schemeClr val="accent2">
                        <a:tint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9716775599128575E-2"/>
                        <c:y val="-5.092592592592592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31-0878-4B7C-89CD-D84CFBFD4766}"/>
                      </c:ext>
                    </c:extLst>
                  </c15:dLbl>
                </c15:categoryFilterException>
                <c15:categoryFilterException>
                  <c15:sqref>Gráficos!$N$127</c15:sqref>
                  <c15:spPr xmlns:c15="http://schemas.microsoft.com/office/drawing/2012/chart">
                    <a:solidFill>
                      <a:schemeClr val="accent2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1.1111111111111112E-2"/>
                        <c:y val="-8.333333333333334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33-0878-4B7C-89CD-D84CFBFD4766}"/>
                      </c:ext>
                    </c:extLst>
                  </c15:dLbl>
                </c15:categoryFilterException>
                <c15:categoryFilterException>
                  <c15:sqref>Gráficos!$N$137</c15:sqref>
                  <c15:spPr xmlns:c15="http://schemas.microsoft.com/office/drawing/2012/chart">
                    <a:solidFill>
                      <a:schemeClr val="accent2">
                        <a:tint val="1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8"/>
                    <c:layout>
                      <c:manualLayout>
                        <c:x val="3.6111111111111108E-2"/>
                        <c:y val="-1.388888888888888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35-0878-4B7C-89CD-D84CFBFD4766}"/>
                      </c:ext>
                    </c:extLst>
                  </c15:dLbl>
                </c15:categoryFilterException>
                <c15:categoryFilterException>
                  <c15:sqref>Gráficos!$N$142</c15:sqref>
                  <c15:spPr xmlns:c15="http://schemas.microsoft.com/office/drawing/2012/chart">
                    <a:solidFill>
                      <a:schemeClr val="accent2">
                        <a:tint val="4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8"/>
                    <c:layout>
                      <c:manualLayout>
                        <c:x val="6.3888888888888884E-2"/>
                        <c:y val="8.333333333333324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37-0878-4B7C-89CD-D84CFBFD4766}"/>
                      </c:ext>
                    </c:extLst>
                  </c15:dLbl>
                </c15:categoryFilterException>
                <c15:categoryFilterException>
                  <c15:sqref>Gráficos!$N$147</c15:sqref>
                  <c15:spPr xmlns:c15="http://schemas.microsoft.com/office/drawing/2012/chart">
                    <a:solidFill>
                      <a:schemeClr val="accent2">
                        <a:tint val="7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8"/>
                    <c:layout>
                      <c:manualLayout>
                        <c:x val="-5.8333333333333334E-2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39-0878-4B7C-89CD-D84CFBFD4766}"/>
                      </c:ext>
                    </c:extLst>
                  </c15:dLbl>
                </c15:categoryFilterException>
                <c15:categoryFilterException>
                  <c15:sqref>Gráficos!$N$151</c15:sqref>
                  <c15:spPr xmlns:c15="http://schemas.microsoft.com/office/drawing/2012/chart">
                    <a:solidFill>
                      <a:schemeClr val="accent2">
                        <a:tint val="2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8"/>
                    <c:layout>
                      <c:manualLayout>
                        <c:x val="-6.6666666666666666E-2"/>
                        <c:y val="0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3B-0878-4B7C-89CD-D84CFBFD4766}"/>
                      </c:ext>
                    </c:extLst>
                  </c15:dLbl>
                </c15:categoryFilterException>
                <c15:categoryFilterException>
                  <c15:sqref>Gráficos!$N$153</c15:sqref>
                  <c15:spPr xmlns:c15="http://schemas.microsoft.com/office/drawing/2012/chart">
                    <a:solidFill>
                      <a:schemeClr val="accent2">
                        <a:tint val="9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8"/>
                    <c:layout>
                      <c:manualLayout>
                        <c:x val="-4.4444444444444495E-2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3D-0878-4B7C-89CD-D84CFBFD4766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9FA8-4B94-A868-FAA40EDD584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Gráficos!$B$119</c15:sqref>
                        </c15:formulaRef>
                      </c:ext>
                    </c:extLst>
                    <c:strCache>
                      <c:ptCount val="1"/>
                      <c:pt idx="0">
                        <c:v>PF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9FA8-4B94-A868-FAA40EDD584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9FA8-4B94-A868-FAA40EDD584A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shade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9FA8-4B94-A868-FAA40EDD584A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FA8-4B94-A868-FAA40EDD584A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C-9FA8-4B94-A868-FAA40EDD584A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2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9FA8-4B94-A868-FAA40EDD584A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2">
                        <a:tint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0-9FA8-4B94-A868-FAA40EDD584A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2-9FA8-4B94-A868-FAA40EDD584A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2">
                        <a:tint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4-9FA8-4B94-A868-FAA40EDD584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Gráficos!$A$128:$A$136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Gráficos!$B$120:$B$154</c15:sqref>
                        </c15:fullRef>
                        <c15:formulaRef>
                          <c15:sqref>Gráficos!$B$128:$B$136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9"/>
                      <c:pt idx="0">
                        <c:v>243955.48800000001</c:v>
                      </c:pt>
                      <c:pt idx="1">
                        <c:v>699548.81599999999</c:v>
                      </c:pt>
                      <c:pt idx="2">
                        <c:v>393609.39199999999</c:v>
                      </c:pt>
                      <c:pt idx="3">
                        <c:v>168910.94400000002</c:v>
                      </c:pt>
                      <c:pt idx="4">
                        <c:v>288798.68</c:v>
                      </c:pt>
                      <c:pt idx="5">
                        <c:v>648099.57600000012</c:v>
                      </c:pt>
                      <c:pt idx="6">
                        <c:v>148691.54400000002</c:v>
                      </c:pt>
                      <c:pt idx="7">
                        <c:v>293633.62400000001</c:v>
                      </c:pt>
                      <c:pt idx="8">
                        <c:v>170012.89600000004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Gráficos!$B$137</c15:sqref>
                        <c15:spPr xmlns:c15="http://schemas.microsoft.com/office/drawing/2012/chart">
                          <a:solidFill>
                            <a:schemeClr val="accent2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Gráficos!$B$142</c15:sqref>
                        <c15:spPr xmlns:c15="http://schemas.microsoft.com/office/drawing/2012/chart">
                          <a:solidFill>
                            <a:schemeClr val="accent2">
                              <a:tint val="4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Gráficos!$B$147</c15:sqref>
                        <c15:spPr xmlns:c15="http://schemas.microsoft.com/office/drawing/2012/chart">
                          <a:solidFill>
                            <a:schemeClr val="accent2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Gráficos!$B$151</c15:sqref>
                        <c15:spPr xmlns:c15="http://schemas.microsoft.com/office/drawing/2012/chart">
                          <a:solidFill>
                            <a:schemeClr val="accent2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Gráficos!$B$153</c15:sqref>
                        <c15:spPr xmlns:c15="http://schemas.microsoft.com/office/drawing/2012/chart">
                          <a:solidFill>
                            <a:schemeClr val="accent2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25-9FA8-4B94-A868-FAA40EDD584A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Gráficos!$C$119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9FA8-4B94-A868-FAA40EDD584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9-9FA8-4B94-A868-FAA40EDD584A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shade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B-9FA8-4B94-A868-FAA40EDD584A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D-9FA8-4B94-A868-FAA40EDD584A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F-9FA8-4B94-A868-FAA40EDD584A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2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1-9FA8-4B94-A868-FAA40EDD584A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2">
                        <a:tint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3-9FA8-4B94-A868-FAA40EDD584A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5-9FA8-4B94-A868-FAA40EDD584A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2">
                        <a:tint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7-9FA8-4B94-A868-FAA40EDD584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Gráficos!$A$128:$A$136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Gráficos!$C$120:$C$154</c15:sqref>
                        </c15:fullRef>
                        <c15:formulaRef>
                          <c15:sqref>Gráficos!$C$128:$C$136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0.53915147498182159</c:v>
                      </c:pt>
                      <c:pt idx="1">
                        <c:v>0.50730706447679697</c:v>
                      </c:pt>
                      <c:pt idx="2">
                        <c:v>0.53156638113878074</c:v>
                      </c:pt>
                      <c:pt idx="3">
                        <c:v>0.48873995274789822</c:v>
                      </c:pt>
                      <c:pt idx="4">
                        <c:v>0.47491022675698807</c:v>
                      </c:pt>
                      <c:pt idx="5">
                        <c:v>0.49918928095462667</c:v>
                      </c:pt>
                      <c:pt idx="6">
                        <c:v>0.51530403474884046</c:v>
                      </c:pt>
                      <c:pt idx="7">
                        <c:v>0.51551812963573695</c:v>
                      </c:pt>
                      <c:pt idx="8">
                        <c:v>0.4340555074238695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Gráficos!$C$120</c15:sqref>
                        <c15:spPr xmlns:c15="http://schemas.microsoft.com/office/drawing/2012/chart">
                          <a:solidFill>
                            <a:schemeClr val="accent2">
                              <a:shade val="4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Gráficos!$C$121</c15:sqref>
                        <c15:spPr xmlns:c15="http://schemas.microsoft.com/office/drawing/2012/chart">
                          <a:solidFill>
                            <a:schemeClr val="accent2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Gráficos!$C$122</c15:sqref>
                        <c15:spPr xmlns:c15="http://schemas.microsoft.com/office/drawing/2012/chart">
                          <a:solidFill>
                            <a:schemeClr val="accent2">
                              <a:shade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Gráficos!$C$123</c15:sqref>
                        <c15:spPr xmlns:c15="http://schemas.microsoft.com/office/drawing/2012/chart">
                          <a:solidFill>
                            <a:schemeClr val="accent2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Gráficos!$C$124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Gráficos!$C$125</c15:sqref>
                        <c15:spPr xmlns:c15="http://schemas.microsoft.com/office/drawing/2012/chart">
                          <a:solidFill>
                            <a:schemeClr val="accent2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Gráficos!$C$126</c15:sqref>
                        <c15:spPr xmlns:c15="http://schemas.microsoft.com/office/drawing/2012/chart">
                          <a:solidFill>
                            <a:schemeClr val="accent2">
                              <a:tint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Gráficos!$C$127</c15:sqref>
                        <c15:spPr xmlns:c15="http://schemas.microsoft.com/office/drawing/2012/chart">
                          <a:solidFill>
                            <a:schemeClr val="accent2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Gráficos!$C$137</c15:sqref>
                        <c15:spPr xmlns:c15="http://schemas.microsoft.com/office/drawing/2012/chart">
                          <a:solidFill>
                            <a:schemeClr val="accent2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Gráficos!$C$142</c15:sqref>
                        <c15:spPr xmlns:c15="http://schemas.microsoft.com/office/drawing/2012/chart">
                          <a:solidFill>
                            <a:schemeClr val="accent2">
                              <a:tint val="4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Gráficos!$C$147</c15:sqref>
                        <c15:spPr xmlns:c15="http://schemas.microsoft.com/office/drawing/2012/chart">
                          <a:solidFill>
                            <a:schemeClr val="accent2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Gráficos!$C$151</c15:sqref>
                        <c15:spPr xmlns:c15="http://schemas.microsoft.com/office/drawing/2012/chart">
                          <a:solidFill>
                            <a:schemeClr val="accent2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Gráficos!$C$153</c15:sqref>
                        <c15:spPr xmlns:c15="http://schemas.microsoft.com/office/drawing/2012/chart">
                          <a:solidFill>
                            <a:schemeClr val="accent2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38-9FA8-4B94-A868-FAA40EDD584A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Gráficos!$D$119</c15:sqref>
                        </c15:formulaRef>
                      </c:ext>
                    </c:extLst>
                    <c:strCache>
                      <c:ptCount val="1"/>
                      <c:pt idx="0">
                        <c:v>PF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A-9FA8-4B94-A868-FAA40EDD584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C-9FA8-4B94-A868-FAA40EDD584A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shade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E-9FA8-4B94-A868-FAA40EDD584A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0-9FA8-4B94-A868-FAA40EDD584A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2-9FA8-4B94-A868-FAA40EDD584A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2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4-9FA8-4B94-A868-FAA40EDD584A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2">
                        <a:tint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6-9FA8-4B94-A868-FAA40EDD584A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8-9FA8-4B94-A868-FAA40EDD584A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2">
                        <a:tint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A-9FA8-4B94-A868-FAA40EDD584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Gráficos!$A$128:$A$136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Gráficos!$D$120:$D$154</c15:sqref>
                        </c15:fullRef>
                        <c15:formulaRef>
                          <c15:sqref>Gráficos!$D$128:$D$136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9"/>
                      <c:pt idx="0">
                        <c:v>38132.104000000007</c:v>
                      </c:pt>
                      <c:pt idx="1">
                        <c:v>107484.21600000001</c:v>
                      </c:pt>
                      <c:pt idx="2">
                        <c:v>61676.376000000004</c:v>
                      </c:pt>
                      <c:pt idx="3">
                        <c:v>43300.28</c:v>
                      </c:pt>
                      <c:pt idx="4">
                        <c:v>56843.207999999999</c:v>
                      </c:pt>
                      <c:pt idx="5">
                        <c:v>133308</c:v>
                      </c:pt>
                      <c:pt idx="6">
                        <c:v>16559.36</c:v>
                      </c:pt>
                      <c:pt idx="7">
                        <c:v>61394.414000000004</c:v>
                      </c:pt>
                      <c:pt idx="8">
                        <c:v>41925.928000000007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Gráficos!$D$120</c15:sqref>
                        <c15:spPr xmlns:c15="http://schemas.microsoft.com/office/drawing/2012/chart">
                          <a:solidFill>
                            <a:schemeClr val="accent2">
                              <a:shade val="4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Gráficos!$D$121</c15:sqref>
                        <c15:spPr xmlns:c15="http://schemas.microsoft.com/office/drawing/2012/chart">
                          <a:solidFill>
                            <a:schemeClr val="accent2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Gráficos!$D$122</c15:sqref>
                        <c15:spPr xmlns:c15="http://schemas.microsoft.com/office/drawing/2012/chart">
                          <a:solidFill>
                            <a:schemeClr val="accent2">
                              <a:shade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Gráficos!$D$123</c15:sqref>
                        <c15:spPr xmlns:c15="http://schemas.microsoft.com/office/drawing/2012/chart">
                          <a:solidFill>
                            <a:schemeClr val="accent2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Gráficos!$D$124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Gráficos!$D$125</c15:sqref>
                        <c15:spPr xmlns:c15="http://schemas.microsoft.com/office/drawing/2012/chart">
                          <a:solidFill>
                            <a:schemeClr val="accent2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Gráficos!$D$126</c15:sqref>
                        <c15:spPr xmlns:c15="http://schemas.microsoft.com/office/drawing/2012/chart">
                          <a:solidFill>
                            <a:schemeClr val="accent2">
                              <a:tint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Gráficos!$D$127</c15:sqref>
                        <c15:spPr xmlns:c15="http://schemas.microsoft.com/office/drawing/2012/chart">
                          <a:solidFill>
                            <a:schemeClr val="accent2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Gráficos!$D$137</c15:sqref>
                        <c15:spPr xmlns:c15="http://schemas.microsoft.com/office/drawing/2012/chart">
                          <a:solidFill>
                            <a:schemeClr val="accent2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Gráficos!$D$142</c15:sqref>
                        <c15:spPr xmlns:c15="http://schemas.microsoft.com/office/drawing/2012/chart">
                          <a:solidFill>
                            <a:schemeClr val="accent2">
                              <a:tint val="4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Gráficos!$D$147</c15:sqref>
                        <c15:spPr xmlns:c15="http://schemas.microsoft.com/office/drawing/2012/chart">
                          <a:solidFill>
                            <a:schemeClr val="accent2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Gráficos!$D$151</c15:sqref>
                        <c15:spPr xmlns:c15="http://schemas.microsoft.com/office/drawing/2012/chart">
                          <a:solidFill>
                            <a:schemeClr val="accent2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Gráficos!$D$153</c15:sqref>
                        <c15:spPr xmlns:c15="http://schemas.microsoft.com/office/drawing/2012/chart">
                          <a:solidFill>
                            <a:schemeClr val="accent2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4B-9FA8-4B94-A868-FAA40EDD584A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Gráficos!$E$119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D-9FA8-4B94-A868-FAA40EDD584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F-9FA8-4B94-A868-FAA40EDD584A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shade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1-9FA8-4B94-A868-FAA40EDD584A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3-9FA8-4B94-A868-FAA40EDD584A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5-9FA8-4B94-A868-FAA40EDD584A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2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7-9FA8-4B94-A868-FAA40EDD584A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2">
                        <a:tint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9-9FA8-4B94-A868-FAA40EDD584A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B-9FA8-4B94-A868-FAA40EDD584A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2">
                        <a:tint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D-9FA8-4B94-A868-FAA40EDD584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Gráficos!$A$128:$A$136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Gráficos!$E$120:$E$154</c15:sqref>
                        </c15:fullRef>
                        <c15:formulaRef>
                          <c15:sqref>Gráficos!$E$128:$E$136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8.4273488923357287E-2</c:v>
                      </c:pt>
                      <c:pt idx="1">
                        <c:v>7.7946671982573948E-2</c:v>
                      </c:pt>
                      <c:pt idx="2">
                        <c:v>8.3293459603409947E-2</c:v>
                      </c:pt>
                      <c:pt idx="3">
                        <c:v>0.12528836971730356</c:v>
                      </c:pt>
                      <c:pt idx="4">
                        <c:v>9.3474875996229057E-2</c:v>
                      </c:pt>
                      <c:pt idx="5">
                        <c:v>0.1026785499169951</c:v>
                      </c:pt>
                      <c:pt idx="6">
                        <c:v>5.7387964313952905E-2</c:v>
                      </c:pt>
                      <c:pt idx="7">
                        <c:v>0.10778715681199406</c:v>
                      </c:pt>
                      <c:pt idx="8">
                        <c:v>0.10703999743793916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Gráficos!$E$120</c15:sqref>
                        <c15:spPr xmlns:c15="http://schemas.microsoft.com/office/drawing/2012/chart">
                          <a:solidFill>
                            <a:schemeClr val="accent2">
                              <a:shade val="4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Gráficos!$E$121</c15:sqref>
                        <c15:spPr xmlns:c15="http://schemas.microsoft.com/office/drawing/2012/chart">
                          <a:solidFill>
                            <a:schemeClr val="accent2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Gráficos!$E$122</c15:sqref>
                        <c15:spPr xmlns:c15="http://schemas.microsoft.com/office/drawing/2012/chart">
                          <a:solidFill>
                            <a:schemeClr val="accent2">
                              <a:shade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Gráficos!$E$123</c15:sqref>
                        <c15:spPr xmlns:c15="http://schemas.microsoft.com/office/drawing/2012/chart">
                          <a:solidFill>
                            <a:schemeClr val="accent2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Gráficos!$E$124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Gráficos!$E$125</c15:sqref>
                        <c15:spPr xmlns:c15="http://schemas.microsoft.com/office/drawing/2012/chart">
                          <a:solidFill>
                            <a:schemeClr val="accent2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Gráficos!$E$126</c15:sqref>
                        <c15:spPr xmlns:c15="http://schemas.microsoft.com/office/drawing/2012/chart">
                          <a:solidFill>
                            <a:schemeClr val="accent2">
                              <a:tint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Gráficos!$E$127</c15:sqref>
                        <c15:spPr xmlns:c15="http://schemas.microsoft.com/office/drawing/2012/chart">
                          <a:solidFill>
                            <a:schemeClr val="accent2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Gráficos!$E$137</c15:sqref>
                        <c15:spPr xmlns:c15="http://schemas.microsoft.com/office/drawing/2012/chart">
                          <a:solidFill>
                            <a:schemeClr val="accent2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Gráficos!$E$142</c15:sqref>
                        <c15:spPr xmlns:c15="http://schemas.microsoft.com/office/drawing/2012/chart">
                          <a:solidFill>
                            <a:schemeClr val="accent2">
                              <a:tint val="4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Gráficos!$E$147</c15:sqref>
                        <c15:spPr xmlns:c15="http://schemas.microsoft.com/office/drawing/2012/chart">
                          <a:solidFill>
                            <a:schemeClr val="accent2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Gráficos!$E$151</c15:sqref>
                        <c15:spPr xmlns:c15="http://schemas.microsoft.com/office/drawing/2012/chart">
                          <a:solidFill>
                            <a:schemeClr val="accent2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Gráficos!$E$153</c15:sqref>
                        <c15:spPr xmlns:c15="http://schemas.microsoft.com/office/drawing/2012/chart">
                          <a:solidFill>
                            <a:schemeClr val="accent2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5E-9FA8-4B94-A868-FAA40EDD584A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Gráficos!$F$119</c15:sqref>
                        </c15:formulaRef>
                      </c:ext>
                    </c:extLst>
                    <c:strCache>
                      <c:ptCount val="1"/>
                      <c:pt idx="0">
                        <c:v>PJ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0-9FA8-4B94-A868-FAA40EDD584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2-9FA8-4B94-A868-FAA40EDD584A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shade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4-9FA8-4B94-A868-FAA40EDD584A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6-9FA8-4B94-A868-FAA40EDD584A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8-9FA8-4B94-A868-FAA40EDD584A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2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A-9FA8-4B94-A868-FAA40EDD584A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2">
                        <a:tint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C-9FA8-4B94-A868-FAA40EDD584A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E-9FA8-4B94-A868-FAA40EDD584A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2">
                        <a:tint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0-9FA8-4B94-A868-FAA40EDD584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Gráficos!$A$128:$A$136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Gráficos!$F$120:$F$154</c15:sqref>
                        </c15:fullRef>
                        <c15:formulaRef>
                          <c15:sqref>Gráficos!$F$128:$F$136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9"/>
                      <c:pt idx="0">
                        <c:v>12341.743999999999</c:v>
                      </c:pt>
                      <c:pt idx="1">
                        <c:v>106447.856</c:v>
                      </c:pt>
                      <c:pt idx="2">
                        <c:v>39708.328000000001</c:v>
                      </c:pt>
                      <c:pt idx="3">
                        <c:v>20200.527999999998</c:v>
                      </c:pt>
                      <c:pt idx="4">
                        <c:v>29329.376000000004</c:v>
                      </c:pt>
                      <c:pt idx="5">
                        <c:v>79757.392000000022</c:v>
                      </c:pt>
                      <c:pt idx="6">
                        <c:v>21149.52</c:v>
                      </c:pt>
                      <c:pt idx="7">
                        <c:v>21537.968000000001</c:v>
                      </c:pt>
                      <c:pt idx="8">
                        <c:v>19886.888000000003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Gráficos!$F$120</c15:sqref>
                        <c15:spPr xmlns:c15="http://schemas.microsoft.com/office/drawing/2012/chart">
                          <a:solidFill>
                            <a:schemeClr val="accent2">
                              <a:shade val="4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Gráficos!$F$121</c15:sqref>
                        <c15:spPr xmlns:c15="http://schemas.microsoft.com/office/drawing/2012/chart">
                          <a:solidFill>
                            <a:schemeClr val="accent2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Gráficos!$F$122</c15:sqref>
                        <c15:spPr xmlns:c15="http://schemas.microsoft.com/office/drawing/2012/chart">
                          <a:solidFill>
                            <a:schemeClr val="accent2">
                              <a:shade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Gráficos!$F$123</c15:sqref>
                        <c15:spPr xmlns:c15="http://schemas.microsoft.com/office/drawing/2012/chart">
                          <a:solidFill>
                            <a:schemeClr val="accent2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Gráficos!$F$124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Gráficos!$F$125</c15:sqref>
                        <c15:spPr xmlns:c15="http://schemas.microsoft.com/office/drawing/2012/chart">
                          <a:solidFill>
                            <a:schemeClr val="accent2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Gráficos!$F$126</c15:sqref>
                        <c15:spPr xmlns:c15="http://schemas.microsoft.com/office/drawing/2012/chart">
                          <a:solidFill>
                            <a:schemeClr val="accent2">
                              <a:tint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Gráficos!$F$127</c15:sqref>
                        <c15:spPr xmlns:c15="http://schemas.microsoft.com/office/drawing/2012/chart">
                          <a:solidFill>
                            <a:schemeClr val="accent2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Gráficos!$F$137</c15:sqref>
                        <c15:spPr xmlns:c15="http://schemas.microsoft.com/office/drawing/2012/chart">
                          <a:solidFill>
                            <a:schemeClr val="accent2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Gráficos!$F$142</c15:sqref>
                        <c15:spPr xmlns:c15="http://schemas.microsoft.com/office/drawing/2012/chart">
                          <a:solidFill>
                            <a:schemeClr val="accent2">
                              <a:tint val="4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Gráficos!$F$147</c15:sqref>
                        <c15:spPr xmlns:c15="http://schemas.microsoft.com/office/drawing/2012/chart">
                          <a:solidFill>
                            <a:schemeClr val="accent2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Gráficos!$F$151</c15:sqref>
                        <c15:spPr xmlns:c15="http://schemas.microsoft.com/office/drawing/2012/chart">
                          <a:solidFill>
                            <a:schemeClr val="accent2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Gráficos!$F$153</c15:sqref>
                        <c15:spPr xmlns:c15="http://schemas.microsoft.com/office/drawing/2012/chart">
                          <a:solidFill>
                            <a:schemeClr val="accent2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71-9FA8-4B94-A868-FAA40EDD584A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Gráficos!$G$119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3-9FA8-4B94-A868-FAA40EDD584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5-9FA8-4B94-A868-FAA40EDD584A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shade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7-9FA8-4B94-A868-FAA40EDD584A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9-9FA8-4B94-A868-FAA40EDD584A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B-9FA8-4B94-A868-FAA40EDD584A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2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D-9FA8-4B94-A868-FAA40EDD584A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2">
                        <a:tint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F-9FA8-4B94-A868-FAA40EDD584A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81-9FA8-4B94-A868-FAA40EDD584A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2">
                        <a:tint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83-9FA8-4B94-A868-FAA40EDD584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Gráficos!$A$128:$A$136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Gráficos!$G$120:$G$154</c15:sqref>
                        </c15:fullRef>
                        <c15:formulaRef>
                          <c15:sqref>Gráficos!$G$128:$G$136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2.7275752375974609E-2</c:v>
                      </c:pt>
                      <c:pt idx="1">
                        <c:v>7.7195112209594241E-2</c:v>
                      </c:pt>
                      <c:pt idx="2">
                        <c:v>5.3625783949870082E-2</c:v>
                      </c:pt>
                      <c:pt idx="3">
                        <c:v>5.8449765695481479E-2</c:v>
                      </c:pt>
                      <c:pt idx="4">
                        <c:v>4.823020869347798E-2</c:v>
                      </c:pt>
                      <c:pt idx="5">
                        <c:v>6.1431972242636211E-2</c:v>
                      </c:pt>
                      <c:pt idx="6">
                        <c:v>7.3295580204623442E-2</c:v>
                      </c:pt>
                      <c:pt idx="7">
                        <c:v>3.7813152418519867E-2</c:v>
                      </c:pt>
                      <c:pt idx="8">
                        <c:v>5.077269704247412E-2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Gráficos!$G$120</c15:sqref>
                        <c15:spPr xmlns:c15="http://schemas.microsoft.com/office/drawing/2012/chart">
                          <a:solidFill>
                            <a:schemeClr val="accent2">
                              <a:shade val="4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Gráficos!$G$121</c15:sqref>
                        <c15:spPr xmlns:c15="http://schemas.microsoft.com/office/drawing/2012/chart">
                          <a:solidFill>
                            <a:schemeClr val="accent2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Gráficos!$G$122</c15:sqref>
                        <c15:spPr xmlns:c15="http://schemas.microsoft.com/office/drawing/2012/chart">
                          <a:solidFill>
                            <a:schemeClr val="accent2">
                              <a:shade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Gráficos!$G$123</c15:sqref>
                        <c15:spPr xmlns:c15="http://schemas.microsoft.com/office/drawing/2012/chart">
                          <a:solidFill>
                            <a:schemeClr val="accent2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Gráficos!$G$124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Gráficos!$G$125</c15:sqref>
                        <c15:spPr xmlns:c15="http://schemas.microsoft.com/office/drawing/2012/chart">
                          <a:solidFill>
                            <a:schemeClr val="accent2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Gráficos!$G$126</c15:sqref>
                        <c15:spPr xmlns:c15="http://schemas.microsoft.com/office/drawing/2012/chart">
                          <a:solidFill>
                            <a:schemeClr val="accent2">
                              <a:tint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Gráficos!$G$127</c15:sqref>
                        <c15:spPr xmlns:c15="http://schemas.microsoft.com/office/drawing/2012/chart">
                          <a:solidFill>
                            <a:schemeClr val="accent2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Gráficos!$G$137</c15:sqref>
                        <c15:spPr xmlns:c15="http://schemas.microsoft.com/office/drawing/2012/chart">
                          <a:solidFill>
                            <a:schemeClr val="accent2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Gráficos!$G$142</c15:sqref>
                        <c15:spPr xmlns:c15="http://schemas.microsoft.com/office/drawing/2012/chart">
                          <a:solidFill>
                            <a:schemeClr val="accent2">
                              <a:tint val="4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Gráficos!$G$147</c15:sqref>
                        <c15:spPr xmlns:c15="http://schemas.microsoft.com/office/drawing/2012/chart">
                          <a:solidFill>
                            <a:schemeClr val="accent2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Gráficos!$G$151</c15:sqref>
                        <c15:spPr xmlns:c15="http://schemas.microsoft.com/office/drawing/2012/chart">
                          <a:solidFill>
                            <a:schemeClr val="accent2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Gráficos!$G$153</c15:sqref>
                        <c15:spPr xmlns:c15="http://schemas.microsoft.com/office/drawing/2012/chart">
                          <a:solidFill>
                            <a:schemeClr val="accent2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84-9FA8-4B94-A868-FAA40EDD584A}"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Gráficos!$H$119</c15:sqref>
                        </c15:formulaRef>
                      </c:ext>
                    </c:extLst>
                    <c:strCache>
                      <c:ptCount val="1"/>
                      <c:pt idx="0">
                        <c:v>PJ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6-9FA8-4B94-A868-FAA40EDD584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88-9FA8-4B94-A868-FAA40EDD584A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shade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8A-9FA8-4B94-A868-FAA40EDD584A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8C-9FA8-4B94-A868-FAA40EDD584A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8E-9FA8-4B94-A868-FAA40EDD584A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2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90-9FA8-4B94-A868-FAA40EDD584A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2">
                        <a:tint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92-9FA8-4B94-A868-FAA40EDD584A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94-9FA8-4B94-A868-FAA40EDD584A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2">
                        <a:tint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96-9FA8-4B94-A868-FAA40EDD584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Gráficos!$A$128:$A$136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Gráficos!$H$120:$H$154</c15:sqref>
                        </c15:fullRef>
                        <c15:formulaRef>
                          <c15:sqref>Gráficos!$H$128:$H$136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9"/>
                      <c:pt idx="0">
                        <c:v>955.87200000000007</c:v>
                      </c:pt>
                      <c:pt idx="1">
                        <c:v>14547.712000000001</c:v>
                      </c:pt>
                      <c:pt idx="2">
                        <c:v>6519.12</c:v>
                      </c:pt>
                      <c:pt idx="3">
                        <c:v>5524.7920000000004</c:v>
                      </c:pt>
                      <c:pt idx="4">
                        <c:v>8589.4160000000011</c:v>
                      </c:pt>
                      <c:pt idx="5">
                        <c:v>16284.056</c:v>
                      </c:pt>
                      <c:pt idx="6">
                        <c:v>1501.6000000000001</c:v>
                      </c:pt>
                      <c:pt idx="7">
                        <c:v>7149.5760000000009</c:v>
                      </c:pt>
                      <c:pt idx="8">
                        <c:v>2669.52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Gráficos!$H$120</c15:sqref>
                        <c15:spPr xmlns:c15="http://schemas.microsoft.com/office/drawing/2012/chart">
                          <a:solidFill>
                            <a:schemeClr val="accent2">
                              <a:shade val="4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Gráficos!$H$121</c15:sqref>
                        <c15:spPr xmlns:c15="http://schemas.microsoft.com/office/drawing/2012/chart">
                          <a:solidFill>
                            <a:schemeClr val="accent2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Gráficos!$H$122</c15:sqref>
                        <c15:spPr xmlns:c15="http://schemas.microsoft.com/office/drawing/2012/chart">
                          <a:solidFill>
                            <a:schemeClr val="accent2">
                              <a:shade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Gráficos!$H$123</c15:sqref>
                        <c15:spPr xmlns:c15="http://schemas.microsoft.com/office/drawing/2012/chart">
                          <a:solidFill>
                            <a:schemeClr val="accent2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Gráficos!$H$124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Gráficos!$H$125</c15:sqref>
                        <c15:spPr xmlns:c15="http://schemas.microsoft.com/office/drawing/2012/chart">
                          <a:solidFill>
                            <a:schemeClr val="accent2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Gráficos!$H$126</c15:sqref>
                        <c15:spPr xmlns:c15="http://schemas.microsoft.com/office/drawing/2012/chart">
                          <a:solidFill>
                            <a:schemeClr val="accent2">
                              <a:tint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Gráficos!$H$127</c15:sqref>
                        <c15:spPr xmlns:c15="http://schemas.microsoft.com/office/drawing/2012/chart">
                          <a:solidFill>
                            <a:schemeClr val="accent2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Gráficos!$H$137</c15:sqref>
                        <c15:spPr xmlns:c15="http://schemas.microsoft.com/office/drawing/2012/chart">
                          <a:solidFill>
                            <a:schemeClr val="accent2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Gráficos!$H$142</c15:sqref>
                        <c15:spPr xmlns:c15="http://schemas.microsoft.com/office/drawing/2012/chart">
                          <a:solidFill>
                            <a:schemeClr val="accent2">
                              <a:tint val="4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Gráficos!$H$147</c15:sqref>
                        <c15:spPr xmlns:c15="http://schemas.microsoft.com/office/drawing/2012/chart">
                          <a:solidFill>
                            <a:schemeClr val="accent2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Gráficos!$H$151</c15:sqref>
                        <c15:spPr xmlns:c15="http://schemas.microsoft.com/office/drawing/2012/chart">
                          <a:solidFill>
                            <a:schemeClr val="accent2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Gráficos!$H$153</c15:sqref>
                        <c15:spPr xmlns:c15="http://schemas.microsoft.com/office/drawing/2012/chart">
                          <a:solidFill>
                            <a:schemeClr val="accent2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97-9FA8-4B94-A868-FAA40EDD584A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Gráficos!$I$119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9-9FA8-4B94-A868-FAA40EDD584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9B-9FA8-4B94-A868-FAA40EDD584A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shade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9D-9FA8-4B94-A868-FAA40EDD584A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9F-9FA8-4B94-A868-FAA40EDD584A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A1-9FA8-4B94-A868-FAA40EDD584A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2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A3-9FA8-4B94-A868-FAA40EDD584A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2">
                        <a:tint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A5-9FA8-4B94-A868-FAA40EDD584A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A7-9FA8-4B94-A868-FAA40EDD584A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2">
                        <a:tint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A9-9FA8-4B94-A868-FAA40EDD584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Gráficos!$A$128:$A$136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Gráficos!$I$120:$I$154</c15:sqref>
                        </c15:fullRef>
                        <c15:formulaRef>
                          <c15:sqref>Gráficos!$I$128:$I$136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2.1125157007897432E-3</c:v>
                      </c:pt>
                      <c:pt idx="1">
                        <c:v>1.0549881438972907E-2</c:v>
                      </c:pt>
                      <c:pt idx="2">
                        <c:v>8.804020170863831E-3</c:v>
                      </c:pt>
                      <c:pt idx="3">
                        <c:v>1.5985859276364981E-2</c:v>
                      </c:pt>
                      <c:pt idx="4">
                        <c:v>1.4124723493438757E-2</c:v>
                      </c:pt>
                      <c:pt idx="5">
                        <c:v>1.2542557512280911E-2</c:v>
                      </c:pt>
                      <c:pt idx="6">
                        <c:v>5.2039310223240326E-3</c:v>
                      </c:pt>
                      <c:pt idx="7">
                        <c:v>1.2552159378070931E-2</c:v>
                      </c:pt>
                      <c:pt idx="8">
                        <c:v>6.8154821512961452E-3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Gráficos!$I$120</c15:sqref>
                        <c15:spPr xmlns:c15="http://schemas.microsoft.com/office/drawing/2012/chart">
                          <a:solidFill>
                            <a:schemeClr val="accent2">
                              <a:shade val="4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Gráficos!$I$121</c15:sqref>
                        <c15:spPr xmlns:c15="http://schemas.microsoft.com/office/drawing/2012/chart">
                          <a:solidFill>
                            <a:schemeClr val="accent2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Gráficos!$I$122</c15:sqref>
                        <c15:spPr xmlns:c15="http://schemas.microsoft.com/office/drawing/2012/chart">
                          <a:solidFill>
                            <a:schemeClr val="accent2">
                              <a:shade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Gráficos!$I$123</c15:sqref>
                        <c15:spPr xmlns:c15="http://schemas.microsoft.com/office/drawing/2012/chart">
                          <a:solidFill>
                            <a:schemeClr val="accent2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Gráficos!$I$124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Gráficos!$I$125</c15:sqref>
                        <c15:spPr xmlns:c15="http://schemas.microsoft.com/office/drawing/2012/chart">
                          <a:solidFill>
                            <a:schemeClr val="accent2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Gráficos!$I$126</c15:sqref>
                        <c15:spPr xmlns:c15="http://schemas.microsoft.com/office/drawing/2012/chart">
                          <a:solidFill>
                            <a:schemeClr val="accent2">
                              <a:tint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Gráficos!$I$127</c15:sqref>
                        <c15:spPr xmlns:c15="http://schemas.microsoft.com/office/drawing/2012/chart">
                          <a:solidFill>
                            <a:schemeClr val="accent2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Gráficos!$I$137</c15:sqref>
                        <c15:spPr xmlns:c15="http://schemas.microsoft.com/office/drawing/2012/chart">
                          <a:solidFill>
                            <a:schemeClr val="accent2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Gráficos!$I$142</c15:sqref>
                        <c15:spPr xmlns:c15="http://schemas.microsoft.com/office/drawing/2012/chart">
                          <a:solidFill>
                            <a:schemeClr val="accent2">
                              <a:tint val="4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Gráficos!$I$147</c15:sqref>
                        <c15:spPr xmlns:c15="http://schemas.microsoft.com/office/drawing/2012/chart">
                          <a:solidFill>
                            <a:schemeClr val="accent2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Gráficos!$I$151</c15:sqref>
                        <c15:spPr xmlns:c15="http://schemas.microsoft.com/office/drawing/2012/chart">
                          <a:solidFill>
                            <a:schemeClr val="accent2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Gráficos!$I$153</c15:sqref>
                        <c15:spPr xmlns:c15="http://schemas.microsoft.com/office/drawing/2012/chart">
                          <a:solidFill>
                            <a:schemeClr val="accent2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AA-9FA8-4B94-A868-FAA40EDD584A}"/>
                  </c:ext>
                </c:extLst>
              </c15:ser>
            </c15:filteredPieSeries>
            <c15:filteredPi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Gráficos!$J$119</c15:sqref>
                        </c15:formulaRef>
                      </c:ext>
                    </c:extLst>
                    <c:strCache>
                      <c:ptCount val="1"/>
                      <c:pt idx="0">
                        <c:v>RRT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C-9FA8-4B94-A868-FAA40EDD584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AE-9FA8-4B94-A868-FAA40EDD584A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shade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B0-9FA8-4B94-A868-FAA40EDD584A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B2-9FA8-4B94-A868-FAA40EDD584A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B4-9FA8-4B94-A868-FAA40EDD584A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2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B6-9FA8-4B94-A868-FAA40EDD584A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2">
                        <a:tint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B8-9FA8-4B94-A868-FAA40EDD584A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BA-9FA8-4B94-A868-FAA40EDD584A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2">
                        <a:tint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BC-9FA8-4B94-A868-FAA40EDD584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Gráficos!$A$128:$A$136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Gráficos!$J$120:$J$154</c15:sqref>
                        </c15:fullRef>
                        <c15:formulaRef>
                          <c15:sqref>Gráficos!$J$128:$J$136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9"/>
                      <c:pt idx="0">
                        <c:v>157095.21600000001</c:v>
                      </c:pt>
                      <c:pt idx="1">
                        <c:v>450916.94400000002</c:v>
                      </c:pt>
                      <c:pt idx="2">
                        <c:v>238957.60000000003</c:v>
                      </c:pt>
                      <c:pt idx="3">
                        <c:v>107668.4</c:v>
                      </c:pt>
                      <c:pt idx="4">
                        <c:v>224551.47200000001</c:v>
                      </c:pt>
                      <c:pt idx="5">
                        <c:v>420855.24800000002</c:v>
                      </c:pt>
                      <c:pt idx="6">
                        <c:v>100649.072</c:v>
                      </c:pt>
                      <c:pt idx="7">
                        <c:v>185873.74400000001</c:v>
                      </c:pt>
                      <c:pt idx="8">
                        <c:v>157189.45600000001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Gráficos!$J$120</c15:sqref>
                        <c15:spPr xmlns:c15="http://schemas.microsoft.com/office/drawing/2012/chart">
                          <a:solidFill>
                            <a:schemeClr val="accent2">
                              <a:shade val="4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Gráficos!$J$121</c15:sqref>
                        <c15:spPr xmlns:c15="http://schemas.microsoft.com/office/drawing/2012/chart">
                          <a:solidFill>
                            <a:schemeClr val="accent2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Gráficos!$J$122</c15:sqref>
                        <c15:spPr xmlns:c15="http://schemas.microsoft.com/office/drawing/2012/chart">
                          <a:solidFill>
                            <a:schemeClr val="accent2">
                              <a:shade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Gráficos!$J$123</c15:sqref>
                        <c15:spPr xmlns:c15="http://schemas.microsoft.com/office/drawing/2012/chart">
                          <a:solidFill>
                            <a:schemeClr val="accent2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Gráficos!$J$124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Gráficos!$J$125</c15:sqref>
                        <c15:spPr xmlns:c15="http://schemas.microsoft.com/office/drawing/2012/chart">
                          <a:solidFill>
                            <a:schemeClr val="accent2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Gráficos!$J$126</c15:sqref>
                        <c15:spPr xmlns:c15="http://schemas.microsoft.com/office/drawing/2012/chart">
                          <a:solidFill>
                            <a:schemeClr val="accent2">
                              <a:tint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Gráficos!$J$127</c15:sqref>
                        <c15:spPr xmlns:c15="http://schemas.microsoft.com/office/drawing/2012/chart">
                          <a:solidFill>
                            <a:schemeClr val="accent2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Gráficos!$J$137</c15:sqref>
                        <c15:spPr xmlns:c15="http://schemas.microsoft.com/office/drawing/2012/chart">
                          <a:solidFill>
                            <a:schemeClr val="accent2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Gráficos!$J$142</c15:sqref>
                        <c15:spPr xmlns:c15="http://schemas.microsoft.com/office/drawing/2012/chart">
                          <a:solidFill>
                            <a:schemeClr val="accent2">
                              <a:tint val="4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Gráficos!$J$147</c15:sqref>
                        <c15:spPr xmlns:c15="http://schemas.microsoft.com/office/drawing/2012/chart">
                          <a:solidFill>
                            <a:schemeClr val="accent2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Gráficos!$J$151</c15:sqref>
                        <c15:spPr xmlns:c15="http://schemas.microsoft.com/office/drawing/2012/chart">
                          <a:solidFill>
                            <a:schemeClr val="accent2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Gráficos!$J$153</c15:sqref>
                        <c15:spPr xmlns:c15="http://schemas.microsoft.com/office/drawing/2012/chart">
                          <a:solidFill>
                            <a:schemeClr val="accent2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BD-9FA8-4B94-A868-FAA40EDD584A}"/>
                  </c:ext>
                </c:extLst>
              </c15:ser>
            </c15:filteredPieSeries>
            <c15:filteredPi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Gráficos!$K$119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F-9FA8-4B94-A868-FAA40EDD584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C1-9FA8-4B94-A868-FAA40EDD584A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shade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C3-9FA8-4B94-A868-FAA40EDD584A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C5-9FA8-4B94-A868-FAA40EDD584A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C7-9FA8-4B94-A868-FAA40EDD584A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2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C9-9FA8-4B94-A868-FAA40EDD584A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2">
                        <a:tint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CB-9FA8-4B94-A868-FAA40EDD584A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CD-9FA8-4B94-A868-FAA40EDD584A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2">
                        <a:tint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CF-9FA8-4B94-A868-FAA40EDD584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Gráficos!$A$128:$A$136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Gráficos!$K$120:$K$154</c15:sqref>
                        </c15:fullRef>
                        <c15:formulaRef>
                          <c15:sqref>Gráficos!$K$128:$K$136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0.34718676801805687</c:v>
                      </c:pt>
                      <c:pt idx="1">
                        <c:v>0.3270012698920618</c:v>
                      </c:pt>
                      <c:pt idx="2">
                        <c:v>0.32271035513707541</c:v>
                      </c:pt>
                      <c:pt idx="3">
                        <c:v>0.31153605256295175</c:v>
                      </c:pt>
                      <c:pt idx="4">
                        <c:v>0.36925996505986614</c:v>
                      </c:pt>
                      <c:pt idx="5">
                        <c:v>0.32415763937346115</c:v>
                      </c:pt>
                      <c:pt idx="6">
                        <c:v>0.34880848971025913</c:v>
                      </c:pt>
                      <c:pt idx="7">
                        <c:v>0.32632940175567826</c:v>
                      </c:pt>
                      <c:pt idx="8">
                        <c:v>0.40131631594442102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Gráficos!$K$120</c15:sqref>
                        <c15:spPr xmlns:c15="http://schemas.microsoft.com/office/drawing/2012/chart">
                          <a:solidFill>
                            <a:schemeClr val="accent2">
                              <a:shade val="4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Gráficos!$K$121</c15:sqref>
                        <c15:spPr xmlns:c15="http://schemas.microsoft.com/office/drawing/2012/chart">
                          <a:solidFill>
                            <a:schemeClr val="accent2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Gráficos!$K$122</c15:sqref>
                        <c15:spPr xmlns:c15="http://schemas.microsoft.com/office/drawing/2012/chart">
                          <a:solidFill>
                            <a:schemeClr val="accent2">
                              <a:shade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Gráficos!$K$123</c15:sqref>
                        <c15:spPr xmlns:c15="http://schemas.microsoft.com/office/drawing/2012/chart">
                          <a:solidFill>
                            <a:schemeClr val="accent2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Gráficos!$K$124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Gráficos!$K$125</c15:sqref>
                        <c15:spPr xmlns:c15="http://schemas.microsoft.com/office/drawing/2012/chart">
                          <a:solidFill>
                            <a:schemeClr val="accent2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Gráficos!$K$126</c15:sqref>
                        <c15:spPr xmlns:c15="http://schemas.microsoft.com/office/drawing/2012/chart">
                          <a:solidFill>
                            <a:schemeClr val="accent2">
                              <a:tint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Gráficos!$K$127</c15:sqref>
                        <c15:spPr xmlns:c15="http://schemas.microsoft.com/office/drawing/2012/chart">
                          <a:solidFill>
                            <a:schemeClr val="accent2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Gráficos!$K$137</c15:sqref>
                        <c15:spPr xmlns:c15="http://schemas.microsoft.com/office/drawing/2012/chart">
                          <a:solidFill>
                            <a:schemeClr val="accent2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Gráficos!$K$142</c15:sqref>
                        <c15:spPr xmlns:c15="http://schemas.microsoft.com/office/drawing/2012/chart">
                          <a:solidFill>
                            <a:schemeClr val="accent2">
                              <a:tint val="4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Gráficos!$K$147</c15:sqref>
                        <c15:spPr xmlns:c15="http://schemas.microsoft.com/office/drawing/2012/chart">
                          <a:solidFill>
                            <a:schemeClr val="accent2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Gráficos!$K$151</c15:sqref>
                        <c15:spPr xmlns:c15="http://schemas.microsoft.com/office/drawing/2012/chart">
                          <a:solidFill>
                            <a:schemeClr val="accent2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Gráficos!$K$153</c15:sqref>
                        <c15:spPr xmlns:c15="http://schemas.microsoft.com/office/drawing/2012/chart">
                          <a:solidFill>
                            <a:schemeClr val="accent2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D0-9FA8-4B94-A868-FAA40EDD584A}"/>
                  </c:ext>
                </c:extLst>
              </c15:ser>
            </c15:filteredPieSeries>
            <c15:filteredPi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Gráficos!$L$119</c15:sqref>
                        </c15:formulaRef>
                      </c:ext>
                    </c:extLst>
                    <c:strCache>
                      <c:ptCount val="1"/>
                      <c:pt idx="0">
                        <c:v>Taxas
e Multas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D2-9FA8-4B94-A868-FAA40EDD584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D4-9FA8-4B94-A868-FAA40EDD584A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shade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D6-9FA8-4B94-A868-FAA40EDD584A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D8-9FA8-4B94-A868-FAA40EDD584A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DA-9FA8-4B94-A868-FAA40EDD584A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2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DC-9FA8-4B94-A868-FAA40EDD584A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2">
                        <a:tint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DE-9FA8-4B94-A868-FAA40EDD584A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E0-9FA8-4B94-A868-FAA40EDD584A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2">
                        <a:tint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E2-9FA8-4B94-A868-FAA40EDD584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Gráficos!$A$128:$A$136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Gráficos!$L$120:$L$154</c15:sqref>
                        </c15:fullRef>
                        <c15:formulaRef>
                          <c15:sqref>Gráficos!$L$128:$L$136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9"/>
                      <c:pt idx="0">
                        <c:v>16772.384000000002</c:v>
                      </c:pt>
                      <c:pt idx="1">
                        <c:v>50696.416000000012</c:v>
                      </c:pt>
                      <c:pt idx="2">
                        <c:v>26235.552000000003</c:v>
                      </c:pt>
                      <c:pt idx="3">
                        <c:v>20611.847999999998</c:v>
                      </c:pt>
                      <c:pt idx="4">
                        <c:v>24756.072000000004</c:v>
                      </c:pt>
                      <c:pt idx="5">
                        <c:v>61881.528000000006</c:v>
                      </c:pt>
                      <c:pt idx="6">
                        <c:v>18560.545999999998</c:v>
                      </c:pt>
                      <c:pt idx="7">
                        <c:v>28134.762000000002</c:v>
                      </c:pt>
                      <c:pt idx="8">
                        <c:v>16596.432000000001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Gráficos!$L$120</c15:sqref>
                        <c15:spPr xmlns:c15="http://schemas.microsoft.com/office/drawing/2012/chart">
                          <a:solidFill>
                            <a:schemeClr val="accent2">
                              <a:shade val="4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Gráficos!$L$121</c15:sqref>
                        <c15:spPr xmlns:c15="http://schemas.microsoft.com/office/drawing/2012/chart">
                          <a:solidFill>
                            <a:schemeClr val="accent2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Gráficos!$L$122</c15:sqref>
                        <c15:spPr xmlns:c15="http://schemas.microsoft.com/office/drawing/2012/chart">
                          <a:solidFill>
                            <a:schemeClr val="accent2">
                              <a:shade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Gráficos!$L$123</c15:sqref>
                        <c15:spPr xmlns:c15="http://schemas.microsoft.com/office/drawing/2012/chart">
                          <a:solidFill>
                            <a:schemeClr val="accent2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Gráficos!$L$124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Gráficos!$L$125</c15:sqref>
                        <c15:spPr xmlns:c15="http://schemas.microsoft.com/office/drawing/2012/chart">
                          <a:solidFill>
                            <a:schemeClr val="accent2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Gráficos!$L$126</c15:sqref>
                        <c15:spPr xmlns:c15="http://schemas.microsoft.com/office/drawing/2012/chart">
                          <a:solidFill>
                            <a:schemeClr val="accent2">
                              <a:tint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Gráficos!$L$127</c15:sqref>
                        <c15:spPr xmlns:c15="http://schemas.microsoft.com/office/drawing/2012/chart">
                          <a:solidFill>
                            <a:schemeClr val="accent2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Gráficos!$L$137</c15:sqref>
                        <c15:spPr xmlns:c15="http://schemas.microsoft.com/office/drawing/2012/chart">
                          <a:solidFill>
                            <a:schemeClr val="accent2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Gráficos!$L$142</c15:sqref>
                        <c15:spPr xmlns:c15="http://schemas.microsoft.com/office/drawing/2012/chart">
                          <a:solidFill>
                            <a:schemeClr val="accent2">
                              <a:tint val="4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Gráficos!$L$147</c15:sqref>
                        <c15:spPr xmlns:c15="http://schemas.microsoft.com/office/drawing/2012/chart">
                          <a:solidFill>
                            <a:schemeClr val="accent2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Gráficos!$L$151</c15:sqref>
                        <c15:spPr xmlns:c15="http://schemas.microsoft.com/office/drawing/2012/chart">
                          <a:solidFill>
                            <a:schemeClr val="accent2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Gráficos!$L$153</c15:sqref>
                        <c15:spPr xmlns:c15="http://schemas.microsoft.com/office/drawing/2012/chart">
                          <a:solidFill>
                            <a:schemeClr val="accent2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E3-9FA8-4B94-A868-FAA40EDD584A}"/>
                  </c:ext>
                </c:extLst>
              </c15:ser>
            </c15:filteredPieSeries>
            <c15:filteredPi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Gráficos!$M$119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E5-9FA8-4B94-A868-FAA40EDD584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E7-9FA8-4B94-A868-FAA40EDD584A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shade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E9-9FA8-4B94-A868-FAA40EDD584A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EB-9FA8-4B94-A868-FAA40EDD584A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ED-9FA8-4B94-A868-FAA40EDD584A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2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EF-9FA8-4B94-A868-FAA40EDD584A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2">
                        <a:tint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F1-9FA8-4B94-A868-FAA40EDD584A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F3-9FA8-4B94-A868-FAA40EDD584A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2">
                        <a:tint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F5-9FA8-4B94-A868-FAA40EDD584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Gráficos!$A$128:$A$136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Gráficos!$M$120:$M$154</c15:sqref>
                        </c15:fullRef>
                        <c15:formulaRef>
                          <c15:sqref>Gráficos!$M$128:$M$136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3.7067645604928978E-2</c:v>
                      </c:pt>
                      <c:pt idx="1">
                        <c:v>3.6764625130113193E-2</c:v>
                      </c:pt>
                      <c:pt idx="2">
                        <c:v>3.5430906165517272E-2</c:v>
                      </c:pt>
                      <c:pt idx="3">
                        <c:v>5.9639910706832937E-2</c:v>
                      </c:pt>
                      <c:pt idx="4">
                        <c:v>4.0709714348875575E-2</c:v>
                      </c:pt>
                      <c:pt idx="5">
                        <c:v>4.7663347748731738E-2</c:v>
                      </c:pt>
                      <c:pt idx="6">
                        <c:v>6.4323255940777979E-2</c:v>
                      </c:pt>
                      <c:pt idx="7">
                        <c:v>4.9394819593230936E-2</c:v>
                      </c:pt>
                      <c:pt idx="8">
                        <c:v>4.2371919323024435E-2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Gráficos!$M$120</c15:sqref>
                        <c15:spPr xmlns:c15="http://schemas.microsoft.com/office/drawing/2012/chart">
                          <a:solidFill>
                            <a:schemeClr val="accent2">
                              <a:shade val="4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Gráficos!$M$121</c15:sqref>
                        <c15:spPr xmlns:c15="http://schemas.microsoft.com/office/drawing/2012/chart">
                          <a:solidFill>
                            <a:schemeClr val="accent2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Gráficos!$M$122</c15:sqref>
                        <c15:spPr xmlns:c15="http://schemas.microsoft.com/office/drawing/2012/chart">
                          <a:solidFill>
                            <a:schemeClr val="accent2">
                              <a:shade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Gráficos!$M$123</c15:sqref>
                        <c15:spPr xmlns:c15="http://schemas.microsoft.com/office/drawing/2012/chart">
                          <a:solidFill>
                            <a:schemeClr val="accent2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Gráficos!$M$124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Gráficos!$M$125</c15:sqref>
                        <c15:spPr xmlns:c15="http://schemas.microsoft.com/office/drawing/2012/chart">
                          <a:solidFill>
                            <a:schemeClr val="accent2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Gráficos!$M$126</c15:sqref>
                        <c15:spPr xmlns:c15="http://schemas.microsoft.com/office/drawing/2012/chart">
                          <a:solidFill>
                            <a:schemeClr val="accent2">
                              <a:tint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Gráficos!$M$127</c15:sqref>
                        <c15:spPr xmlns:c15="http://schemas.microsoft.com/office/drawing/2012/chart">
                          <a:solidFill>
                            <a:schemeClr val="accent2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Gráficos!$M$137</c15:sqref>
                        <c15:spPr xmlns:c15="http://schemas.microsoft.com/office/drawing/2012/chart">
                          <a:solidFill>
                            <a:schemeClr val="accent2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Gráficos!$M$142</c15:sqref>
                        <c15:spPr xmlns:c15="http://schemas.microsoft.com/office/drawing/2012/chart">
                          <a:solidFill>
                            <a:schemeClr val="accent2">
                              <a:tint val="4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Gráficos!$M$147</c15:sqref>
                        <c15:spPr xmlns:c15="http://schemas.microsoft.com/office/drawing/2012/chart">
                          <a:solidFill>
                            <a:schemeClr val="accent2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Gráficos!$M$151</c15:sqref>
                        <c15:spPr xmlns:c15="http://schemas.microsoft.com/office/drawing/2012/chart">
                          <a:solidFill>
                            <a:schemeClr val="accent2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Gráficos!$M$153</c15:sqref>
                        <c15:spPr xmlns:c15="http://schemas.microsoft.com/office/drawing/2012/chart">
                          <a:solidFill>
                            <a:schemeClr val="accent2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F6-9FA8-4B94-A868-FAA40EDD584A}"/>
                  </c:ext>
                </c:extLst>
              </c15:ser>
            </c15:filteredPieSeries>
            <c15:filteredPi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Gráficos!$O$119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F8-9FA8-4B94-A868-FAA40EDD584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FA-9FA8-4B94-A868-FAA40EDD584A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shade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FC-9FA8-4B94-A868-FAA40EDD584A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FE-9FA8-4B94-A868-FAA40EDD584A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100-9FA8-4B94-A868-FAA40EDD584A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2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102-9FA8-4B94-A868-FAA40EDD584A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2">
                        <a:tint val="7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104-9FA8-4B94-A868-FAA40EDD584A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106-9FA8-4B94-A868-FAA40EDD584A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2">
                        <a:tint val="4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108-9FA8-4B94-A868-FAA40EDD584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Gráficos!$A$128:$A$136</c15:sqref>
                        </c15:formulaRef>
                      </c:ext>
                    </c:extLst>
                    <c:strCache>
                      <c:ptCount val="9"/>
                      <c:pt idx="0">
                        <c:v>AL</c:v>
                      </c:pt>
                      <c:pt idx="1">
                        <c:v>BA</c:v>
                      </c:pt>
                      <c:pt idx="2">
                        <c:v>CE</c:v>
                      </c:pt>
                      <c:pt idx="3">
                        <c:v>MA</c:v>
                      </c:pt>
                      <c:pt idx="4">
                        <c:v>PB</c:v>
                      </c:pt>
                      <c:pt idx="5">
                        <c:v>PE</c:v>
                      </c:pt>
                      <c:pt idx="6">
                        <c:v>PI</c:v>
                      </c:pt>
                      <c:pt idx="7">
                        <c:v>RN</c:v>
                      </c:pt>
                      <c:pt idx="8">
                        <c:v>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Gráficos!$O$120:$O$154</c15:sqref>
                        </c15:fullRef>
                        <c15:formulaRef>
                          <c15:sqref>Gráficos!$O$128:$O$136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6.4589237207897596E-3</c:v>
                      </c:pt>
                      <c:pt idx="1">
                        <c:v>1.9683733508477574E-2</c:v>
                      </c:pt>
                      <c:pt idx="2">
                        <c:v>1.0569837421331071E-2</c:v>
                      </c:pt>
                      <c:pt idx="3">
                        <c:v>4.9333315927581802E-3</c:v>
                      </c:pt>
                      <c:pt idx="4">
                        <c:v>8.6804860390011212E-3</c:v>
                      </c:pt>
                      <c:pt idx="5">
                        <c:v>1.8532621113401981E-2</c:v>
                      </c:pt>
                      <c:pt idx="6">
                        <c:v>4.1189174597623772E-3</c:v>
                      </c:pt>
                      <c:pt idx="7">
                        <c:v>8.1305926481585224E-3</c:v>
                      </c:pt>
                      <c:pt idx="8">
                        <c:v>5.5910960744532381E-3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Gráficos!$O$120</c15:sqref>
                        <c15:spPr xmlns:c15="http://schemas.microsoft.com/office/drawing/2012/chart">
                          <a:solidFill>
                            <a:schemeClr val="accent2">
                              <a:shade val="4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Gráficos!$O$121</c15:sqref>
                        <c15:spPr xmlns:c15="http://schemas.microsoft.com/office/drawing/2012/chart">
                          <a:solidFill>
                            <a:schemeClr val="accent2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Gráficos!$O$122</c15:sqref>
                        <c15:spPr xmlns:c15="http://schemas.microsoft.com/office/drawing/2012/chart">
                          <a:solidFill>
                            <a:schemeClr val="accent2">
                              <a:shade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Gráficos!$O$123</c15:sqref>
                        <c15:spPr xmlns:c15="http://schemas.microsoft.com/office/drawing/2012/chart">
                          <a:solidFill>
                            <a:schemeClr val="accent2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Gráficos!$O$124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Gráficos!$O$125</c15:sqref>
                        <c15:spPr xmlns:c15="http://schemas.microsoft.com/office/drawing/2012/chart">
                          <a:solidFill>
                            <a:schemeClr val="accent2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Gráficos!$O$126</c15:sqref>
                        <c15:spPr xmlns:c15="http://schemas.microsoft.com/office/drawing/2012/chart">
                          <a:solidFill>
                            <a:schemeClr val="accent2">
                              <a:tint val="7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Gráficos!$O$127</c15:sqref>
                        <c15:spPr xmlns:c15="http://schemas.microsoft.com/office/drawing/2012/chart">
                          <a:solidFill>
                            <a:schemeClr val="accent2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Gráficos!$O$137</c15:sqref>
                        <c15:spPr xmlns:c15="http://schemas.microsoft.com/office/drawing/2012/chart">
                          <a:solidFill>
                            <a:schemeClr val="accent2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Gráficos!$O$142</c15:sqref>
                        <c15:spPr xmlns:c15="http://schemas.microsoft.com/office/drawing/2012/chart">
                          <a:solidFill>
                            <a:schemeClr val="accent2">
                              <a:tint val="4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Gráficos!$O$147</c15:sqref>
                        <c15:spPr xmlns:c15="http://schemas.microsoft.com/office/drawing/2012/chart">
                          <a:solidFill>
                            <a:schemeClr val="accent2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Gráficos!$O$151</c15:sqref>
                        <c15:spPr xmlns:c15="http://schemas.microsoft.com/office/drawing/2012/chart">
                          <a:solidFill>
                            <a:schemeClr val="accent2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Gráficos!$O$153</c15:sqref>
                        <c15:spPr xmlns:c15="http://schemas.microsoft.com/office/drawing/2012/chart">
                          <a:solidFill>
                            <a:schemeClr val="accent2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109-9FA8-4B94-A868-FAA40EDD584A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0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945063040729852E-2"/>
          <c:y val="6.4675925925925928E-2"/>
          <c:w val="0.93847755600358718"/>
          <c:h val="0.87929718147758573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%"/>
                  <a:lumOff val="40%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%"/>
                  <a:lumOff val="40%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52-4EDD-8F08-F1D436D1AB85}"/>
                </c:ext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52-4EDD-8F08-F1D436D1AB85}"/>
                </c:ext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52-4EDD-8F08-F1D436D1AB85}"/>
                </c:ext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2-4EDD-8F08-F1D436D1AB85}"/>
                </c:ext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52-4EDD-8F08-F1D436D1AB85}"/>
                </c:ext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52-4EDD-8F08-F1D436D1AB85}"/>
                </c:ext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52-4EDD-8F08-F1D436D1AB85}"/>
                </c:ext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52-4EDD-8F08-F1D436D1AB85}"/>
                </c:ext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52-4EDD-8F08-F1D436D1AB85}"/>
                </c:ext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52-4EDD-8F08-F1D436D1AB85}"/>
                </c:ext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52-4EDD-8F08-F1D436D1AB85}"/>
                </c:ext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52-4EDD-8F08-F1D436D1AB85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tx2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149032.88527663413</c:v>
                </c:pt>
                <c:pt idx="1">
                  <c:v>254452.53292839986</c:v>
                </c:pt>
                <c:pt idx="2">
                  <c:v>351791.47133290104</c:v>
                </c:pt>
                <c:pt idx="3">
                  <c:v>435601.46585815132</c:v>
                </c:pt>
                <c:pt idx="4">
                  <c:v>520609.99117925472</c:v>
                </c:pt>
                <c:pt idx="5">
                  <c:v>603925.31113934948</c:v>
                </c:pt>
                <c:pt idx="6">
                  <c:v>677295.37754477479</c:v>
                </c:pt>
                <c:pt idx="7">
                  <c:v>754583.73676182423</c:v>
                </c:pt>
                <c:pt idx="8">
                  <c:v>813921.49769616686</c:v>
                </c:pt>
                <c:pt idx="9">
                  <c:v>889347.10772690573</c:v>
                </c:pt>
                <c:pt idx="10">
                  <c:v>956788.17683665326</c:v>
                </c:pt>
                <c:pt idx="11">
                  <c:v>1026714.548424322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B852-4EDD-8F08-F1D436D1AB85}"/>
            </c:ext>
          </c:extLst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52-4EDD-8F08-F1D436D1AB85}"/>
                </c:ext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52-4EDD-8F08-F1D436D1AB85}"/>
                </c:ext>
              </c:extLst>
            </c:dLbl>
            <c:dLbl>
              <c:idx val="2"/>
              <c:layout>
                <c:manualLayout>
                  <c:x val="-5.9221354166666705E-2"/>
                  <c:y val="-5.1246874999999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52-4EDD-8F08-F1D436D1AB85}"/>
                </c:ext>
              </c:extLst>
            </c:dLbl>
            <c:dLbl>
              <c:idx val="3"/>
              <c:layout>
                <c:manualLayout>
                  <c:x val="-6.3940972222222225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52-4EDD-8F08-F1D436D1AB85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52-4EDD-8F08-F1D436D1A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256432"/>
        <c:axId val="294256992"/>
      </c:lineChart>
      <c:catAx>
        <c:axId val="29425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4256992"/>
        <c:crosses val="autoZero"/>
        <c:auto val="1"/>
        <c:lblAlgn val="ctr"/>
        <c:lblOffset val="100"/>
        <c:noMultiLvlLbl val="0"/>
      </c:catAx>
      <c:valAx>
        <c:axId val="2942569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42564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6509239371505537E-3"/>
                <c:y val="2.1682483649196511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847685455454006"/>
          <c:y val="0.8508624025250997"/>
          <c:w val="0.19614463139684701"/>
          <c:h val="7.7372545327988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1310230.0516277591</c:v>
                </c:pt>
                <c:pt idx="1">
                  <c:v>2138806.5617406666</c:v>
                </c:pt>
                <c:pt idx="2">
                  <c:v>2875295.2254140498</c:v>
                </c:pt>
                <c:pt idx="3">
                  <c:v>3508232.95521536</c:v>
                </c:pt>
                <c:pt idx="4">
                  <c:v>4196266.4682252845</c:v>
                </c:pt>
                <c:pt idx="5">
                  <c:v>4792472.3572983611</c:v>
                </c:pt>
                <c:pt idx="6">
                  <c:v>5379422.8673073482</c:v>
                </c:pt>
                <c:pt idx="7">
                  <c:v>5990230.9955518246</c:v>
                </c:pt>
                <c:pt idx="8">
                  <c:v>6455772.3440091806</c:v>
                </c:pt>
                <c:pt idx="9">
                  <c:v>7087618.0440178793</c:v>
                </c:pt>
                <c:pt idx="10">
                  <c:v>7617587.9502158975</c:v>
                </c:pt>
                <c:pt idx="11">
                  <c:v>8145741.0494781248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712-4849-9768-BCF55DA96548}"/>
            </c:ext>
          </c:extLst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12-4849-9768-BCF55DA96548}"/>
                </c:ext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12-4849-9768-BCF55DA96548}"/>
                </c:ext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12-4849-9768-BCF55DA96548}"/>
                </c:ext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12-4849-9768-BCF55DA96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261472"/>
        <c:axId val="29426203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3712-4849-9768-BCF55DA96548}"/>
                  </c:ext>
                </c:extLst>
              </c15:ser>
            </c15:filteredLineSeries>
          </c:ext>
        </c:extLst>
      </c:lineChart>
      <c:catAx>
        <c:axId val="29426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4262032"/>
        <c:crosses val="autoZero"/>
        <c:auto val="1"/>
        <c:lblAlgn val="ctr"/>
        <c:lblOffset val="100"/>
        <c:noMultiLvlLbl val="0"/>
      </c:catAx>
      <c:valAx>
        <c:axId val="29426203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42614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FD-4F8B-97C6-55E71AE30872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2235485.7726254836</c:v>
                </c:pt>
                <c:pt idx="1">
                  <c:v>4212235.8701483989</c:v>
                </c:pt>
                <c:pt idx="2">
                  <c:v>5262541.4014268918</c:v>
                </c:pt>
                <c:pt idx="3">
                  <c:v>6112110.4281369606</c:v>
                </c:pt>
                <c:pt idx="4">
                  <c:v>7306492.2853614269</c:v>
                </c:pt>
                <c:pt idx="5">
                  <c:v>8376627.2778502097</c:v>
                </c:pt>
                <c:pt idx="6">
                  <c:v>8779924.0493827146</c:v>
                </c:pt>
                <c:pt idx="7">
                  <c:v>9163092.7915643938</c:v>
                </c:pt>
                <c:pt idx="8">
                  <c:v>9434967.9727359042</c:v>
                </c:pt>
                <c:pt idx="9">
                  <c:v>9752183.9950471818</c:v>
                </c:pt>
                <c:pt idx="10">
                  <c:v>9980599.4679945931</c:v>
                </c:pt>
                <c:pt idx="11">
                  <c:v>10182900.468229098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AFD-4F8B-97C6-55E71AE30872}"/>
            </c:ext>
          </c:extLst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FD-4F8B-97C6-55E71AE30872}"/>
                </c:ext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FD-4F8B-97C6-55E71AE30872}"/>
                </c:ext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FD-4F8B-97C6-55E71AE30872}"/>
                </c:ext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FD-4F8B-97C6-55E71AE30872}"/>
                </c:ext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FD-4F8B-97C6-55E71AE30872}"/>
                </c:ext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FD-4F8B-97C6-55E71AE30872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FD-4F8B-97C6-55E71AE30872}"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FD-4F8B-97C6-55E71AE30872}"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FD-4F8B-97C6-55E71AE30872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FD-4F8B-97C6-55E71AE30872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FD-4F8B-97C6-55E71AE30872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FD-4F8B-97C6-55E71AE30872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3544225.5926342681</c:v>
                </c:pt>
                <c:pt idx="1">
                  <c:v>6678241.6403654478</c:v>
                </c:pt>
                <c:pt idx="2">
                  <c:v>8343436.6461339798</c:v>
                </c:pt>
                <c:pt idx="3">
                  <c:v>9690376.2348564994</c:v>
                </c:pt>
                <c:pt idx="4">
                  <c:v>11583995.419371074</c:v>
                </c:pt>
                <c:pt idx="5">
                  <c:v>13280628.819769654</c:v>
                </c:pt>
                <c:pt idx="6">
                  <c:v>13920031.117290674</c:v>
                </c:pt>
                <c:pt idx="7">
                  <c:v>14527521.658705674</c:v>
                </c:pt>
                <c:pt idx="8">
                  <c:v>14958563.084649732</c:v>
                </c:pt>
                <c:pt idx="9">
                  <c:v>15461489.633517385</c:v>
                </c:pt>
                <c:pt idx="10">
                  <c:v>15823628.357407847</c:v>
                </c:pt>
                <c:pt idx="11">
                  <c:v>16144364.18638365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AFD-4F8B-97C6-55E71AE30872}"/>
            </c:ext>
          </c:extLst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FD-4F8B-97C6-55E71AE30872}"/>
                </c:ext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FD-4F8B-97C6-55E71AE30872}"/>
                </c:ext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FD-4F8B-97C6-55E71AE30872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FD-4F8B-97C6-55E71AE30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265952"/>
        <c:axId val="294266512"/>
      </c:lineChart>
      <c:catAx>
        <c:axId val="2942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4266512"/>
        <c:crosses val="autoZero"/>
        <c:auto val="1"/>
        <c:lblAlgn val="ctr"/>
        <c:lblOffset val="100"/>
        <c:noMultiLvlLbl val="0"/>
      </c:catAx>
      <c:valAx>
        <c:axId val="2942665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42659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4D-474D-8910-0B1107EC250F}"/>
                </c:ext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4D-474D-8910-0B1107EC250F}"/>
                </c:ext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4D-474D-8910-0B1107EC250F}"/>
                </c:ext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4D-474D-8910-0B1107EC250F}"/>
                </c:ext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4D-474D-8910-0B1107EC250F}"/>
                </c:ext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4D-474D-8910-0B1107EC250F}"/>
                </c:ext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4D-474D-8910-0B1107EC250F}"/>
                </c:ext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4D-474D-8910-0B1107EC250F}"/>
                </c:ext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4D-474D-8910-0B1107EC250F}"/>
                </c:ext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4D-474D-8910-0B1107EC250F}"/>
                </c:ext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4D-474D-8910-0B1107EC250F}"/>
                </c:ext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4D-474D-8910-0B1107EC250F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149032.88527663413</c:v>
                </c:pt>
                <c:pt idx="1">
                  <c:v>254452.53292839986</c:v>
                </c:pt>
                <c:pt idx="2">
                  <c:v>351791.47133290104</c:v>
                </c:pt>
                <c:pt idx="3">
                  <c:v>435601.46585815132</c:v>
                </c:pt>
                <c:pt idx="4">
                  <c:v>520609.99117925472</c:v>
                </c:pt>
                <c:pt idx="5">
                  <c:v>603925.31113934948</c:v>
                </c:pt>
                <c:pt idx="6">
                  <c:v>677295.37754477479</c:v>
                </c:pt>
                <c:pt idx="7">
                  <c:v>754583.73676182423</c:v>
                </c:pt>
                <c:pt idx="8">
                  <c:v>813921.49769616686</c:v>
                </c:pt>
                <c:pt idx="9">
                  <c:v>889347.10772690573</c:v>
                </c:pt>
                <c:pt idx="10">
                  <c:v>956788.17683665326</c:v>
                </c:pt>
                <c:pt idx="11">
                  <c:v>1026714.548424322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D94D-474D-8910-0B1107EC250F}"/>
            </c:ext>
          </c:extLst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4D-474D-8910-0B1107EC250F}"/>
                </c:ext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4D-474D-8910-0B1107EC250F}"/>
                </c:ext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4D-474D-8910-0B1107EC250F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94D-474D-8910-0B1107EC2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269872"/>
        <c:axId val="294270432"/>
      </c:lineChart>
      <c:catAx>
        <c:axId val="29426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4270432"/>
        <c:crosses val="autoZero"/>
        <c:auto val="1"/>
        <c:lblAlgn val="ctr"/>
        <c:lblOffset val="100"/>
        <c:noMultiLvlLbl val="0"/>
      </c:catAx>
      <c:valAx>
        <c:axId val="29427043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42698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9B-473C-9525-AA46E31F2D69}"/>
                </c:ext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B-473C-9525-AA46E31F2D69}"/>
                </c:ext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9B-473C-9525-AA46E31F2D69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5289691.519425259</c:v>
                </c:pt>
                <c:pt idx="1">
                  <c:v>10946126.084264638</c:v>
                </c:pt>
                <c:pt idx="2">
                  <c:v>18483532.833525073</c:v>
                </c:pt>
                <c:pt idx="3">
                  <c:v>25403790.303136677</c:v>
                </c:pt>
                <c:pt idx="4">
                  <c:v>33225436.985169947</c:v>
                </c:pt>
                <c:pt idx="5">
                  <c:v>40648530.656770773</c:v>
                </c:pt>
                <c:pt idx="6">
                  <c:v>48092325.603216611</c:v>
                </c:pt>
                <c:pt idx="7">
                  <c:v>56573819.691179112</c:v>
                </c:pt>
                <c:pt idx="8">
                  <c:v>63808638.033217229</c:v>
                </c:pt>
                <c:pt idx="9">
                  <c:v>71594760.70306471</c:v>
                </c:pt>
                <c:pt idx="10">
                  <c:v>78493365.828256473</c:v>
                </c:pt>
                <c:pt idx="11">
                  <c:v>84943109.670736536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A9B-473C-9525-AA46E31F2D69}"/>
            </c:ext>
          </c:extLst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9B-473C-9525-AA46E31F2D69}"/>
                </c:ext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B-473C-9525-AA46E31F2D69}"/>
                </c:ext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9B-473C-9525-AA46E31F2D69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9B-473C-9525-AA46E31F2D69}"/>
            </c:ext>
          </c:extLst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9B-473C-9525-AA46E31F2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470352"/>
        <c:axId val="295470912"/>
      </c:lineChart>
      <c:catAx>
        <c:axId val="29547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5470912"/>
        <c:crosses val="autoZero"/>
        <c:auto val="1"/>
        <c:lblAlgn val="ctr"/>
        <c:lblOffset val="100"/>
        <c:noMultiLvlLbl val="0"/>
      </c:catAx>
      <c:valAx>
        <c:axId val="2954709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54703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DD-4B92-8A4C-0C1A49C0143F}"/>
                </c:ext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DD-4B92-8A4C-0C1A49C0143F}"/>
                </c:ext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DD-4B92-8A4C-0C1A49C0143F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728006.7976387497</c:v>
                </c:pt>
                <c:pt idx="1">
                  <c:v>1250668.9713280427</c:v>
                </c:pt>
                <c:pt idx="2">
                  <c:v>1744929.7334060951</c:v>
                </c:pt>
                <c:pt idx="3">
                  <c:v>2205094.9492343953</c:v>
                </c:pt>
                <c:pt idx="4">
                  <c:v>2687655.4318216094</c:v>
                </c:pt>
                <c:pt idx="5">
                  <c:v>3173054.3904569834</c:v>
                </c:pt>
                <c:pt idx="6">
                  <c:v>3704166.521725696</c:v>
                </c:pt>
                <c:pt idx="7">
                  <c:v>4319267.4267853573</c:v>
                </c:pt>
                <c:pt idx="8">
                  <c:v>4817214.7848488986</c:v>
                </c:pt>
                <c:pt idx="9">
                  <c:v>5525765.8016106859</c:v>
                </c:pt>
                <c:pt idx="10">
                  <c:v>6163666.8992301533</c:v>
                </c:pt>
                <c:pt idx="11">
                  <c:v>6782877.4148296248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1DD-4B92-8A4C-0C1A49C0143F}"/>
            </c:ext>
          </c:extLst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DD-4B92-8A4C-0C1A49C0143F}"/>
                </c:ext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DD-4B92-8A4C-0C1A49C0143F}"/>
                </c:ext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DD-4B92-8A4C-0C1A49C0143F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DD-4B92-8A4C-0C1A49C0143F}"/>
            </c:ext>
          </c:extLst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DD-4B92-8A4C-0C1A49C0143F}"/>
                </c:ext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DD-4B92-8A4C-0C1A49C0143F}"/>
                </c:ext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DD-4B92-8A4C-0C1A49C0143F}"/>
                </c:ext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DD-4B92-8A4C-0C1A49C0143F}"/>
                </c:ext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DD-4B92-8A4C-0C1A49C0143F}"/>
                </c:ext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DD-4B92-8A4C-0C1A49C0143F}"/>
                </c:ext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DD-4B92-8A4C-0C1A49C0143F}"/>
                </c:ext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DD-4B92-8A4C-0C1A49C0143F}"/>
                </c:ext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DD-4B92-8A4C-0C1A49C0143F}"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DD-4B92-8A4C-0C1A49C0143F}"/>
                </c:ext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DD-4B92-8A4C-0C1A49C0143F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DD-4B92-8A4C-0C1A49C0143F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821304.99769217195</c:v>
                </c:pt>
                <c:pt idx="1">
                  <c:v>1410949.2932509058</c:v>
                </c:pt>
                <c:pt idx="2">
                  <c:v>1968552.3752200392</c:v>
                </c:pt>
                <c:pt idx="3">
                  <c:v>2487690.3733124947</c:v>
                </c:pt>
                <c:pt idx="4">
                  <c:v>3032093.7186151734</c:v>
                </c:pt>
                <c:pt idx="5">
                  <c:v>3579699.3067701771</c:v>
                </c:pt>
                <c:pt idx="6">
                  <c:v>4178876.4698965959</c:v>
                </c:pt>
                <c:pt idx="7">
                  <c:v>4872806.044522848</c:v>
                </c:pt>
                <c:pt idx="8">
                  <c:v>5434568.1806617696</c:v>
                </c:pt>
                <c:pt idx="9">
                  <c:v>6233924.0288129207</c:v>
                </c:pt>
                <c:pt idx="10">
                  <c:v>6953575.7699882351</c:v>
                </c:pt>
                <c:pt idx="11">
                  <c:v>7652141.625052887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1DD-4B92-8A4C-0C1A49C01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474832"/>
        <c:axId val="295475392"/>
      </c:lineChart>
      <c:catAx>
        <c:axId val="29547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5475392"/>
        <c:crosses val="autoZero"/>
        <c:auto val="1"/>
        <c:lblAlgn val="ctr"/>
        <c:lblOffset val="100"/>
        <c:noMultiLvlLbl val="0"/>
      </c:catAx>
      <c:valAx>
        <c:axId val="295475392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54748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540161975917964E-2"/>
          <c:y val="6.4675925925925928E-2"/>
          <c:w val="0.92529762682798022"/>
          <c:h val="0.87567785129212627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%"/>
                  <a:lumOff val="40%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%"/>
                  <a:lumOff val="40%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DC-47F5-AC95-472B67C2DBF9}"/>
                </c:ext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DC-47F5-AC95-472B67C2DBF9}"/>
                </c:ext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DC-47F5-AC95-472B67C2DBF9}"/>
                </c:ext>
              </c:extLst>
            </c:dLbl>
            <c:dLbl>
              <c:idx val="3"/>
              <c:layout>
                <c:manualLayout>
                  <c:x val="-3.0173611111111109E-2"/>
                  <c:y val="5.34347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DC-47F5-AC95-472B67C2DBF9}"/>
                </c:ext>
              </c:extLst>
            </c:dLbl>
            <c:dLbl>
              <c:idx val="4"/>
              <c:layout>
                <c:manualLayout>
                  <c:x val="-2.5132686098076899E-2"/>
                  <c:y val="4.8270885658923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DC-47F5-AC95-472B67C2DBF9}"/>
                </c:ext>
              </c:extLst>
            </c:dLbl>
            <c:dLbl>
              <c:idx val="5"/>
              <c:layout>
                <c:manualLayout>
                  <c:x val="-2.513268609807684E-2"/>
                  <c:y val="4.6078002411135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DC-47F5-AC95-472B67C2DBF9}"/>
                </c:ext>
              </c:extLst>
            </c:dLbl>
            <c:dLbl>
              <c:idx val="6"/>
              <c:layout>
                <c:manualLayout>
                  <c:x val="-2.513268609807684E-2"/>
                  <c:y val="4.8270885658923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DC-47F5-AC95-472B67C2DBF9}"/>
                </c:ext>
              </c:extLst>
            </c:dLbl>
            <c:dLbl>
              <c:idx val="7"/>
              <c:layout>
                <c:manualLayout>
                  <c:x val="-2.8257425639041531E-2"/>
                  <c:y val="4.6078002411135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DC-47F5-AC95-472B67C2DBF9}"/>
                </c:ext>
              </c:extLst>
            </c:dLbl>
            <c:dLbl>
              <c:idx val="8"/>
              <c:layout>
                <c:manualLayout>
                  <c:x val="-2.8257425639041645E-2"/>
                  <c:y val="5.046376890671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DC-47F5-AC95-472B67C2DBF9}"/>
                </c:ext>
              </c:extLst>
            </c:dLbl>
            <c:dLbl>
              <c:idx val="9"/>
              <c:layout>
                <c:manualLayout>
                  <c:x val="-2.90386105242827E-2"/>
                  <c:y val="3.730646941998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DC-47F5-AC95-472B67C2DBF9}"/>
                </c:ext>
              </c:extLst>
            </c:dLbl>
            <c:dLbl>
              <c:idx val="10"/>
              <c:layout>
                <c:manualLayout>
                  <c:x val="-2.8257425639041531E-2"/>
                  <c:y val="3.7306469419984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DC-47F5-AC95-472B67C2DBF9}"/>
                </c:ext>
              </c:extLst>
            </c:dLbl>
            <c:dLbl>
              <c:idx val="11"/>
              <c:layout>
                <c:manualLayout>
                  <c:x val="-3.2944534950488678E-2"/>
                  <c:y val="3.7306469419984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DC-47F5-AC95-472B67C2DBF9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tx2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5289691.519425259</c:v>
                </c:pt>
                <c:pt idx="1">
                  <c:v>10946126.084264638</c:v>
                </c:pt>
                <c:pt idx="2">
                  <c:v>18483532.833525073</c:v>
                </c:pt>
                <c:pt idx="3">
                  <c:v>25403790.303136677</c:v>
                </c:pt>
                <c:pt idx="4">
                  <c:v>33225436.985169947</c:v>
                </c:pt>
                <c:pt idx="5">
                  <c:v>40648530.656770773</c:v>
                </c:pt>
                <c:pt idx="6">
                  <c:v>48092325.603216611</c:v>
                </c:pt>
                <c:pt idx="7">
                  <c:v>56573819.691179112</c:v>
                </c:pt>
                <c:pt idx="8">
                  <c:v>63808638.033217229</c:v>
                </c:pt>
                <c:pt idx="9">
                  <c:v>71594760.70306471</c:v>
                </c:pt>
                <c:pt idx="10">
                  <c:v>78493365.828256473</c:v>
                </c:pt>
                <c:pt idx="11">
                  <c:v>84943109.670736536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B4DC-47F5-AC95-472B67C2DBF9}"/>
            </c:ext>
          </c:extLst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3810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DC-47F5-AC95-472B67C2DBF9}"/>
                </c:ext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DC-47F5-AC95-472B67C2DBF9}"/>
                </c:ext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DC-47F5-AC95-472B67C2DBF9}"/>
                </c:ext>
              </c:extLst>
            </c:dLbl>
            <c:dLbl>
              <c:idx val="3"/>
              <c:layout>
                <c:manualLayout>
                  <c:x val="-5.2916666666666751E-2"/>
                  <c:y val="-8.819444444444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DC-47F5-AC95-472B67C2DBF9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4DC-47F5-AC95-472B67C2DBF9}"/>
            </c:ext>
          </c:extLst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DC-47F5-AC95-472B67C2D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479312"/>
        <c:axId val="295479872"/>
      </c:lineChart>
      <c:catAx>
        <c:axId val="29547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5479872"/>
        <c:crosses val="autoZero"/>
        <c:auto val="1"/>
        <c:lblAlgn val="ctr"/>
        <c:lblOffset val="100"/>
        <c:noMultiLvlLbl val="0"/>
      </c:catAx>
      <c:valAx>
        <c:axId val="29547987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54793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4475248001682836E-3"/>
                <c:y val="1.678838297466791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3599506192735531"/>
          <c:y val="0.8406029427457179"/>
          <c:w val="0.20693630667473273"/>
          <c:h val="7.56373779194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Gráficos!$Z$37:$Z$48</c:f>
              <c:numCache>
                <c:formatCode>_-[$R$-416]\ * #,##0_-;\-[$R$-416]\ * #,##0_-;_-[$R$-416]\ * "-"??_-;_-@_-</c:formatCode>
                <c:ptCount val="12"/>
                <c:pt idx="0">
                  <c:v>1310230.0516277591</c:v>
                </c:pt>
                <c:pt idx="1">
                  <c:v>2138806.5617406666</c:v>
                </c:pt>
                <c:pt idx="2">
                  <c:v>2875295.2254140498</c:v>
                </c:pt>
                <c:pt idx="3">
                  <c:v>3508232.95521536</c:v>
                </c:pt>
                <c:pt idx="4">
                  <c:v>4196266.4682252845</c:v>
                </c:pt>
                <c:pt idx="5">
                  <c:v>4792472.3572983611</c:v>
                </c:pt>
                <c:pt idx="6">
                  <c:v>5379422.8673073482</c:v>
                </c:pt>
                <c:pt idx="7">
                  <c:v>5990230.9955518246</c:v>
                </c:pt>
                <c:pt idx="8">
                  <c:v>6455772.3440091806</c:v>
                </c:pt>
                <c:pt idx="9">
                  <c:v>7087618.0440178793</c:v>
                </c:pt>
                <c:pt idx="10">
                  <c:v>7617587.9502158975</c:v>
                </c:pt>
                <c:pt idx="11">
                  <c:v>8145741.0494781248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3FD-483E-B81D-6A3D162DB1B6}"/>
            </c:ext>
          </c:extLst>
        </c:ser>
        <c:ser>
          <c:idx val="1"/>
          <c:order val="1"/>
          <c:tx>
            <c:strRef>
              <c:f>Gráficos!$AA$36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D-483E-B81D-6A3D162DB1B6}"/>
                </c:ext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D-483E-B81D-6A3D162DB1B6}"/>
                </c:ext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D-483E-B81D-6A3D162DB1B6}"/>
                </c:ext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Gráficos!$Y$37:$Y$48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Gráficos!$AA$37:$AA$48</c:f>
              <c:numCache>
                <c:formatCode>_-[$R$-416]\ * #,##0_-;\-[$R$-416]\ * #,##0_-;_-[$R$-416]\ * "-"??_-;_-@_-</c:formatCode>
                <c:ptCount val="12"/>
                <c:pt idx="0">
                  <c:v>1446032.3099999998</c:v>
                </c:pt>
                <c:pt idx="1">
                  <c:v>2769380.96</c:v>
                </c:pt>
                <c:pt idx="2">
                  <c:v>3735063.9299999997</c:v>
                </c:pt>
                <c:pt idx="3">
                  <c:v>4751518.54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FD-483E-B81D-6A3D162DB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484352"/>
        <c:axId val="29548491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Gráficos!$AD$36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Gráficos!$Y$37:$Y$48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Gráficos!$AD$37:$AD$48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43FD-483E-B81D-6A3D162DB1B6}"/>
                  </c:ext>
                </c:extLst>
              </c15:ser>
            </c15:filteredLineSeries>
          </c:ext>
        </c:extLst>
      </c:lineChart>
      <c:catAx>
        <c:axId val="29548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5484912"/>
        <c:crosses val="autoZero"/>
        <c:auto val="1"/>
        <c:lblAlgn val="ctr"/>
        <c:lblOffset val="100"/>
        <c:noMultiLvlLbl val="0"/>
      </c:catAx>
      <c:valAx>
        <c:axId val="2954849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54843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F6-4122-8770-1ECD9417B487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Gráficos!$Z$53:$Z$64</c:f>
              <c:numCache>
                <c:formatCode>_-[$R$-416]\ * #,##0_-;\-[$R$-416]\ * #,##0_-;_-[$R$-416]\ * "-"??_-;_-@_-</c:formatCode>
                <c:ptCount val="12"/>
                <c:pt idx="0">
                  <c:v>2235485.7726254836</c:v>
                </c:pt>
                <c:pt idx="1">
                  <c:v>4212235.8701483989</c:v>
                </c:pt>
                <c:pt idx="2">
                  <c:v>5262541.4014268918</c:v>
                </c:pt>
                <c:pt idx="3">
                  <c:v>6112110.4281369606</c:v>
                </c:pt>
                <c:pt idx="4">
                  <c:v>7306492.2853614269</c:v>
                </c:pt>
                <c:pt idx="5">
                  <c:v>8376627.2778502097</c:v>
                </c:pt>
                <c:pt idx="6">
                  <c:v>8779924.0493827146</c:v>
                </c:pt>
                <c:pt idx="7">
                  <c:v>9163092.7915643938</c:v>
                </c:pt>
                <c:pt idx="8">
                  <c:v>9434967.9727359042</c:v>
                </c:pt>
                <c:pt idx="9">
                  <c:v>9752183.9950471818</c:v>
                </c:pt>
                <c:pt idx="10">
                  <c:v>9980599.4679945931</c:v>
                </c:pt>
                <c:pt idx="11">
                  <c:v>10182900.468229098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0F6-4122-8770-1ECD9417B487}"/>
            </c:ext>
          </c:extLst>
        </c:ser>
        <c:ser>
          <c:idx val="1"/>
          <c:order val="1"/>
          <c:tx>
            <c:strRef>
              <c:f>Gráficos!$AB$52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F6-4122-8770-1ECD9417B487}"/>
                </c:ext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F6-4122-8770-1ECD9417B487}"/>
                </c:ext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F6-4122-8770-1ECD9417B487}"/>
                </c:ext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F6-4122-8770-1ECD9417B487}"/>
                </c:ext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F6-4122-8770-1ECD9417B487}"/>
                </c:ext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F6-4122-8770-1ECD9417B487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F6-4122-8770-1ECD9417B487}"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F6-4122-8770-1ECD9417B487}"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F6-4122-8770-1ECD9417B487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F6-4122-8770-1ECD9417B487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F6-4122-8770-1ECD9417B487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F6-4122-8770-1ECD9417B487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Gráficos!$AB$53:$AB$64</c:f>
              <c:numCache>
                <c:formatCode>_-[$R$-416]\ * #,##0_-;\-[$R$-416]\ * #,##0_-;_-[$R$-416]\ * "-"??_-;_-@_-</c:formatCode>
                <c:ptCount val="12"/>
                <c:pt idx="0">
                  <c:v>3544225.5926342681</c:v>
                </c:pt>
                <c:pt idx="1">
                  <c:v>6678241.6403654478</c:v>
                </c:pt>
                <c:pt idx="2">
                  <c:v>8343436.6461339798</c:v>
                </c:pt>
                <c:pt idx="3">
                  <c:v>9690376.2348564994</c:v>
                </c:pt>
                <c:pt idx="4">
                  <c:v>11583995.419371074</c:v>
                </c:pt>
                <c:pt idx="5">
                  <c:v>13280628.819769654</c:v>
                </c:pt>
                <c:pt idx="6">
                  <c:v>13920031.117290674</c:v>
                </c:pt>
                <c:pt idx="7">
                  <c:v>14527521.658705674</c:v>
                </c:pt>
                <c:pt idx="8">
                  <c:v>14958563.084649732</c:v>
                </c:pt>
                <c:pt idx="9">
                  <c:v>15461489.633517385</c:v>
                </c:pt>
                <c:pt idx="10">
                  <c:v>15823628.357407847</c:v>
                </c:pt>
                <c:pt idx="11">
                  <c:v>16144364.18638365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0F6-4122-8770-1ECD9417B487}"/>
            </c:ext>
          </c:extLst>
        </c:ser>
        <c:ser>
          <c:idx val="2"/>
          <c:order val="2"/>
          <c:tx>
            <c:strRef>
              <c:f>Gráficos!$AA$52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F6-4122-8770-1ECD9417B487}"/>
                </c:ext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F6-4122-8770-1ECD9417B487}"/>
                </c:ext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F6-4122-8770-1ECD9417B487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Gráficos!$Y$53:$Y$64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Gráficos!$AA$53:$AA$64</c:f>
              <c:numCache>
                <c:formatCode>_-[$R$-416]\ * #,##0_-;\-[$R$-416]\ * #,##0_-;_-[$R$-416]\ * "-"??_-;_-@_-</c:formatCode>
                <c:ptCount val="12"/>
                <c:pt idx="0">
                  <c:v>1110920.1000000001</c:v>
                </c:pt>
                <c:pt idx="1">
                  <c:v>2753844.83</c:v>
                </c:pt>
                <c:pt idx="2">
                  <c:v>3332092.26</c:v>
                </c:pt>
                <c:pt idx="3">
                  <c:v>3991934.69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F6-4122-8770-1ECD9417B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488832"/>
        <c:axId val="295489392"/>
      </c:lineChart>
      <c:catAx>
        <c:axId val="29548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5489392"/>
        <c:crosses val="autoZero"/>
        <c:auto val="1"/>
        <c:lblAlgn val="ctr"/>
        <c:lblOffset val="100"/>
        <c:noMultiLvlLbl val="0"/>
      </c:catAx>
      <c:valAx>
        <c:axId val="2954893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54888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AF-4BA3-AA09-3261BE277F0E}"/>
                </c:ext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F-4BA3-AA09-3261BE277F0E}"/>
                </c:ext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AF-4BA3-AA09-3261BE277F0E}"/>
                </c:ext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AF-4BA3-AA09-3261BE277F0E}"/>
                </c:ext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AF-4BA3-AA09-3261BE277F0E}"/>
                </c:ext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AF-4BA3-AA09-3261BE277F0E}"/>
                </c:ext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AF-4BA3-AA09-3261BE277F0E}"/>
                </c:ext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AF-4BA3-AA09-3261BE277F0E}"/>
                </c:ext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AF-4BA3-AA09-3261BE277F0E}"/>
                </c:ext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AF-4BA3-AA09-3261BE277F0E}"/>
                </c:ext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AF-4BA3-AA09-3261BE277F0E}"/>
                </c:ext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AF-4BA3-AA09-3261BE277F0E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Gráficos!$Z$69:$Z$80</c:f>
              <c:numCache>
                <c:formatCode>_-[$R$-416]\ * #,##0_-;\-[$R$-416]\ * #,##0_-;_-[$R$-416]\ * "-"??_-;_-@_-</c:formatCode>
                <c:ptCount val="12"/>
                <c:pt idx="0">
                  <c:v>149032.88527663413</c:v>
                </c:pt>
                <c:pt idx="1">
                  <c:v>254452.53292839986</c:v>
                </c:pt>
                <c:pt idx="2">
                  <c:v>351791.47133290104</c:v>
                </c:pt>
                <c:pt idx="3">
                  <c:v>435601.46585815132</c:v>
                </c:pt>
                <c:pt idx="4">
                  <c:v>520609.99117925472</c:v>
                </c:pt>
                <c:pt idx="5">
                  <c:v>603925.31113934948</c:v>
                </c:pt>
                <c:pt idx="6">
                  <c:v>677295.37754477479</c:v>
                </c:pt>
                <c:pt idx="7">
                  <c:v>754583.73676182423</c:v>
                </c:pt>
                <c:pt idx="8">
                  <c:v>813921.49769616686</c:v>
                </c:pt>
                <c:pt idx="9">
                  <c:v>889347.10772690573</c:v>
                </c:pt>
                <c:pt idx="10">
                  <c:v>956788.17683665326</c:v>
                </c:pt>
                <c:pt idx="11">
                  <c:v>1026714.548424322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0DAF-4BA3-AA09-3261BE277F0E}"/>
            </c:ext>
          </c:extLst>
        </c:ser>
        <c:ser>
          <c:idx val="1"/>
          <c:order val="1"/>
          <c:tx>
            <c:strRef>
              <c:f>Gráficos!$AA$68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AF-4BA3-AA09-3261BE277F0E}"/>
                </c:ext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AF-4BA3-AA09-3261BE277F0E}"/>
                </c:ext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AF-4BA3-AA09-3261BE277F0E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Gráficos!$Y$69:$Y$80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Gráficos!$AA$69:$AA$80</c:f>
              <c:numCache>
                <c:formatCode>_-[$R$-416]\ * #,##0_-;\-[$R$-416]\ * #,##0_-;_-[$R$-416]\ * "-"??_-;_-@_-</c:formatCode>
                <c:ptCount val="12"/>
                <c:pt idx="0">
                  <c:v>210957</c:v>
                </c:pt>
                <c:pt idx="1">
                  <c:v>432443.12</c:v>
                </c:pt>
                <c:pt idx="2">
                  <c:v>590381.62</c:v>
                </c:pt>
                <c:pt idx="3">
                  <c:v>771922.58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DAF-4BA3-AA09-3261BE277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492752"/>
        <c:axId val="295493312"/>
      </c:lineChart>
      <c:catAx>
        <c:axId val="29549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5493312"/>
        <c:crosses val="autoZero"/>
        <c:auto val="1"/>
        <c:lblAlgn val="ctr"/>
        <c:lblOffset val="100"/>
        <c:noMultiLvlLbl val="0"/>
      </c:catAx>
      <c:valAx>
        <c:axId val="2954933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54927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doughnutChart>
        <c:varyColors val="1"/>
        <c:ser>
          <c:idx val="12"/>
          <c:order val="12"/>
          <c:tx>
            <c:strRef>
              <c:f>Gráficos!$N$119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1C39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705-4E53-A157-A8B3B33AC993}"/>
              </c:ext>
            </c:extLst>
          </c:dPt>
          <c:dPt>
            <c:idx val="1"/>
            <c:bubble3D val="0"/>
            <c:spPr>
              <a:solidFill>
                <a:srgbClr val="00687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705-4E53-A157-A8B3B33AC993}"/>
              </c:ext>
            </c:extLst>
          </c:dPt>
          <c:dPt>
            <c:idx val="2"/>
            <c:bubble3D val="0"/>
            <c:spPr>
              <a:solidFill>
                <a:srgbClr val="AECCD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705-4E53-A157-A8B3B33AC993}"/>
              </c:ext>
            </c:extLst>
          </c:dPt>
          <c:dPt>
            <c:idx val="3"/>
            <c:bubble3D val="0"/>
            <c:spPr>
              <a:solidFill>
                <a:srgbClr val="E4F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705-4E53-A157-A8B3B33AC993}"/>
              </c:ext>
            </c:extLst>
          </c:dPt>
          <c:dLbls>
            <c:dLbl>
              <c:idx val="0"/>
              <c:layout>
                <c:manualLayout>
                  <c:x val="6.535947712418301E-2"/>
                  <c:y val="-5.55555555555555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05-4E53-A157-A8B3B33AC993}"/>
                </c:ext>
              </c:extLst>
            </c:dLbl>
            <c:dLbl>
              <c:idx val="1"/>
              <c:layout>
                <c:manualLayout>
                  <c:x val="0.15686274509803921"/>
                  <c:y val="-6.01851851851852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05-4E53-A157-A8B3B33AC993}"/>
                </c:ext>
              </c:extLst>
            </c:dLbl>
            <c:dLbl>
              <c:idx val="2"/>
              <c:layout>
                <c:manualLayout>
                  <c:x val="-6.535947712418301E-2"/>
                  <c:y val="6.48148148148147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5-4E53-A157-A8B3B33AC993}"/>
                </c:ext>
              </c:extLst>
            </c:dLbl>
            <c:dLbl>
              <c:idx val="3"/>
              <c:layout>
                <c:manualLayout>
                  <c:x val="-7.8431372549019607E-2"/>
                  <c:y val="-6.481481481481483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05-4E53-A157-A8B3B33AC993}"/>
                </c:ext>
              </c:extLst>
            </c:dLbl>
            <c:numFmt formatCode="0.0%" sourceLinked="0"/>
            <c:spPr>
              <a:solidFill>
                <a:schemeClr val="lt1"/>
              </a:solidFill>
              <a:ln>
                <a:solidFill>
                  <a:schemeClr val="dk1">
                    <a:lumMod val="25%"/>
                    <a:lumOff val="75%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%">
                    <a:solidFill>
                      <a:schemeClr val="dk1">
                        <a:lumMod val="65%"/>
                        <a:lumOff val="3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%"/>
                      <a:lumOff val="65%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OffpageConnector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Gráficos!$A$120:$A$154</c15:sqref>
                  </c15:fullRef>
                </c:ext>
              </c:extLst>
              <c:f>Gráficos!$A$138:$A$141</c:f>
              <c:strCache>
                <c:ptCount val="4"/>
                <c:pt idx="0">
                  <c:v>DF</c:v>
                </c:pt>
                <c:pt idx="1">
                  <c:v>GO</c:v>
                </c:pt>
                <c:pt idx="2">
                  <c:v>MS</c:v>
                </c:pt>
                <c:pt idx="3">
                  <c:v>MT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Gráficos!$N$120:$N$154</c15:sqref>
                  </c15:fullRef>
                </c:ext>
              </c:extLst>
              <c:f>Gráficos!$N$138:$N$141</c:f>
              <c:numCache>
                <c:formatCode>_-* #,##0_-;\-* #,##0_-;_-* "-"??_-;_-@_-</c:formatCode>
                <c:ptCount val="4"/>
                <c:pt idx="0">
                  <c:v>1367243.3680000002</c:v>
                </c:pt>
                <c:pt idx="1">
                  <c:v>1367741.192</c:v>
                </c:pt>
                <c:pt idx="2">
                  <c:v>1048718.52</c:v>
                </c:pt>
                <c:pt idx="3">
                  <c:v>1124368.7140000002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Gráficos!$N$120</c15:sqref>
                  <c15:spPr xmlns:c15="http://schemas.microsoft.com/office/drawing/2012/chart">
                    <a:solidFill>
                      <a:schemeClr val="accent3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4.3572984749455342E-3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79-5FCC-4988-8E6C-849FF527664C}"/>
                      </c:ext>
                    </c:extLst>
                  </c15:dLbl>
                </c15:categoryFilterException>
                <c15:categoryFilterException>
                  <c15:sqref>Gráficos!$N$121</c15:sqref>
                  <c15:spPr xmlns:c15="http://schemas.microsoft.com/office/drawing/2012/chart">
                    <a:solidFill>
                      <a:schemeClr val="accent3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0501089324618737E-2"/>
                        <c:y val="-6.018518518518518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7B-5FCC-4988-8E6C-849FF527664C}"/>
                      </c:ext>
                    </c:extLst>
                  </c15:dLbl>
                </c15:categoryFilterException>
                <c15:categoryFilterException>
                  <c15:sqref>Gráficos!$N$122</c15:sqref>
                  <c15:spPr xmlns:c15="http://schemas.microsoft.com/office/drawing/2012/chart">
                    <a:solidFill>
                      <a:schemeClr val="accent3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2844E-2"/>
                        <c:y val="-3.2407407407407406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7D-5FCC-4988-8E6C-849FF527664C}"/>
                      </c:ext>
                    </c:extLst>
                  </c15:dLbl>
                </c15:categoryFilterException>
                <c15:categoryFilterException>
                  <c15:sqref>Gráficos!$N$123</c15:sqref>
                  <c15:spPr xmlns:c15="http://schemas.microsoft.com/office/drawing/2012/chart">
                    <a:solidFill>
                      <a:schemeClr val="accent3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0.10457516339869281"/>
                        <c:y val="2.777777777777769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7F-5FCC-4988-8E6C-849FF527664C}"/>
                      </c:ext>
                    </c:extLst>
                  </c15:dLbl>
                </c15:categoryFilterException>
                <c15:categoryFilterException>
                  <c15:sqref>Gráficos!$N$124</c15:sqref>
                  <c15:spPr xmlns:c15="http://schemas.microsoft.com/office/drawing/2012/chart">
                    <a:solidFill>
                      <a:schemeClr val="accent3">
                        <a:tint val="3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301E-2"/>
                        <c:y val="6.481481481481481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81-5FCC-4988-8E6C-849FF527664C}"/>
                      </c:ext>
                    </c:extLst>
                  </c15:dLbl>
                </c15:categoryFilterException>
                <c15:categoryFilterException>
                  <c15:sqref>Gráficos!$N$125</c15:sqref>
                  <c15:spPr xmlns:c15="http://schemas.microsoft.com/office/drawing/2012/chart">
                    <a:solidFill>
                      <a:schemeClr val="accent3">
                        <a:tint val="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5.2287581699346407E-2"/>
                        <c:y val="7.4074074074074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83-5FCC-4988-8E6C-849FF527664C}"/>
                      </c:ext>
                    </c:extLst>
                  </c15:dLbl>
                </c15:categoryFilterException>
                <c15:categoryFilterException>
                  <c15:sqref>Gráficos!$N$126</c15:sqref>
                  <c15:spPr xmlns:c15="http://schemas.microsoft.com/office/drawing/2012/chart">
                    <a:solidFill>
                      <a:schemeClr val="accent3">
                        <a:tint val="7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9716775599128575E-2"/>
                        <c:y val="-5.092592592592592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85-5FCC-4988-8E6C-849FF527664C}"/>
                      </c:ext>
                    </c:extLst>
                  </c15:dLbl>
                </c15:categoryFilterException>
                <c15:categoryFilterException>
                  <c15:sqref>Gráficos!$N$127</c15:sqref>
                  <c15:spPr xmlns:c15="http://schemas.microsoft.com/office/drawing/2012/chart">
                    <a:solidFill>
                      <a:schemeClr val="accent3">
                        <a:tint val="4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1.1111111111111112E-2"/>
                        <c:y val="-8.333333333333334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87-5FCC-4988-8E6C-849FF527664C}"/>
                      </c:ext>
                    </c:extLst>
                  </c15:dLbl>
                </c15:categoryFilterException>
                <c15:categoryFilterException>
                  <c15:sqref>Gráficos!$N$128</c15:sqref>
                  <c15:spPr xmlns:c15="http://schemas.microsoft.com/office/drawing/2012/chart">
                    <a:solidFill>
                      <a:schemeClr val="accent3">
                        <a:tint val="1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7.9882882560125439E-17"/>
                        <c:y val="-9.259259259259261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89-5FCC-4988-8E6C-849FF527664C}"/>
                      </c:ext>
                    </c:extLst>
                  </c15:dLbl>
                </c15:categoryFilterException>
                <c15:categoryFilterException>
                  <c15:sqref>Gráficos!$N$129</c15:sqref>
                  <c15:spPr xmlns:c15="http://schemas.microsoft.com/office/drawing/2012/chart">
                    <a:solidFill>
                      <a:schemeClr val="accent3">
                        <a:tint val="9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100217864923755E-2"/>
                        <c:y val="-6.944444444444446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8B-5FCC-4988-8E6C-849FF527664C}"/>
                      </c:ext>
                    </c:extLst>
                  </c15:dLbl>
                </c15:categoryFilterException>
                <c15:categoryFilterException>
                  <c15:sqref>Gráficos!$N$130</c15:sqref>
                  <c15:spPr xmlns:c15="http://schemas.microsoft.com/office/drawing/2012/chart">
                    <a:solidFill>
                      <a:schemeClr val="accent3">
                        <a:tint val="6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8.2788671023965144E-2"/>
                        <c:y val="-2.314814814814819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8D-5FCC-4988-8E6C-849FF527664C}"/>
                      </c:ext>
                    </c:extLst>
                  </c15:dLbl>
                </c15:categoryFilterException>
                <c15:categoryFilterException>
                  <c15:sqref>Gráficos!$N$131</c15:sqref>
                  <c15:spPr xmlns:c15="http://schemas.microsoft.com/office/drawing/2012/chart">
                    <a:solidFill>
                      <a:schemeClr val="accent3">
                        <a:tint val="3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9.586056644880174E-2"/>
                        <c:y val="1.388888888888888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8F-5FCC-4988-8E6C-849FF527664C}"/>
                      </c:ext>
                    </c:extLst>
                  </c15:dLbl>
                </c15:categoryFilterException>
                <c15:categoryFilterException>
                  <c15:sqref>Gráficos!$N$132</c15:sqref>
                  <c15:spPr xmlns:c15="http://schemas.microsoft.com/office/drawing/2012/chart">
                    <a:solidFill>
                      <a:schemeClr val="accent3">
                        <a:tint val="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9215686274509727E-2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91-5FCC-4988-8E6C-849FF527664C}"/>
                      </c:ext>
                    </c:extLst>
                  </c15:dLbl>
                </c15:categoryFilterException>
                <c15:categoryFilterException>
                  <c15:sqref>Gráficos!$N$133</c15:sqref>
                  <c15:spPr xmlns:c15="http://schemas.microsoft.com/office/drawing/2012/chart">
                    <a:solidFill>
                      <a:schemeClr val="accent3">
                        <a:tint val="7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7.9882882560125439E-17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93-5FCC-4988-8E6C-849FF527664C}"/>
                      </c:ext>
                    </c:extLst>
                  </c15:dLbl>
                </c15:categoryFilterException>
                <c15:categoryFilterException>
                  <c15:sqref>Gráficos!$N$134</c15:sqref>
                  <c15:spPr xmlns:c15="http://schemas.microsoft.com/office/drawing/2012/chart">
                    <a:solidFill>
                      <a:schemeClr val="accent3">
                        <a:tint val="5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1002178649237494E-2"/>
                        <c:y val="5.5555555555555469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95-5FCC-4988-8E6C-849FF527664C}"/>
                      </c:ext>
                    </c:extLst>
                  </c15:dLbl>
                </c15:categoryFilterException>
                <c15:categoryFilterException>
                  <c15:sqref>Gráficos!$N$135</c15:sqref>
                  <c15:spPr xmlns:c15="http://schemas.microsoft.com/office/drawing/2012/chart">
                    <a:solidFill>
                      <a:schemeClr val="accent3">
                        <a:tint val="2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535947712418301E-2"/>
                        <c:y val="0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97-5FCC-4988-8E6C-849FF527664C}"/>
                      </c:ext>
                    </c:extLst>
                  </c15:dLbl>
                </c15:categoryFilterException>
                <c15:categoryFilterException>
                  <c15:sqref>Gráficos!$N$136</c15:sqref>
                  <c15:spPr xmlns:c15="http://schemas.microsoft.com/office/drawing/2012/chart">
                    <a:solidFill>
                      <a:schemeClr val="accent3">
                        <a:tint val="9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5.2287581699346407E-2"/>
                        <c:y val="-6.481481481481481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99-5FCC-4988-8E6C-849FF527664C}"/>
                      </c:ext>
                    </c:extLst>
                  </c15:dLbl>
                </c15:categoryFilterException>
                <c15:categoryFilterException>
                  <c15:sqref>Gráficos!$N$137</c15:sqref>
                  <c15:spPr xmlns:c15="http://schemas.microsoft.com/office/drawing/2012/chart">
                    <a:solidFill>
                      <a:schemeClr val="accent3">
                        <a:tint val="6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6111111111111108E-2"/>
                        <c:y val="-1.388888888888888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9B-5FCC-4988-8E6C-849FF527664C}"/>
                      </c:ext>
                    </c:extLst>
                  </c15:dLbl>
                </c15:categoryFilterException>
                <c15:categoryFilterException>
                  <c15:sqref>Gráficos!$N$142</c15:sqref>
                  <c15:spPr xmlns:c15="http://schemas.microsoft.com/office/drawing/2012/chart">
                    <a:solidFill>
                      <a:schemeClr val="accent3">
                        <a:tint val="2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3"/>
                    <c:layout>
                      <c:manualLayout>
                        <c:x val="6.3888888888888884E-2"/>
                        <c:y val="8.333333333333324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9D-5FCC-4988-8E6C-849FF527664C}"/>
                      </c:ext>
                    </c:extLst>
                  </c15:dLbl>
                </c15:categoryFilterException>
                <c15:categoryFilterException>
                  <c15:sqref>Gráficos!$N$147</c15:sqref>
                  <c15:spPr xmlns:c15="http://schemas.microsoft.com/office/drawing/2012/chart">
                    <a:solidFill>
                      <a:schemeClr val="accent3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3"/>
                    <c:layout>
                      <c:manualLayout>
                        <c:x val="-5.8333333333333334E-2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9F-5FCC-4988-8E6C-849FF527664C}"/>
                      </c:ext>
                    </c:extLst>
                  </c15:dLbl>
                </c15:categoryFilterException>
                <c15:categoryFilterException>
                  <c15:sqref>Gráficos!$N$151</c15:sqref>
                  <c15:spPr xmlns:c15="http://schemas.microsoft.com/office/drawing/2012/chart">
                    <a:solidFill>
                      <a:schemeClr val="accent3">
                        <a:tint val="7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3"/>
                    <c:layout>
                      <c:manualLayout>
                        <c:x val="-6.6666666666666666E-2"/>
                        <c:y val="0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A1-5FCC-4988-8E6C-849FF527664C}"/>
                      </c:ext>
                    </c:extLst>
                  </c15:dLbl>
                </c15:categoryFilterException>
                <c15:categoryFilterException>
                  <c15:sqref>Gráficos!$N$153</c15:sqref>
                  <c15:spPr xmlns:c15="http://schemas.microsoft.com/office/drawing/2012/chart">
                    <a:solidFill>
                      <a:schemeClr val="accent3">
                        <a:tint val="1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3"/>
                    <c:layout>
                      <c:manualLayout>
                        <c:x val="-4.4444444444444495E-2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A3-5FCC-4988-8E6C-849FF527664C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E705-4E53-A157-A8B3B33AC99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Gráficos!$B$119</c15:sqref>
                        </c15:formulaRef>
                      </c:ext>
                    </c:extLst>
                    <c:strCache>
                      <c:ptCount val="1"/>
                      <c:pt idx="0">
                        <c:v>PF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E705-4E53-A157-A8B3B33AC99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E705-4E53-A157-A8B3B33AC99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E705-4E53-A157-A8B3B33AC99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3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E705-4E53-A157-A8B3B33AC99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Gráficos!$A$138:$A$141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Gráficos!$B$120:$B$154</c15:sqref>
                        </c15:fullRef>
                        <c15:formulaRef>
                          <c15:sqref>Gráficos!$B$138:$B$141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796306.70400000014</c:v>
                      </c:pt>
                      <c:pt idx="1">
                        <c:v>534076.53600000008</c:v>
                      </c:pt>
                      <c:pt idx="2">
                        <c:v>373195.21600000001</c:v>
                      </c:pt>
                      <c:pt idx="3">
                        <c:v>368076.12800000003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Gráficos!$B$124</c15:sqref>
                        <c15:spPr xmlns:c15="http://schemas.microsoft.com/office/drawing/2012/chart">
                          <a:solidFill>
                            <a:schemeClr val="accent3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Gráficos!$B$125</c15:sqref>
                        <c15:spPr xmlns:c15="http://schemas.microsoft.com/office/drawing/2012/chart">
                          <a:solidFill>
                            <a:schemeClr val="accent3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Gráficos!$B$126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Gráficos!$B$127</c15:sqref>
                        <c15:spPr xmlns:c15="http://schemas.microsoft.com/office/drawing/2012/chart">
                          <a:solidFill>
                            <a:schemeClr val="accent3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Gráficos!$B$128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Gráficos!$B$129</c15:sqref>
                        <c15:spPr xmlns:c15="http://schemas.microsoft.com/office/drawing/2012/chart">
                          <a:solidFill>
                            <a:schemeClr val="accent3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Gráficos!$B$130</c15:sqref>
                        <c15:spPr xmlns:c15="http://schemas.microsoft.com/office/drawing/2012/chart">
                          <a:solidFill>
                            <a:schemeClr val="accent3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Gráficos!$B$131</c15:sqref>
                        <c15:spPr xmlns:c15="http://schemas.microsoft.com/office/drawing/2012/chart">
                          <a:solidFill>
                            <a:schemeClr val="accent3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Gráficos!$B$132</c15:sqref>
                        <c15:spPr xmlns:c15="http://schemas.microsoft.com/office/drawing/2012/chart">
                          <a:solidFill>
                            <a:schemeClr val="accent3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Gráficos!$B$133</c15:sqref>
                        <c15:spPr xmlns:c15="http://schemas.microsoft.com/office/drawing/2012/chart">
                          <a:solidFill>
                            <a:schemeClr val="accent3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Gráficos!$B$134</c15:sqref>
                        <c15:spPr xmlns:c15="http://schemas.microsoft.com/office/drawing/2012/chart">
                          <a:solidFill>
                            <a:schemeClr val="accent3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Gráficos!$B$135</c15:sqref>
                        <c15:spPr xmlns:c15="http://schemas.microsoft.com/office/drawing/2012/chart">
                          <a:solidFill>
                            <a:schemeClr val="accent3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Gráficos!$B$136</c15:sqref>
                        <c15:spPr xmlns:c15="http://schemas.microsoft.com/office/drawing/2012/chart">
                          <a:solidFill>
                            <a:schemeClr val="accent3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Gráficos!$B$137</c15:sqref>
                        <c15:spPr xmlns:c15="http://schemas.microsoft.com/office/drawing/2012/chart">
                          <a:solidFill>
                            <a:schemeClr val="accent3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Gráficos!$B$142</c15:sqref>
                        <c15:spPr xmlns:c15="http://schemas.microsoft.com/office/drawing/2012/chart">
                          <a:solidFill>
                            <a:schemeClr val="accent3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Gráficos!$B$147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Gráficos!$B$151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Gráficos!$B$153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11-E705-4E53-A157-A8B3B33AC993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Gráficos!$C$119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3-E705-4E53-A157-A8B3B33AC99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5-E705-4E53-A157-A8B3B33AC99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7-E705-4E53-A157-A8B3B33AC99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3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9-E705-4E53-A157-A8B3B33AC99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Gráficos!$A$138:$A$141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Gráficos!$C$120:$C$154</c15:sqref>
                        </c15:fullRef>
                        <c15:formulaRef>
                          <c15:sqref>Gráficos!$C$138:$C$141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0.58241767532932731</c:v>
                      </c:pt>
                      <c:pt idx="1">
                        <c:v>0.39048069848582878</c:v>
                      </c:pt>
                      <c:pt idx="2">
                        <c:v>0.35585832507277548</c:v>
                      </c:pt>
                      <c:pt idx="3">
                        <c:v>0.32736247764361043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Gráficos!$C$120</c15:sqref>
                        <c15:spPr xmlns:c15="http://schemas.microsoft.com/office/drawing/2012/chart">
                          <a:solidFill>
                            <a:schemeClr val="accent3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Gráficos!$C$121</c15:sqref>
                        <c15:spPr xmlns:c15="http://schemas.microsoft.com/office/drawing/2012/chart">
                          <a:solidFill>
                            <a:schemeClr val="accent3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Gráficos!$C$122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Gráficos!$C$123</c15:sqref>
                        <c15:spPr xmlns:c15="http://schemas.microsoft.com/office/drawing/2012/chart">
                          <a:solidFill>
                            <a:schemeClr val="accent3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Gráficos!$C$124</c15:sqref>
                        <c15:spPr xmlns:c15="http://schemas.microsoft.com/office/drawing/2012/chart">
                          <a:solidFill>
                            <a:schemeClr val="accent3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Gráficos!$C$125</c15:sqref>
                        <c15:spPr xmlns:c15="http://schemas.microsoft.com/office/drawing/2012/chart">
                          <a:solidFill>
                            <a:schemeClr val="accent3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Gráficos!$C$126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Gráficos!$C$127</c15:sqref>
                        <c15:spPr xmlns:c15="http://schemas.microsoft.com/office/drawing/2012/chart">
                          <a:solidFill>
                            <a:schemeClr val="accent3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Gráficos!$C$128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Gráficos!$C$129</c15:sqref>
                        <c15:spPr xmlns:c15="http://schemas.microsoft.com/office/drawing/2012/chart">
                          <a:solidFill>
                            <a:schemeClr val="accent3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Gráficos!$C$130</c15:sqref>
                        <c15:spPr xmlns:c15="http://schemas.microsoft.com/office/drawing/2012/chart">
                          <a:solidFill>
                            <a:schemeClr val="accent3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Gráficos!$C$131</c15:sqref>
                        <c15:spPr xmlns:c15="http://schemas.microsoft.com/office/drawing/2012/chart">
                          <a:solidFill>
                            <a:schemeClr val="accent3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Gráficos!$C$132</c15:sqref>
                        <c15:spPr xmlns:c15="http://schemas.microsoft.com/office/drawing/2012/chart">
                          <a:solidFill>
                            <a:schemeClr val="accent3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Gráficos!$C$133</c15:sqref>
                        <c15:spPr xmlns:c15="http://schemas.microsoft.com/office/drawing/2012/chart">
                          <a:solidFill>
                            <a:schemeClr val="accent3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Gráficos!$C$134</c15:sqref>
                        <c15:spPr xmlns:c15="http://schemas.microsoft.com/office/drawing/2012/chart">
                          <a:solidFill>
                            <a:schemeClr val="accent3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Gráficos!$C$135</c15:sqref>
                        <c15:spPr xmlns:c15="http://schemas.microsoft.com/office/drawing/2012/chart">
                          <a:solidFill>
                            <a:schemeClr val="accent3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Gráficos!$C$136</c15:sqref>
                        <c15:spPr xmlns:c15="http://schemas.microsoft.com/office/drawing/2012/chart">
                          <a:solidFill>
                            <a:schemeClr val="accent3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Gráficos!$C$137</c15:sqref>
                        <c15:spPr xmlns:c15="http://schemas.microsoft.com/office/drawing/2012/chart">
                          <a:solidFill>
                            <a:schemeClr val="accent3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Gráficos!$C$142</c15:sqref>
                        <c15:spPr xmlns:c15="http://schemas.microsoft.com/office/drawing/2012/chart">
                          <a:solidFill>
                            <a:schemeClr val="accent3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Gráficos!$C$147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Gráficos!$C$151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Gráficos!$C$153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1A-E705-4E53-A157-A8B3B33AC993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Gráficos!$D$119</c15:sqref>
                        </c15:formulaRef>
                      </c:ext>
                    </c:extLst>
                    <c:strCache>
                      <c:ptCount val="1"/>
                      <c:pt idx="0">
                        <c:v>PF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C-E705-4E53-A157-A8B3B33AC99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E705-4E53-A157-A8B3B33AC99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0-E705-4E53-A157-A8B3B33AC99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3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2-E705-4E53-A157-A8B3B33AC99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Gráficos!$A$138:$A$141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Gráficos!$D$120:$D$154</c15:sqref>
                        </c15:fullRef>
                        <c15:formulaRef>
                          <c15:sqref>Gráficos!$D$138:$D$141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124401.07200000001</c:v>
                      </c:pt>
                      <c:pt idx="1">
                        <c:v>98818.312000000005</c:v>
                      </c:pt>
                      <c:pt idx="2">
                        <c:v>60863.672000000006</c:v>
                      </c:pt>
                      <c:pt idx="3">
                        <c:v>60100.625999999997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Gráficos!$D$120</c15:sqref>
                        <c15:spPr xmlns:c15="http://schemas.microsoft.com/office/drawing/2012/chart">
                          <a:solidFill>
                            <a:schemeClr val="accent3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Gráficos!$D$121</c15:sqref>
                        <c15:spPr xmlns:c15="http://schemas.microsoft.com/office/drawing/2012/chart">
                          <a:solidFill>
                            <a:schemeClr val="accent3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Gráficos!$D$122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Gráficos!$D$123</c15:sqref>
                        <c15:spPr xmlns:c15="http://schemas.microsoft.com/office/drawing/2012/chart">
                          <a:solidFill>
                            <a:schemeClr val="accent3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Gráficos!$D$124</c15:sqref>
                        <c15:spPr xmlns:c15="http://schemas.microsoft.com/office/drawing/2012/chart">
                          <a:solidFill>
                            <a:schemeClr val="accent3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Gráficos!$D$125</c15:sqref>
                        <c15:spPr xmlns:c15="http://schemas.microsoft.com/office/drawing/2012/chart">
                          <a:solidFill>
                            <a:schemeClr val="accent3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Gráficos!$D$126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Gráficos!$D$127</c15:sqref>
                        <c15:spPr xmlns:c15="http://schemas.microsoft.com/office/drawing/2012/chart">
                          <a:solidFill>
                            <a:schemeClr val="accent3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Gráficos!$D$128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Gráficos!$D$129</c15:sqref>
                        <c15:spPr xmlns:c15="http://schemas.microsoft.com/office/drawing/2012/chart">
                          <a:solidFill>
                            <a:schemeClr val="accent3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Gráficos!$D$130</c15:sqref>
                        <c15:spPr xmlns:c15="http://schemas.microsoft.com/office/drawing/2012/chart">
                          <a:solidFill>
                            <a:schemeClr val="accent3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Gráficos!$D$131</c15:sqref>
                        <c15:spPr xmlns:c15="http://schemas.microsoft.com/office/drawing/2012/chart">
                          <a:solidFill>
                            <a:schemeClr val="accent3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Gráficos!$D$132</c15:sqref>
                        <c15:spPr xmlns:c15="http://schemas.microsoft.com/office/drawing/2012/chart">
                          <a:solidFill>
                            <a:schemeClr val="accent3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Gráficos!$D$133</c15:sqref>
                        <c15:spPr xmlns:c15="http://schemas.microsoft.com/office/drawing/2012/chart">
                          <a:solidFill>
                            <a:schemeClr val="accent3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Gráficos!$D$134</c15:sqref>
                        <c15:spPr xmlns:c15="http://schemas.microsoft.com/office/drawing/2012/chart">
                          <a:solidFill>
                            <a:schemeClr val="accent3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Gráficos!$D$135</c15:sqref>
                        <c15:spPr xmlns:c15="http://schemas.microsoft.com/office/drawing/2012/chart">
                          <a:solidFill>
                            <a:schemeClr val="accent3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Gráficos!$D$136</c15:sqref>
                        <c15:spPr xmlns:c15="http://schemas.microsoft.com/office/drawing/2012/chart">
                          <a:solidFill>
                            <a:schemeClr val="accent3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Gráficos!$D$137</c15:sqref>
                        <c15:spPr xmlns:c15="http://schemas.microsoft.com/office/drawing/2012/chart">
                          <a:solidFill>
                            <a:schemeClr val="accent3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Gráficos!$D$142</c15:sqref>
                        <c15:spPr xmlns:c15="http://schemas.microsoft.com/office/drawing/2012/chart">
                          <a:solidFill>
                            <a:schemeClr val="accent3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Gráficos!$D$147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Gráficos!$D$151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Gráficos!$D$153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23-E705-4E53-A157-A8B3B33AC993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Gráficos!$E$119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5-E705-4E53-A157-A8B3B33AC99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7-E705-4E53-A157-A8B3B33AC99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9-E705-4E53-A157-A8B3B33AC99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3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B-E705-4E53-A157-A8B3B33AC99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Gráficos!$A$138:$A$141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Gráficos!$E$120:$E$154</c15:sqref>
                        </c15:fullRef>
                        <c15:formulaRef>
                          <c15:sqref>Gráficos!$E$138:$E$141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9.0986780343263657E-2</c:v>
                      </c:pt>
                      <c:pt idx="1">
                        <c:v>7.2249276820786135E-2</c:v>
                      </c:pt>
                      <c:pt idx="2">
                        <c:v>5.8036232639431223E-2</c:v>
                      </c:pt>
                      <c:pt idx="3">
                        <c:v>5.3452773322186183E-2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Gráficos!$E$120</c15:sqref>
                        <c15:spPr xmlns:c15="http://schemas.microsoft.com/office/drawing/2012/chart">
                          <a:solidFill>
                            <a:schemeClr val="accent3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Gráficos!$E$121</c15:sqref>
                        <c15:spPr xmlns:c15="http://schemas.microsoft.com/office/drawing/2012/chart">
                          <a:solidFill>
                            <a:schemeClr val="accent3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Gráficos!$E$122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Gráficos!$E$123</c15:sqref>
                        <c15:spPr xmlns:c15="http://schemas.microsoft.com/office/drawing/2012/chart">
                          <a:solidFill>
                            <a:schemeClr val="accent3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Gráficos!$E$124</c15:sqref>
                        <c15:spPr xmlns:c15="http://schemas.microsoft.com/office/drawing/2012/chart">
                          <a:solidFill>
                            <a:schemeClr val="accent3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Gráficos!$E$125</c15:sqref>
                        <c15:spPr xmlns:c15="http://schemas.microsoft.com/office/drawing/2012/chart">
                          <a:solidFill>
                            <a:schemeClr val="accent3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Gráficos!$E$126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Gráficos!$E$127</c15:sqref>
                        <c15:spPr xmlns:c15="http://schemas.microsoft.com/office/drawing/2012/chart">
                          <a:solidFill>
                            <a:schemeClr val="accent3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Gráficos!$E$128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Gráficos!$E$129</c15:sqref>
                        <c15:spPr xmlns:c15="http://schemas.microsoft.com/office/drawing/2012/chart">
                          <a:solidFill>
                            <a:schemeClr val="accent3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Gráficos!$E$130</c15:sqref>
                        <c15:spPr xmlns:c15="http://schemas.microsoft.com/office/drawing/2012/chart">
                          <a:solidFill>
                            <a:schemeClr val="accent3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Gráficos!$E$131</c15:sqref>
                        <c15:spPr xmlns:c15="http://schemas.microsoft.com/office/drawing/2012/chart">
                          <a:solidFill>
                            <a:schemeClr val="accent3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Gráficos!$E$132</c15:sqref>
                        <c15:spPr xmlns:c15="http://schemas.microsoft.com/office/drawing/2012/chart">
                          <a:solidFill>
                            <a:schemeClr val="accent3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Gráficos!$E$133</c15:sqref>
                        <c15:spPr xmlns:c15="http://schemas.microsoft.com/office/drawing/2012/chart">
                          <a:solidFill>
                            <a:schemeClr val="accent3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Gráficos!$E$134</c15:sqref>
                        <c15:spPr xmlns:c15="http://schemas.microsoft.com/office/drawing/2012/chart">
                          <a:solidFill>
                            <a:schemeClr val="accent3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Gráficos!$E$135</c15:sqref>
                        <c15:spPr xmlns:c15="http://schemas.microsoft.com/office/drawing/2012/chart">
                          <a:solidFill>
                            <a:schemeClr val="accent3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Gráficos!$E$136</c15:sqref>
                        <c15:spPr xmlns:c15="http://schemas.microsoft.com/office/drawing/2012/chart">
                          <a:solidFill>
                            <a:schemeClr val="accent3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Gráficos!$E$137</c15:sqref>
                        <c15:spPr xmlns:c15="http://schemas.microsoft.com/office/drawing/2012/chart">
                          <a:solidFill>
                            <a:schemeClr val="accent3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Gráficos!$E$142</c15:sqref>
                        <c15:spPr xmlns:c15="http://schemas.microsoft.com/office/drawing/2012/chart">
                          <a:solidFill>
                            <a:schemeClr val="accent3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Gráficos!$E$147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Gráficos!$E$151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Gráficos!$E$153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2C-E705-4E53-A157-A8B3B33AC993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Gráficos!$F$119</c15:sqref>
                        </c15:formulaRef>
                      </c:ext>
                    </c:extLst>
                    <c:strCache>
                      <c:ptCount val="1"/>
                      <c:pt idx="0">
                        <c:v>PJ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E-E705-4E53-A157-A8B3B33AC99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0-E705-4E53-A157-A8B3B33AC99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2-E705-4E53-A157-A8B3B33AC99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3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4-E705-4E53-A157-A8B3B33AC99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Gráficos!$A$138:$A$141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Gráficos!$F$120:$F$154</c15:sqref>
                        </c15:fullRef>
                        <c15:formulaRef>
                          <c15:sqref>Gráficos!$F$138:$F$141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72703.040000000008</c:v>
                      </c:pt>
                      <c:pt idx="1">
                        <c:v>64425.472000000002</c:v>
                      </c:pt>
                      <c:pt idx="2">
                        <c:v>59265.328000000001</c:v>
                      </c:pt>
                      <c:pt idx="3">
                        <c:v>42181.792000000001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Gráficos!$F$120</c15:sqref>
                        <c15:spPr xmlns:c15="http://schemas.microsoft.com/office/drawing/2012/chart">
                          <a:solidFill>
                            <a:schemeClr val="accent3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Gráficos!$F$121</c15:sqref>
                        <c15:spPr xmlns:c15="http://schemas.microsoft.com/office/drawing/2012/chart">
                          <a:solidFill>
                            <a:schemeClr val="accent3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Gráficos!$F$122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Gráficos!$F$123</c15:sqref>
                        <c15:spPr xmlns:c15="http://schemas.microsoft.com/office/drawing/2012/chart">
                          <a:solidFill>
                            <a:schemeClr val="accent3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Gráficos!$F$124</c15:sqref>
                        <c15:spPr xmlns:c15="http://schemas.microsoft.com/office/drawing/2012/chart">
                          <a:solidFill>
                            <a:schemeClr val="accent3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Gráficos!$F$125</c15:sqref>
                        <c15:spPr xmlns:c15="http://schemas.microsoft.com/office/drawing/2012/chart">
                          <a:solidFill>
                            <a:schemeClr val="accent3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Gráficos!$F$126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Gráficos!$F$127</c15:sqref>
                        <c15:spPr xmlns:c15="http://schemas.microsoft.com/office/drawing/2012/chart">
                          <a:solidFill>
                            <a:schemeClr val="accent3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Gráficos!$F$128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Gráficos!$F$129</c15:sqref>
                        <c15:spPr xmlns:c15="http://schemas.microsoft.com/office/drawing/2012/chart">
                          <a:solidFill>
                            <a:schemeClr val="accent3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Gráficos!$F$130</c15:sqref>
                        <c15:spPr xmlns:c15="http://schemas.microsoft.com/office/drawing/2012/chart">
                          <a:solidFill>
                            <a:schemeClr val="accent3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Gráficos!$F$131</c15:sqref>
                        <c15:spPr xmlns:c15="http://schemas.microsoft.com/office/drawing/2012/chart">
                          <a:solidFill>
                            <a:schemeClr val="accent3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Gráficos!$F$132</c15:sqref>
                        <c15:spPr xmlns:c15="http://schemas.microsoft.com/office/drawing/2012/chart">
                          <a:solidFill>
                            <a:schemeClr val="accent3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Gráficos!$F$133</c15:sqref>
                        <c15:spPr xmlns:c15="http://schemas.microsoft.com/office/drawing/2012/chart">
                          <a:solidFill>
                            <a:schemeClr val="accent3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Gráficos!$F$134</c15:sqref>
                        <c15:spPr xmlns:c15="http://schemas.microsoft.com/office/drawing/2012/chart">
                          <a:solidFill>
                            <a:schemeClr val="accent3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Gráficos!$F$135</c15:sqref>
                        <c15:spPr xmlns:c15="http://schemas.microsoft.com/office/drawing/2012/chart">
                          <a:solidFill>
                            <a:schemeClr val="accent3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Gráficos!$F$136</c15:sqref>
                        <c15:spPr xmlns:c15="http://schemas.microsoft.com/office/drawing/2012/chart">
                          <a:solidFill>
                            <a:schemeClr val="accent3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Gráficos!$F$137</c15:sqref>
                        <c15:spPr xmlns:c15="http://schemas.microsoft.com/office/drawing/2012/chart">
                          <a:solidFill>
                            <a:schemeClr val="accent3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Gráficos!$F$142</c15:sqref>
                        <c15:spPr xmlns:c15="http://schemas.microsoft.com/office/drawing/2012/chart">
                          <a:solidFill>
                            <a:schemeClr val="accent3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Gráficos!$F$147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Gráficos!$F$151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Gráficos!$F$153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35-E705-4E53-A157-A8B3B33AC993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Gráficos!$G$119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7-E705-4E53-A157-A8B3B33AC99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9-E705-4E53-A157-A8B3B33AC99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B-E705-4E53-A157-A8B3B33AC99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3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D-E705-4E53-A157-A8B3B33AC99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Gráficos!$A$138:$A$141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Gráficos!$G$120:$G$154</c15:sqref>
                        </c15:fullRef>
                        <c15:formulaRef>
                          <c15:sqref>Gráficos!$G$138:$G$141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5.3174907775453181E-2</c:v>
                      </c:pt>
                      <c:pt idx="1">
                        <c:v>4.7103554661385091E-2</c:v>
                      </c:pt>
                      <c:pt idx="2">
                        <c:v>5.6512140168936846E-2</c:v>
                      </c:pt>
                      <c:pt idx="3">
                        <c:v>3.7515978054864299E-2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Gráficos!$G$120</c15:sqref>
                        <c15:spPr xmlns:c15="http://schemas.microsoft.com/office/drawing/2012/chart">
                          <a:solidFill>
                            <a:schemeClr val="accent3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Gráficos!$G$121</c15:sqref>
                        <c15:spPr xmlns:c15="http://schemas.microsoft.com/office/drawing/2012/chart">
                          <a:solidFill>
                            <a:schemeClr val="accent3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Gráficos!$G$122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Gráficos!$G$123</c15:sqref>
                        <c15:spPr xmlns:c15="http://schemas.microsoft.com/office/drawing/2012/chart">
                          <a:solidFill>
                            <a:schemeClr val="accent3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Gráficos!$G$124</c15:sqref>
                        <c15:spPr xmlns:c15="http://schemas.microsoft.com/office/drawing/2012/chart">
                          <a:solidFill>
                            <a:schemeClr val="accent3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Gráficos!$G$125</c15:sqref>
                        <c15:spPr xmlns:c15="http://schemas.microsoft.com/office/drawing/2012/chart">
                          <a:solidFill>
                            <a:schemeClr val="accent3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Gráficos!$G$126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Gráficos!$G$127</c15:sqref>
                        <c15:spPr xmlns:c15="http://schemas.microsoft.com/office/drawing/2012/chart">
                          <a:solidFill>
                            <a:schemeClr val="accent3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Gráficos!$G$128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Gráficos!$G$129</c15:sqref>
                        <c15:spPr xmlns:c15="http://schemas.microsoft.com/office/drawing/2012/chart">
                          <a:solidFill>
                            <a:schemeClr val="accent3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Gráficos!$G$130</c15:sqref>
                        <c15:spPr xmlns:c15="http://schemas.microsoft.com/office/drawing/2012/chart">
                          <a:solidFill>
                            <a:schemeClr val="accent3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Gráficos!$G$131</c15:sqref>
                        <c15:spPr xmlns:c15="http://schemas.microsoft.com/office/drawing/2012/chart">
                          <a:solidFill>
                            <a:schemeClr val="accent3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Gráficos!$G$132</c15:sqref>
                        <c15:spPr xmlns:c15="http://schemas.microsoft.com/office/drawing/2012/chart">
                          <a:solidFill>
                            <a:schemeClr val="accent3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Gráficos!$G$133</c15:sqref>
                        <c15:spPr xmlns:c15="http://schemas.microsoft.com/office/drawing/2012/chart">
                          <a:solidFill>
                            <a:schemeClr val="accent3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Gráficos!$G$134</c15:sqref>
                        <c15:spPr xmlns:c15="http://schemas.microsoft.com/office/drawing/2012/chart">
                          <a:solidFill>
                            <a:schemeClr val="accent3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Gráficos!$G$135</c15:sqref>
                        <c15:spPr xmlns:c15="http://schemas.microsoft.com/office/drawing/2012/chart">
                          <a:solidFill>
                            <a:schemeClr val="accent3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Gráficos!$G$136</c15:sqref>
                        <c15:spPr xmlns:c15="http://schemas.microsoft.com/office/drawing/2012/chart">
                          <a:solidFill>
                            <a:schemeClr val="accent3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Gráficos!$G$137</c15:sqref>
                        <c15:spPr xmlns:c15="http://schemas.microsoft.com/office/drawing/2012/chart">
                          <a:solidFill>
                            <a:schemeClr val="accent3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Gráficos!$G$142</c15:sqref>
                        <c15:spPr xmlns:c15="http://schemas.microsoft.com/office/drawing/2012/chart">
                          <a:solidFill>
                            <a:schemeClr val="accent3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Gráficos!$G$147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Gráficos!$G$151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Gráficos!$G$153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3E-E705-4E53-A157-A8B3B33AC993}"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Gráficos!$H$119</c15:sqref>
                        </c15:formulaRef>
                      </c:ext>
                    </c:extLst>
                    <c:strCache>
                      <c:ptCount val="1"/>
                      <c:pt idx="0">
                        <c:v>PJ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0-E705-4E53-A157-A8B3B33AC99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2-E705-4E53-A157-A8B3B33AC99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4-E705-4E53-A157-A8B3B33AC99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3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6-E705-4E53-A157-A8B3B33AC99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Gráficos!$A$138:$A$141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Gráficos!$H$120:$H$154</c15:sqref>
                        </c15:fullRef>
                        <c15:formulaRef>
                          <c15:sqref>Gráficos!$H$138:$H$141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22435.864000000001</c:v>
                      </c:pt>
                      <c:pt idx="1">
                        <c:v>12989.720000000001</c:v>
                      </c:pt>
                      <c:pt idx="2">
                        <c:v>9390.8320000000003</c:v>
                      </c:pt>
                      <c:pt idx="3">
                        <c:v>4750.808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Gráficos!$H$120</c15:sqref>
                        <c15:spPr xmlns:c15="http://schemas.microsoft.com/office/drawing/2012/chart">
                          <a:solidFill>
                            <a:schemeClr val="accent3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Gráficos!$H$121</c15:sqref>
                        <c15:spPr xmlns:c15="http://schemas.microsoft.com/office/drawing/2012/chart">
                          <a:solidFill>
                            <a:schemeClr val="accent3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Gráficos!$H$122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Gráficos!$H$123</c15:sqref>
                        <c15:spPr xmlns:c15="http://schemas.microsoft.com/office/drawing/2012/chart">
                          <a:solidFill>
                            <a:schemeClr val="accent3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Gráficos!$H$124</c15:sqref>
                        <c15:spPr xmlns:c15="http://schemas.microsoft.com/office/drawing/2012/chart">
                          <a:solidFill>
                            <a:schemeClr val="accent3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Gráficos!$H$125</c15:sqref>
                        <c15:spPr xmlns:c15="http://schemas.microsoft.com/office/drawing/2012/chart">
                          <a:solidFill>
                            <a:schemeClr val="accent3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Gráficos!$H$126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Gráficos!$H$127</c15:sqref>
                        <c15:spPr xmlns:c15="http://schemas.microsoft.com/office/drawing/2012/chart">
                          <a:solidFill>
                            <a:schemeClr val="accent3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Gráficos!$H$128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Gráficos!$H$129</c15:sqref>
                        <c15:spPr xmlns:c15="http://schemas.microsoft.com/office/drawing/2012/chart">
                          <a:solidFill>
                            <a:schemeClr val="accent3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Gráficos!$H$130</c15:sqref>
                        <c15:spPr xmlns:c15="http://schemas.microsoft.com/office/drawing/2012/chart">
                          <a:solidFill>
                            <a:schemeClr val="accent3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Gráficos!$H$131</c15:sqref>
                        <c15:spPr xmlns:c15="http://schemas.microsoft.com/office/drawing/2012/chart">
                          <a:solidFill>
                            <a:schemeClr val="accent3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Gráficos!$H$132</c15:sqref>
                        <c15:spPr xmlns:c15="http://schemas.microsoft.com/office/drawing/2012/chart">
                          <a:solidFill>
                            <a:schemeClr val="accent3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Gráficos!$H$133</c15:sqref>
                        <c15:spPr xmlns:c15="http://schemas.microsoft.com/office/drawing/2012/chart">
                          <a:solidFill>
                            <a:schemeClr val="accent3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Gráficos!$H$134</c15:sqref>
                        <c15:spPr xmlns:c15="http://schemas.microsoft.com/office/drawing/2012/chart">
                          <a:solidFill>
                            <a:schemeClr val="accent3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Gráficos!$H$135</c15:sqref>
                        <c15:spPr xmlns:c15="http://schemas.microsoft.com/office/drawing/2012/chart">
                          <a:solidFill>
                            <a:schemeClr val="accent3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Gráficos!$H$136</c15:sqref>
                        <c15:spPr xmlns:c15="http://schemas.microsoft.com/office/drawing/2012/chart">
                          <a:solidFill>
                            <a:schemeClr val="accent3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Gráficos!$H$137</c15:sqref>
                        <c15:spPr xmlns:c15="http://schemas.microsoft.com/office/drawing/2012/chart">
                          <a:solidFill>
                            <a:schemeClr val="accent3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Gráficos!$H$142</c15:sqref>
                        <c15:spPr xmlns:c15="http://schemas.microsoft.com/office/drawing/2012/chart">
                          <a:solidFill>
                            <a:schemeClr val="accent3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Gráficos!$H$147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Gráficos!$H$151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Gráficos!$H$153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47-E705-4E53-A157-A8B3B33AC993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Gráficos!$I$119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9-E705-4E53-A157-A8B3B33AC99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B-E705-4E53-A157-A8B3B33AC99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D-E705-4E53-A157-A8B3B33AC99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3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F-E705-4E53-A157-A8B3B33AC99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Gráficos!$A$138:$A$141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Gráficos!$I$120:$I$154</c15:sqref>
                        </c15:fullRef>
                        <c15:formulaRef>
                          <c15:sqref>Gráficos!$I$138:$I$141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1.6409561402970358E-2</c:v>
                      </c:pt>
                      <c:pt idx="1">
                        <c:v>9.4972061059341115E-3</c:v>
                      </c:pt>
                      <c:pt idx="2">
                        <c:v>8.9545782027383291E-3</c:v>
                      </c:pt>
                      <c:pt idx="3">
                        <c:v>4.2253114488562688E-3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Gráficos!$I$120</c15:sqref>
                        <c15:spPr xmlns:c15="http://schemas.microsoft.com/office/drawing/2012/chart">
                          <a:solidFill>
                            <a:schemeClr val="accent3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Gráficos!$I$121</c15:sqref>
                        <c15:spPr xmlns:c15="http://schemas.microsoft.com/office/drawing/2012/chart">
                          <a:solidFill>
                            <a:schemeClr val="accent3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Gráficos!$I$122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Gráficos!$I$123</c15:sqref>
                        <c15:spPr xmlns:c15="http://schemas.microsoft.com/office/drawing/2012/chart">
                          <a:solidFill>
                            <a:schemeClr val="accent3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Gráficos!$I$124</c15:sqref>
                        <c15:spPr xmlns:c15="http://schemas.microsoft.com/office/drawing/2012/chart">
                          <a:solidFill>
                            <a:schemeClr val="accent3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Gráficos!$I$125</c15:sqref>
                        <c15:spPr xmlns:c15="http://schemas.microsoft.com/office/drawing/2012/chart">
                          <a:solidFill>
                            <a:schemeClr val="accent3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Gráficos!$I$126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Gráficos!$I$127</c15:sqref>
                        <c15:spPr xmlns:c15="http://schemas.microsoft.com/office/drawing/2012/chart">
                          <a:solidFill>
                            <a:schemeClr val="accent3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Gráficos!$I$128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Gráficos!$I$129</c15:sqref>
                        <c15:spPr xmlns:c15="http://schemas.microsoft.com/office/drawing/2012/chart">
                          <a:solidFill>
                            <a:schemeClr val="accent3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Gráficos!$I$130</c15:sqref>
                        <c15:spPr xmlns:c15="http://schemas.microsoft.com/office/drawing/2012/chart">
                          <a:solidFill>
                            <a:schemeClr val="accent3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Gráficos!$I$131</c15:sqref>
                        <c15:spPr xmlns:c15="http://schemas.microsoft.com/office/drawing/2012/chart">
                          <a:solidFill>
                            <a:schemeClr val="accent3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Gráficos!$I$132</c15:sqref>
                        <c15:spPr xmlns:c15="http://schemas.microsoft.com/office/drawing/2012/chart">
                          <a:solidFill>
                            <a:schemeClr val="accent3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Gráficos!$I$133</c15:sqref>
                        <c15:spPr xmlns:c15="http://schemas.microsoft.com/office/drawing/2012/chart">
                          <a:solidFill>
                            <a:schemeClr val="accent3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Gráficos!$I$134</c15:sqref>
                        <c15:spPr xmlns:c15="http://schemas.microsoft.com/office/drawing/2012/chart">
                          <a:solidFill>
                            <a:schemeClr val="accent3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Gráficos!$I$135</c15:sqref>
                        <c15:spPr xmlns:c15="http://schemas.microsoft.com/office/drawing/2012/chart">
                          <a:solidFill>
                            <a:schemeClr val="accent3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Gráficos!$I$136</c15:sqref>
                        <c15:spPr xmlns:c15="http://schemas.microsoft.com/office/drawing/2012/chart">
                          <a:solidFill>
                            <a:schemeClr val="accent3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Gráficos!$I$137</c15:sqref>
                        <c15:spPr xmlns:c15="http://schemas.microsoft.com/office/drawing/2012/chart">
                          <a:solidFill>
                            <a:schemeClr val="accent3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Gráficos!$I$142</c15:sqref>
                        <c15:spPr xmlns:c15="http://schemas.microsoft.com/office/drawing/2012/chart">
                          <a:solidFill>
                            <a:schemeClr val="accent3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Gráficos!$I$147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Gráficos!$I$151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Gráficos!$I$153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50-E705-4E53-A157-A8B3B33AC993}"/>
                  </c:ext>
                </c:extLst>
              </c15:ser>
            </c15:filteredPieSeries>
            <c15:filteredPi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Gráficos!$J$119</c15:sqref>
                        </c15:formulaRef>
                      </c:ext>
                    </c:extLst>
                    <c:strCache>
                      <c:ptCount val="1"/>
                      <c:pt idx="0">
                        <c:v>RRT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2-E705-4E53-A157-A8B3B33AC99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4-E705-4E53-A157-A8B3B33AC99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6-E705-4E53-A157-A8B3B33AC99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3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8-E705-4E53-A157-A8B3B33AC99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Gráficos!$A$138:$A$141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Gráficos!$J$120:$J$154</c15:sqref>
                        </c15:fullRef>
                        <c15:formulaRef>
                          <c15:sqref>Gráficos!$J$138:$J$141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351396.68800000008</c:v>
                      </c:pt>
                      <c:pt idx="1">
                        <c:v>657431.152</c:v>
                      </c:pt>
                      <c:pt idx="2">
                        <c:v>546003.47200000007</c:v>
                      </c:pt>
                      <c:pt idx="3">
                        <c:v>649259.3600000001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Gráficos!$J$120</c15:sqref>
                        <c15:spPr xmlns:c15="http://schemas.microsoft.com/office/drawing/2012/chart">
                          <a:solidFill>
                            <a:schemeClr val="accent3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Gráficos!$J$121</c15:sqref>
                        <c15:spPr xmlns:c15="http://schemas.microsoft.com/office/drawing/2012/chart">
                          <a:solidFill>
                            <a:schemeClr val="accent3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Gráficos!$J$122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Gráficos!$J$123</c15:sqref>
                        <c15:spPr xmlns:c15="http://schemas.microsoft.com/office/drawing/2012/chart">
                          <a:solidFill>
                            <a:schemeClr val="accent3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Gráficos!$J$124</c15:sqref>
                        <c15:spPr xmlns:c15="http://schemas.microsoft.com/office/drawing/2012/chart">
                          <a:solidFill>
                            <a:schemeClr val="accent3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Gráficos!$J$125</c15:sqref>
                        <c15:spPr xmlns:c15="http://schemas.microsoft.com/office/drawing/2012/chart">
                          <a:solidFill>
                            <a:schemeClr val="accent3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Gráficos!$J$126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Gráficos!$J$127</c15:sqref>
                        <c15:spPr xmlns:c15="http://schemas.microsoft.com/office/drawing/2012/chart">
                          <a:solidFill>
                            <a:schemeClr val="accent3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Gráficos!$J$128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Gráficos!$J$129</c15:sqref>
                        <c15:spPr xmlns:c15="http://schemas.microsoft.com/office/drawing/2012/chart">
                          <a:solidFill>
                            <a:schemeClr val="accent3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Gráficos!$J$130</c15:sqref>
                        <c15:spPr xmlns:c15="http://schemas.microsoft.com/office/drawing/2012/chart">
                          <a:solidFill>
                            <a:schemeClr val="accent3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Gráficos!$J$131</c15:sqref>
                        <c15:spPr xmlns:c15="http://schemas.microsoft.com/office/drawing/2012/chart">
                          <a:solidFill>
                            <a:schemeClr val="accent3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Gráficos!$J$132</c15:sqref>
                        <c15:spPr xmlns:c15="http://schemas.microsoft.com/office/drawing/2012/chart">
                          <a:solidFill>
                            <a:schemeClr val="accent3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Gráficos!$J$133</c15:sqref>
                        <c15:spPr xmlns:c15="http://schemas.microsoft.com/office/drawing/2012/chart">
                          <a:solidFill>
                            <a:schemeClr val="accent3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Gráficos!$J$134</c15:sqref>
                        <c15:spPr xmlns:c15="http://schemas.microsoft.com/office/drawing/2012/chart">
                          <a:solidFill>
                            <a:schemeClr val="accent3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Gráficos!$J$135</c15:sqref>
                        <c15:spPr xmlns:c15="http://schemas.microsoft.com/office/drawing/2012/chart">
                          <a:solidFill>
                            <a:schemeClr val="accent3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Gráficos!$J$136</c15:sqref>
                        <c15:spPr xmlns:c15="http://schemas.microsoft.com/office/drawing/2012/chart">
                          <a:solidFill>
                            <a:schemeClr val="accent3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Gráficos!$J$137</c15:sqref>
                        <c15:spPr xmlns:c15="http://schemas.microsoft.com/office/drawing/2012/chart">
                          <a:solidFill>
                            <a:schemeClr val="accent3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Gráficos!$J$142</c15:sqref>
                        <c15:spPr xmlns:c15="http://schemas.microsoft.com/office/drawing/2012/chart">
                          <a:solidFill>
                            <a:schemeClr val="accent3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Gráficos!$J$147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Gráficos!$J$151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Gráficos!$J$153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59-E705-4E53-A157-A8B3B33AC993}"/>
                  </c:ext>
                </c:extLst>
              </c15:ser>
            </c15:filteredPieSeries>
            <c15:filteredPi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Gráficos!$K$119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B-E705-4E53-A157-A8B3B33AC99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D-E705-4E53-A157-A8B3B33AC99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F-E705-4E53-A157-A8B3B33AC99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3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1-E705-4E53-A157-A8B3B33AC99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Gráficos!$A$138:$A$141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Gráficos!$K$120:$K$154</c15:sqref>
                        </c15:fullRef>
                        <c15:formulaRef>
                          <c15:sqref>Gráficos!$K$138:$K$141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0.25701107514898547</c:v>
                      </c:pt>
                      <c:pt idx="1">
                        <c:v>0.4806692639260659</c:v>
                      </c:pt>
                      <c:pt idx="2">
                        <c:v>0.52063872391611821</c:v>
                      </c:pt>
                      <c:pt idx="3">
                        <c:v>0.57744345953048282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Gráficos!$K$120</c15:sqref>
                        <c15:spPr xmlns:c15="http://schemas.microsoft.com/office/drawing/2012/chart">
                          <a:solidFill>
                            <a:schemeClr val="accent3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Gráficos!$K$121</c15:sqref>
                        <c15:spPr xmlns:c15="http://schemas.microsoft.com/office/drawing/2012/chart">
                          <a:solidFill>
                            <a:schemeClr val="accent3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Gráficos!$K$122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Gráficos!$K$123</c15:sqref>
                        <c15:spPr xmlns:c15="http://schemas.microsoft.com/office/drawing/2012/chart">
                          <a:solidFill>
                            <a:schemeClr val="accent3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Gráficos!$K$124</c15:sqref>
                        <c15:spPr xmlns:c15="http://schemas.microsoft.com/office/drawing/2012/chart">
                          <a:solidFill>
                            <a:schemeClr val="accent3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Gráficos!$K$125</c15:sqref>
                        <c15:spPr xmlns:c15="http://schemas.microsoft.com/office/drawing/2012/chart">
                          <a:solidFill>
                            <a:schemeClr val="accent3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Gráficos!$K$126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Gráficos!$K$127</c15:sqref>
                        <c15:spPr xmlns:c15="http://schemas.microsoft.com/office/drawing/2012/chart">
                          <a:solidFill>
                            <a:schemeClr val="accent3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Gráficos!$K$128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Gráficos!$K$129</c15:sqref>
                        <c15:spPr xmlns:c15="http://schemas.microsoft.com/office/drawing/2012/chart">
                          <a:solidFill>
                            <a:schemeClr val="accent3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Gráficos!$K$130</c15:sqref>
                        <c15:spPr xmlns:c15="http://schemas.microsoft.com/office/drawing/2012/chart">
                          <a:solidFill>
                            <a:schemeClr val="accent3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Gráficos!$K$131</c15:sqref>
                        <c15:spPr xmlns:c15="http://schemas.microsoft.com/office/drawing/2012/chart">
                          <a:solidFill>
                            <a:schemeClr val="accent3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Gráficos!$K$132</c15:sqref>
                        <c15:spPr xmlns:c15="http://schemas.microsoft.com/office/drawing/2012/chart">
                          <a:solidFill>
                            <a:schemeClr val="accent3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Gráficos!$K$133</c15:sqref>
                        <c15:spPr xmlns:c15="http://schemas.microsoft.com/office/drawing/2012/chart">
                          <a:solidFill>
                            <a:schemeClr val="accent3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Gráficos!$K$134</c15:sqref>
                        <c15:spPr xmlns:c15="http://schemas.microsoft.com/office/drawing/2012/chart">
                          <a:solidFill>
                            <a:schemeClr val="accent3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Gráficos!$K$135</c15:sqref>
                        <c15:spPr xmlns:c15="http://schemas.microsoft.com/office/drawing/2012/chart">
                          <a:solidFill>
                            <a:schemeClr val="accent3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Gráficos!$K$136</c15:sqref>
                        <c15:spPr xmlns:c15="http://schemas.microsoft.com/office/drawing/2012/chart">
                          <a:solidFill>
                            <a:schemeClr val="accent3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Gráficos!$K$137</c15:sqref>
                        <c15:spPr xmlns:c15="http://schemas.microsoft.com/office/drawing/2012/chart">
                          <a:solidFill>
                            <a:schemeClr val="accent3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Gráficos!$K$142</c15:sqref>
                        <c15:spPr xmlns:c15="http://schemas.microsoft.com/office/drawing/2012/chart">
                          <a:solidFill>
                            <a:schemeClr val="accent3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Gráficos!$K$147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Gráficos!$K$151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Gráficos!$K$153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62-E705-4E53-A157-A8B3B33AC993}"/>
                  </c:ext>
                </c:extLst>
              </c15:ser>
            </c15:filteredPieSeries>
            <c15:filteredPi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Gráficos!$L$119</c15:sqref>
                        </c15:formulaRef>
                      </c:ext>
                    </c:extLst>
                    <c:strCache>
                      <c:ptCount val="1"/>
                      <c:pt idx="0">
                        <c:v>Taxas
e Multas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4-E705-4E53-A157-A8B3B33AC99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6-E705-4E53-A157-A8B3B33AC99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8-E705-4E53-A157-A8B3B33AC99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3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A-E705-4E53-A157-A8B3B33AC99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Gráficos!$A$138:$A$141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Gráficos!$L$120:$L$154</c15:sqref>
                        </c15:fullRef>
                        <c15:formulaRef>
                          <c15:sqref>Gráficos!$L$138:$L$141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55057.412000000011</c:v>
                      </c:pt>
                      <c:pt idx="1">
                        <c:v>72784.744000000006</c:v>
                      </c:pt>
                      <c:pt idx="2">
                        <c:v>33873.360000000001</c:v>
                      </c:pt>
                      <c:pt idx="3">
                        <c:v>27619.556000000008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Gráficos!$L$120</c15:sqref>
                        <c15:spPr xmlns:c15="http://schemas.microsoft.com/office/drawing/2012/chart">
                          <a:solidFill>
                            <a:schemeClr val="accent3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Gráficos!$L$121</c15:sqref>
                        <c15:spPr xmlns:c15="http://schemas.microsoft.com/office/drawing/2012/chart">
                          <a:solidFill>
                            <a:schemeClr val="accent3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Gráficos!$L$122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Gráficos!$L$123</c15:sqref>
                        <c15:spPr xmlns:c15="http://schemas.microsoft.com/office/drawing/2012/chart">
                          <a:solidFill>
                            <a:schemeClr val="accent3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Gráficos!$L$124</c15:sqref>
                        <c15:spPr xmlns:c15="http://schemas.microsoft.com/office/drawing/2012/chart">
                          <a:solidFill>
                            <a:schemeClr val="accent3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Gráficos!$L$125</c15:sqref>
                        <c15:spPr xmlns:c15="http://schemas.microsoft.com/office/drawing/2012/chart">
                          <a:solidFill>
                            <a:schemeClr val="accent3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Gráficos!$L$126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Gráficos!$L$127</c15:sqref>
                        <c15:spPr xmlns:c15="http://schemas.microsoft.com/office/drawing/2012/chart">
                          <a:solidFill>
                            <a:schemeClr val="accent3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Gráficos!$L$128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Gráficos!$L$129</c15:sqref>
                        <c15:spPr xmlns:c15="http://schemas.microsoft.com/office/drawing/2012/chart">
                          <a:solidFill>
                            <a:schemeClr val="accent3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Gráficos!$L$130</c15:sqref>
                        <c15:spPr xmlns:c15="http://schemas.microsoft.com/office/drawing/2012/chart">
                          <a:solidFill>
                            <a:schemeClr val="accent3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Gráficos!$L$131</c15:sqref>
                        <c15:spPr xmlns:c15="http://schemas.microsoft.com/office/drawing/2012/chart">
                          <a:solidFill>
                            <a:schemeClr val="accent3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Gráficos!$L$132</c15:sqref>
                        <c15:spPr xmlns:c15="http://schemas.microsoft.com/office/drawing/2012/chart">
                          <a:solidFill>
                            <a:schemeClr val="accent3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Gráficos!$L$133</c15:sqref>
                        <c15:spPr xmlns:c15="http://schemas.microsoft.com/office/drawing/2012/chart">
                          <a:solidFill>
                            <a:schemeClr val="accent3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Gráficos!$L$134</c15:sqref>
                        <c15:spPr xmlns:c15="http://schemas.microsoft.com/office/drawing/2012/chart">
                          <a:solidFill>
                            <a:schemeClr val="accent3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Gráficos!$L$135</c15:sqref>
                        <c15:spPr xmlns:c15="http://schemas.microsoft.com/office/drawing/2012/chart">
                          <a:solidFill>
                            <a:schemeClr val="accent3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Gráficos!$L$136</c15:sqref>
                        <c15:spPr xmlns:c15="http://schemas.microsoft.com/office/drawing/2012/chart">
                          <a:solidFill>
                            <a:schemeClr val="accent3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Gráficos!$L$137</c15:sqref>
                        <c15:spPr xmlns:c15="http://schemas.microsoft.com/office/drawing/2012/chart">
                          <a:solidFill>
                            <a:schemeClr val="accent3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Gráficos!$L$142</c15:sqref>
                        <c15:spPr xmlns:c15="http://schemas.microsoft.com/office/drawing/2012/chart">
                          <a:solidFill>
                            <a:schemeClr val="accent3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Gráficos!$L$147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Gráficos!$L$151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Gráficos!$L$153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6B-E705-4E53-A157-A8B3B33AC993}"/>
                  </c:ext>
                </c:extLst>
              </c15:ser>
            </c15:filteredPieSeries>
            <c15:filteredPi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Gráficos!$M$119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D-E705-4E53-A157-A8B3B33AC99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F-E705-4E53-A157-A8B3B33AC99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1-E705-4E53-A157-A8B3B33AC99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3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3-E705-4E53-A157-A8B3B33AC99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Gráficos!$A$138:$A$141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Gráficos!$M$120:$M$154</c15:sqref>
                        </c15:fullRef>
                        <c15:formulaRef>
                          <c15:sqref>Gráficos!$M$138:$M$141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4.0268918678711775E-2</c:v>
                      </c:pt>
                      <c:pt idx="1">
                        <c:v>5.3215289870424551E-2</c:v>
                      </c:pt>
                      <c:pt idx="2">
                        <c:v>3.2299763334016456E-2</c:v>
                      </c:pt>
                      <c:pt idx="3">
                        <c:v>2.4564500644759138E-2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Gráficos!$M$120</c15:sqref>
                        <c15:spPr xmlns:c15="http://schemas.microsoft.com/office/drawing/2012/chart">
                          <a:solidFill>
                            <a:schemeClr val="accent3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Gráficos!$M$121</c15:sqref>
                        <c15:spPr xmlns:c15="http://schemas.microsoft.com/office/drawing/2012/chart">
                          <a:solidFill>
                            <a:schemeClr val="accent3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Gráficos!$M$122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Gráficos!$M$123</c15:sqref>
                        <c15:spPr xmlns:c15="http://schemas.microsoft.com/office/drawing/2012/chart">
                          <a:solidFill>
                            <a:schemeClr val="accent3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Gráficos!$M$124</c15:sqref>
                        <c15:spPr xmlns:c15="http://schemas.microsoft.com/office/drawing/2012/chart">
                          <a:solidFill>
                            <a:schemeClr val="accent3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Gráficos!$M$125</c15:sqref>
                        <c15:spPr xmlns:c15="http://schemas.microsoft.com/office/drawing/2012/chart">
                          <a:solidFill>
                            <a:schemeClr val="accent3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Gráficos!$M$126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Gráficos!$M$127</c15:sqref>
                        <c15:spPr xmlns:c15="http://schemas.microsoft.com/office/drawing/2012/chart">
                          <a:solidFill>
                            <a:schemeClr val="accent3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Gráficos!$M$128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Gráficos!$M$129</c15:sqref>
                        <c15:spPr xmlns:c15="http://schemas.microsoft.com/office/drawing/2012/chart">
                          <a:solidFill>
                            <a:schemeClr val="accent3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Gráficos!$M$130</c15:sqref>
                        <c15:spPr xmlns:c15="http://schemas.microsoft.com/office/drawing/2012/chart">
                          <a:solidFill>
                            <a:schemeClr val="accent3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Gráficos!$M$131</c15:sqref>
                        <c15:spPr xmlns:c15="http://schemas.microsoft.com/office/drawing/2012/chart">
                          <a:solidFill>
                            <a:schemeClr val="accent3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Gráficos!$M$132</c15:sqref>
                        <c15:spPr xmlns:c15="http://schemas.microsoft.com/office/drawing/2012/chart">
                          <a:solidFill>
                            <a:schemeClr val="accent3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Gráficos!$M$133</c15:sqref>
                        <c15:spPr xmlns:c15="http://schemas.microsoft.com/office/drawing/2012/chart">
                          <a:solidFill>
                            <a:schemeClr val="accent3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Gráficos!$M$134</c15:sqref>
                        <c15:spPr xmlns:c15="http://schemas.microsoft.com/office/drawing/2012/chart">
                          <a:solidFill>
                            <a:schemeClr val="accent3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Gráficos!$M$135</c15:sqref>
                        <c15:spPr xmlns:c15="http://schemas.microsoft.com/office/drawing/2012/chart">
                          <a:solidFill>
                            <a:schemeClr val="accent3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Gráficos!$M$136</c15:sqref>
                        <c15:spPr xmlns:c15="http://schemas.microsoft.com/office/drawing/2012/chart">
                          <a:solidFill>
                            <a:schemeClr val="accent3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Gráficos!$M$137</c15:sqref>
                        <c15:spPr xmlns:c15="http://schemas.microsoft.com/office/drawing/2012/chart">
                          <a:solidFill>
                            <a:schemeClr val="accent3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Gráficos!$M$142</c15:sqref>
                        <c15:spPr xmlns:c15="http://schemas.microsoft.com/office/drawing/2012/chart">
                          <a:solidFill>
                            <a:schemeClr val="accent3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Gráficos!$M$147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Gráficos!$M$151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Gráficos!$M$153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74-E705-4E53-A157-A8B3B33AC993}"/>
                  </c:ext>
                </c:extLst>
              </c15:ser>
            </c15:filteredPieSeries>
            <c15:filteredPi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Gráficos!$O$119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3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6-E705-4E53-A157-A8B3B33AC99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8-E705-4E53-A157-A8B3B33AC99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A-E705-4E53-A157-A8B3B33AC99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3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C-E705-4E53-A157-A8B3B33AC99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Gráficos!$A$138:$A$141</c15:sqref>
                        </c15:formulaRef>
                      </c:ext>
                    </c:extLst>
                    <c:strCache>
                      <c:ptCount val="4"/>
                      <c:pt idx="0">
                        <c:v>DF</c:v>
                      </c:pt>
                      <c:pt idx="1">
                        <c:v>GO</c:v>
                      </c:pt>
                      <c:pt idx="2">
                        <c:v>MS</c:v>
                      </c:pt>
                      <c:pt idx="3">
                        <c:v>MT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Gráficos!$O$120:$O$154</c15:sqref>
                        </c15:fullRef>
                        <c15:formulaRef>
                          <c15:sqref>Gráficos!$O$138:$O$141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1.9516691006432763E-2</c:v>
                      </c:pt>
                      <c:pt idx="1">
                        <c:v>1.9523797186218297E-2</c:v>
                      </c:pt>
                      <c:pt idx="2">
                        <c:v>1.496991375975976E-2</c:v>
                      </c:pt>
                      <c:pt idx="3">
                        <c:v>1.6049781101178596E-2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Gráficos!$O$120</c15:sqref>
                        <c15:spPr xmlns:c15="http://schemas.microsoft.com/office/drawing/2012/chart">
                          <a:solidFill>
                            <a:schemeClr val="accent3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Gráficos!$O$121</c15:sqref>
                        <c15:spPr xmlns:c15="http://schemas.microsoft.com/office/drawing/2012/chart">
                          <a:solidFill>
                            <a:schemeClr val="accent3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Gráficos!$O$122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Gráficos!$O$123</c15:sqref>
                        <c15:spPr xmlns:c15="http://schemas.microsoft.com/office/drawing/2012/chart">
                          <a:solidFill>
                            <a:schemeClr val="accent3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Gráficos!$O$124</c15:sqref>
                        <c15:spPr xmlns:c15="http://schemas.microsoft.com/office/drawing/2012/chart">
                          <a:solidFill>
                            <a:schemeClr val="accent3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Gráficos!$O$125</c15:sqref>
                        <c15:spPr xmlns:c15="http://schemas.microsoft.com/office/drawing/2012/chart">
                          <a:solidFill>
                            <a:schemeClr val="accent3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Gráficos!$O$126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Gráficos!$O$127</c15:sqref>
                        <c15:spPr xmlns:c15="http://schemas.microsoft.com/office/drawing/2012/chart">
                          <a:solidFill>
                            <a:schemeClr val="accent3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Gráficos!$O$128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Gráficos!$O$129</c15:sqref>
                        <c15:spPr xmlns:c15="http://schemas.microsoft.com/office/drawing/2012/chart">
                          <a:solidFill>
                            <a:schemeClr val="accent3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Gráficos!$O$130</c15:sqref>
                        <c15:spPr xmlns:c15="http://schemas.microsoft.com/office/drawing/2012/chart">
                          <a:solidFill>
                            <a:schemeClr val="accent3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Gráficos!$O$131</c15:sqref>
                        <c15:spPr xmlns:c15="http://schemas.microsoft.com/office/drawing/2012/chart">
                          <a:solidFill>
                            <a:schemeClr val="accent3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Gráficos!$O$132</c15:sqref>
                        <c15:spPr xmlns:c15="http://schemas.microsoft.com/office/drawing/2012/chart">
                          <a:solidFill>
                            <a:schemeClr val="accent3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Gráficos!$O$133</c15:sqref>
                        <c15:spPr xmlns:c15="http://schemas.microsoft.com/office/drawing/2012/chart">
                          <a:solidFill>
                            <a:schemeClr val="accent3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Gráficos!$O$134</c15:sqref>
                        <c15:spPr xmlns:c15="http://schemas.microsoft.com/office/drawing/2012/chart">
                          <a:solidFill>
                            <a:schemeClr val="accent3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Gráficos!$O$135</c15:sqref>
                        <c15:spPr xmlns:c15="http://schemas.microsoft.com/office/drawing/2012/chart">
                          <a:solidFill>
                            <a:schemeClr val="accent3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Gráficos!$O$136</c15:sqref>
                        <c15:spPr xmlns:c15="http://schemas.microsoft.com/office/drawing/2012/chart">
                          <a:solidFill>
                            <a:schemeClr val="accent3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Gráficos!$O$137</c15:sqref>
                        <c15:spPr xmlns:c15="http://schemas.microsoft.com/office/drawing/2012/chart">
                          <a:solidFill>
                            <a:schemeClr val="accent3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Gráficos!$O$142</c15:sqref>
                        <c15:spPr xmlns:c15="http://schemas.microsoft.com/office/drawing/2012/chart">
                          <a:solidFill>
                            <a:schemeClr val="accent3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Gráficos!$O$147</c15:sqref>
                        <c15:spPr xmlns:c15="http://schemas.microsoft.com/office/drawing/2012/chart">
                          <a:solidFill>
                            <a:schemeClr val="accent3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Gráficos!$O$151</c15:sqref>
                        <c15:spPr xmlns:c15="http://schemas.microsoft.com/office/drawing/2012/chart">
                          <a:solidFill>
                            <a:schemeClr val="accent3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Gráficos!$O$153</c15:sqref>
                        <c15:spPr xmlns:c15="http://schemas.microsoft.com/office/drawing/2012/chart">
                          <a:solidFill>
                            <a:schemeClr val="accent3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7D-E705-4E53-A157-A8B3B33AC993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60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4D-4F8D-A02E-CAD3A57C1E73}"/>
                </c:ext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4D-4F8D-A02E-CAD3A57C1E73}"/>
                </c:ext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4D-4F8D-A02E-CAD3A57C1E73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Gráficos!$Z$85:$Z$96</c:f>
              <c:numCache>
                <c:formatCode>_-[$R$-416]\ * #,##0_-;\-[$R$-416]\ * #,##0_-;_-[$R$-416]\ * "-"??_-;_-@_-</c:formatCode>
                <c:ptCount val="12"/>
                <c:pt idx="0">
                  <c:v>5289691.519425259</c:v>
                </c:pt>
                <c:pt idx="1">
                  <c:v>10946126.084264638</c:v>
                </c:pt>
                <c:pt idx="2">
                  <c:v>18483532.833525073</c:v>
                </c:pt>
                <c:pt idx="3">
                  <c:v>25403790.303136677</c:v>
                </c:pt>
                <c:pt idx="4">
                  <c:v>33225436.985169947</c:v>
                </c:pt>
                <c:pt idx="5">
                  <c:v>40648530.656770773</c:v>
                </c:pt>
                <c:pt idx="6">
                  <c:v>48092325.603216611</c:v>
                </c:pt>
                <c:pt idx="7">
                  <c:v>56573819.691179112</c:v>
                </c:pt>
                <c:pt idx="8">
                  <c:v>63808638.033217229</c:v>
                </c:pt>
                <c:pt idx="9">
                  <c:v>71594760.70306471</c:v>
                </c:pt>
                <c:pt idx="10">
                  <c:v>78493365.828256473</c:v>
                </c:pt>
                <c:pt idx="11">
                  <c:v>84943109.670736536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B4D-4F8D-A02E-CAD3A57C1E73}"/>
            </c:ext>
          </c:extLst>
        </c:ser>
        <c:ser>
          <c:idx val="1"/>
          <c:order val="1"/>
          <c:tx>
            <c:strRef>
              <c:f>Gráficos!$AC$84</c:f>
              <c:strCache>
                <c:ptCount val="1"/>
                <c:pt idx="0">
                  <c:v>Valor acima da Meta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4D-4F8D-A02E-CAD3A57C1E73}"/>
                </c:ext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4D-4F8D-A02E-CAD3A57C1E73}"/>
                </c:ext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4D-4F8D-A02E-CAD3A57C1E73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Gráficos!$AC$85:$AC$96</c:f>
              <c:numCache>
                <c:formatCode>_-"R$"\ * #,##0_-;\-"R$"\ * #,##0_-;_-"R$"\ * "-"??_-;_-@_-</c:formatCode>
                <c:ptCount val="12"/>
                <c:pt idx="0">
                  <c:v>5455921.4999999991</c:v>
                </c:pt>
                <c:pt idx="1">
                  <c:v>12190402.559999999</c:v>
                </c:pt>
                <c:pt idx="2">
                  <c:v>18826734.489999998</c:v>
                </c:pt>
                <c:pt idx="3">
                  <c:v>26560121.68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4D-4F8D-A02E-CAD3A57C1E73}"/>
            </c:ext>
          </c:extLst>
        </c:ser>
        <c:ser>
          <c:idx val="2"/>
          <c:order val="2"/>
          <c:tx>
            <c:strRef>
              <c:f>Gráficos!$AD$84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Gráficos!$Y$85:$Y$96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Gráficos!$AD$85:$AD$96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4D-4F8D-A02E-CAD3A57C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497232"/>
        <c:axId val="295497792"/>
      </c:lineChart>
      <c:catAx>
        <c:axId val="29549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5497792"/>
        <c:crosses val="autoZero"/>
        <c:auto val="1"/>
        <c:lblAlgn val="ctr"/>
        <c:lblOffset val="100"/>
        <c:noMultiLvlLbl val="0"/>
      </c:catAx>
      <c:valAx>
        <c:axId val="2954977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54972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F2-488D-BC62-5FC25DB57919}"/>
                </c:ext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F2-488D-BC62-5FC25DB57919}"/>
                </c:ext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F2-488D-BC62-5FC25DB57919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728006.7976387497</c:v>
                </c:pt>
                <c:pt idx="1">
                  <c:v>1250668.9713280427</c:v>
                </c:pt>
                <c:pt idx="2">
                  <c:v>1744929.7334060951</c:v>
                </c:pt>
                <c:pt idx="3">
                  <c:v>2205094.9492343953</c:v>
                </c:pt>
                <c:pt idx="4">
                  <c:v>2687655.4318216094</c:v>
                </c:pt>
                <c:pt idx="5">
                  <c:v>3173054.3904569834</c:v>
                </c:pt>
                <c:pt idx="6">
                  <c:v>3704166.521725696</c:v>
                </c:pt>
                <c:pt idx="7">
                  <c:v>4319267.4267853573</c:v>
                </c:pt>
                <c:pt idx="8">
                  <c:v>4817214.7848488986</c:v>
                </c:pt>
                <c:pt idx="9">
                  <c:v>5525765.8016106859</c:v>
                </c:pt>
                <c:pt idx="10">
                  <c:v>6163666.8992301533</c:v>
                </c:pt>
                <c:pt idx="11">
                  <c:v>6782877.4148296248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AF2-488D-BC62-5FC25DB57919}"/>
            </c:ext>
          </c:extLst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F2-488D-BC62-5FC25DB57919}"/>
                </c:ext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F2-488D-BC62-5FC25DB57919}"/>
                </c:ext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F2-488D-BC62-5FC25DB57919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F2-488D-BC62-5FC25DB57919}"/>
            </c:ext>
          </c:extLst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F2-488D-BC62-5FC25DB57919}"/>
                </c:ext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F2-488D-BC62-5FC25DB57919}"/>
                </c:ext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F2-488D-BC62-5FC25DB57919}"/>
                </c:ext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F2-488D-BC62-5FC25DB57919}"/>
                </c:ext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F2-488D-BC62-5FC25DB57919}"/>
                </c:ext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F2-488D-BC62-5FC25DB57919}"/>
                </c:ext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F2-488D-BC62-5FC25DB57919}"/>
                </c:ext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F2-488D-BC62-5FC25DB57919}"/>
                </c:ext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F2-488D-BC62-5FC25DB57919}"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F2-488D-BC62-5FC25DB57919}"/>
                </c:ext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F2-488D-BC62-5FC25DB57919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F2-488D-BC62-5FC25DB57919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821304.99769217195</c:v>
                </c:pt>
                <c:pt idx="1">
                  <c:v>1410949.2932509058</c:v>
                </c:pt>
                <c:pt idx="2">
                  <c:v>1968552.3752200392</c:v>
                </c:pt>
                <c:pt idx="3">
                  <c:v>2487690.3733124947</c:v>
                </c:pt>
                <c:pt idx="4">
                  <c:v>3032093.7186151734</c:v>
                </c:pt>
                <c:pt idx="5">
                  <c:v>3579699.3067701771</c:v>
                </c:pt>
                <c:pt idx="6">
                  <c:v>4178876.4698965959</c:v>
                </c:pt>
                <c:pt idx="7">
                  <c:v>4872806.044522848</c:v>
                </c:pt>
                <c:pt idx="8">
                  <c:v>5434568.1806617696</c:v>
                </c:pt>
                <c:pt idx="9">
                  <c:v>6233924.0288129207</c:v>
                </c:pt>
                <c:pt idx="10">
                  <c:v>6953575.7699882351</c:v>
                </c:pt>
                <c:pt idx="11">
                  <c:v>7652141.625052887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F2-488D-BC62-5FC25DB57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923632"/>
        <c:axId val="296924192"/>
      </c:lineChart>
      <c:catAx>
        <c:axId val="29692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6924192"/>
        <c:crosses val="autoZero"/>
        <c:auto val="1"/>
        <c:lblAlgn val="ctr"/>
        <c:lblOffset val="100"/>
        <c:noMultiLvlLbl val="0"/>
      </c:catAx>
      <c:valAx>
        <c:axId val="296924192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69236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71598531493971E-2"/>
          <c:y val="6.4675925925925928E-2"/>
          <c:w val="0.92424169299593517"/>
          <c:h val="0.77552592592592595"/>
        </c:manualLayout>
      </c:layout>
      <c:lineChart>
        <c:grouping val="standard"/>
        <c:varyColors val="0"/>
        <c:ser>
          <c:idx val="0"/>
          <c:order val="0"/>
          <c:tx>
            <c:strRef>
              <c:f>Gráficos!$Z$100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%"/>
                  <a:lumOff val="40%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%"/>
                  <a:lumOff val="40%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8.6387976395914477E-3"/>
                  <c:y val="-8.69328759051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8E-49F6-97C1-31195957CA71}"/>
                </c:ext>
              </c:extLst>
            </c:dLbl>
            <c:dLbl>
              <c:idx val="1"/>
              <c:layout>
                <c:manualLayout>
                  <c:x val="-2.3957822664518E-2"/>
                  <c:y val="4.8379218007991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8E-49F6-97C1-31195957CA71}"/>
                </c:ext>
              </c:extLst>
            </c:dLbl>
            <c:dLbl>
              <c:idx val="2"/>
              <c:layout>
                <c:manualLayout>
                  <c:x val="-2.5148419336073938E-2"/>
                  <c:y val="9.6110960021756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8E-49F6-97C1-31195957CA71}"/>
                </c:ext>
              </c:extLst>
            </c:dLbl>
            <c:dLbl>
              <c:idx val="3"/>
              <c:layout>
                <c:manualLayout>
                  <c:x val="-2.5016829343126178E-2"/>
                  <c:y val="0.14620928432459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8E-49F6-97C1-31195957CA71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tx2">
                          <a:lumMod val="60%"/>
                          <a:lumOff val="40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Gráficos!$Z$101:$Z$112</c:f>
              <c:numCache>
                <c:formatCode>_-[$R$-416]\ * #,##0_-;\-[$R$-416]\ * #,##0_-;_-[$R$-416]\ * "-"??_-;_-@_-</c:formatCode>
                <c:ptCount val="12"/>
                <c:pt idx="0">
                  <c:v>728006.7976387497</c:v>
                </c:pt>
                <c:pt idx="1">
                  <c:v>1250668.9713280427</c:v>
                </c:pt>
                <c:pt idx="2">
                  <c:v>1744929.7334060951</c:v>
                </c:pt>
                <c:pt idx="3">
                  <c:v>2205094.9492343953</c:v>
                </c:pt>
                <c:pt idx="4">
                  <c:v>2687655.4318216094</c:v>
                </c:pt>
                <c:pt idx="5">
                  <c:v>3173054.3904569834</c:v>
                </c:pt>
                <c:pt idx="6">
                  <c:v>3704166.521725696</c:v>
                </c:pt>
                <c:pt idx="7">
                  <c:v>4319267.4267853573</c:v>
                </c:pt>
                <c:pt idx="8">
                  <c:v>4817214.7848488986</c:v>
                </c:pt>
                <c:pt idx="9">
                  <c:v>5525765.8016106859</c:v>
                </c:pt>
                <c:pt idx="10">
                  <c:v>6163666.8992301533</c:v>
                </c:pt>
                <c:pt idx="11">
                  <c:v>6782877.4148296248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08E-49F6-97C1-31195957CA71}"/>
            </c:ext>
          </c:extLst>
        </c:ser>
        <c:ser>
          <c:idx val="1"/>
          <c:order val="1"/>
          <c:tx>
            <c:strRef>
              <c:f>Gráficos!$AA$100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9271797288058236E-2"/>
                  <c:y val="2.8617724415903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8E-49F6-97C1-31195957CA71}"/>
                </c:ext>
              </c:extLst>
            </c:dLbl>
            <c:dLbl>
              <c:idx val="1"/>
              <c:layout>
                <c:manualLayout>
                  <c:x val="-6.0298417752063247E-3"/>
                  <c:y val="-9.2856843999079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E-49F6-97C1-31195957CA71}"/>
                </c:ext>
              </c:extLst>
            </c:dLbl>
            <c:dLbl>
              <c:idx val="2"/>
              <c:layout>
                <c:manualLayout>
                  <c:x val="-9.2790976291736056E-3"/>
                  <c:y val="-0.101462138170052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8E-49F6-97C1-31195957CA71}"/>
                </c:ext>
              </c:extLst>
            </c:dLbl>
            <c:dLbl>
              <c:idx val="3"/>
              <c:layout>
                <c:manualLayout>
                  <c:x val="-7.0727001736495404E-3"/>
                  <c:y val="-8.4994212115506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8E-49F6-97C1-31195957CA71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Gráficos!$AA$101:$AA$112</c:f>
              <c:numCache>
                <c:formatCode>_-[$R$-416]\ * #,##0_-;\-[$R$-416]\ * #,##0_-;_-[$R$-416]\ * "-"??_-;_-@_-</c:formatCode>
                <c:ptCount val="12"/>
                <c:pt idx="0">
                  <c:v>648692.31000000017</c:v>
                </c:pt>
                <c:pt idx="1">
                  <c:v>1277632.8599999999</c:v>
                </c:pt>
                <c:pt idx="2">
                  <c:v>1763465.94</c:v>
                </c:pt>
                <c:pt idx="3">
                  <c:v>2292248.2030000002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8E-49F6-97C1-31195957CA71}"/>
            </c:ext>
          </c:extLst>
        </c:ser>
        <c:ser>
          <c:idx val="2"/>
          <c:order val="2"/>
          <c:tx>
            <c:strRef>
              <c:f>Gráficos!$AB$100</c:f>
              <c:strCache>
                <c:ptCount val="1"/>
                <c:pt idx="0">
                  <c:v>Potencial</c:v>
                </c:pt>
              </c:strCache>
            </c:strRef>
          </c:tx>
          <c:spPr>
            <a:ln w="38100" cap="rnd">
              <a:solidFill>
                <a:srgbClr val="0066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238392715174148E-2"/>
                  <c:y val="-0.1342791450334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8E-49F6-97C1-31195957CA71}"/>
                </c:ext>
              </c:extLst>
            </c:dLbl>
            <c:dLbl>
              <c:idx val="1"/>
              <c:layout>
                <c:manualLayout>
                  <c:x val="-3.6668676367386438E-2"/>
                  <c:y val="-0.15252696944973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8E-49F6-97C1-31195957CA71}"/>
                </c:ext>
              </c:extLst>
            </c:dLbl>
            <c:dLbl>
              <c:idx val="2"/>
              <c:layout>
                <c:manualLayout>
                  <c:x val="-3.3821245829964347E-2"/>
                  <c:y val="-0.15902406550302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8E-49F6-97C1-31195957CA71}"/>
                </c:ext>
              </c:extLst>
            </c:dLbl>
            <c:dLbl>
              <c:idx val="3"/>
              <c:layout>
                <c:manualLayout>
                  <c:x val="-2.9434984965266489E-2"/>
                  <c:y val="-0.15324643763947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8E-49F6-97C1-31195957CA71}"/>
                </c:ext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8E-49F6-97C1-31195957CA71}"/>
                </c:ext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8E-49F6-97C1-31195957CA71}"/>
                </c:ext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8E-49F6-97C1-31195957CA71}"/>
                </c:ext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8E-49F6-97C1-31195957CA71}"/>
                </c:ext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8E-49F6-97C1-31195957CA71}"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8E-49F6-97C1-31195957CA71}"/>
                </c:ext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8E-49F6-97C1-31195957CA71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8E-49F6-97C1-31195957CA71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rgbClr val="006666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Gráficos!$Y$101:$Y$112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Gráficos!$AB$101:$AB$112</c:f>
              <c:numCache>
                <c:formatCode>_-[$R$-416]\ * #,##0_-;\-[$R$-416]\ * #,##0_-;_-[$R$-416]\ * "-"??_-;_-@_-</c:formatCode>
                <c:ptCount val="12"/>
                <c:pt idx="0">
                  <c:v>821304.99769217195</c:v>
                </c:pt>
                <c:pt idx="1">
                  <c:v>1410949.2932509058</c:v>
                </c:pt>
                <c:pt idx="2">
                  <c:v>1968552.3752200392</c:v>
                </c:pt>
                <c:pt idx="3">
                  <c:v>2487690.3733124947</c:v>
                </c:pt>
                <c:pt idx="4">
                  <c:v>3032093.7186151734</c:v>
                </c:pt>
                <c:pt idx="5">
                  <c:v>3579699.3067701771</c:v>
                </c:pt>
                <c:pt idx="6">
                  <c:v>4178876.4698965959</c:v>
                </c:pt>
                <c:pt idx="7">
                  <c:v>4872806.044522848</c:v>
                </c:pt>
                <c:pt idx="8">
                  <c:v>5434568.1806617696</c:v>
                </c:pt>
                <c:pt idx="9">
                  <c:v>6233924.0288129207</c:v>
                </c:pt>
                <c:pt idx="10">
                  <c:v>6953575.7699882351</c:v>
                </c:pt>
                <c:pt idx="11">
                  <c:v>7652141.625052887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8E-49F6-97C1-31195957C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928112"/>
        <c:axId val="296928672"/>
      </c:lineChart>
      <c:catAx>
        <c:axId val="29692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6928672"/>
        <c:crosses val="autoZero"/>
        <c:auto val="1"/>
        <c:lblAlgn val="ctr"/>
        <c:lblOffset val="100"/>
        <c:noMultiLvlLbl val="0"/>
      </c:catAx>
      <c:valAx>
        <c:axId val="296928672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%"/>
                  <a:lumOff val="85%"/>
                  <a:alpha val="50%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969281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4475248001682836E-3"/>
                <c:y val="1.2717821008157486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703888888888888"/>
          <c:y val="0.90973564814814811"/>
          <c:w val="0.50846616161616154"/>
          <c:h val="8.59916666666666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doughnutChart>
        <c:varyColors val="1"/>
        <c:ser>
          <c:idx val="12"/>
          <c:order val="12"/>
          <c:tx>
            <c:strRef>
              <c:f>Gráficos!$N$119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E4F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26-4B2D-86EF-7F5C53282D25}"/>
              </c:ext>
            </c:extLst>
          </c:dPt>
          <c:dPt>
            <c:idx val="1"/>
            <c:bubble3D val="0"/>
            <c:spPr>
              <a:solidFill>
                <a:srgbClr val="AECCD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26-4B2D-86EF-7F5C53282D25}"/>
              </c:ext>
            </c:extLst>
          </c:dPt>
          <c:dPt>
            <c:idx val="2"/>
            <c:bubble3D val="0"/>
            <c:spPr>
              <a:solidFill>
                <a:srgbClr val="00687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226-4B2D-86EF-7F5C53282D25}"/>
              </c:ext>
            </c:extLst>
          </c:dPt>
          <c:dPt>
            <c:idx val="3"/>
            <c:bubble3D val="0"/>
            <c:spPr>
              <a:solidFill>
                <a:srgbClr val="1C39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226-4B2D-86EF-7F5C53282D25}"/>
              </c:ext>
            </c:extLst>
          </c:dPt>
          <c:dLbls>
            <c:dLbl>
              <c:idx val="0"/>
              <c:layout>
                <c:manualLayout>
                  <c:x val="9.2171988980235021E-3"/>
                  <c:y val="-0.1157407407407407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26-4B2D-86EF-7F5C53282D25}"/>
                </c:ext>
              </c:extLst>
            </c:dLbl>
            <c:dLbl>
              <c:idx val="1"/>
              <c:layout>
                <c:manualLayout>
                  <c:x val="4.7930115511326324E-2"/>
                  <c:y val="-7.8703703703703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26-4B2D-86EF-7F5C53282D25}"/>
                </c:ext>
              </c:extLst>
            </c:dLbl>
            <c:dLbl>
              <c:idx val="2"/>
              <c:layout>
                <c:manualLayout>
                  <c:x val="3.1940079066880123E-2"/>
                  <c:y val="4.629629629629544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26-4B2D-86EF-7F5C53282D25}"/>
                </c:ext>
              </c:extLst>
            </c:dLbl>
            <c:dLbl>
              <c:idx val="3"/>
              <c:layout>
                <c:manualLayout>
                  <c:x val="-4.7922697422158406E-2"/>
                  <c:y val="-3.240740740740748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26-4B2D-86EF-7F5C53282D25}"/>
                </c:ext>
              </c:extLst>
            </c:dLbl>
            <c:numFmt formatCode="0.0%" sourceLinked="0"/>
            <c:spPr>
              <a:solidFill>
                <a:schemeClr val="lt1"/>
              </a:solidFill>
              <a:ln>
                <a:solidFill>
                  <a:schemeClr val="dk1">
                    <a:lumMod val="25%"/>
                    <a:lumOff val="75%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%">
                    <a:solidFill>
                      <a:schemeClr val="dk1">
                        <a:lumMod val="65%"/>
                        <a:lumOff val="3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%"/>
                      <a:lumOff val="65%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OffpageConnector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Gráficos!$A$120:$A$154</c15:sqref>
                  </c15:fullRef>
                </c:ext>
              </c:extLst>
              <c:f>Gráficos!$A$143:$A$146</c:f>
              <c:strCache>
                <c:ptCount val="4"/>
                <c:pt idx="0">
                  <c:v>ES</c:v>
                </c:pt>
                <c:pt idx="1">
                  <c:v>MG</c:v>
                </c:pt>
                <c:pt idx="2">
                  <c:v>RJ</c:v>
                </c:pt>
                <c:pt idx="3">
                  <c:v>SP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Gráficos!$N$120:$N$154</c15:sqref>
                  </c15:fullRef>
                </c:ext>
              </c:extLst>
              <c:f>Gráficos!$N$143:$N$146</c:f>
              <c:numCache>
                <c:formatCode>_-* #,##0_-;\-* #,##0_-;_-* "-"??_-;_-@_-</c:formatCode>
                <c:ptCount val="4"/>
                <c:pt idx="0">
                  <c:v>1075233.0080000001</c:v>
                </c:pt>
                <c:pt idx="1">
                  <c:v>3914138.3840000001</c:v>
                </c:pt>
                <c:pt idx="2">
                  <c:v>4691429.7960000001</c:v>
                </c:pt>
                <c:pt idx="3">
                  <c:v>18628162.298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Gráficos!$N$120</c15:sqref>
                  <c15:spPr xmlns:c15="http://schemas.microsoft.com/office/drawing/2012/chart">
                    <a:solidFill>
                      <a:schemeClr val="accent4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4.3572984749455342E-3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D9-5423-4483-B625-77FE34944A4B}"/>
                      </c:ext>
                    </c:extLst>
                  </c15:dLbl>
                </c15:categoryFilterException>
                <c15:categoryFilterException>
                  <c15:sqref>Gráficos!$N$121</c15:sqref>
                  <c15:spPr xmlns:c15="http://schemas.microsoft.com/office/drawing/2012/chart">
                    <a:solidFill>
                      <a:schemeClr val="accent4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0501089324618737E-2"/>
                        <c:y val="-6.018518518518518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DB-5423-4483-B625-77FE34944A4B}"/>
                      </c:ext>
                    </c:extLst>
                  </c15:dLbl>
                </c15:categoryFilterException>
                <c15:categoryFilterException>
                  <c15:sqref>Gráficos!$N$122</c15:sqref>
                  <c15:spPr xmlns:c15="http://schemas.microsoft.com/office/drawing/2012/chart">
                    <a:solidFill>
                      <a:schemeClr val="accent4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2844E-2"/>
                        <c:y val="-3.2407407407407406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DD-5423-4483-B625-77FE34944A4B}"/>
                      </c:ext>
                    </c:extLst>
                  </c15:dLbl>
                </c15:categoryFilterException>
                <c15:categoryFilterException>
                  <c15:sqref>Gráficos!$N$123</c15:sqref>
                  <c15:spPr xmlns:c15="http://schemas.microsoft.com/office/drawing/2012/chart">
                    <a:solidFill>
                      <a:schemeClr val="accent4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0.10457516339869281"/>
                        <c:y val="2.777777777777769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DF-5423-4483-B625-77FE34944A4B}"/>
                      </c:ext>
                    </c:extLst>
                  </c15:dLbl>
                </c15:categoryFilterException>
                <c15:categoryFilterException>
                  <c15:sqref>Gráficos!$N$124</c15:sqref>
                  <c15:spPr xmlns:c15="http://schemas.microsoft.com/office/drawing/2012/chart">
                    <a:solidFill>
                      <a:schemeClr val="accent4">
                        <a:tint val="3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301E-2"/>
                        <c:y val="6.481481481481481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E1-5423-4483-B625-77FE34944A4B}"/>
                      </c:ext>
                    </c:extLst>
                  </c15:dLbl>
                </c15:categoryFilterException>
                <c15:categoryFilterException>
                  <c15:sqref>Gráficos!$N$125</c15:sqref>
                  <c15:spPr xmlns:c15="http://schemas.microsoft.com/office/drawing/2012/chart">
                    <a:solidFill>
                      <a:schemeClr val="accent4">
                        <a:tint val="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5.2287581699346407E-2"/>
                        <c:y val="7.4074074074074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E3-5423-4483-B625-77FE34944A4B}"/>
                      </c:ext>
                    </c:extLst>
                  </c15:dLbl>
                </c15:categoryFilterException>
                <c15:categoryFilterException>
                  <c15:sqref>Gráficos!$N$126</c15:sqref>
                  <c15:spPr xmlns:c15="http://schemas.microsoft.com/office/drawing/2012/chart">
                    <a:solidFill>
                      <a:schemeClr val="accent4">
                        <a:tint val="7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9716775599128575E-2"/>
                        <c:y val="-5.092592592592592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E5-5423-4483-B625-77FE34944A4B}"/>
                      </c:ext>
                    </c:extLst>
                  </c15:dLbl>
                </c15:categoryFilterException>
                <c15:categoryFilterException>
                  <c15:sqref>Gráficos!$N$127</c15:sqref>
                  <c15:spPr xmlns:c15="http://schemas.microsoft.com/office/drawing/2012/chart">
                    <a:solidFill>
                      <a:schemeClr val="accent4">
                        <a:tint val="4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1.1111111111111112E-2"/>
                        <c:y val="-8.333333333333334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E7-5423-4483-B625-77FE34944A4B}"/>
                      </c:ext>
                    </c:extLst>
                  </c15:dLbl>
                </c15:categoryFilterException>
                <c15:categoryFilterException>
                  <c15:sqref>Gráficos!$N$128</c15:sqref>
                  <c15:spPr xmlns:c15="http://schemas.microsoft.com/office/drawing/2012/chart">
                    <a:solidFill>
                      <a:schemeClr val="accent4">
                        <a:tint val="1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7.9882882560125439E-17"/>
                        <c:y val="-9.259259259259261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E9-5423-4483-B625-77FE34944A4B}"/>
                      </c:ext>
                    </c:extLst>
                  </c15:dLbl>
                </c15:categoryFilterException>
                <c15:categoryFilterException>
                  <c15:sqref>Gráficos!$N$129</c15:sqref>
                  <c15:spPr xmlns:c15="http://schemas.microsoft.com/office/drawing/2012/chart">
                    <a:solidFill>
                      <a:schemeClr val="accent4">
                        <a:tint val="9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100217864923755E-2"/>
                        <c:y val="-6.944444444444446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EB-5423-4483-B625-77FE34944A4B}"/>
                      </c:ext>
                    </c:extLst>
                  </c15:dLbl>
                </c15:categoryFilterException>
                <c15:categoryFilterException>
                  <c15:sqref>Gráficos!$N$130</c15:sqref>
                  <c15:spPr xmlns:c15="http://schemas.microsoft.com/office/drawing/2012/chart">
                    <a:solidFill>
                      <a:schemeClr val="accent4">
                        <a:tint val="6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8.2788671023965144E-2"/>
                        <c:y val="-2.314814814814819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ED-5423-4483-B625-77FE34944A4B}"/>
                      </c:ext>
                    </c:extLst>
                  </c15:dLbl>
                </c15:categoryFilterException>
                <c15:categoryFilterException>
                  <c15:sqref>Gráficos!$N$131</c15:sqref>
                  <c15:spPr xmlns:c15="http://schemas.microsoft.com/office/drawing/2012/chart">
                    <a:solidFill>
                      <a:schemeClr val="accent4">
                        <a:tint val="3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9.586056644880174E-2"/>
                        <c:y val="1.388888888888888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EF-5423-4483-B625-77FE34944A4B}"/>
                      </c:ext>
                    </c:extLst>
                  </c15:dLbl>
                </c15:categoryFilterException>
                <c15:categoryFilterException>
                  <c15:sqref>Gráficos!$N$132</c15:sqref>
                  <c15:spPr xmlns:c15="http://schemas.microsoft.com/office/drawing/2012/chart">
                    <a:solidFill>
                      <a:schemeClr val="accent4">
                        <a:tint val="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9215686274509727E-2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F1-5423-4483-B625-77FE34944A4B}"/>
                      </c:ext>
                    </c:extLst>
                  </c15:dLbl>
                </c15:categoryFilterException>
                <c15:categoryFilterException>
                  <c15:sqref>Gráficos!$N$133</c15:sqref>
                  <c15:spPr xmlns:c15="http://schemas.microsoft.com/office/drawing/2012/chart">
                    <a:solidFill>
                      <a:schemeClr val="accent4">
                        <a:tint val="7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7.9882882560125439E-17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F3-5423-4483-B625-77FE34944A4B}"/>
                      </c:ext>
                    </c:extLst>
                  </c15:dLbl>
                </c15:categoryFilterException>
                <c15:categoryFilterException>
                  <c15:sqref>Gráficos!$N$134</c15:sqref>
                  <c15:spPr xmlns:c15="http://schemas.microsoft.com/office/drawing/2012/chart">
                    <a:solidFill>
                      <a:schemeClr val="accent4">
                        <a:tint val="5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1002178649237494E-2"/>
                        <c:y val="5.5555555555555469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F5-5423-4483-B625-77FE34944A4B}"/>
                      </c:ext>
                    </c:extLst>
                  </c15:dLbl>
                </c15:categoryFilterException>
                <c15:categoryFilterException>
                  <c15:sqref>Gráficos!$N$135</c15:sqref>
                  <c15:spPr xmlns:c15="http://schemas.microsoft.com/office/drawing/2012/chart">
                    <a:solidFill>
                      <a:schemeClr val="accent4">
                        <a:tint val="2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535947712418301E-2"/>
                        <c:y val="0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F7-5423-4483-B625-77FE34944A4B}"/>
                      </c:ext>
                    </c:extLst>
                  </c15:dLbl>
                </c15:categoryFilterException>
                <c15:categoryFilterException>
                  <c15:sqref>Gráficos!$N$136</c15:sqref>
                  <c15:spPr xmlns:c15="http://schemas.microsoft.com/office/drawing/2012/chart">
                    <a:solidFill>
                      <a:schemeClr val="accent4">
                        <a:tint val="9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5.2287581699346407E-2"/>
                        <c:y val="-6.481481481481481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F9-5423-4483-B625-77FE34944A4B}"/>
                      </c:ext>
                    </c:extLst>
                  </c15:dLbl>
                </c15:categoryFilterException>
                <c15:categoryFilterException>
                  <c15:sqref>Gráficos!$N$137</c15:sqref>
                  <c15:spPr xmlns:c15="http://schemas.microsoft.com/office/drawing/2012/chart">
                    <a:solidFill>
                      <a:schemeClr val="accent4">
                        <a:tint val="6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6111111111111108E-2"/>
                        <c:y val="-1.388888888888888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FB-5423-4483-B625-77FE34944A4B}"/>
                      </c:ext>
                    </c:extLst>
                  </c15:dLbl>
                </c15:categoryFilterException>
                <c15:categoryFilterException>
                  <c15:sqref>Gráficos!$N$138</c15:sqref>
                  <c15:spPr xmlns:c15="http://schemas.microsoft.com/office/drawing/2012/chart">
                    <a:solidFill>
                      <a:schemeClr val="accent4">
                        <a:tint val="3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301E-2"/>
                        <c:y val="-5.55555555555555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FD-5423-4483-B625-77FE34944A4B}"/>
                      </c:ext>
                    </c:extLst>
                  </c15:dLbl>
                </c15:categoryFilterException>
                <c15:categoryFilterException>
                  <c15:sqref>Gráficos!$N$139</c15:sqref>
                  <c15:spPr xmlns:c15="http://schemas.microsoft.com/office/drawing/2012/chart">
                    <a:solidFill>
                      <a:schemeClr val="accent4">
                        <a:tint val="1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301E-2"/>
                        <c:y val="8.3333333333333329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2FF-5423-4483-B625-77FE34944A4B}"/>
                      </c:ext>
                    </c:extLst>
                  </c15:dLbl>
                </c15:categoryFilterException>
                <c15:categoryFilterException>
                  <c15:sqref>Gráficos!$N$140</c15:sqref>
                  <c15:spPr xmlns:c15="http://schemas.microsoft.com/office/drawing/2012/chart">
                    <a:solidFill>
                      <a:schemeClr val="accent4">
                        <a:tint val="82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535947712418301E-2"/>
                        <c:y val="6.481481481481472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01-5423-4483-B625-77FE34944A4B}"/>
                      </c:ext>
                    </c:extLst>
                  </c15:dLbl>
                </c15:categoryFilterException>
                <c15:categoryFilterException>
                  <c15:sqref>Gráficos!$N$141</c15:sqref>
                  <c15:spPr xmlns:c15="http://schemas.microsoft.com/office/drawing/2012/chart">
                    <a:solidFill>
                      <a:schemeClr val="accent4">
                        <a:tint val="5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7.8431372549019607E-2"/>
                        <c:y val="-6.4814814814814839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03-5423-4483-B625-77FE34944A4B}"/>
                      </c:ext>
                    </c:extLst>
                  </c15:dLbl>
                </c15:categoryFilterException>
                <c15:categoryFilterException>
                  <c15:sqref>Gráficos!$N$142</c15:sqref>
                  <c15:spPr xmlns:c15="http://schemas.microsoft.com/office/drawing/2012/chart">
                    <a:solidFill>
                      <a:schemeClr val="accent4">
                        <a:tint val="2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3888888888888884E-2"/>
                        <c:y val="8.333333333333324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05-5423-4483-B625-77FE34944A4B}"/>
                      </c:ext>
                    </c:extLst>
                  </c15:dLbl>
                </c15:categoryFilterException>
                <c15:categoryFilterException>
                  <c15:sqref>Gráficos!$N$147</c15:sqref>
                  <c15:spPr xmlns:c15="http://schemas.microsoft.com/office/drawing/2012/chart">
                    <a:solidFill>
                      <a:schemeClr val="accent4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3"/>
                    <c:layout>
                      <c:manualLayout>
                        <c:x val="-5.8333333333333334E-2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07-5423-4483-B625-77FE34944A4B}"/>
                      </c:ext>
                    </c:extLst>
                  </c15:dLbl>
                </c15:categoryFilterException>
                <c15:categoryFilterException>
                  <c15:sqref>Gráficos!$N$151</c15:sqref>
                  <c15:spPr xmlns:c15="http://schemas.microsoft.com/office/drawing/2012/chart">
                    <a:solidFill>
                      <a:schemeClr val="accent4">
                        <a:tint val="74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3"/>
                    <c:layout>
                      <c:manualLayout>
                        <c:x val="-6.6666666666666666E-2"/>
                        <c:y val="0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09-5423-4483-B625-77FE34944A4B}"/>
                      </c:ext>
                    </c:extLst>
                  </c15:dLbl>
                </c15:categoryFilterException>
                <c15:categoryFilterException>
                  <c15:sqref>Gráficos!$N$153</c15:sqref>
                  <c15:spPr xmlns:c15="http://schemas.microsoft.com/office/drawing/2012/chart">
                    <a:solidFill>
                      <a:schemeClr val="accent4">
                        <a:tint val="1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3"/>
                    <c:layout>
                      <c:manualLayout>
                        <c:x val="-4.4444444444444495E-2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0B-5423-4483-B625-77FE34944A4B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0226-4B2D-86EF-7F5C53282D2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Gráficos!$B$119</c15:sqref>
                        </c15:formulaRef>
                      </c:ext>
                    </c:extLst>
                    <c:strCache>
                      <c:ptCount val="1"/>
                      <c:pt idx="0">
                        <c:v>PF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0226-4B2D-86EF-7F5C53282D2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4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0226-4B2D-86EF-7F5C53282D2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0226-4B2D-86EF-7F5C53282D2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0226-4B2D-86EF-7F5C53282D2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Gráficos!$A$143:$A$146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Gráficos!$B$120:$B$154</c15:sqref>
                        </c15:fullRef>
                        <c15:formulaRef>
                          <c15:sqref>Gráficos!$B$143:$B$146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583863.72</c:v>
                      </c:pt>
                      <c:pt idx="1">
                        <c:v>2007039.7119999998</c:v>
                      </c:pt>
                      <c:pt idx="2">
                        <c:v>2530541.3199999998</c:v>
                      </c:pt>
                      <c:pt idx="3">
                        <c:v>8507058.2400000002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Gráficos!$B$124</c15:sqref>
                        <c15:spPr xmlns:c15="http://schemas.microsoft.com/office/drawing/2012/chart">
                          <a:solidFill>
                            <a:schemeClr val="accent4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Gráficos!$B$125</c15:sqref>
                        <c15:spPr xmlns:c15="http://schemas.microsoft.com/office/drawing/2012/chart">
                          <a:solidFill>
                            <a:schemeClr val="accent4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Gráficos!$B$126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Gráficos!$B$127</c15:sqref>
                        <c15:spPr xmlns:c15="http://schemas.microsoft.com/office/drawing/2012/chart">
                          <a:solidFill>
                            <a:schemeClr val="accent4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Gráficos!$B$128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Gráficos!$B$129</c15:sqref>
                        <c15:spPr xmlns:c15="http://schemas.microsoft.com/office/drawing/2012/chart">
                          <a:solidFill>
                            <a:schemeClr val="accent4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Gráficos!$B$130</c15:sqref>
                        <c15:spPr xmlns:c15="http://schemas.microsoft.com/office/drawing/2012/chart">
                          <a:solidFill>
                            <a:schemeClr val="accent4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Gráficos!$B$131</c15:sqref>
                        <c15:spPr xmlns:c15="http://schemas.microsoft.com/office/drawing/2012/chart">
                          <a:solidFill>
                            <a:schemeClr val="accent4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Gráficos!$B$132</c15:sqref>
                        <c15:spPr xmlns:c15="http://schemas.microsoft.com/office/drawing/2012/chart">
                          <a:solidFill>
                            <a:schemeClr val="accent4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Gráficos!$B$133</c15:sqref>
                        <c15:spPr xmlns:c15="http://schemas.microsoft.com/office/drawing/2012/chart">
                          <a:solidFill>
                            <a:schemeClr val="accent4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Gráficos!$B$134</c15:sqref>
                        <c15:spPr xmlns:c15="http://schemas.microsoft.com/office/drawing/2012/chart">
                          <a:solidFill>
                            <a:schemeClr val="accent4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Gráficos!$B$135</c15:sqref>
                        <c15:spPr xmlns:c15="http://schemas.microsoft.com/office/drawing/2012/chart">
                          <a:solidFill>
                            <a:schemeClr val="accent4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Gráficos!$B$136</c15:sqref>
                        <c15:spPr xmlns:c15="http://schemas.microsoft.com/office/drawing/2012/chart">
                          <a:solidFill>
                            <a:schemeClr val="accent4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Gráficos!$B$137</c15:sqref>
                        <c15:spPr xmlns:c15="http://schemas.microsoft.com/office/drawing/2012/chart">
                          <a:solidFill>
                            <a:schemeClr val="accent4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Gráficos!$B$138</c15:sqref>
                        <c15:spPr xmlns:c15="http://schemas.microsoft.com/office/drawing/2012/chart">
                          <a:solidFill>
                            <a:schemeClr val="accent4">
                              <a:tint val="3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Gráficos!$B$139</c15:sqref>
                        <c15:spPr xmlns:c15="http://schemas.microsoft.com/office/drawing/2012/chart">
                          <a:solidFill>
                            <a:schemeClr val="accent4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Gráficos!$B$140</c15:sqref>
                        <c15:spPr xmlns:c15="http://schemas.microsoft.com/office/drawing/2012/chart">
                          <a:solidFill>
                            <a:schemeClr val="accent4">
                              <a:tint val="8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Gráficos!$B$141</c15:sqref>
                        <c15:spPr xmlns:c15="http://schemas.microsoft.com/office/drawing/2012/chart">
                          <a:solidFill>
                            <a:schemeClr val="accent4">
                              <a:tint val="5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Gráficos!$B$142</c15:sqref>
                        <c15:spPr xmlns:c15="http://schemas.microsoft.com/office/drawing/2012/chart">
                          <a:solidFill>
                            <a:schemeClr val="accent4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Gráficos!$B$147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Gráficos!$B$151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Gráficos!$B$153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11-0226-4B2D-86EF-7F5C53282D25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Gráficos!$C$119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3-0226-4B2D-86EF-7F5C53282D2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4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5-0226-4B2D-86EF-7F5C53282D2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7-0226-4B2D-86EF-7F5C53282D2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9-0226-4B2D-86EF-7F5C53282D2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Gráficos!$A$143:$A$146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Gráficos!$C$120:$C$154</c15:sqref>
                        </c15:fullRef>
                        <c15:formulaRef>
                          <c15:sqref>Gráficos!$C$143:$C$146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0.54301134326783973</c:v>
                      </c:pt>
                      <c:pt idx="1">
                        <c:v>0.51276667176721868</c:v>
                      </c:pt>
                      <c:pt idx="2">
                        <c:v>0.53939660829148206</c:v>
                      </c:pt>
                      <c:pt idx="3">
                        <c:v>0.45667726659829211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Gráficos!$C$120</c15:sqref>
                        <c15:spPr xmlns:c15="http://schemas.microsoft.com/office/drawing/2012/chart">
                          <a:solidFill>
                            <a:schemeClr val="accent4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Gráficos!$C$121</c15:sqref>
                        <c15:spPr xmlns:c15="http://schemas.microsoft.com/office/drawing/2012/chart">
                          <a:solidFill>
                            <a:schemeClr val="accent4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Gráficos!$C$122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Gráficos!$C$123</c15:sqref>
                        <c15:spPr xmlns:c15="http://schemas.microsoft.com/office/drawing/2012/chart">
                          <a:solidFill>
                            <a:schemeClr val="accent4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Gráficos!$C$124</c15:sqref>
                        <c15:spPr xmlns:c15="http://schemas.microsoft.com/office/drawing/2012/chart">
                          <a:solidFill>
                            <a:schemeClr val="accent4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Gráficos!$C$125</c15:sqref>
                        <c15:spPr xmlns:c15="http://schemas.microsoft.com/office/drawing/2012/chart">
                          <a:solidFill>
                            <a:schemeClr val="accent4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Gráficos!$C$126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Gráficos!$C$127</c15:sqref>
                        <c15:spPr xmlns:c15="http://schemas.microsoft.com/office/drawing/2012/chart">
                          <a:solidFill>
                            <a:schemeClr val="accent4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Gráficos!$C$128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Gráficos!$C$129</c15:sqref>
                        <c15:spPr xmlns:c15="http://schemas.microsoft.com/office/drawing/2012/chart">
                          <a:solidFill>
                            <a:schemeClr val="accent4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Gráficos!$C$130</c15:sqref>
                        <c15:spPr xmlns:c15="http://schemas.microsoft.com/office/drawing/2012/chart">
                          <a:solidFill>
                            <a:schemeClr val="accent4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Gráficos!$C$131</c15:sqref>
                        <c15:spPr xmlns:c15="http://schemas.microsoft.com/office/drawing/2012/chart">
                          <a:solidFill>
                            <a:schemeClr val="accent4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Gráficos!$C$132</c15:sqref>
                        <c15:spPr xmlns:c15="http://schemas.microsoft.com/office/drawing/2012/chart">
                          <a:solidFill>
                            <a:schemeClr val="accent4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Gráficos!$C$133</c15:sqref>
                        <c15:spPr xmlns:c15="http://schemas.microsoft.com/office/drawing/2012/chart">
                          <a:solidFill>
                            <a:schemeClr val="accent4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Gráficos!$C$134</c15:sqref>
                        <c15:spPr xmlns:c15="http://schemas.microsoft.com/office/drawing/2012/chart">
                          <a:solidFill>
                            <a:schemeClr val="accent4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Gráficos!$C$135</c15:sqref>
                        <c15:spPr xmlns:c15="http://schemas.microsoft.com/office/drawing/2012/chart">
                          <a:solidFill>
                            <a:schemeClr val="accent4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Gráficos!$C$136</c15:sqref>
                        <c15:spPr xmlns:c15="http://schemas.microsoft.com/office/drawing/2012/chart">
                          <a:solidFill>
                            <a:schemeClr val="accent4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Gráficos!$C$137</c15:sqref>
                        <c15:spPr xmlns:c15="http://schemas.microsoft.com/office/drawing/2012/chart">
                          <a:solidFill>
                            <a:schemeClr val="accent4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Gráficos!$C$138</c15:sqref>
                        <c15:spPr xmlns:c15="http://schemas.microsoft.com/office/drawing/2012/chart">
                          <a:solidFill>
                            <a:schemeClr val="accent4">
                              <a:tint val="3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Gráficos!$C$139</c15:sqref>
                        <c15:spPr xmlns:c15="http://schemas.microsoft.com/office/drawing/2012/chart">
                          <a:solidFill>
                            <a:schemeClr val="accent4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Gráficos!$C$140</c15:sqref>
                        <c15:spPr xmlns:c15="http://schemas.microsoft.com/office/drawing/2012/chart">
                          <a:solidFill>
                            <a:schemeClr val="accent4">
                              <a:tint val="8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Gráficos!$C$141</c15:sqref>
                        <c15:spPr xmlns:c15="http://schemas.microsoft.com/office/drawing/2012/chart">
                          <a:solidFill>
                            <a:schemeClr val="accent4">
                              <a:tint val="5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Gráficos!$C$142</c15:sqref>
                        <c15:spPr xmlns:c15="http://schemas.microsoft.com/office/drawing/2012/chart">
                          <a:solidFill>
                            <a:schemeClr val="accent4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Gráficos!$C$147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Gráficos!$C$151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Gráficos!$C$153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1A-0226-4B2D-86EF-7F5C53282D25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Gráficos!$D$119</c15:sqref>
                        </c15:formulaRef>
                      </c:ext>
                    </c:extLst>
                    <c:strCache>
                      <c:ptCount val="1"/>
                      <c:pt idx="0">
                        <c:v>PF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C-0226-4B2D-86EF-7F5C53282D2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4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0226-4B2D-86EF-7F5C53282D2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0-0226-4B2D-86EF-7F5C53282D2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2-0226-4B2D-86EF-7F5C53282D2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Gráficos!$A$143:$A$146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Gráficos!$D$120:$D$154</c15:sqref>
                        </c15:fullRef>
                        <c15:formulaRef>
                          <c15:sqref>Gráficos!$D$143:$D$146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86065.864000000001</c:v>
                      </c:pt>
                      <c:pt idx="1">
                        <c:v>369531.72800000006</c:v>
                      </c:pt>
                      <c:pt idx="2">
                        <c:v>322863.57800000004</c:v>
                      </c:pt>
                      <c:pt idx="3">
                        <c:v>1153900.5959999999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Gráficos!$D$120</c15:sqref>
                        <c15:spPr xmlns:c15="http://schemas.microsoft.com/office/drawing/2012/chart">
                          <a:solidFill>
                            <a:schemeClr val="accent4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Gráficos!$D$121</c15:sqref>
                        <c15:spPr xmlns:c15="http://schemas.microsoft.com/office/drawing/2012/chart">
                          <a:solidFill>
                            <a:schemeClr val="accent4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Gráficos!$D$122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Gráficos!$D$123</c15:sqref>
                        <c15:spPr xmlns:c15="http://schemas.microsoft.com/office/drawing/2012/chart">
                          <a:solidFill>
                            <a:schemeClr val="accent4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Gráficos!$D$124</c15:sqref>
                        <c15:spPr xmlns:c15="http://schemas.microsoft.com/office/drawing/2012/chart">
                          <a:solidFill>
                            <a:schemeClr val="accent4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Gráficos!$D$125</c15:sqref>
                        <c15:spPr xmlns:c15="http://schemas.microsoft.com/office/drawing/2012/chart">
                          <a:solidFill>
                            <a:schemeClr val="accent4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Gráficos!$D$126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Gráficos!$D$127</c15:sqref>
                        <c15:spPr xmlns:c15="http://schemas.microsoft.com/office/drawing/2012/chart">
                          <a:solidFill>
                            <a:schemeClr val="accent4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Gráficos!$D$128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Gráficos!$D$129</c15:sqref>
                        <c15:spPr xmlns:c15="http://schemas.microsoft.com/office/drawing/2012/chart">
                          <a:solidFill>
                            <a:schemeClr val="accent4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Gráficos!$D$130</c15:sqref>
                        <c15:spPr xmlns:c15="http://schemas.microsoft.com/office/drawing/2012/chart">
                          <a:solidFill>
                            <a:schemeClr val="accent4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Gráficos!$D$131</c15:sqref>
                        <c15:spPr xmlns:c15="http://schemas.microsoft.com/office/drawing/2012/chart">
                          <a:solidFill>
                            <a:schemeClr val="accent4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Gráficos!$D$132</c15:sqref>
                        <c15:spPr xmlns:c15="http://schemas.microsoft.com/office/drawing/2012/chart">
                          <a:solidFill>
                            <a:schemeClr val="accent4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Gráficos!$D$133</c15:sqref>
                        <c15:spPr xmlns:c15="http://schemas.microsoft.com/office/drawing/2012/chart">
                          <a:solidFill>
                            <a:schemeClr val="accent4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Gráficos!$D$134</c15:sqref>
                        <c15:spPr xmlns:c15="http://schemas.microsoft.com/office/drawing/2012/chart">
                          <a:solidFill>
                            <a:schemeClr val="accent4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Gráficos!$D$135</c15:sqref>
                        <c15:spPr xmlns:c15="http://schemas.microsoft.com/office/drawing/2012/chart">
                          <a:solidFill>
                            <a:schemeClr val="accent4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Gráficos!$D$136</c15:sqref>
                        <c15:spPr xmlns:c15="http://schemas.microsoft.com/office/drawing/2012/chart">
                          <a:solidFill>
                            <a:schemeClr val="accent4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Gráficos!$D$137</c15:sqref>
                        <c15:spPr xmlns:c15="http://schemas.microsoft.com/office/drawing/2012/chart">
                          <a:solidFill>
                            <a:schemeClr val="accent4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Gráficos!$D$138</c15:sqref>
                        <c15:spPr xmlns:c15="http://schemas.microsoft.com/office/drawing/2012/chart">
                          <a:solidFill>
                            <a:schemeClr val="accent4">
                              <a:tint val="3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Gráficos!$D$139</c15:sqref>
                        <c15:spPr xmlns:c15="http://schemas.microsoft.com/office/drawing/2012/chart">
                          <a:solidFill>
                            <a:schemeClr val="accent4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Gráficos!$D$140</c15:sqref>
                        <c15:spPr xmlns:c15="http://schemas.microsoft.com/office/drawing/2012/chart">
                          <a:solidFill>
                            <a:schemeClr val="accent4">
                              <a:tint val="8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Gráficos!$D$141</c15:sqref>
                        <c15:spPr xmlns:c15="http://schemas.microsoft.com/office/drawing/2012/chart">
                          <a:solidFill>
                            <a:schemeClr val="accent4">
                              <a:tint val="5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Gráficos!$D$142</c15:sqref>
                        <c15:spPr xmlns:c15="http://schemas.microsoft.com/office/drawing/2012/chart">
                          <a:solidFill>
                            <a:schemeClr val="accent4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Gráficos!$D$147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Gráficos!$D$151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Gráficos!$D$153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23-0226-4B2D-86EF-7F5C53282D25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Gráficos!$E$119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5-0226-4B2D-86EF-7F5C53282D2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4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7-0226-4B2D-86EF-7F5C53282D2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9-0226-4B2D-86EF-7F5C53282D2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B-0226-4B2D-86EF-7F5C53282D2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Gráficos!$A$143:$A$146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Gráficos!$E$120:$E$154</c15:sqref>
                        </c15:fullRef>
                        <c15:formulaRef>
                          <c15:sqref>Gráficos!$E$143:$E$146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8.0043919187421361E-2</c:v>
                      </c:pt>
                      <c:pt idx="1">
                        <c:v>9.4409469402142648E-2</c:v>
                      </c:pt>
                      <c:pt idx="2">
                        <c:v>6.8819867724607006E-2</c:v>
                      </c:pt>
                      <c:pt idx="3">
                        <c:v>6.1943877100742659E-2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Gráficos!$E$120</c15:sqref>
                        <c15:spPr xmlns:c15="http://schemas.microsoft.com/office/drawing/2012/chart">
                          <a:solidFill>
                            <a:schemeClr val="accent4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Gráficos!$E$121</c15:sqref>
                        <c15:spPr xmlns:c15="http://schemas.microsoft.com/office/drawing/2012/chart">
                          <a:solidFill>
                            <a:schemeClr val="accent4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Gráficos!$E$122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Gráficos!$E$123</c15:sqref>
                        <c15:spPr xmlns:c15="http://schemas.microsoft.com/office/drawing/2012/chart">
                          <a:solidFill>
                            <a:schemeClr val="accent4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Gráficos!$E$124</c15:sqref>
                        <c15:spPr xmlns:c15="http://schemas.microsoft.com/office/drawing/2012/chart">
                          <a:solidFill>
                            <a:schemeClr val="accent4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Gráficos!$E$125</c15:sqref>
                        <c15:spPr xmlns:c15="http://schemas.microsoft.com/office/drawing/2012/chart">
                          <a:solidFill>
                            <a:schemeClr val="accent4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Gráficos!$E$126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Gráficos!$E$127</c15:sqref>
                        <c15:spPr xmlns:c15="http://schemas.microsoft.com/office/drawing/2012/chart">
                          <a:solidFill>
                            <a:schemeClr val="accent4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Gráficos!$E$128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Gráficos!$E$129</c15:sqref>
                        <c15:spPr xmlns:c15="http://schemas.microsoft.com/office/drawing/2012/chart">
                          <a:solidFill>
                            <a:schemeClr val="accent4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Gráficos!$E$130</c15:sqref>
                        <c15:spPr xmlns:c15="http://schemas.microsoft.com/office/drawing/2012/chart">
                          <a:solidFill>
                            <a:schemeClr val="accent4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Gráficos!$E$131</c15:sqref>
                        <c15:spPr xmlns:c15="http://schemas.microsoft.com/office/drawing/2012/chart">
                          <a:solidFill>
                            <a:schemeClr val="accent4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Gráficos!$E$132</c15:sqref>
                        <c15:spPr xmlns:c15="http://schemas.microsoft.com/office/drawing/2012/chart">
                          <a:solidFill>
                            <a:schemeClr val="accent4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Gráficos!$E$133</c15:sqref>
                        <c15:spPr xmlns:c15="http://schemas.microsoft.com/office/drawing/2012/chart">
                          <a:solidFill>
                            <a:schemeClr val="accent4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Gráficos!$E$134</c15:sqref>
                        <c15:spPr xmlns:c15="http://schemas.microsoft.com/office/drawing/2012/chart">
                          <a:solidFill>
                            <a:schemeClr val="accent4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Gráficos!$E$135</c15:sqref>
                        <c15:spPr xmlns:c15="http://schemas.microsoft.com/office/drawing/2012/chart">
                          <a:solidFill>
                            <a:schemeClr val="accent4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Gráficos!$E$136</c15:sqref>
                        <c15:spPr xmlns:c15="http://schemas.microsoft.com/office/drawing/2012/chart">
                          <a:solidFill>
                            <a:schemeClr val="accent4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Gráficos!$E$137</c15:sqref>
                        <c15:spPr xmlns:c15="http://schemas.microsoft.com/office/drawing/2012/chart">
                          <a:solidFill>
                            <a:schemeClr val="accent4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Gráficos!$E$138</c15:sqref>
                        <c15:spPr xmlns:c15="http://schemas.microsoft.com/office/drawing/2012/chart">
                          <a:solidFill>
                            <a:schemeClr val="accent4">
                              <a:tint val="3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Gráficos!$E$139</c15:sqref>
                        <c15:spPr xmlns:c15="http://schemas.microsoft.com/office/drawing/2012/chart">
                          <a:solidFill>
                            <a:schemeClr val="accent4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Gráficos!$E$140</c15:sqref>
                        <c15:spPr xmlns:c15="http://schemas.microsoft.com/office/drawing/2012/chart">
                          <a:solidFill>
                            <a:schemeClr val="accent4">
                              <a:tint val="8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Gráficos!$E$141</c15:sqref>
                        <c15:spPr xmlns:c15="http://schemas.microsoft.com/office/drawing/2012/chart">
                          <a:solidFill>
                            <a:schemeClr val="accent4">
                              <a:tint val="5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Gráficos!$E$142</c15:sqref>
                        <c15:spPr xmlns:c15="http://schemas.microsoft.com/office/drawing/2012/chart">
                          <a:solidFill>
                            <a:schemeClr val="accent4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Gráficos!$E$147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Gráficos!$E$151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Gráficos!$E$153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2C-0226-4B2D-86EF-7F5C53282D25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Gráficos!$F$119</c15:sqref>
                        </c15:formulaRef>
                      </c:ext>
                    </c:extLst>
                    <c:strCache>
                      <c:ptCount val="1"/>
                      <c:pt idx="0">
                        <c:v>PJ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E-0226-4B2D-86EF-7F5C53282D2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4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0-0226-4B2D-86EF-7F5C53282D2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2-0226-4B2D-86EF-7F5C53282D2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4-0226-4B2D-86EF-7F5C53282D2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Gráficos!$A$143:$A$146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Gráficos!$F$120:$F$154</c15:sqref>
                        </c15:fullRef>
                        <c15:formulaRef>
                          <c15:sqref>Gráficos!$F$143:$F$146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64451.424000000006</c:v>
                      </c:pt>
                      <c:pt idx="1">
                        <c:v>232550.92</c:v>
                      </c:pt>
                      <c:pt idx="2">
                        <c:v>363129.60800000007</c:v>
                      </c:pt>
                      <c:pt idx="3">
                        <c:v>1036639.0640000001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Gráficos!$F$120</c15:sqref>
                        <c15:spPr xmlns:c15="http://schemas.microsoft.com/office/drawing/2012/chart">
                          <a:solidFill>
                            <a:schemeClr val="accent4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Gráficos!$F$121</c15:sqref>
                        <c15:spPr xmlns:c15="http://schemas.microsoft.com/office/drawing/2012/chart">
                          <a:solidFill>
                            <a:schemeClr val="accent4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Gráficos!$F$122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Gráficos!$F$123</c15:sqref>
                        <c15:spPr xmlns:c15="http://schemas.microsoft.com/office/drawing/2012/chart">
                          <a:solidFill>
                            <a:schemeClr val="accent4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Gráficos!$F$124</c15:sqref>
                        <c15:spPr xmlns:c15="http://schemas.microsoft.com/office/drawing/2012/chart">
                          <a:solidFill>
                            <a:schemeClr val="accent4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Gráficos!$F$125</c15:sqref>
                        <c15:spPr xmlns:c15="http://schemas.microsoft.com/office/drawing/2012/chart">
                          <a:solidFill>
                            <a:schemeClr val="accent4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Gráficos!$F$126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Gráficos!$F$127</c15:sqref>
                        <c15:spPr xmlns:c15="http://schemas.microsoft.com/office/drawing/2012/chart">
                          <a:solidFill>
                            <a:schemeClr val="accent4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Gráficos!$F$128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Gráficos!$F$129</c15:sqref>
                        <c15:spPr xmlns:c15="http://schemas.microsoft.com/office/drawing/2012/chart">
                          <a:solidFill>
                            <a:schemeClr val="accent4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Gráficos!$F$130</c15:sqref>
                        <c15:spPr xmlns:c15="http://schemas.microsoft.com/office/drawing/2012/chart">
                          <a:solidFill>
                            <a:schemeClr val="accent4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Gráficos!$F$131</c15:sqref>
                        <c15:spPr xmlns:c15="http://schemas.microsoft.com/office/drawing/2012/chart">
                          <a:solidFill>
                            <a:schemeClr val="accent4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Gráficos!$F$132</c15:sqref>
                        <c15:spPr xmlns:c15="http://schemas.microsoft.com/office/drawing/2012/chart">
                          <a:solidFill>
                            <a:schemeClr val="accent4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Gráficos!$F$133</c15:sqref>
                        <c15:spPr xmlns:c15="http://schemas.microsoft.com/office/drawing/2012/chart">
                          <a:solidFill>
                            <a:schemeClr val="accent4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Gráficos!$F$134</c15:sqref>
                        <c15:spPr xmlns:c15="http://schemas.microsoft.com/office/drawing/2012/chart">
                          <a:solidFill>
                            <a:schemeClr val="accent4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Gráficos!$F$135</c15:sqref>
                        <c15:spPr xmlns:c15="http://schemas.microsoft.com/office/drawing/2012/chart">
                          <a:solidFill>
                            <a:schemeClr val="accent4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Gráficos!$F$136</c15:sqref>
                        <c15:spPr xmlns:c15="http://schemas.microsoft.com/office/drawing/2012/chart">
                          <a:solidFill>
                            <a:schemeClr val="accent4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Gráficos!$F$137</c15:sqref>
                        <c15:spPr xmlns:c15="http://schemas.microsoft.com/office/drawing/2012/chart">
                          <a:solidFill>
                            <a:schemeClr val="accent4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Gráficos!$F$138</c15:sqref>
                        <c15:spPr xmlns:c15="http://schemas.microsoft.com/office/drawing/2012/chart">
                          <a:solidFill>
                            <a:schemeClr val="accent4">
                              <a:tint val="3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Gráficos!$F$139</c15:sqref>
                        <c15:spPr xmlns:c15="http://schemas.microsoft.com/office/drawing/2012/chart">
                          <a:solidFill>
                            <a:schemeClr val="accent4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Gráficos!$F$140</c15:sqref>
                        <c15:spPr xmlns:c15="http://schemas.microsoft.com/office/drawing/2012/chart">
                          <a:solidFill>
                            <a:schemeClr val="accent4">
                              <a:tint val="8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Gráficos!$F$141</c15:sqref>
                        <c15:spPr xmlns:c15="http://schemas.microsoft.com/office/drawing/2012/chart">
                          <a:solidFill>
                            <a:schemeClr val="accent4">
                              <a:tint val="5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Gráficos!$F$142</c15:sqref>
                        <c15:spPr xmlns:c15="http://schemas.microsoft.com/office/drawing/2012/chart">
                          <a:solidFill>
                            <a:schemeClr val="accent4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Gráficos!$F$147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Gráficos!$F$151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Gráficos!$F$153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35-0226-4B2D-86EF-7F5C53282D25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Gráficos!$G$119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7-0226-4B2D-86EF-7F5C53282D2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4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9-0226-4B2D-86EF-7F5C53282D2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B-0226-4B2D-86EF-7F5C53282D2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D-0226-4B2D-86EF-7F5C53282D2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Gráficos!$A$143:$A$146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Gráficos!$G$120:$G$154</c15:sqref>
                        </c15:fullRef>
                        <c15:formulaRef>
                          <c15:sqref>Gráficos!$G$143:$G$146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5.9941820536074907E-2</c:v>
                      </c:pt>
                      <c:pt idx="1">
                        <c:v>5.9413055233460549E-2</c:v>
                      </c:pt>
                      <c:pt idx="2">
                        <c:v>7.7402758602422461E-2</c:v>
                      </c:pt>
                      <c:pt idx="3">
                        <c:v>5.564902470874962E-2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Gráficos!$G$120</c15:sqref>
                        <c15:spPr xmlns:c15="http://schemas.microsoft.com/office/drawing/2012/chart">
                          <a:solidFill>
                            <a:schemeClr val="accent4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Gráficos!$G$121</c15:sqref>
                        <c15:spPr xmlns:c15="http://schemas.microsoft.com/office/drawing/2012/chart">
                          <a:solidFill>
                            <a:schemeClr val="accent4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Gráficos!$G$122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Gráficos!$G$123</c15:sqref>
                        <c15:spPr xmlns:c15="http://schemas.microsoft.com/office/drawing/2012/chart">
                          <a:solidFill>
                            <a:schemeClr val="accent4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Gráficos!$G$124</c15:sqref>
                        <c15:spPr xmlns:c15="http://schemas.microsoft.com/office/drawing/2012/chart">
                          <a:solidFill>
                            <a:schemeClr val="accent4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Gráficos!$G$125</c15:sqref>
                        <c15:spPr xmlns:c15="http://schemas.microsoft.com/office/drawing/2012/chart">
                          <a:solidFill>
                            <a:schemeClr val="accent4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Gráficos!$G$126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Gráficos!$G$127</c15:sqref>
                        <c15:spPr xmlns:c15="http://schemas.microsoft.com/office/drawing/2012/chart">
                          <a:solidFill>
                            <a:schemeClr val="accent4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Gráficos!$G$128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Gráficos!$G$129</c15:sqref>
                        <c15:spPr xmlns:c15="http://schemas.microsoft.com/office/drawing/2012/chart">
                          <a:solidFill>
                            <a:schemeClr val="accent4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Gráficos!$G$130</c15:sqref>
                        <c15:spPr xmlns:c15="http://schemas.microsoft.com/office/drawing/2012/chart">
                          <a:solidFill>
                            <a:schemeClr val="accent4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Gráficos!$G$131</c15:sqref>
                        <c15:spPr xmlns:c15="http://schemas.microsoft.com/office/drawing/2012/chart">
                          <a:solidFill>
                            <a:schemeClr val="accent4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Gráficos!$G$132</c15:sqref>
                        <c15:spPr xmlns:c15="http://schemas.microsoft.com/office/drawing/2012/chart">
                          <a:solidFill>
                            <a:schemeClr val="accent4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Gráficos!$G$133</c15:sqref>
                        <c15:spPr xmlns:c15="http://schemas.microsoft.com/office/drawing/2012/chart">
                          <a:solidFill>
                            <a:schemeClr val="accent4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Gráficos!$G$134</c15:sqref>
                        <c15:spPr xmlns:c15="http://schemas.microsoft.com/office/drawing/2012/chart">
                          <a:solidFill>
                            <a:schemeClr val="accent4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Gráficos!$G$135</c15:sqref>
                        <c15:spPr xmlns:c15="http://schemas.microsoft.com/office/drawing/2012/chart">
                          <a:solidFill>
                            <a:schemeClr val="accent4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Gráficos!$G$136</c15:sqref>
                        <c15:spPr xmlns:c15="http://schemas.microsoft.com/office/drawing/2012/chart">
                          <a:solidFill>
                            <a:schemeClr val="accent4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Gráficos!$G$137</c15:sqref>
                        <c15:spPr xmlns:c15="http://schemas.microsoft.com/office/drawing/2012/chart">
                          <a:solidFill>
                            <a:schemeClr val="accent4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Gráficos!$G$138</c15:sqref>
                        <c15:spPr xmlns:c15="http://schemas.microsoft.com/office/drawing/2012/chart">
                          <a:solidFill>
                            <a:schemeClr val="accent4">
                              <a:tint val="3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Gráficos!$G$139</c15:sqref>
                        <c15:spPr xmlns:c15="http://schemas.microsoft.com/office/drawing/2012/chart">
                          <a:solidFill>
                            <a:schemeClr val="accent4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Gráficos!$G$140</c15:sqref>
                        <c15:spPr xmlns:c15="http://schemas.microsoft.com/office/drawing/2012/chart">
                          <a:solidFill>
                            <a:schemeClr val="accent4">
                              <a:tint val="8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Gráficos!$G$141</c15:sqref>
                        <c15:spPr xmlns:c15="http://schemas.microsoft.com/office/drawing/2012/chart">
                          <a:solidFill>
                            <a:schemeClr val="accent4">
                              <a:tint val="5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Gráficos!$G$142</c15:sqref>
                        <c15:spPr xmlns:c15="http://schemas.microsoft.com/office/drawing/2012/chart">
                          <a:solidFill>
                            <a:schemeClr val="accent4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Gráficos!$G$147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Gráficos!$G$151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Gráficos!$G$153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3E-0226-4B2D-86EF-7F5C53282D25}"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Gráficos!$H$119</c15:sqref>
                        </c15:formulaRef>
                      </c:ext>
                    </c:extLst>
                    <c:strCache>
                      <c:ptCount val="1"/>
                      <c:pt idx="0">
                        <c:v>PJ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0-0226-4B2D-86EF-7F5C53282D2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4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2-0226-4B2D-86EF-7F5C53282D2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4-0226-4B2D-86EF-7F5C53282D2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6-0226-4B2D-86EF-7F5C53282D2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Gráficos!$A$143:$A$146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Gráficos!$H$120:$H$154</c15:sqref>
                        </c15:fullRef>
                        <c15:formulaRef>
                          <c15:sqref>Gráficos!$H$143:$H$146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12791.136</c:v>
                      </c:pt>
                      <c:pt idx="1">
                        <c:v>69245.464000000007</c:v>
                      </c:pt>
                      <c:pt idx="2">
                        <c:v>56500.298000000003</c:v>
                      </c:pt>
                      <c:pt idx="3">
                        <c:v>154376.66999999998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Gráficos!$H$120</c15:sqref>
                        <c15:spPr xmlns:c15="http://schemas.microsoft.com/office/drawing/2012/chart">
                          <a:solidFill>
                            <a:schemeClr val="accent4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Gráficos!$H$121</c15:sqref>
                        <c15:spPr xmlns:c15="http://schemas.microsoft.com/office/drawing/2012/chart">
                          <a:solidFill>
                            <a:schemeClr val="accent4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Gráficos!$H$122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Gráficos!$H$123</c15:sqref>
                        <c15:spPr xmlns:c15="http://schemas.microsoft.com/office/drawing/2012/chart">
                          <a:solidFill>
                            <a:schemeClr val="accent4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Gráficos!$H$124</c15:sqref>
                        <c15:spPr xmlns:c15="http://schemas.microsoft.com/office/drawing/2012/chart">
                          <a:solidFill>
                            <a:schemeClr val="accent4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Gráficos!$H$125</c15:sqref>
                        <c15:spPr xmlns:c15="http://schemas.microsoft.com/office/drawing/2012/chart">
                          <a:solidFill>
                            <a:schemeClr val="accent4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Gráficos!$H$126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Gráficos!$H$127</c15:sqref>
                        <c15:spPr xmlns:c15="http://schemas.microsoft.com/office/drawing/2012/chart">
                          <a:solidFill>
                            <a:schemeClr val="accent4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Gráficos!$H$128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Gráficos!$H$129</c15:sqref>
                        <c15:spPr xmlns:c15="http://schemas.microsoft.com/office/drawing/2012/chart">
                          <a:solidFill>
                            <a:schemeClr val="accent4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Gráficos!$H$130</c15:sqref>
                        <c15:spPr xmlns:c15="http://schemas.microsoft.com/office/drawing/2012/chart">
                          <a:solidFill>
                            <a:schemeClr val="accent4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Gráficos!$H$131</c15:sqref>
                        <c15:spPr xmlns:c15="http://schemas.microsoft.com/office/drawing/2012/chart">
                          <a:solidFill>
                            <a:schemeClr val="accent4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Gráficos!$H$132</c15:sqref>
                        <c15:spPr xmlns:c15="http://schemas.microsoft.com/office/drawing/2012/chart">
                          <a:solidFill>
                            <a:schemeClr val="accent4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Gráficos!$H$133</c15:sqref>
                        <c15:spPr xmlns:c15="http://schemas.microsoft.com/office/drawing/2012/chart">
                          <a:solidFill>
                            <a:schemeClr val="accent4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Gráficos!$H$134</c15:sqref>
                        <c15:spPr xmlns:c15="http://schemas.microsoft.com/office/drawing/2012/chart">
                          <a:solidFill>
                            <a:schemeClr val="accent4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Gráficos!$H$135</c15:sqref>
                        <c15:spPr xmlns:c15="http://schemas.microsoft.com/office/drawing/2012/chart">
                          <a:solidFill>
                            <a:schemeClr val="accent4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Gráficos!$H$136</c15:sqref>
                        <c15:spPr xmlns:c15="http://schemas.microsoft.com/office/drawing/2012/chart">
                          <a:solidFill>
                            <a:schemeClr val="accent4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Gráficos!$H$137</c15:sqref>
                        <c15:spPr xmlns:c15="http://schemas.microsoft.com/office/drawing/2012/chart">
                          <a:solidFill>
                            <a:schemeClr val="accent4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Gráficos!$H$138</c15:sqref>
                        <c15:spPr xmlns:c15="http://schemas.microsoft.com/office/drawing/2012/chart">
                          <a:solidFill>
                            <a:schemeClr val="accent4">
                              <a:tint val="3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Gráficos!$H$139</c15:sqref>
                        <c15:spPr xmlns:c15="http://schemas.microsoft.com/office/drawing/2012/chart">
                          <a:solidFill>
                            <a:schemeClr val="accent4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Gráficos!$H$140</c15:sqref>
                        <c15:spPr xmlns:c15="http://schemas.microsoft.com/office/drawing/2012/chart">
                          <a:solidFill>
                            <a:schemeClr val="accent4">
                              <a:tint val="8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Gráficos!$H$141</c15:sqref>
                        <c15:spPr xmlns:c15="http://schemas.microsoft.com/office/drawing/2012/chart">
                          <a:solidFill>
                            <a:schemeClr val="accent4">
                              <a:tint val="5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Gráficos!$H$142</c15:sqref>
                        <c15:spPr xmlns:c15="http://schemas.microsoft.com/office/drawing/2012/chart">
                          <a:solidFill>
                            <a:schemeClr val="accent4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Gráficos!$H$147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Gráficos!$H$151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Gráficos!$H$153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47-0226-4B2D-86EF-7F5C53282D25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Gráficos!$I$119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9-0226-4B2D-86EF-7F5C53282D2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4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B-0226-4B2D-86EF-7F5C53282D2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D-0226-4B2D-86EF-7F5C53282D2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F-0226-4B2D-86EF-7F5C53282D2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Gráficos!$A$143:$A$146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Gráficos!$I$120:$I$154</c15:sqref>
                        </c15:fullRef>
                        <c15:formulaRef>
                          <c15:sqref>Gráficos!$I$143:$I$146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1.1896152652337472E-2</c:v>
                      </c:pt>
                      <c:pt idx="1">
                        <c:v>1.7691112885292407E-2</c:v>
                      </c:pt>
                      <c:pt idx="2">
                        <c:v>1.2043300327796273E-2</c:v>
                      </c:pt>
                      <c:pt idx="3">
                        <c:v>8.2872731904732513E-3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Gráficos!$I$120</c15:sqref>
                        <c15:spPr xmlns:c15="http://schemas.microsoft.com/office/drawing/2012/chart">
                          <a:solidFill>
                            <a:schemeClr val="accent4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Gráficos!$I$121</c15:sqref>
                        <c15:spPr xmlns:c15="http://schemas.microsoft.com/office/drawing/2012/chart">
                          <a:solidFill>
                            <a:schemeClr val="accent4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Gráficos!$I$122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Gráficos!$I$123</c15:sqref>
                        <c15:spPr xmlns:c15="http://schemas.microsoft.com/office/drawing/2012/chart">
                          <a:solidFill>
                            <a:schemeClr val="accent4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Gráficos!$I$124</c15:sqref>
                        <c15:spPr xmlns:c15="http://schemas.microsoft.com/office/drawing/2012/chart">
                          <a:solidFill>
                            <a:schemeClr val="accent4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Gráficos!$I$125</c15:sqref>
                        <c15:spPr xmlns:c15="http://schemas.microsoft.com/office/drawing/2012/chart">
                          <a:solidFill>
                            <a:schemeClr val="accent4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Gráficos!$I$126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Gráficos!$I$127</c15:sqref>
                        <c15:spPr xmlns:c15="http://schemas.microsoft.com/office/drawing/2012/chart">
                          <a:solidFill>
                            <a:schemeClr val="accent4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Gráficos!$I$128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Gráficos!$I$129</c15:sqref>
                        <c15:spPr xmlns:c15="http://schemas.microsoft.com/office/drawing/2012/chart">
                          <a:solidFill>
                            <a:schemeClr val="accent4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Gráficos!$I$130</c15:sqref>
                        <c15:spPr xmlns:c15="http://schemas.microsoft.com/office/drawing/2012/chart">
                          <a:solidFill>
                            <a:schemeClr val="accent4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Gráficos!$I$131</c15:sqref>
                        <c15:spPr xmlns:c15="http://schemas.microsoft.com/office/drawing/2012/chart">
                          <a:solidFill>
                            <a:schemeClr val="accent4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Gráficos!$I$132</c15:sqref>
                        <c15:spPr xmlns:c15="http://schemas.microsoft.com/office/drawing/2012/chart">
                          <a:solidFill>
                            <a:schemeClr val="accent4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Gráficos!$I$133</c15:sqref>
                        <c15:spPr xmlns:c15="http://schemas.microsoft.com/office/drawing/2012/chart">
                          <a:solidFill>
                            <a:schemeClr val="accent4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Gráficos!$I$134</c15:sqref>
                        <c15:spPr xmlns:c15="http://schemas.microsoft.com/office/drawing/2012/chart">
                          <a:solidFill>
                            <a:schemeClr val="accent4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Gráficos!$I$135</c15:sqref>
                        <c15:spPr xmlns:c15="http://schemas.microsoft.com/office/drawing/2012/chart">
                          <a:solidFill>
                            <a:schemeClr val="accent4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Gráficos!$I$136</c15:sqref>
                        <c15:spPr xmlns:c15="http://schemas.microsoft.com/office/drawing/2012/chart">
                          <a:solidFill>
                            <a:schemeClr val="accent4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Gráficos!$I$137</c15:sqref>
                        <c15:spPr xmlns:c15="http://schemas.microsoft.com/office/drawing/2012/chart">
                          <a:solidFill>
                            <a:schemeClr val="accent4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Gráficos!$I$138</c15:sqref>
                        <c15:spPr xmlns:c15="http://schemas.microsoft.com/office/drawing/2012/chart">
                          <a:solidFill>
                            <a:schemeClr val="accent4">
                              <a:tint val="3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Gráficos!$I$139</c15:sqref>
                        <c15:spPr xmlns:c15="http://schemas.microsoft.com/office/drawing/2012/chart">
                          <a:solidFill>
                            <a:schemeClr val="accent4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Gráficos!$I$140</c15:sqref>
                        <c15:spPr xmlns:c15="http://schemas.microsoft.com/office/drawing/2012/chart">
                          <a:solidFill>
                            <a:schemeClr val="accent4">
                              <a:tint val="8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Gráficos!$I$141</c15:sqref>
                        <c15:spPr xmlns:c15="http://schemas.microsoft.com/office/drawing/2012/chart">
                          <a:solidFill>
                            <a:schemeClr val="accent4">
                              <a:tint val="5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Gráficos!$I$142</c15:sqref>
                        <c15:spPr xmlns:c15="http://schemas.microsoft.com/office/drawing/2012/chart">
                          <a:solidFill>
                            <a:schemeClr val="accent4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Gráficos!$I$147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Gráficos!$I$151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Gráficos!$I$153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50-0226-4B2D-86EF-7F5C53282D25}"/>
                  </c:ext>
                </c:extLst>
              </c15:ser>
            </c15:filteredPieSeries>
            <c15:filteredPi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Gráficos!$J$119</c15:sqref>
                        </c15:formulaRef>
                      </c:ext>
                    </c:extLst>
                    <c:strCache>
                      <c:ptCount val="1"/>
                      <c:pt idx="0">
                        <c:v>RRT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2-0226-4B2D-86EF-7F5C53282D2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4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4-0226-4B2D-86EF-7F5C53282D2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6-0226-4B2D-86EF-7F5C53282D2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8-0226-4B2D-86EF-7F5C53282D2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Gráficos!$A$143:$A$146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Gráficos!$J$120:$J$154</c15:sqref>
                        </c15:fullRef>
                        <c15:formulaRef>
                          <c15:sqref>Gráficos!$J$143:$J$146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328060.864</c:v>
                      </c:pt>
                      <c:pt idx="1">
                        <c:v>1235770.56</c:v>
                      </c:pt>
                      <c:pt idx="2">
                        <c:v>1418394.9920000001</c:v>
                      </c:pt>
                      <c:pt idx="3">
                        <c:v>7776187.7280000001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Gráficos!$J$120</c15:sqref>
                        <c15:spPr xmlns:c15="http://schemas.microsoft.com/office/drawing/2012/chart">
                          <a:solidFill>
                            <a:schemeClr val="accent4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Gráficos!$J$121</c15:sqref>
                        <c15:spPr xmlns:c15="http://schemas.microsoft.com/office/drawing/2012/chart">
                          <a:solidFill>
                            <a:schemeClr val="accent4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Gráficos!$J$122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Gráficos!$J$123</c15:sqref>
                        <c15:spPr xmlns:c15="http://schemas.microsoft.com/office/drawing/2012/chart">
                          <a:solidFill>
                            <a:schemeClr val="accent4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Gráficos!$J$124</c15:sqref>
                        <c15:spPr xmlns:c15="http://schemas.microsoft.com/office/drawing/2012/chart">
                          <a:solidFill>
                            <a:schemeClr val="accent4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Gráficos!$J$125</c15:sqref>
                        <c15:spPr xmlns:c15="http://schemas.microsoft.com/office/drawing/2012/chart">
                          <a:solidFill>
                            <a:schemeClr val="accent4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Gráficos!$J$126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Gráficos!$J$127</c15:sqref>
                        <c15:spPr xmlns:c15="http://schemas.microsoft.com/office/drawing/2012/chart">
                          <a:solidFill>
                            <a:schemeClr val="accent4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Gráficos!$J$128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Gráficos!$J$129</c15:sqref>
                        <c15:spPr xmlns:c15="http://schemas.microsoft.com/office/drawing/2012/chart">
                          <a:solidFill>
                            <a:schemeClr val="accent4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Gráficos!$J$130</c15:sqref>
                        <c15:spPr xmlns:c15="http://schemas.microsoft.com/office/drawing/2012/chart">
                          <a:solidFill>
                            <a:schemeClr val="accent4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Gráficos!$J$131</c15:sqref>
                        <c15:spPr xmlns:c15="http://schemas.microsoft.com/office/drawing/2012/chart">
                          <a:solidFill>
                            <a:schemeClr val="accent4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Gráficos!$J$132</c15:sqref>
                        <c15:spPr xmlns:c15="http://schemas.microsoft.com/office/drawing/2012/chart">
                          <a:solidFill>
                            <a:schemeClr val="accent4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Gráficos!$J$133</c15:sqref>
                        <c15:spPr xmlns:c15="http://schemas.microsoft.com/office/drawing/2012/chart">
                          <a:solidFill>
                            <a:schemeClr val="accent4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Gráficos!$J$134</c15:sqref>
                        <c15:spPr xmlns:c15="http://schemas.microsoft.com/office/drawing/2012/chart">
                          <a:solidFill>
                            <a:schemeClr val="accent4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Gráficos!$J$135</c15:sqref>
                        <c15:spPr xmlns:c15="http://schemas.microsoft.com/office/drawing/2012/chart">
                          <a:solidFill>
                            <a:schemeClr val="accent4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Gráficos!$J$136</c15:sqref>
                        <c15:spPr xmlns:c15="http://schemas.microsoft.com/office/drawing/2012/chart">
                          <a:solidFill>
                            <a:schemeClr val="accent4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Gráficos!$J$137</c15:sqref>
                        <c15:spPr xmlns:c15="http://schemas.microsoft.com/office/drawing/2012/chart">
                          <a:solidFill>
                            <a:schemeClr val="accent4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Gráficos!$J$138</c15:sqref>
                        <c15:spPr xmlns:c15="http://schemas.microsoft.com/office/drawing/2012/chart">
                          <a:solidFill>
                            <a:schemeClr val="accent4">
                              <a:tint val="3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Gráficos!$J$139</c15:sqref>
                        <c15:spPr xmlns:c15="http://schemas.microsoft.com/office/drawing/2012/chart">
                          <a:solidFill>
                            <a:schemeClr val="accent4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Gráficos!$J$140</c15:sqref>
                        <c15:spPr xmlns:c15="http://schemas.microsoft.com/office/drawing/2012/chart">
                          <a:solidFill>
                            <a:schemeClr val="accent4">
                              <a:tint val="8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Gráficos!$J$141</c15:sqref>
                        <c15:spPr xmlns:c15="http://schemas.microsoft.com/office/drawing/2012/chart">
                          <a:solidFill>
                            <a:schemeClr val="accent4">
                              <a:tint val="5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Gráficos!$J$142</c15:sqref>
                        <c15:spPr xmlns:c15="http://schemas.microsoft.com/office/drawing/2012/chart">
                          <a:solidFill>
                            <a:schemeClr val="accent4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Gráficos!$J$147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Gráficos!$J$151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Gráficos!$J$153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59-0226-4B2D-86EF-7F5C53282D25}"/>
                  </c:ext>
                </c:extLst>
              </c15:ser>
            </c15:filteredPieSeries>
            <c15:filteredPi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Gráficos!$K$119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B-0226-4B2D-86EF-7F5C53282D2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4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D-0226-4B2D-86EF-7F5C53282D2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F-0226-4B2D-86EF-7F5C53282D2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1-0226-4B2D-86EF-7F5C53282D2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Gráficos!$A$143:$A$146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Gráficos!$K$120:$K$154</c15:sqref>
                        </c15:fullRef>
                        <c15:formulaRef>
                          <c15:sqref>Gráficos!$K$143:$K$146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0.30510676435632633</c:v>
                      </c:pt>
                      <c:pt idx="1">
                        <c:v>0.31571969071188566</c:v>
                      </c:pt>
                      <c:pt idx="2">
                        <c:v>0.30233746505369213</c:v>
                      </c:pt>
                      <c:pt idx="3">
                        <c:v>0.41744255840174233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Gráficos!$K$120</c15:sqref>
                        <c15:spPr xmlns:c15="http://schemas.microsoft.com/office/drawing/2012/chart">
                          <a:solidFill>
                            <a:schemeClr val="accent4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Gráficos!$K$121</c15:sqref>
                        <c15:spPr xmlns:c15="http://schemas.microsoft.com/office/drawing/2012/chart">
                          <a:solidFill>
                            <a:schemeClr val="accent4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Gráficos!$K$122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Gráficos!$K$123</c15:sqref>
                        <c15:spPr xmlns:c15="http://schemas.microsoft.com/office/drawing/2012/chart">
                          <a:solidFill>
                            <a:schemeClr val="accent4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Gráficos!$K$124</c15:sqref>
                        <c15:spPr xmlns:c15="http://schemas.microsoft.com/office/drawing/2012/chart">
                          <a:solidFill>
                            <a:schemeClr val="accent4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Gráficos!$K$125</c15:sqref>
                        <c15:spPr xmlns:c15="http://schemas.microsoft.com/office/drawing/2012/chart">
                          <a:solidFill>
                            <a:schemeClr val="accent4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Gráficos!$K$126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Gráficos!$K$127</c15:sqref>
                        <c15:spPr xmlns:c15="http://schemas.microsoft.com/office/drawing/2012/chart">
                          <a:solidFill>
                            <a:schemeClr val="accent4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Gráficos!$K$128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Gráficos!$K$129</c15:sqref>
                        <c15:spPr xmlns:c15="http://schemas.microsoft.com/office/drawing/2012/chart">
                          <a:solidFill>
                            <a:schemeClr val="accent4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Gráficos!$K$130</c15:sqref>
                        <c15:spPr xmlns:c15="http://schemas.microsoft.com/office/drawing/2012/chart">
                          <a:solidFill>
                            <a:schemeClr val="accent4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Gráficos!$K$131</c15:sqref>
                        <c15:spPr xmlns:c15="http://schemas.microsoft.com/office/drawing/2012/chart">
                          <a:solidFill>
                            <a:schemeClr val="accent4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Gráficos!$K$132</c15:sqref>
                        <c15:spPr xmlns:c15="http://schemas.microsoft.com/office/drawing/2012/chart">
                          <a:solidFill>
                            <a:schemeClr val="accent4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Gráficos!$K$133</c15:sqref>
                        <c15:spPr xmlns:c15="http://schemas.microsoft.com/office/drawing/2012/chart">
                          <a:solidFill>
                            <a:schemeClr val="accent4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Gráficos!$K$134</c15:sqref>
                        <c15:spPr xmlns:c15="http://schemas.microsoft.com/office/drawing/2012/chart">
                          <a:solidFill>
                            <a:schemeClr val="accent4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Gráficos!$K$135</c15:sqref>
                        <c15:spPr xmlns:c15="http://schemas.microsoft.com/office/drawing/2012/chart">
                          <a:solidFill>
                            <a:schemeClr val="accent4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Gráficos!$K$136</c15:sqref>
                        <c15:spPr xmlns:c15="http://schemas.microsoft.com/office/drawing/2012/chart">
                          <a:solidFill>
                            <a:schemeClr val="accent4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Gráficos!$K$137</c15:sqref>
                        <c15:spPr xmlns:c15="http://schemas.microsoft.com/office/drawing/2012/chart">
                          <a:solidFill>
                            <a:schemeClr val="accent4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Gráficos!$K$138</c15:sqref>
                        <c15:spPr xmlns:c15="http://schemas.microsoft.com/office/drawing/2012/chart">
                          <a:solidFill>
                            <a:schemeClr val="accent4">
                              <a:tint val="3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Gráficos!$K$139</c15:sqref>
                        <c15:spPr xmlns:c15="http://schemas.microsoft.com/office/drawing/2012/chart">
                          <a:solidFill>
                            <a:schemeClr val="accent4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Gráficos!$K$140</c15:sqref>
                        <c15:spPr xmlns:c15="http://schemas.microsoft.com/office/drawing/2012/chart">
                          <a:solidFill>
                            <a:schemeClr val="accent4">
                              <a:tint val="8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Gráficos!$K$141</c15:sqref>
                        <c15:spPr xmlns:c15="http://schemas.microsoft.com/office/drawing/2012/chart">
                          <a:solidFill>
                            <a:schemeClr val="accent4">
                              <a:tint val="5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Gráficos!$K$142</c15:sqref>
                        <c15:spPr xmlns:c15="http://schemas.microsoft.com/office/drawing/2012/chart">
                          <a:solidFill>
                            <a:schemeClr val="accent4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Gráficos!$K$147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Gráficos!$K$151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Gráficos!$K$153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62-0226-4B2D-86EF-7F5C53282D25}"/>
                  </c:ext>
                </c:extLst>
              </c15:ser>
            </c15:filteredPieSeries>
            <c15:filteredPi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Gráficos!$L$119</c15:sqref>
                        </c15:formulaRef>
                      </c:ext>
                    </c:extLst>
                    <c:strCache>
                      <c:ptCount val="1"/>
                      <c:pt idx="0">
                        <c:v>Taxas
e Multas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4-0226-4B2D-86EF-7F5C53282D2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4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6-0226-4B2D-86EF-7F5C53282D2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8-0226-4B2D-86EF-7F5C53282D2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A-0226-4B2D-86EF-7F5C53282D2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Gráficos!$A$143:$A$146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Gráficos!$L$120:$L$154</c15:sqref>
                        </c15:fullRef>
                        <c15:formulaRef>
                          <c15:sqref>Gráficos!$L$143:$L$146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4"/>
                      <c:pt idx="0">
                        <c:v>42172.19200000001</c:v>
                      </c:pt>
                      <c:pt idx="1">
                        <c:v>173052.758</c:v>
                      </c:pt>
                      <c:pt idx="2">
                        <c:v>191373.63200000001</c:v>
                      </c:pt>
                      <c:pt idx="3">
                        <c:v>537858.19039999996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Gráficos!$L$120</c15:sqref>
                        <c15:spPr xmlns:c15="http://schemas.microsoft.com/office/drawing/2012/chart">
                          <a:solidFill>
                            <a:schemeClr val="accent4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Gráficos!$L$121</c15:sqref>
                        <c15:spPr xmlns:c15="http://schemas.microsoft.com/office/drawing/2012/chart">
                          <a:solidFill>
                            <a:schemeClr val="accent4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Gráficos!$L$122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Gráficos!$L$123</c15:sqref>
                        <c15:spPr xmlns:c15="http://schemas.microsoft.com/office/drawing/2012/chart">
                          <a:solidFill>
                            <a:schemeClr val="accent4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Gráficos!$L$124</c15:sqref>
                        <c15:spPr xmlns:c15="http://schemas.microsoft.com/office/drawing/2012/chart">
                          <a:solidFill>
                            <a:schemeClr val="accent4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Gráficos!$L$125</c15:sqref>
                        <c15:spPr xmlns:c15="http://schemas.microsoft.com/office/drawing/2012/chart">
                          <a:solidFill>
                            <a:schemeClr val="accent4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Gráficos!$L$126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Gráficos!$L$127</c15:sqref>
                        <c15:spPr xmlns:c15="http://schemas.microsoft.com/office/drawing/2012/chart">
                          <a:solidFill>
                            <a:schemeClr val="accent4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Gráficos!$L$128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Gráficos!$L$129</c15:sqref>
                        <c15:spPr xmlns:c15="http://schemas.microsoft.com/office/drawing/2012/chart">
                          <a:solidFill>
                            <a:schemeClr val="accent4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Gráficos!$L$130</c15:sqref>
                        <c15:spPr xmlns:c15="http://schemas.microsoft.com/office/drawing/2012/chart">
                          <a:solidFill>
                            <a:schemeClr val="accent4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Gráficos!$L$131</c15:sqref>
                        <c15:spPr xmlns:c15="http://schemas.microsoft.com/office/drawing/2012/chart">
                          <a:solidFill>
                            <a:schemeClr val="accent4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Gráficos!$L$132</c15:sqref>
                        <c15:spPr xmlns:c15="http://schemas.microsoft.com/office/drawing/2012/chart">
                          <a:solidFill>
                            <a:schemeClr val="accent4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Gráficos!$L$133</c15:sqref>
                        <c15:spPr xmlns:c15="http://schemas.microsoft.com/office/drawing/2012/chart">
                          <a:solidFill>
                            <a:schemeClr val="accent4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Gráficos!$L$134</c15:sqref>
                        <c15:spPr xmlns:c15="http://schemas.microsoft.com/office/drawing/2012/chart">
                          <a:solidFill>
                            <a:schemeClr val="accent4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Gráficos!$L$135</c15:sqref>
                        <c15:spPr xmlns:c15="http://schemas.microsoft.com/office/drawing/2012/chart">
                          <a:solidFill>
                            <a:schemeClr val="accent4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Gráficos!$L$136</c15:sqref>
                        <c15:spPr xmlns:c15="http://schemas.microsoft.com/office/drawing/2012/chart">
                          <a:solidFill>
                            <a:schemeClr val="accent4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Gráficos!$L$137</c15:sqref>
                        <c15:spPr xmlns:c15="http://schemas.microsoft.com/office/drawing/2012/chart">
                          <a:solidFill>
                            <a:schemeClr val="accent4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Gráficos!$L$138</c15:sqref>
                        <c15:spPr xmlns:c15="http://schemas.microsoft.com/office/drawing/2012/chart">
                          <a:solidFill>
                            <a:schemeClr val="accent4">
                              <a:tint val="3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Gráficos!$L$139</c15:sqref>
                        <c15:spPr xmlns:c15="http://schemas.microsoft.com/office/drawing/2012/chart">
                          <a:solidFill>
                            <a:schemeClr val="accent4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Gráficos!$L$140</c15:sqref>
                        <c15:spPr xmlns:c15="http://schemas.microsoft.com/office/drawing/2012/chart">
                          <a:solidFill>
                            <a:schemeClr val="accent4">
                              <a:tint val="8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Gráficos!$L$141</c15:sqref>
                        <c15:spPr xmlns:c15="http://schemas.microsoft.com/office/drawing/2012/chart">
                          <a:solidFill>
                            <a:schemeClr val="accent4">
                              <a:tint val="5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Gráficos!$L$142</c15:sqref>
                        <c15:spPr xmlns:c15="http://schemas.microsoft.com/office/drawing/2012/chart">
                          <a:solidFill>
                            <a:schemeClr val="accent4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Gráficos!$L$147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Gráficos!$L$151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Gráficos!$L$153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6B-0226-4B2D-86EF-7F5C53282D25}"/>
                  </c:ext>
                </c:extLst>
              </c15:ser>
            </c15:filteredPieSeries>
            <c15:filteredPi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Gráficos!$M$119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D-0226-4B2D-86EF-7F5C53282D2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4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F-0226-4B2D-86EF-7F5C53282D2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1-0226-4B2D-86EF-7F5C53282D2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3-0226-4B2D-86EF-7F5C53282D2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Gráficos!$A$143:$A$146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Gráficos!$M$120:$M$154</c15:sqref>
                        </c15:fullRef>
                        <c15:formulaRef>
                          <c15:sqref>Gráficos!$M$143:$M$146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3.922144473451656E-2</c:v>
                      </c:pt>
                      <c:pt idx="1">
                        <c:v>4.4212222722475922E-2</c:v>
                      </c:pt>
                      <c:pt idx="2">
                        <c:v>4.079217644121387E-2</c:v>
                      </c:pt>
                      <c:pt idx="3">
                        <c:v>2.8873389752340023E-2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Gráficos!$M$120</c15:sqref>
                        <c15:spPr xmlns:c15="http://schemas.microsoft.com/office/drawing/2012/chart">
                          <a:solidFill>
                            <a:schemeClr val="accent4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Gráficos!$M$121</c15:sqref>
                        <c15:spPr xmlns:c15="http://schemas.microsoft.com/office/drawing/2012/chart">
                          <a:solidFill>
                            <a:schemeClr val="accent4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Gráficos!$M$122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Gráficos!$M$123</c15:sqref>
                        <c15:spPr xmlns:c15="http://schemas.microsoft.com/office/drawing/2012/chart">
                          <a:solidFill>
                            <a:schemeClr val="accent4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Gráficos!$M$124</c15:sqref>
                        <c15:spPr xmlns:c15="http://schemas.microsoft.com/office/drawing/2012/chart">
                          <a:solidFill>
                            <a:schemeClr val="accent4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Gráficos!$M$125</c15:sqref>
                        <c15:spPr xmlns:c15="http://schemas.microsoft.com/office/drawing/2012/chart">
                          <a:solidFill>
                            <a:schemeClr val="accent4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Gráficos!$M$126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Gráficos!$M$127</c15:sqref>
                        <c15:spPr xmlns:c15="http://schemas.microsoft.com/office/drawing/2012/chart">
                          <a:solidFill>
                            <a:schemeClr val="accent4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Gráficos!$M$128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Gráficos!$M$129</c15:sqref>
                        <c15:spPr xmlns:c15="http://schemas.microsoft.com/office/drawing/2012/chart">
                          <a:solidFill>
                            <a:schemeClr val="accent4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Gráficos!$M$130</c15:sqref>
                        <c15:spPr xmlns:c15="http://schemas.microsoft.com/office/drawing/2012/chart">
                          <a:solidFill>
                            <a:schemeClr val="accent4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Gráficos!$M$131</c15:sqref>
                        <c15:spPr xmlns:c15="http://schemas.microsoft.com/office/drawing/2012/chart">
                          <a:solidFill>
                            <a:schemeClr val="accent4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Gráficos!$M$132</c15:sqref>
                        <c15:spPr xmlns:c15="http://schemas.microsoft.com/office/drawing/2012/chart">
                          <a:solidFill>
                            <a:schemeClr val="accent4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Gráficos!$M$133</c15:sqref>
                        <c15:spPr xmlns:c15="http://schemas.microsoft.com/office/drawing/2012/chart">
                          <a:solidFill>
                            <a:schemeClr val="accent4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Gráficos!$M$134</c15:sqref>
                        <c15:spPr xmlns:c15="http://schemas.microsoft.com/office/drawing/2012/chart">
                          <a:solidFill>
                            <a:schemeClr val="accent4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Gráficos!$M$135</c15:sqref>
                        <c15:spPr xmlns:c15="http://schemas.microsoft.com/office/drawing/2012/chart">
                          <a:solidFill>
                            <a:schemeClr val="accent4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Gráficos!$M$136</c15:sqref>
                        <c15:spPr xmlns:c15="http://schemas.microsoft.com/office/drawing/2012/chart">
                          <a:solidFill>
                            <a:schemeClr val="accent4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Gráficos!$M$137</c15:sqref>
                        <c15:spPr xmlns:c15="http://schemas.microsoft.com/office/drawing/2012/chart">
                          <a:solidFill>
                            <a:schemeClr val="accent4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Gráficos!$M$138</c15:sqref>
                        <c15:spPr xmlns:c15="http://schemas.microsoft.com/office/drawing/2012/chart">
                          <a:solidFill>
                            <a:schemeClr val="accent4">
                              <a:tint val="3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Gráficos!$M$139</c15:sqref>
                        <c15:spPr xmlns:c15="http://schemas.microsoft.com/office/drawing/2012/chart">
                          <a:solidFill>
                            <a:schemeClr val="accent4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Gráficos!$M$140</c15:sqref>
                        <c15:spPr xmlns:c15="http://schemas.microsoft.com/office/drawing/2012/chart">
                          <a:solidFill>
                            <a:schemeClr val="accent4">
                              <a:tint val="8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Gráficos!$M$141</c15:sqref>
                        <c15:spPr xmlns:c15="http://schemas.microsoft.com/office/drawing/2012/chart">
                          <a:solidFill>
                            <a:schemeClr val="accent4">
                              <a:tint val="5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Gráficos!$M$142</c15:sqref>
                        <c15:spPr xmlns:c15="http://schemas.microsoft.com/office/drawing/2012/chart">
                          <a:solidFill>
                            <a:schemeClr val="accent4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Gráficos!$M$147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Gráficos!$M$151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Gráficos!$M$153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74-0226-4B2D-86EF-7F5C53282D25}"/>
                  </c:ext>
                </c:extLst>
              </c15:ser>
            </c15:filteredPieSeries>
            <c15:filteredPi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Gráficos!$O$119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4">
                        <a:shade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6-0226-4B2D-86EF-7F5C53282D2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4">
                        <a:shade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8-0226-4B2D-86EF-7F5C53282D2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tint val="86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A-0226-4B2D-86EF-7F5C53282D2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>
                        <a:tint val="58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7C-0226-4B2D-86EF-7F5C53282D2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Gráficos!$A$143:$A$146</c15:sqref>
                        </c15:formulaRef>
                      </c:ext>
                    </c:extLst>
                    <c:strCache>
                      <c:ptCount val="4"/>
                      <c:pt idx="0">
                        <c:v>ES</c:v>
                      </c:pt>
                      <c:pt idx="1">
                        <c:v>MG</c:v>
                      </c:pt>
                      <c:pt idx="2">
                        <c:v>RJ</c:v>
                      </c:pt>
                      <c:pt idx="3">
                        <c:v>SP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Gráficos!$O$120:$O$154</c15:sqref>
                        </c15:fullRef>
                        <c15:formulaRef>
                          <c15:sqref>Gráficos!$O$143:$O$146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1.534839434456357E-2</c:v>
                      </c:pt>
                      <c:pt idx="1">
                        <c:v>5.5872298366815752E-2</c:v>
                      </c:pt>
                      <c:pt idx="2">
                        <c:v>6.6967730727294991E-2</c:v>
                      </c:pt>
                      <c:pt idx="3">
                        <c:v>0.26590736959986955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Gráficos!$O$120</c15:sqref>
                        <c15:spPr xmlns:c15="http://schemas.microsoft.com/office/drawing/2012/chart">
                          <a:solidFill>
                            <a:schemeClr val="accent4">
                              <a:shade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Gráficos!$O$121</c15:sqref>
                        <c15:spPr xmlns:c15="http://schemas.microsoft.com/office/drawing/2012/chart">
                          <a:solidFill>
                            <a:schemeClr val="accent4">
                              <a:shade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Gráficos!$O$122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Gráficos!$O$123</c15:sqref>
                        <c15:spPr xmlns:c15="http://schemas.microsoft.com/office/drawing/2012/chart">
                          <a:solidFill>
                            <a:schemeClr val="accent4">
                              <a:tint val="5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Gráficos!$O$124</c15:sqref>
                        <c15:spPr xmlns:c15="http://schemas.microsoft.com/office/drawing/2012/chart">
                          <a:solidFill>
                            <a:schemeClr val="accent4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Gráficos!$O$125</c15:sqref>
                        <c15:spPr xmlns:c15="http://schemas.microsoft.com/office/drawing/2012/chart">
                          <a:solidFill>
                            <a:schemeClr val="accent4">
                              <a:tint val="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Gráficos!$O$126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Gráficos!$O$127</c15:sqref>
                        <c15:spPr xmlns:c15="http://schemas.microsoft.com/office/drawing/2012/chart">
                          <a:solidFill>
                            <a:schemeClr val="accent4">
                              <a:tint val="4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Gráficos!$O$128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Gráficos!$O$129</c15:sqref>
                        <c15:spPr xmlns:c15="http://schemas.microsoft.com/office/drawing/2012/chart">
                          <a:solidFill>
                            <a:schemeClr val="accent4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Gráficos!$O$130</c15:sqref>
                        <c15:spPr xmlns:c15="http://schemas.microsoft.com/office/drawing/2012/chart">
                          <a:solidFill>
                            <a:schemeClr val="accent4">
                              <a:tint val="6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Gráficos!$O$131</c15:sqref>
                        <c15:spPr xmlns:c15="http://schemas.microsoft.com/office/drawing/2012/chart">
                          <a:solidFill>
                            <a:schemeClr val="accent4">
                              <a:tint val="3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Gráficos!$O$132</c15:sqref>
                        <c15:spPr xmlns:c15="http://schemas.microsoft.com/office/drawing/2012/chart">
                          <a:solidFill>
                            <a:schemeClr val="accent4">
                              <a:tint val="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Gráficos!$O$133</c15:sqref>
                        <c15:spPr xmlns:c15="http://schemas.microsoft.com/office/drawing/2012/chart">
                          <a:solidFill>
                            <a:schemeClr val="accent4">
                              <a:tint val="7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Gráficos!$O$134</c15:sqref>
                        <c15:spPr xmlns:c15="http://schemas.microsoft.com/office/drawing/2012/chart">
                          <a:solidFill>
                            <a:schemeClr val="accent4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Gráficos!$O$135</c15:sqref>
                        <c15:spPr xmlns:c15="http://schemas.microsoft.com/office/drawing/2012/chart">
                          <a:solidFill>
                            <a:schemeClr val="accent4">
                              <a:tint val="2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Gráficos!$O$136</c15:sqref>
                        <c15:spPr xmlns:c15="http://schemas.microsoft.com/office/drawing/2012/chart">
                          <a:solidFill>
                            <a:schemeClr val="accent4">
                              <a:tint val="9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Gráficos!$O$137</c15:sqref>
                        <c15:spPr xmlns:c15="http://schemas.microsoft.com/office/drawing/2012/chart">
                          <a:solidFill>
                            <a:schemeClr val="accent4">
                              <a:tint val="6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Gráficos!$O$138</c15:sqref>
                        <c15:spPr xmlns:c15="http://schemas.microsoft.com/office/drawing/2012/chart">
                          <a:solidFill>
                            <a:schemeClr val="accent4">
                              <a:tint val="3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Gráficos!$O$139</c15:sqref>
                        <c15:spPr xmlns:c15="http://schemas.microsoft.com/office/drawing/2012/chart">
                          <a:solidFill>
                            <a:schemeClr val="accent4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Gráficos!$O$140</c15:sqref>
                        <c15:spPr xmlns:c15="http://schemas.microsoft.com/office/drawing/2012/chart">
                          <a:solidFill>
                            <a:schemeClr val="accent4">
                              <a:tint val="82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Gráficos!$O$141</c15:sqref>
                        <c15:spPr xmlns:c15="http://schemas.microsoft.com/office/drawing/2012/chart">
                          <a:solidFill>
                            <a:schemeClr val="accent4">
                              <a:tint val="5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Gráficos!$O$142</c15:sqref>
                        <c15:spPr xmlns:c15="http://schemas.microsoft.com/office/drawing/2012/chart">
                          <a:solidFill>
                            <a:schemeClr val="accent4">
                              <a:tint val="2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Gráficos!$O$147</c15:sqref>
                        <c15:spPr xmlns:c15="http://schemas.microsoft.com/office/drawing/2012/chart">
                          <a:solidFill>
                            <a:schemeClr val="accent4">
                              <a:tint val="86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Gráficos!$O$151</c15:sqref>
                        <c15:spPr xmlns:c15="http://schemas.microsoft.com/office/drawing/2012/chart">
                          <a:solidFill>
                            <a:schemeClr val="accent4">
                              <a:tint val="74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Gráficos!$O$153</c15:sqref>
                        <c15:spPr xmlns:c15="http://schemas.microsoft.com/office/drawing/2012/chart">
                          <a:solidFill>
                            <a:schemeClr val="accent4">
                              <a:tint val="18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7D-0226-4B2D-86EF-7F5C53282D25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8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12"/>
          <c:order val="12"/>
          <c:tx>
            <c:strRef>
              <c:f>Gráficos!$N$119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00687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A21-484F-B54D-A1433ECCBDF1}"/>
              </c:ext>
            </c:extLst>
          </c:dPt>
          <c:dPt>
            <c:idx val="1"/>
            <c:bubble3D val="0"/>
            <c:spPr>
              <a:solidFill>
                <a:srgbClr val="1C39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A21-484F-B54D-A1433ECCBDF1}"/>
              </c:ext>
            </c:extLst>
          </c:dPt>
          <c:dPt>
            <c:idx val="2"/>
            <c:bubble3D val="0"/>
            <c:spPr>
              <a:solidFill>
                <a:srgbClr val="AECCD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A21-484F-B54D-A1433ECCBDF1}"/>
              </c:ext>
            </c:extLst>
          </c:dPt>
          <c:dLbls>
            <c:dLbl>
              <c:idx val="0"/>
              <c:layout>
                <c:manualLayout>
                  <c:x val="2.9551749446489212E-2"/>
                  <c:y val="-2.31481481481481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21-484F-B54D-A1433ECCBDF1}"/>
                </c:ext>
              </c:extLst>
            </c:dLbl>
            <c:dLbl>
              <c:idx val="1"/>
              <c:layout>
                <c:manualLayout>
                  <c:x val="3.0501089324618737E-2"/>
                  <c:y val="6.4814814814814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21-484F-B54D-A1433ECCBDF1}"/>
                </c:ext>
              </c:extLst>
            </c:dLbl>
            <c:dLbl>
              <c:idx val="2"/>
              <c:layout>
                <c:manualLayout>
                  <c:x val="-5.3883859984643387E-2"/>
                  <c:y val="-1.388888888888893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21-484F-B54D-A1433ECCBDF1}"/>
                </c:ext>
              </c:extLst>
            </c:dLbl>
            <c:numFmt formatCode="0.0%" sourceLinked="0"/>
            <c:spPr>
              <a:solidFill>
                <a:schemeClr val="lt1"/>
              </a:solidFill>
              <a:ln>
                <a:solidFill>
                  <a:schemeClr val="dk1">
                    <a:lumMod val="25%"/>
                    <a:lumOff val="75%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%">
                    <a:solidFill>
                      <a:schemeClr val="dk1">
                        <a:lumMod val="65%"/>
                        <a:lumOff val="3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%"/>
                      <a:lumOff val="65%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OffpageConnector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Gráficos!$A$120:$A$154</c15:sqref>
                  </c15:fullRef>
                </c:ext>
              </c:extLst>
              <c:f>Gráficos!$A$148:$A$150</c:f>
              <c:strCache>
                <c:ptCount val="3"/>
                <c:pt idx="0">
                  <c:v>PR</c:v>
                </c:pt>
                <c:pt idx="1">
                  <c:v>RS</c:v>
                </c:pt>
                <c:pt idx="2">
                  <c:v>SC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Gráficos!$N$120:$N$154</c15:sqref>
                  </c15:fullRef>
                </c:ext>
              </c:extLst>
              <c:f>Gráficos!$N$148:$N$150</c:f>
              <c:numCache>
                <c:formatCode>_-* #,##0_-;\-* #,##0_-;_-* "-"??_-;_-@_-</c:formatCode>
                <c:ptCount val="3"/>
                <c:pt idx="0">
                  <c:v>4194781.1439999994</c:v>
                </c:pt>
                <c:pt idx="1">
                  <c:v>5557135.7080000006</c:v>
                </c:pt>
                <c:pt idx="2">
                  <c:v>3267482.5279999999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Gráficos!$N$120</c15:sqref>
                  <c15:spPr xmlns:c15="http://schemas.microsoft.com/office/drawing/2012/chart">
                    <a:solidFill>
                      <a:schemeClr val="accent2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4.3572984749455342E-3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1F-5188-4877-AE43-327627CAC1EB}"/>
                      </c:ext>
                    </c:extLst>
                  </c15:dLbl>
                </c15:categoryFilterException>
                <c15:categoryFilterException>
                  <c15:sqref>Gráficos!$N$121</c15:sqref>
                  <c15:spPr xmlns:c15="http://schemas.microsoft.com/office/drawing/2012/chart"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0501089324618737E-2"/>
                        <c:y val="-6.018518518518518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21-5188-4877-AE43-327627CAC1EB}"/>
                      </c:ext>
                    </c:extLst>
                  </c15:dLbl>
                </c15:categoryFilterException>
                <c15:categoryFilterException>
                  <c15:sqref>Gráficos!$N$122</c15:sqref>
                  <c15:spPr xmlns:c15="http://schemas.microsoft.com/office/drawing/2012/chart">
                    <a:solidFill>
                      <a:schemeClr val="accent2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2844E-2"/>
                        <c:y val="-3.2407407407407406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23-5188-4877-AE43-327627CAC1EB}"/>
                      </c:ext>
                    </c:extLst>
                  </c15:dLbl>
                </c15:categoryFilterException>
                <c15:categoryFilterException>
                  <c15:sqref>Gráficos!$N$123</c15:sqref>
                  <c15:spPr xmlns:c15="http://schemas.microsoft.com/office/drawing/2012/chart">
                    <a:solidFill>
                      <a:schemeClr val="accent2">
                        <a:tint val="3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0.10457516339869281"/>
                        <c:y val="2.777777777777769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25-5188-4877-AE43-327627CAC1EB}"/>
                      </c:ext>
                    </c:extLst>
                  </c15:dLbl>
                </c15:categoryFilterException>
                <c15:categoryFilterException>
                  <c15:sqref>Gráficos!$N$124</c15:sqref>
                  <c15:spPr xmlns:c15="http://schemas.microsoft.com/office/drawing/2012/chart">
                    <a:solidFill>
                      <a:schemeClr val="accent2">
                        <a:tint val="9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301E-2"/>
                        <c:y val="6.481481481481481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27-5188-4877-AE43-327627CAC1EB}"/>
                      </c:ext>
                    </c:extLst>
                  </c15:dLbl>
                </c15:categoryFilterException>
                <c15:categoryFilterException>
                  <c15:sqref>Gráficos!$N$125</c15:sqref>
                  <c15:spPr xmlns:c15="http://schemas.microsoft.com/office/drawing/2012/chart">
                    <a:solidFill>
                      <a:schemeClr val="accent2">
                        <a:tint val="6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5.2287581699346407E-2"/>
                        <c:y val="7.4074074074074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29-5188-4877-AE43-327627CAC1EB}"/>
                      </c:ext>
                    </c:extLst>
                  </c15:dLbl>
                </c15:categoryFilterException>
                <c15:categoryFilterException>
                  <c15:sqref>Gráficos!$N$126</c15:sqref>
                  <c15:spPr xmlns:c15="http://schemas.microsoft.com/office/drawing/2012/chart">
                    <a:solidFill>
                      <a:schemeClr val="accent2">
                        <a:tint val="2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9716775599128575E-2"/>
                        <c:y val="-5.092592592592592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2B-5188-4877-AE43-327627CAC1EB}"/>
                      </c:ext>
                    </c:extLst>
                  </c15:dLbl>
                </c15:categoryFilterException>
                <c15:categoryFilterException>
                  <c15:sqref>Gráficos!$N$127</c15:sqref>
                  <c15:spPr xmlns:c15="http://schemas.microsoft.com/office/drawing/2012/chart">
                    <a:solidFill>
                      <a:schemeClr val="accent2">
                        <a:tint val="9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1.1111111111111112E-2"/>
                        <c:y val="-8.333333333333334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2D-5188-4877-AE43-327627CAC1EB}"/>
                      </c:ext>
                    </c:extLst>
                  </c15:dLbl>
                </c15:categoryFilterException>
                <c15:categoryFilterException>
                  <c15:sqref>Gráficos!$N$128</c15:sqref>
                  <c15:spPr xmlns:c15="http://schemas.microsoft.com/office/drawing/2012/chart">
                    <a:solidFill>
                      <a:schemeClr val="accent2">
                        <a:tint val="5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7.9882882560125439E-17"/>
                        <c:y val="-9.259259259259261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2F-5188-4877-AE43-327627CAC1EB}"/>
                      </c:ext>
                    </c:extLst>
                  </c15:dLbl>
                </c15:categoryFilterException>
                <c15:categoryFilterException>
                  <c15:sqref>Gráficos!$N$129</c15:sqref>
                  <c15:spPr xmlns:c15="http://schemas.microsoft.com/office/drawing/2012/chart">
                    <a:solidFill>
                      <a:schemeClr val="accent2">
                        <a:tint val="2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100217864923755E-2"/>
                        <c:y val="-6.944444444444446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31-5188-4877-AE43-327627CAC1EB}"/>
                      </c:ext>
                    </c:extLst>
                  </c15:dLbl>
                </c15:categoryFilterException>
                <c15:categoryFilterException>
                  <c15:sqref>Gráficos!$N$130</c15:sqref>
                  <c15:spPr xmlns:c15="http://schemas.microsoft.com/office/drawing/2012/chart">
                    <a:solidFill>
                      <a:schemeClr val="accent2">
                        <a:tint val="8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8.2788671023965144E-2"/>
                        <c:y val="-2.314814814814819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33-5188-4877-AE43-327627CAC1EB}"/>
                      </c:ext>
                    </c:extLst>
                  </c15:dLbl>
                </c15:categoryFilterException>
                <c15:categoryFilterException>
                  <c15:sqref>Gráficos!$N$131</c15:sqref>
                  <c15:spPr xmlns:c15="http://schemas.microsoft.com/office/drawing/2012/chart">
                    <a:solidFill>
                      <a:schemeClr val="accent2">
                        <a:tint val="5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9.586056644880174E-2"/>
                        <c:y val="1.388888888888888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35-5188-4877-AE43-327627CAC1EB}"/>
                      </c:ext>
                    </c:extLst>
                  </c15:dLbl>
                </c15:categoryFilterException>
                <c15:categoryFilterException>
                  <c15:sqref>Gráficos!$N$132</c15:sqref>
                  <c15:spPr xmlns:c15="http://schemas.microsoft.com/office/drawing/2012/chart">
                    <a:solidFill>
                      <a:schemeClr val="accent2">
                        <a:tint val="1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9215686274509727E-2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37-5188-4877-AE43-327627CAC1EB}"/>
                      </c:ext>
                    </c:extLst>
                  </c15:dLbl>
                </c15:categoryFilterException>
                <c15:categoryFilterException>
                  <c15:sqref>Gráficos!$N$133</c15:sqref>
                  <c15:spPr xmlns:c15="http://schemas.microsoft.com/office/drawing/2012/chart">
                    <a:solidFill>
                      <a:schemeClr val="accent2">
                        <a:tint val="8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7.9882882560125439E-17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39-5188-4877-AE43-327627CAC1EB}"/>
                      </c:ext>
                    </c:extLst>
                  </c15:dLbl>
                </c15:categoryFilterException>
                <c15:categoryFilterException>
                  <c15:sqref>Gráficos!$N$134</c15:sqref>
                  <c15:spPr xmlns:c15="http://schemas.microsoft.com/office/drawing/2012/chart">
                    <a:solidFill>
                      <a:schemeClr val="accent2">
                        <a:tint val="4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1002178649237494E-2"/>
                        <c:y val="5.5555555555555469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3B-5188-4877-AE43-327627CAC1EB}"/>
                      </c:ext>
                    </c:extLst>
                  </c15:dLbl>
                </c15:categoryFilterException>
                <c15:categoryFilterException>
                  <c15:sqref>Gráficos!$N$135</c15:sqref>
                  <c15:spPr xmlns:c15="http://schemas.microsoft.com/office/drawing/2012/chart">
                    <a:solidFill>
                      <a:schemeClr val="accent2">
                        <a:tint val="1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535947712418301E-2"/>
                        <c:y val="0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3D-5188-4877-AE43-327627CAC1EB}"/>
                      </c:ext>
                    </c:extLst>
                  </c15:dLbl>
                </c15:categoryFilterException>
                <c15:categoryFilterException>
                  <c15:sqref>Gráficos!$N$136</c15:sqref>
                  <c15:spPr xmlns:c15="http://schemas.microsoft.com/office/drawing/2012/chart">
                    <a:solidFill>
                      <a:schemeClr val="accent2">
                        <a:tint val="7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5.2287581699346407E-2"/>
                        <c:y val="-6.481481481481481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3F-5188-4877-AE43-327627CAC1EB}"/>
                      </c:ext>
                    </c:extLst>
                  </c15:dLbl>
                </c15:categoryFilterException>
                <c15:categoryFilterException>
                  <c15:sqref>Gráficos!$N$137</c15:sqref>
                  <c15:spPr xmlns:c15="http://schemas.microsoft.com/office/drawing/2012/chart">
                    <a:solidFill>
                      <a:schemeClr val="accent2">
                        <a:tint val="4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3.6111111111111108E-2"/>
                        <c:y val="-1.388888888888888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41-5188-4877-AE43-327627CAC1EB}"/>
                      </c:ext>
                    </c:extLst>
                  </c15:dLbl>
                </c15:categoryFilterException>
                <c15:categoryFilterException>
                  <c15:sqref>Gráficos!$N$138</c15:sqref>
                  <c15:spPr xmlns:c15="http://schemas.microsoft.com/office/drawing/2012/chart">
                    <a:solidFill>
                      <a:schemeClr val="accent2">
                        <a:tint val="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301E-2"/>
                        <c:y val="-5.55555555555555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43-5188-4877-AE43-327627CAC1EB}"/>
                      </c:ext>
                    </c:extLst>
                  </c15:dLbl>
                </c15:categoryFilterException>
                <c15:categoryFilterException>
                  <c15:sqref>Gráficos!$N$139</c15:sqref>
                  <c15:spPr xmlns:c15="http://schemas.microsoft.com/office/drawing/2012/chart">
                    <a:solidFill>
                      <a:schemeClr val="accent2">
                        <a:tint val="7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535947712418301E-2"/>
                        <c:y val="8.3333333333333329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45-5188-4877-AE43-327627CAC1EB}"/>
                      </c:ext>
                    </c:extLst>
                  </c15:dLbl>
                </c15:categoryFilterException>
                <c15:categoryFilterException>
                  <c15:sqref>Gráficos!$N$140</c15:sqref>
                  <c15:spPr xmlns:c15="http://schemas.microsoft.com/office/drawing/2012/chart">
                    <a:solidFill>
                      <a:schemeClr val="accent2">
                        <a:tint val="3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535947712418301E-2"/>
                        <c:y val="6.481481481481472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47-5188-4877-AE43-327627CAC1EB}"/>
                      </c:ext>
                    </c:extLst>
                  </c15:dLbl>
                </c15:categoryFilterException>
                <c15:categoryFilterException>
                  <c15:sqref>Gráficos!$N$141</c15:sqref>
                  <c15:spPr xmlns:c15="http://schemas.microsoft.com/office/drawing/2012/chart"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7.8431372549019607E-2"/>
                        <c:y val="-6.4814814814814839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49-5188-4877-AE43-327627CAC1EB}"/>
                      </c:ext>
                    </c:extLst>
                  </c15:dLbl>
                </c15:categoryFilterException>
                <c15:categoryFilterException>
                  <c15:sqref>Gráficos!$N$142</c15:sqref>
                  <c15:spPr xmlns:c15="http://schemas.microsoft.com/office/drawing/2012/chart">
                    <a:solidFill>
                      <a:schemeClr val="accent2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6.3888888888888884E-2"/>
                        <c:y val="8.333333333333324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4B-5188-4877-AE43-327627CAC1EB}"/>
                      </c:ext>
                    </c:extLst>
                  </c15:dLbl>
                </c15:categoryFilterException>
                <c15:categoryFilterException>
                  <c15:sqref>Gráficos!$N$143</c15:sqref>
                  <c15:spPr xmlns:c15="http://schemas.microsoft.com/office/drawing/2012/chart">
                    <a:solidFill>
                      <a:schemeClr val="accent2">
                        <a:tint val="3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7.8431372549019523E-2"/>
                        <c:y val="-4.166666666666668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4D-5188-4877-AE43-327627CAC1EB}"/>
                      </c:ext>
                    </c:extLst>
                  </c15:dLbl>
                </c15:categoryFilterException>
                <c15:categoryFilterException>
                  <c15:sqref>Gráficos!$N$144</c15:sqref>
                  <c15:spPr xmlns:c15="http://schemas.microsoft.com/office/drawing/2012/chart">
                    <a:solidFill>
                      <a:schemeClr val="accent2">
                        <a:tint val="9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4.7930283224400794E-2"/>
                        <c:y val="8.796296296296288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4F-5188-4877-AE43-327627CAC1EB}"/>
                      </c:ext>
                    </c:extLst>
                  </c15:dLbl>
                </c15:categoryFilterException>
                <c15:categoryFilterException>
                  <c15:sqref>Gráficos!$N$145</c15:sqref>
                  <c15:spPr xmlns:c15="http://schemas.microsoft.com/office/drawing/2012/chart">
                    <a:solidFill>
                      <a:schemeClr val="accent2">
                        <a:tint val="6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3.9215686274509803E-2"/>
                        <c:y val="8.333333333333341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51-5188-4877-AE43-327627CAC1EB}"/>
                      </c:ext>
                    </c:extLst>
                  </c15:dLbl>
                </c15:categoryFilterException>
                <c15:categoryFilterException>
                  <c15:sqref>Gráficos!$N$146</c15:sqref>
                  <c15:spPr xmlns:c15="http://schemas.microsoft.com/office/drawing/2012/chart">
                    <a:solidFill>
                      <a:schemeClr val="accent2">
                        <a:tint val="2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6.5359477124183052E-2"/>
                        <c:y val="-6.944444444444446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53-5188-4877-AE43-327627CAC1EB}"/>
                      </c:ext>
                    </c:extLst>
                  </c15:dLbl>
                </c15:categoryFilterException>
                <c15:categoryFilterException>
                  <c15:sqref>Gráficos!$N$147</c15:sqref>
                  <c15:spPr xmlns:c15="http://schemas.microsoft.com/office/drawing/2012/chart">
                    <a:solidFill>
                      <a:schemeClr val="accent2">
                        <a:tint val="9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-1"/>
                    <c:layout>
                      <c:manualLayout>
                        <c:x val="-5.8333333333333334E-2"/>
                        <c:y val="6.944444444444444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55-5188-4877-AE43-327627CAC1EB}"/>
                      </c:ext>
                    </c:extLst>
                  </c15:dLbl>
                </c15:categoryFilterException>
                <c15:categoryFilterException>
                  <c15:sqref>Gráficos!$N$151</c15:sqref>
                  <c15:spPr xmlns:c15="http://schemas.microsoft.com/office/drawing/2012/chart">
                    <a:solidFill>
                      <a:schemeClr val="accent2">
                        <a:tint val="5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2"/>
                    <c:layout>
                      <c:manualLayout>
                        <c:x val="-6.6666666666666666E-2"/>
                        <c:y val="0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57-5188-4877-AE43-327627CAC1EB}"/>
                      </c:ext>
                    </c:extLst>
                  </c15:dLbl>
                </c15:categoryFilterException>
                <c15:categoryFilterException>
                  <c15:sqref>Gráficos!$N$153</c15:sqref>
                  <c15:spPr xmlns:c15="http://schemas.microsoft.com/office/drawing/2012/chart">
                    <a:solidFill>
                      <a:schemeClr val="accent2">
                        <a:tint val="80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2"/>
                    <c:layout>
                      <c:manualLayout>
                        <c:x val="-4.4444444444444495E-2"/>
                        <c:y val="-8.7962962962962965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359-5188-4877-AE43-327627CAC1EB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0A21-484F-B54D-A1433ECCBDF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Gráficos!$B$119</c15:sqref>
                        </c15:formulaRef>
                      </c:ext>
                    </c:extLst>
                    <c:strCache>
                      <c:ptCount val="1"/>
                      <c:pt idx="0">
                        <c:v>PF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0A21-484F-B54D-A1433ECCBDF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0A21-484F-B54D-A1433ECCBDF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0A21-484F-B54D-A1433ECCBDF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Gráficos!$A$148:$A$150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Gráficos!$B$120:$B$154</c15:sqref>
                        </c15:fullRef>
                        <c15:formulaRef>
                          <c15:sqref>Gráficos!$B$148:$B$150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>
                        <c:v>1786485.4080000001</c:v>
                      </c:pt>
                      <c:pt idx="1">
                        <c:v>2434621.4160000002</c:v>
                      </c:pt>
                      <c:pt idx="2">
                        <c:v>1550006.76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Gráficos!$B$123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Gráficos!$B$124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Gráficos!$B$125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Gráficos!$B$126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Gráficos!$B$127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Gráficos!$B$128</c15:sqref>
                        <c15:spPr xmlns:c15="http://schemas.microsoft.com/office/drawing/2012/chart">
                          <a:solidFill>
                            <a:schemeClr val="accent2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Gráficos!$B$129</c15:sqref>
                        <c15:spPr xmlns:c15="http://schemas.microsoft.com/office/drawing/2012/chart">
                          <a:solidFill>
                            <a:schemeClr val="accent2">
                              <a:tint val="2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Gráficos!$B$130</c15:sqref>
                        <c15:spPr xmlns:c15="http://schemas.microsoft.com/office/drawing/2012/chart">
                          <a:solidFill>
                            <a:schemeClr val="accent2">
                              <a:tint val="8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Gráficos!$B$132</c15:sqref>
                        <c15:spPr xmlns:c15="http://schemas.microsoft.com/office/drawing/2012/chart">
                          <a:solidFill>
                            <a:schemeClr val="accent2">
                              <a:tint val="1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Gráficos!$B$134</c15:sqref>
                        <c15:spPr xmlns:c15="http://schemas.microsoft.com/office/drawing/2012/chart">
                          <a:solidFill>
                            <a:schemeClr val="accent2">
                              <a:tint val="4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Gráficos!$B$135</c15:sqref>
                        <c15:spPr xmlns:c15="http://schemas.microsoft.com/office/drawing/2012/chart">
                          <a:solidFill>
                            <a:schemeClr val="accent2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Gráficos!$B$136</c15:sqref>
                        <c15:spPr xmlns:c15="http://schemas.microsoft.com/office/drawing/2012/chart">
                          <a:solidFill>
                            <a:schemeClr val="accent2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Gráficos!$B$137</c15:sqref>
                        <c15:spPr xmlns:c15="http://schemas.microsoft.com/office/drawing/2012/chart">
                          <a:solidFill>
                            <a:schemeClr val="accent2">
                              <a:tint val="4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Gráficos!$B$138</c15:sqref>
                        <c15:spPr xmlns:c15="http://schemas.microsoft.com/office/drawing/2012/chart">
                          <a:solidFill>
                            <a:schemeClr val="accent2">
                              <a:tint val="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Gráficos!$B$139</c15:sqref>
                        <c15:spPr xmlns:c15="http://schemas.microsoft.com/office/drawing/2012/chart">
                          <a:solidFill>
                            <a:schemeClr val="accent2">
                              <a:tint val="7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Gráficos!$B$140</c15:sqref>
                        <c15:spPr xmlns:c15="http://schemas.microsoft.com/office/drawing/2012/chart">
                          <a:solidFill>
                            <a:schemeClr val="accent2">
                              <a:tint val="3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Gráficos!$B$147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Gráficos!$B$151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Gráficos!$B$153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D-0A21-484F-B54D-A1433ECCBDF1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Gráficos!$C$119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F-0A21-484F-B54D-A1433ECCBDF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1-0A21-484F-B54D-A1433ECCBDF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3-0A21-484F-B54D-A1433ECCBDF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Gráficos!$A$148:$A$150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Gráficos!$C$120:$C$154</c15:sqref>
                        </c15:fullRef>
                        <c15:formulaRef>
                          <c15:sqref>Gráficos!$C$148:$C$150</c15:sqref>
                        </c15:formulaRef>
                      </c:ext>
                    </c:extLst>
                    <c:numCache>
                      <c:formatCode>0.0%</c:formatCode>
                      <c:ptCount val="3"/>
                      <c:pt idx="0">
                        <c:v>0.42588286412875137</c:v>
                      </c:pt>
                      <c:pt idx="1">
                        <c:v>0.4381072451578143</c:v>
                      </c:pt>
                      <c:pt idx="2">
                        <c:v>0.47437338890645786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Gráficos!$C$120</c15:sqref>
                        <c15:spPr xmlns:c15="http://schemas.microsoft.com/office/drawing/2012/chart">
                          <a:solidFill>
                            <a:schemeClr val="accent2">
                              <a:shade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Gráficos!$C$128</c15:sqref>
                        <c15:spPr xmlns:c15="http://schemas.microsoft.com/office/drawing/2012/chart">
                          <a:solidFill>
                            <a:schemeClr val="accent2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Gráficos!$C$129</c15:sqref>
                        <c15:spPr xmlns:c15="http://schemas.microsoft.com/office/drawing/2012/chart">
                          <a:solidFill>
                            <a:schemeClr val="accent2">
                              <a:tint val="2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Gráficos!$C$130</c15:sqref>
                        <c15:spPr xmlns:c15="http://schemas.microsoft.com/office/drawing/2012/chart">
                          <a:solidFill>
                            <a:schemeClr val="accent2">
                              <a:tint val="8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Gráficos!$C$132</c15:sqref>
                        <c15:spPr xmlns:c15="http://schemas.microsoft.com/office/drawing/2012/chart">
                          <a:solidFill>
                            <a:schemeClr val="accent2">
                              <a:tint val="1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Gráficos!$C$134</c15:sqref>
                        <c15:spPr xmlns:c15="http://schemas.microsoft.com/office/drawing/2012/chart">
                          <a:solidFill>
                            <a:schemeClr val="accent2">
                              <a:tint val="4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Gráficos!$C$135</c15:sqref>
                        <c15:spPr xmlns:c15="http://schemas.microsoft.com/office/drawing/2012/chart">
                          <a:solidFill>
                            <a:schemeClr val="accent2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Gráficos!$C$136</c15:sqref>
                        <c15:spPr xmlns:c15="http://schemas.microsoft.com/office/drawing/2012/chart">
                          <a:solidFill>
                            <a:schemeClr val="accent2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Gráficos!$C$137</c15:sqref>
                        <c15:spPr xmlns:c15="http://schemas.microsoft.com/office/drawing/2012/chart">
                          <a:solidFill>
                            <a:schemeClr val="accent2">
                              <a:tint val="4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Gráficos!$C$138</c15:sqref>
                        <c15:spPr xmlns:c15="http://schemas.microsoft.com/office/drawing/2012/chart">
                          <a:solidFill>
                            <a:schemeClr val="accent2">
                              <a:tint val="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Gráficos!$C$139</c15:sqref>
                        <c15:spPr xmlns:c15="http://schemas.microsoft.com/office/drawing/2012/chart">
                          <a:solidFill>
                            <a:schemeClr val="accent2">
                              <a:tint val="7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Gráficos!$C$140</c15:sqref>
                        <c15:spPr xmlns:c15="http://schemas.microsoft.com/office/drawing/2012/chart">
                          <a:solidFill>
                            <a:schemeClr val="accent2">
                              <a:tint val="3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Gráficos!$C$147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Gráficos!$C$151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Gráficos!$C$153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14-0A21-484F-B54D-A1433ECCBDF1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Gráficos!$D$119</c15:sqref>
                        </c15:formulaRef>
                      </c:ext>
                    </c:extLst>
                    <c:strCache>
                      <c:ptCount val="1"/>
                      <c:pt idx="0">
                        <c:v>PF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0A21-484F-B54D-A1433ECCBDF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0A21-484F-B54D-A1433ECCBDF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21-484F-B54D-A1433ECCBDF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Gráficos!$A$148:$A$150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Gráficos!$D$120:$D$154</c15:sqref>
                        </c15:fullRef>
                        <c15:formulaRef>
                          <c15:sqref>Gráficos!$D$148:$D$150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>
                        <c:v>215979.24000000002</c:v>
                      </c:pt>
                      <c:pt idx="1">
                        <c:v>370682.07</c:v>
                      </c:pt>
                      <c:pt idx="2">
                        <c:v>163490.72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Gráficos!$D$120</c15:sqref>
                        <c15:spPr xmlns:c15="http://schemas.microsoft.com/office/drawing/2012/chart">
                          <a:solidFill>
                            <a:schemeClr val="accent2">
                              <a:shade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Gráficos!$D$128</c15:sqref>
                        <c15:spPr xmlns:c15="http://schemas.microsoft.com/office/drawing/2012/chart">
                          <a:solidFill>
                            <a:schemeClr val="accent2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Gráficos!$D$129</c15:sqref>
                        <c15:spPr xmlns:c15="http://schemas.microsoft.com/office/drawing/2012/chart">
                          <a:solidFill>
                            <a:schemeClr val="accent2">
                              <a:tint val="2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Gráficos!$D$130</c15:sqref>
                        <c15:spPr xmlns:c15="http://schemas.microsoft.com/office/drawing/2012/chart">
                          <a:solidFill>
                            <a:schemeClr val="accent2">
                              <a:tint val="8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Gráficos!$D$132</c15:sqref>
                        <c15:spPr xmlns:c15="http://schemas.microsoft.com/office/drawing/2012/chart">
                          <a:solidFill>
                            <a:schemeClr val="accent2">
                              <a:tint val="1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Gráficos!$D$134</c15:sqref>
                        <c15:spPr xmlns:c15="http://schemas.microsoft.com/office/drawing/2012/chart">
                          <a:solidFill>
                            <a:schemeClr val="accent2">
                              <a:tint val="4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Gráficos!$D$135</c15:sqref>
                        <c15:spPr xmlns:c15="http://schemas.microsoft.com/office/drawing/2012/chart">
                          <a:solidFill>
                            <a:schemeClr val="accent2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Gráficos!$D$136</c15:sqref>
                        <c15:spPr xmlns:c15="http://schemas.microsoft.com/office/drawing/2012/chart">
                          <a:solidFill>
                            <a:schemeClr val="accent2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Gráficos!$D$137</c15:sqref>
                        <c15:spPr xmlns:c15="http://schemas.microsoft.com/office/drawing/2012/chart">
                          <a:solidFill>
                            <a:schemeClr val="accent2">
                              <a:tint val="4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Gráficos!$D$138</c15:sqref>
                        <c15:spPr xmlns:c15="http://schemas.microsoft.com/office/drawing/2012/chart">
                          <a:solidFill>
                            <a:schemeClr val="accent2">
                              <a:tint val="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Gráficos!$D$139</c15:sqref>
                        <c15:spPr xmlns:c15="http://schemas.microsoft.com/office/drawing/2012/chart">
                          <a:solidFill>
                            <a:schemeClr val="accent2">
                              <a:tint val="7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Gráficos!$D$140</c15:sqref>
                        <c15:spPr xmlns:c15="http://schemas.microsoft.com/office/drawing/2012/chart">
                          <a:solidFill>
                            <a:schemeClr val="accent2">
                              <a:tint val="3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Gráficos!$D$147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Gráficos!$D$151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Gráficos!$D$153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1B-0A21-484F-B54D-A1433ECCBDF1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Gráficos!$E$119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D-0A21-484F-B54D-A1433ECCBDF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F-0A21-484F-B54D-A1433ECCBDF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1-0A21-484F-B54D-A1433ECCBDF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Gráficos!$A$148:$A$150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Gráficos!$E$120:$E$154</c15:sqref>
                        </c15:fullRef>
                        <c15:formulaRef>
                          <c15:sqref>Gráficos!$E$148:$E$150</c15:sqref>
                        </c15:formulaRef>
                      </c:ext>
                    </c:extLst>
                    <c:numCache>
                      <c:formatCode>0.0%</c:formatCode>
                      <c:ptCount val="3"/>
                      <c:pt idx="0">
                        <c:v>5.1487606286427047E-2</c:v>
                      </c:pt>
                      <c:pt idx="1">
                        <c:v>6.6703800208868319E-2</c:v>
                      </c:pt>
                      <c:pt idx="2">
                        <c:v>5.0035683006412701E-2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Gráficos!$E$120</c15:sqref>
                        <c15:spPr xmlns:c15="http://schemas.microsoft.com/office/drawing/2012/chart">
                          <a:solidFill>
                            <a:schemeClr val="accent2">
                              <a:shade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Gráficos!$E$128</c15:sqref>
                        <c15:spPr xmlns:c15="http://schemas.microsoft.com/office/drawing/2012/chart">
                          <a:solidFill>
                            <a:schemeClr val="accent2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Gráficos!$E$129</c15:sqref>
                        <c15:spPr xmlns:c15="http://schemas.microsoft.com/office/drawing/2012/chart">
                          <a:solidFill>
                            <a:schemeClr val="accent2">
                              <a:tint val="2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Gráficos!$E$130</c15:sqref>
                        <c15:spPr xmlns:c15="http://schemas.microsoft.com/office/drawing/2012/chart">
                          <a:solidFill>
                            <a:schemeClr val="accent2">
                              <a:tint val="8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Gráficos!$E$132</c15:sqref>
                        <c15:spPr xmlns:c15="http://schemas.microsoft.com/office/drawing/2012/chart">
                          <a:solidFill>
                            <a:schemeClr val="accent2">
                              <a:tint val="1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Gráficos!$E$134</c15:sqref>
                        <c15:spPr xmlns:c15="http://schemas.microsoft.com/office/drawing/2012/chart">
                          <a:solidFill>
                            <a:schemeClr val="accent2">
                              <a:tint val="4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Gráficos!$E$135</c15:sqref>
                        <c15:spPr xmlns:c15="http://schemas.microsoft.com/office/drawing/2012/chart">
                          <a:solidFill>
                            <a:schemeClr val="accent2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Gráficos!$E$136</c15:sqref>
                        <c15:spPr xmlns:c15="http://schemas.microsoft.com/office/drawing/2012/chart">
                          <a:solidFill>
                            <a:schemeClr val="accent2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Gráficos!$E$137</c15:sqref>
                        <c15:spPr xmlns:c15="http://schemas.microsoft.com/office/drawing/2012/chart">
                          <a:solidFill>
                            <a:schemeClr val="accent2">
                              <a:tint val="4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Gráficos!$E$138</c15:sqref>
                        <c15:spPr xmlns:c15="http://schemas.microsoft.com/office/drawing/2012/chart">
                          <a:solidFill>
                            <a:schemeClr val="accent2">
                              <a:tint val="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Gráficos!$E$139</c15:sqref>
                        <c15:spPr xmlns:c15="http://schemas.microsoft.com/office/drawing/2012/chart">
                          <a:solidFill>
                            <a:schemeClr val="accent2">
                              <a:tint val="7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Gráficos!$E$140</c15:sqref>
                        <c15:spPr xmlns:c15="http://schemas.microsoft.com/office/drawing/2012/chart">
                          <a:solidFill>
                            <a:schemeClr val="accent2">
                              <a:tint val="3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Gráficos!$E$147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Gráficos!$E$151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Gráficos!$E$153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22-0A21-484F-B54D-A1433ECCBDF1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Gráficos!$F$119</c15:sqref>
                        </c15:formulaRef>
                      </c:ext>
                    </c:extLst>
                    <c:strCache>
                      <c:ptCount val="1"/>
                      <c:pt idx="0">
                        <c:v>PJ
Exerc.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4-0A21-484F-B54D-A1433ECCBDF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6-0A21-484F-B54D-A1433ECCBDF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8-0A21-484F-B54D-A1433ECCBDF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Gráficos!$A$148:$A$150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Gráficos!$F$120:$F$154</c15:sqref>
                        </c15:fullRef>
                        <c15:formulaRef>
                          <c15:sqref>Gráficos!$F$148:$F$150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>
                        <c:v>302427.26400000008</c:v>
                      </c:pt>
                      <c:pt idx="1">
                        <c:v>319506.61600000004</c:v>
                      </c:pt>
                      <c:pt idx="2">
                        <c:v>193981.09600000002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Gráficos!$F$120</c15:sqref>
                        <c15:spPr xmlns:c15="http://schemas.microsoft.com/office/drawing/2012/chart">
                          <a:solidFill>
                            <a:schemeClr val="accent2">
                              <a:shade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Gráficos!$F$128</c15:sqref>
                        <c15:spPr xmlns:c15="http://schemas.microsoft.com/office/drawing/2012/chart">
                          <a:solidFill>
                            <a:schemeClr val="accent2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Gráficos!$F$129</c15:sqref>
                        <c15:spPr xmlns:c15="http://schemas.microsoft.com/office/drawing/2012/chart">
                          <a:solidFill>
                            <a:schemeClr val="accent2">
                              <a:tint val="2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Gráficos!$F$130</c15:sqref>
                        <c15:spPr xmlns:c15="http://schemas.microsoft.com/office/drawing/2012/chart">
                          <a:solidFill>
                            <a:schemeClr val="accent2">
                              <a:tint val="8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Gráficos!$F$132</c15:sqref>
                        <c15:spPr xmlns:c15="http://schemas.microsoft.com/office/drawing/2012/chart">
                          <a:solidFill>
                            <a:schemeClr val="accent2">
                              <a:tint val="1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Gráficos!$F$134</c15:sqref>
                        <c15:spPr xmlns:c15="http://schemas.microsoft.com/office/drawing/2012/chart">
                          <a:solidFill>
                            <a:schemeClr val="accent2">
                              <a:tint val="4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Gráficos!$F$135</c15:sqref>
                        <c15:spPr xmlns:c15="http://schemas.microsoft.com/office/drawing/2012/chart">
                          <a:solidFill>
                            <a:schemeClr val="accent2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Gráficos!$F$136</c15:sqref>
                        <c15:spPr xmlns:c15="http://schemas.microsoft.com/office/drawing/2012/chart">
                          <a:solidFill>
                            <a:schemeClr val="accent2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Gráficos!$F$137</c15:sqref>
                        <c15:spPr xmlns:c15="http://schemas.microsoft.com/office/drawing/2012/chart">
                          <a:solidFill>
                            <a:schemeClr val="accent2">
                              <a:tint val="4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Gráficos!$F$138</c15:sqref>
                        <c15:spPr xmlns:c15="http://schemas.microsoft.com/office/drawing/2012/chart">
                          <a:solidFill>
                            <a:schemeClr val="accent2">
                              <a:tint val="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Gráficos!$F$139</c15:sqref>
                        <c15:spPr xmlns:c15="http://schemas.microsoft.com/office/drawing/2012/chart">
                          <a:solidFill>
                            <a:schemeClr val="accent2">
                              <a:tint val="7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Gráficos!$F$140</c15:sqref>
                        <c15:spPr xmlns:c15="http://schemas.microsoft.com/office/drawing/2012/chart">
                          <a:solidFill>
                            <a:schemeClr val="accent2">
                              <a:tint val="3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Gráficos!$F$147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Gráficos!$F$151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Gráficos!$F$153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29-0A21-484F-B54D-A1433ECCBDF1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Gráficos!$G$119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B-0A21-484F-B54D-A1433ECCBDF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D-0A21-484F-B54D-A1433ECCBDF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F-0A21-484F-B54D-A1433ECCBDF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Gráficos!$A$148:$A$150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Gráficos!$G$120:$G$154</c15:sqref>
                        </c15:fullRef>
                        <c15:formulaRef>
                          <c15:sqref>Gráficos!$G$148:$G$150</c15:sqref>
                        </c15:formulaRef>
                      </c:ext>
                    </c:extLst>
                    <c:numCache>
                      <c:formatCode>0.0%</c:formatCode>
                      <c:ptCount val="3"/>
                      <c:pt idx="0">
                        <c:v>7.209607691513932E-2</c:v>
                      </c:pt>
                      <c:pt idx="1">
                        <c:v>5.7494837770479729E-2</c:v>
                      </c:pt>
                      <c:pt idx="2">
                        <c:v>5.9367141013829478E-2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Gráficos!$G$120</c15:sqref>
                        <c15:spPr xmlns:c15="http://schemas.microsoft.com/office/drawing/2012/chart">
                          <a:solidFill>
                            <a:schemeClr val="accent2">
                              <a:shade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Gráficos!$G$128</c15:sqref>
                        <c15:spPr xmlns:c15="http://schemas.microsoft.com/office/drawing/2012/chart">
                          <a:solidFill>
                            <a:schemeClr val="accent2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Gráficos!$G$129</c15:sqref>
                        <c15:spPr xmlns:c15="http://schemas.microsoft.com/office/drawing/2012/chart">
                          <a:solidFill>
                            <a:schemeClr val="accent2">
                              <a:tint val="2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Gráficos!$G$130</c15:sqref>
                        <c15:spPr xmlns:c15="http://schemas.microsoft.com/office/drawing/2012/chart">
                          <a:solidFill>
                            <a:schemeClr val="accent2">
                              <a:tint val="8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Gráficos!$G$132</c15:sqref>
                        <c15:spPr xmlns:c15="http://schemas.microsoft.com/office/drawing/2012/chart">
                          <a:solidFill>
                            <a:schemeClr val="accent2">
                              <a:tint val="1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Gráficos!$G$134</c15:sqref>
                        <c15:spPr xmlns:c15="http://schemas.microsoft.com/office/drawing/2012/chart">
                          <a:solidFill>
                            <a:schemeClr val="accent2">
                              <a:tint val="4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Gráficos!$G$135</c15:sqref>
                        <c15:spPr xmlns:c15="http://schemas.microsoft.com/office/drawing/2012/chart">
                          <a:solidFill>
                            <a:schemeClr val="accent2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Gráficos!$G$136</c15:sqref>
                        <c15:spPr xmlns:c15="http://schemas.microsoft.com/office/drawing/2012/chart">
                          <a:solidFill>
                            <a:schemeClr val="accent2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Gráficos!$G$137</c15:sqref>
                        <c15:spPr xmlns:c15="http://schemas.microsoft.com/office/drawing/2012/chart">
                          <a:solidFill>
                            <a:schemeClr val="accent2">
                              <a:tint val="4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Gráficos!$G$138</c15:sqref>
                        <c15:spPr xmlns:c15="http://schemas.microsoft.com/office/drawing/2012/chart">
                          <a:solidFill>
                            <a:schemeClr val="accent2">
                              <a:tint val="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Gráficos!$G$139</c15:sqref>
                        <c15:spPr xmlns:c15="http://schemas.microsoft.com/office/drawing/2012/chart">
                          <a:solidFill>
                            <a:schemeClr val="accent2">
                              <a:tint val="7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Gráficos!$G$140</c15:sqref>
                        <c15:spPr xmlns:c15="http://schemas.microsoft.com/office/drawing/2012/chart">
                          <a:solidFill>
                            <a:schemeClr val="accent2">
                              <a:tint val="3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Gráficos!$G$147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Gráficos!$G$151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Gráficos!$G$153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30-0A21-484F-B54D-A1433ECCBDF1}"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Gráficos!$H$119</c15:sqref>
                        </c15:formulaRef>
                      </c:ext>
                    </c:extLst>
                    <c:strCache>
                      <c:ptCount val="1"/>
                      <c:pt idx="0">
                        <c:v>PJ
Exerc. Ant.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2-0A21-484F-B54D-A1433ECCBDF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4-0A21-484F-B54D-A1433ECCBDF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6-0A21-484F-B54D-A1433ECCBDF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Gráficos!$A$148:$A$150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Gráficos!$H$120:$H$154</c15:sqref>
                        </c15:fullRef>
                        <c15:formulaRef>
                          <c15:sqref>Gráficos!$H$148:$H$150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>
                        <c:v>62118</c:v>
                      </c:pt>
                      <c:pt idx="1">
                        <c:v>83099.662000000011</c:v>
                      </c:pt>
                      <c:pt idx="2">
                        <c:v>33841.392000000007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Gráficos!$H$120</c15:sqref>
                        <c15:spPr xmlns:c15="http://schemas.microsoft.com/office/drawing/2012/chart">
                          <a:solidFill>
                            <a:schemeClr val="accent2">
                              <a:shade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Gráficos!$H$128</c15:sqref>
                        <c15:spPr xmlns:c15="http://schemas.microsoft.com/office/drawing/2012/chart">
                          <a:solidFill>
                            <a:schemeClr val="accent2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Gráficos!$H$129</c15:sqref>
                        <c15:spPr xmlns:c15="http://schemas.microsoft.com/office/drawing/2012/chart">
                          <a:solidFill>
                            <a:schemeClr val="accent2">
                              <a:tint val="2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Gráficos!$H$130</c15:sqref>
                        <c15:spPr xmlns:c15="http://schemas.microsoft.com/office/drawing/2012/chart">
                          <a:solidFill>
                            <a:schemeClr val="accent2">
                              <a:tint val="8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Gráficos!$H$132</c15:sqref>
                        <c15:spPr xmlns:c15="http://schemas.microsoft.com/office/drawing/2012/chart">
                          <a:solidFill>
                            <a:schemeClr val="accent2">
                              <a:tint val="1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Gráficos!$H$134</c15:sqref>
                        <c15:spPr xmlns:c15="http://schemas.microsoft.com/office/drawing/2012/chart">
                          <a:solidFill>
                            <a:schemeClr val="accent2">
                              <a:tint val="4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Gráficos!$H$135</c15:sqref>
                        <c15:spPr xmlns:c15="http://schemas.microsoft.com/office/drawing/2012/chart">
                          <a:solidFill>
                            <a:schemeClr val="accent2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Gráficos!$H$136</c15:sqref>
                        <c15:spPr xmlns:c15="http://schemas.microsoft.com/office/drawing/2012/chart">
                          <a:solidFill>
                            <a:schemeClr val="accent2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Gráficos!$H$137</c15:sqref>
                        <c15:spPr xmlns:c15="http://schemas.microsoft.com/office/drawing/2012/chart">
                          <a:solidFill>
                            <a:schemeClr val="accent2">
                              <a:tint val="4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Gráficos!$H$138</c15:sqref>
                        <c15:spPr xmlns:c15="http://schemas.microsoft.com/office/drawing/2012/chart">
                          <a:solidFill>
                            <a:schemeClr val="accent2">
                              <a:tint val="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Gráficos!$H$139</c15:sqref>
                        <c15:spPr xmlns:c15="http://schemas.microsoft.com/office/drawing/2012/chart">
                          <a:solidFill>
                            <a:schemeClr val="accent2">
                              <a:tint val="7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Gráficos!$H$140</c15:sqref>
                        <c15:spPr xmlns:c15="http://schemas.microsoft.com/office/drawing/2012/chart">
                          <a:solidFill>
                            <a:schemeClr val="accent2">
                              <a:tint val="3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Gráficos!$H$147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Gráficos!$H$151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Gráficos!$H$153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37-0A21-484F-B54D-A1433ECCBDF1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Gráficos!$I$119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9-0A21-484F-B54D-A1433ECCBDF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B-0A21-484F-B54D-A1433ECCBDF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D-0A21-484F-B54D-A1433ECCBDF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Gráficos!$A$148:$A$150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Gráficos!$I$120:$I$154</c15:sqref>
                        </c15:fullRef>
                        <c15:formulaRef>
                          <c15:sqref>Gráficos!$I$148:$I$150</c15:sqref>
                        </c15:formulaRef>
                      </c:ext>
                    </c:extLst>
                    <c:numCache>
                      <c:formatCode>0.0%</c:formatCode>
                      <c:ptCount val="3"/>
                      <c:pt idx="0">
                        <c:v>1.4808400693049366E-2</c:v>
                      </c:pt>
                      <c:pt idx="1">
                        <c:v>1.4953685921394814E-2</c:v>
                      </c:pt>
                      <c:pt idx="2">
                        <c:v>1.0357023093468247E-2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Gráficos!$I$120</c15:sqref>
                        <c15:spPr xmlns:c15="http://schemas.microsoft.com/office/drawing/2012/chart">
                          <a:solidFill>
                            <a:schemeClr val="accent2">
                              <a:shade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Gráficos!$I$128</c15:sqref>
                        <c15:spPr xmlns:c15="http://schemas.microsoft.com/office/drawing/2012/chart">
                          <a:solidFill>
                            <a:schemeClr val="accent2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Gráficos!$I$129</c15:sqref>
                        <c15:spPr xmlns:c15="http://schemas.microsoft.com/office/drawing/2012/chart">
                          <a:solidFill>
                            <a:schemeClr val="accent2">
                              <a:tint val="2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Gráficos!$I$130</c15:sqref>
                        <c15:spPr xmlns:c15="http://schemas.microsoft.com/office/drawing/2012/chart">
                          <a:solidFill>
                            <a:schemeClr val="accent2">
                              <a:tint val="8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Gráficos!$I$132</c15:sqref>
                        <c15:spPr xmlns:c15="http://schemas.microsoft.com/office/drawing/2012/chart">
                          <a:solidFill>
                            <a:schemeClr val="accent2">
                              <a:tint val="1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Gráficos!$I$134</c15:sqref>
                        <c15:spPr xmlns:c15="http://schemas.microsoft.com/office/drawing/2012/chart">
                          <a:solidFill>
                            <a:schemeClr val="accent2">
                              <a:tint val="4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Gráficos!$I$135</c15:sqref>
                        <c15:spPr xmlns:c15="http://schemas.microsoft.com/office/drawing/2012/chart">
                          <a:solidFill>
                            <a:schemeClr val="accent2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Gráficos!$I$136</c15:sqref>
                        <c15:spPr xmlns:c15="http://schemas.microsoft.com/office/drawing/2012/chart">
                          <a:solidFill>
                            <a:schemeClr val="accent2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Gráficos!$I$137</c15:sqref>
                        <c15:spPr xmlns:c15="http://schemas.microsoft.com/office/drawing/2012/chart">
                          <a:solidFill>
                            <a:schemeClr val="accent2">
                              <a:tint val="4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Gráficos!$I$138</c15:sqref>
                        <c15:spPr xmlns:c15="http://schemas.microsoft.com/office/drawing/2012/chart">
                          <a:solidFill>
                            <a:schemeClr val="accent2">
                              <a:tint val="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Gráficos!$I$139</c15:sqref>
                        <c15:spPr xmlns:c15="http://schemas.microsoft.com/office/drawing/2012/chart">
                          <a:solidFill>
                            <a:schemeClr val="accent2">
                              <a:tint val="7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Gráficos!$I$140</c15:sqref>
                        <c15:spPr xmlns:c15="http://schemas.microsoft.com/office/drawing/2012/chart">
                          <a:solidFill>
                            <a:schemeClr val="accent2">
                              <a:tint val="3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Gráficos!$I$147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Gráficos!$I$151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Gráficos!$I$153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3E-0A21-484F-B54D-A1433ECCBDF1}"/>
                  </c:ext>
                </c:extLst>
              </c15:ser>
            </c15:filteredPieSeries>
            <c15:filteredPi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Gráficos!$J$119</c15:sqref>
                        </c15:formulaRef>
                      </c:ext>
                    </c:extLst>
                    <c:strCache>
                      <c:ptCount val="1"/>
                      <c:pt idx="0">
                        <c:v>RRT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0-0A21-484F-B54D-A1433ECCBDF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2-0A21-484F-B54D-A1433ECCBDF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4-0A21-484F-B54D-A1433ECCBDF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Gráficos!$A$148:$A$150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Gráficos!$J$120:$J$154</c15:sqref>
                        </c15:fullRef>
                        <c15:formulaRef>
                          <c15:sqref>Gráficos!$J$148:$J$150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>
                        <c:v>1827771.2319999998</c:v>
                      </c:pt>
                      <c:pt idx="1">
                        <c:v>2349225.9440000001</c:v>
                      </c:pt>
                      <c:pt idx="2">
                        <c:v>1326162.56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Gráficos!$J$120</c15:sqref>
                        <c15:spPr xmlns:c15="http://schemas.microsoft.com/office/drawing/2012/chart">
                          <a:solidFill>
                            <a:schemeClr val="accent2">
                              <a:shade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Gráficos!$J$128</c15:sqref>
                        <c15:spPr xmlns:c15="http://schemas.microsoft.com/office/drawing/2012/chart">
                          <a:solidFill>
                            <a:schemeClr val="accent2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Gráficos!$J$129</c15:sqref>
                        <c15:spPr xmlns:c15="http://schemas.microsoft.com/office/drawing/2012/chart">
                          <a:solidFill>
                            <a:schemeClr val="accent2">
                              <a:tint val="2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Gráficos!$J$130</c15:sqref>
                        <c15:spPr xmlns:c15="http://schemas.microsoft.com/office/drawing/2012/chart">
                          <a:solidFill>
                            <a:schemeClr val="accent2">
                              <a:tint val="8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Gráficos!$J$132</c15:sqref>
                        <c15:spPr xmlns:c15="http://schemas.microsoft.com/office/drawing/2012/chart">
                          <a:solidFill>
                            <a:schemeClr val="accent2">
                              <a:tint val="1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Gráficos!$J$134</c15:sqref>
                        <c15:spPr xmlns:c15="http://schemas.microsoft.com/office/drawing/2012/chart">
                          <a:solidFill>
                            <a:schemeClr val="accent2">
                              <a:tint val="4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Gráficos!$J$135</c15:sqref>
                        <c15:spPr xmlns:c15="http://schemas.microsoft.com/office/drawing/2012/chart">
                          <a:solidFill>
                            <a:schemeClr val="accent2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Gráficos!$J$136</c15:sqref>
                        <c15:spPr xmlns:c15="http://schemas.microsoft.com/office/drawing/2012/chart">
                          <a:solidFill>
                            <a:schemeClr val="accent2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Gráficos!$J$137</c15:sqref>
                        <c15:spPr xmlns:c15="http://schemas.microsoft.com/office/drawing/2012/chart">
                          <a:solidFill>
                            <a:schemeClr val="accent2">
                              <a:tint val="4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Gráficos!$J$138</c15:sqref>
                        <c15:spPr xmlns:c15="http://schemas.microsoft.com/office/drawing/2012/chart">
                          <a:solidFill>
                            <a:schemeClr val="accent2">
                              <a:tint val="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Gráficos!$J$139</c15:sqref>
                        <c15:spPr xmlns:c15="http://schemas.microsoft.com/office/drawing/2012/chart">
                          <a:solidFill>
                            <a:schemeClr val="accent2">
                              <a:tint val="7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Gráficos!$J$140</c15:sqref>
                        <c15:spPr xmlns:c15="http://schemas.microsoft.com/office/drawing/2012/chart">
                          <a:solidFill>
                            <a:schemeClr val="accent2">
                              <a:tint val="3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Gráficos!$J$147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Gráficos!$J$151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Gráficos!$J$153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45-0A21-484F-B54D-A1433ECCBDF1}"/>
                  </c:ext>
                </c:extLst>
              </c15:ser>
            </c15:filteredPieSeries>
            <c15:filteredPi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Gráficos!$K$119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7-0A21-484F-B54D-A1433ECCBDF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9-0A21-484F-B54D-A1433ECCBDF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B-0A21-484F-B54D-A1433ECCBDF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Gráficos!$A$148:$A$150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Gráficos!$K$120:$K$154</c15:sqref>
                        </c15:fullRef>
                        <c15:formulaRef>
                          <c15:sqref>Gráficos!$K$148:$K$150</c15:sqref>
                        </c15:formulaRef>
                      </c:ext>
                    </c:extLst>
                    <c:numCache>
                      <c:formatCode>0.0%</c:formatCode>
                      <c:ptCount val="3"/>
                      <c:pt idx="0">
                        <c:v>0.43572505197663303</c:v>
                      </c:pt>
                      <c:pt idx="1">
                        <c:v>0.42274043094144281</c:v>
                      </c:pt>
                      <c:pt idx="2">
                        <c:v>0.40586676397983179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Gráficos!$K$120</c15:sqref>
                        <c15:spPr xmlns:c15="http://schemas.microsoft.com/office/drawing/2012/chart">
                          <a:solidFill>
                            <a:schemeClr val="accent2">
                              <a:shade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Gráficos!$K$128</c15:sqref>
                        <c15:spPr xmlns:c15="http://schemas.microsoft.com/office/drawing/2012/chart">
                          <a:solidFill>
                            <a:schemeClr val="accent2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Gráficos!$K$129</c15:sqref>
                        <c15:spPr xmlns:c15="http://schemas.microsoft.com/office/drawing/2012/chart">
                          <a:solidFill>
                            <a:schemeClr val="accent2">
                              <a:tint val="2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Gráficos!$K$130</c15:sqref>
                        <c15:spPr xmlns:c15="http://schemas.microsoft.com/office/drawing/2012/chart">
                          <a:solidFill>
                            <a:schemeClr val="accent2">
                              <a:tint val="8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Gráficos!$K$132</c15:sqref>
                        <c15:spPr xmlns:c15="http://schemas.microsoft.com/office/drawing/2012/chart">
                          <a:solidFill>
                            <a:schemeClr val="accent2">
                              <a:tint val="1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Gráficos!$K$134</c15:sqref>
                        <c15:spPr xmlns:c15="http://schemas.microsoft.com/office/drawing/2012/chart">
                          <a:solidFill>
                            <a:schemeClr val="accent2">
                              <a:tint val="4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Gráficos!$K$135</c15:sqref>
                        <c15:spPr xmlns:c15="http://schemas.microsoft.com/office/drawing/2012/chart">
                          <a:solidFill>
                            <a:schemeClr val="accent2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Gráficos!$K$136</c15:sqref>
                        <c15:spPr xmlns:c15="http://schemas.microsoft.com/office/drawing/2012/chart">
                          <a:solidFill>
                            <a:schemeClr val="accent2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Gráficos!$K$137</c15:sqref>
                        <c15:spPr xmlns:c15="http://schemas.microsoft.com/office/drawing/2012/chart">
                          <a:solidFill>
                            <a:schemeClr val="accent2">
                              <a:tint val="4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Gráficos!$K$138</c15:sqref>
                        <c15:spPr xmlns:c15="http://schemas.microsoft.com/office/drawing/2012/chart">
                          <a:solidFill>
                            <a:schemeClr val="accent2">
                              <a:tint val="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Gráficos!$K$139</c15:sqref>
                        <c15:spPr xmlns:c15="http://schemas.microsoft.com/office/drawing/2012/chart">
                          <a:solidFill>
                            <a:schemeClr val="accent2">
                              <a:tint val="7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Gráficos!$K$140</c15:sqref>
                        <c15:spPr xmlns:c15="http://schemas.microsoft.com/office/drawing/2012/chart">
                          <a:solidFill>
                            <a:schemeClr val="accent2">
                              <a:tint val="3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Gráficos!$K$147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Gráficos!$K$151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Gráficos!$K$153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4C-0A21-484F-B54D-A1433ECCBDF1}"/>
                  </c:ext>
                </c:extLst>
              </c15:ser>
            </c15:filteredPieSeries>
            <c15:filteredPi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Gráficos!$L$119</c15:sqref>
                        </c15:formulaRef>
                      </c:ext>
                    </c:extLst>
                    <c:strCache>
                      <c:ptCount val="1"/>
                      <c:pt idx="0">
                        <c:v>Taxas
e Multas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4E-0A21-484F-B54D-A1433ECCBDF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0-0A21-484F-B54D-A1433ECCBDF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2-0A21-484F-B54D-A1433ECCBDF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Gráficos!$A$148:$A$150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Gráficos!$L$120:$L$154</c15:sqref>
                        </c15:fullRef>
                        <c15:formulaRef>
                          <c15:sqref>Gráficos!$L$148:$L$150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>
                        <c:v>104281.56000000001</c:v>
                      </c:pt>
                      <c:pt idx="1">
                        <c:v>171792.91</c:v>
                      </c:pt>
                      <c:pt idx="2">
                        <c:v>68355.72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Gráficos!$L$120</c15:sqref>
                        <c15:spPr xmlns:c15="http://schemas.microsoft.com/office/drawing/2012/chart">
                          <a:solidFill>
                            <a:schemeClr val="accent2">
                              <a:shade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Gráficos!$L$128</c15:sqref>
                        <c15:spPr xmlns:c15="http://schemas.microsoft.com/office/drawing/2012/chart">
                          <a:solidFill>
                            <a:schemeClr val="accent2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Gráficos!$L$129</c15:sqref>
                        <c15:spPr xmlns:c15="http://schemas.microsoft.com/office/drawing/2012/chart">
                          <a:solidFill>
                            <a:schemeClr val="accent2">
                              <a:tint val="2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Gráficos!$L$130</c15:sqref>
                        <c15:spPr xmlns:c15="http://schemas.microsoft.com/office/drawing/2012/chart">
                          <a:solidFill>
                            <a:schemeClr val="accent2">
                              <a:tint val="8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Gráficos!$L$132</c15:sqref>
                        <c15:spPr xmlns:c15="http://schemas.microsoft.com/office/drawing/2012/chart">
                          <a:solidFill>
                            <a:schemeClr val="accent2">
                              <a:tint val="1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Gráficos!$L$134</c15:sqref>
                        <c15:spPr xmlns:c15="http://schemas.microsoft.com/office/drawing/2012/chart">
                          <a:solidFill>
                            <a:schemeClr val="accent2">
                              <a:tint val="4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Gráficos!$L$135</c15:sqref>
                        <c15:spPr xmlns:c15="http://schemas.microsoft.com/office/drawing/2012/chart">
                          <a:solidFill>
                            <a:schemeClr val="accent2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Gráficos!$L$136</c15:sqref>
                        <c15:spPr xmlns:c15="http://schemas.microsoft.com/office/drawing/2012/chart">
                          <a:solidFill>
                            <a:schemeClr val="accent2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Gráficos!$L$137</c15:sqref>
                        <c15:spPr xmlns:c15="http://schemas.microsoft.com/office/drawing/2012/chart">
                          <a:solidFill>
                            <a:schemeClr val="accent2">
                              <a:tint val="4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Gráficos!$L$138</c15:sqref>
                        <c15:spPr xmlns:c15="http://schemas.microsoft.com/office/drawing/2012/chart">
                          <a:solidFill>
                            <a:schemeClr val="accent2">
                              <a:tint val="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Gráficos!$L$139</c15:sqref>
                        <c15:spPr xmlns:c15="http://schemas.microsoft.com/office/drawing/2012/chart">
                          <a:solidFill>
                            <a:schemeClr val="accent2">
                              <a:tint val="7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Gráficos!$L$140</c15:sqref>
                        <c15:spPr xmlns:c15="http://schemas.microsoft.com/office/drawing/2012/chart">
                          <a:solidFill>
                            <a:schemeClr val="accent2">
                              <a:tint val="3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Gráficos!$L$147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Gráficos!$L$151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Gráficos!$L$153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53-0A21-484F-B54D-A1433ECCBDF1}"/>
                  </c:ext>
                </c:extLst>
              </c15:ser>
            </c15:filteredPieSeries>
            <c15:filteredPi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Gráficos!$M$119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5-0A21-484F-B54D-A1433ECCBDF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7-0A21-484F-B54D-A1433ECCBDF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9-0A21-484F-B54D-A1433ECCBDF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Gráficos!$A$148:$A$150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Gráficos!$M$120:$M$154</c15:sqref>
                        </c15:fullRef>
                        <c15:formulaRef>
                          <c15:sqref>Gráficos!$M$148:$M$150</c15:sqref>
                        </c15:formulaRef>
                      </c:ext>
                    </c:extLst>
                    <c:numCache>
                      <c:formatCode>0.0%</c:formatCode>
                      <c:ptCount val="3"/>
                      <c:pt idx="0">
                        <c:v>2.4859833307193876E-2</c:v>
                      </c:pt>
                      <c:pt idx="1">
                        <c:v>3.0913931029736871E-2</c:v>
                      </c:pt>
                      <c:pt idx="2">
                        <c:v>2.091999556669091E-2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Gráficos!$M$120</c15:sqref>
                        <c15:spPr xmlns:c15="http://schemas.microsoft.com/office/drawing/2012/chart">
                          <a:solidFill>
                            <a:schemeClr val="accent2">
                              <a:shade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Gráficos!$M$128</c15:sqref>
                        <c15:spPr xmlns:c15="http://schemas.microsoft.com/office/drawing/2012/chart">
                          <a:solidFill>
                            <a:schemeClr val="accent2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Gráficos!$M$129</c15:sqref>
                        <c15:spPr xmlns:c15="http://schemas.microsoft.com/office/drawing/2012/chart">
                          <a:solidFill>
                            <a:schemeClr val="accent2">
                              <a:tint val="2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Gráficos!$M$130</c15:sqref>
                        <c15:spPr xmlns:c15="http://schemas.microsoft.com/office/drawing/2012/chart">
                          <a:solidFill>
                            <a:schemeClr val="accent2">
                              <a:tint val="8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Gráficos!$M$132</c15:sqref>
                        <c15:spPr xmlns:c15="http://schemas.microsoft.com/office/drawing/2012/chart">
                          <a:solidFill>
                            <a:schemeClr val="accent2">
                              <a:tint val="1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Gráficos!$M$134</c15:sqref>
                        <c15:spPr xmlns:c15="http://schemas.microsoft.com/office/drawing/2012/chart">
                          <a:solidFill>
                            <a:schemeClr val="accent2">
                              <a:tint val="4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Gráficos!$M$135</c15:sqref>
                        <c15:spPr xmlns:c15="http://schemas.microsoft.com/office/drawing/2012/chart">
                          <a:solidFill>
                            <a:schemeClr val="accent2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Gráficos!$M$136</c15:sqref>
                        <c15:spPr xmlns:c15="http://schemas.microsoft.com/office/drawing/2012/chart">
                          <a:solidFill>
                            <a:schemeClr val="accent2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Gráficos!$M$137</c15:sqref>
                        <c15:spPr xmlns:c15="http://schemas.microsoft.com/office/drawing/2012/chart">
                          <a:solidFill>
                            <a:schemeClr val="accent2">
                              <a:tint val="4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Gráficos!$M$138</c15:sqref>
                        <c15:spPr xmlns:c15="http://schemas.microsoft.com/office/drawing/2012/chart">
                          <a:solidFill>
                            <a:schemeClr val="accent2">
                              <a:tint val="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Gráficos!$M$139</c15:sqref>
                        <c15:spPr xmlns:c15="http://schemas.microsoft.com/office/drawing/2012/chart">
                          <a:solidFill>
                            <a:schemeClr val="accent2">
                              <a:tint val="7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Gráficos!$M$140</c15:sqref>
                        <c15:spPr xmlns:c15="http://schemas.microsoft.com/office/drawing/2012/chart">
                          <a:solidFill>
                            <a:schemeClr val="accent2">
                              <a:tint val="3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Gráficos!$M$147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Gráficos!$M$151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Gráficos!$M$153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5A-0A21-484F-B54D-A1433ECCBDF1}"/>
                  </c:ext>
                </c:extLst>
              </c15:ser>
            </c15:filteredPieSeries>
            <c15:filteredPi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Gráficos!$O$119</c15:sqref>
                        </c15:formulaRef>
                      </c:ext>
                    </c:extLst>
                    <c:strCache>
                      <c:ptCount val="1"/>
                      <c:pt idx="0">
                        <c:v>Part.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2">
                        <a:shade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C-0A21-484F-B54D-A1433ECCBDF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5E-0A21-484F-B54D-A1433ECCBDF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2">
                        <a:tint val="65%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60-0A21-484F-B54D-A1433ECCBDF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%">
                          <a:solidFill>
                            <a:schemeClr val="tx1">
                              <a:lumMod val="75%"/>
                              <a:lumOff val="25%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%"/>
                            <a:lumOff val="65%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Gráficos!$A$120:$A$154</c15:sqref>
                        </c15:fullRef>
                        <c15:formulaRef>
                          <c15:sqref>Gráficos!$A$148:$A$150</c15:sqref>
                        </c15:formulaRef>
                      </c:ext>
                    </c:extLst>
                    <c:strCache>
                      <c:ptCount val="3"/>
                      <c:pt idx="0">
                        <c:v>PR</c:v>
                      </c:pt>
                      <c:pt idx="1">
                        <c:v>RS</c:v>
                      </c:pt>
                      <c:pt idx="2">
                        <c:v>SC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Gráficos!$O$120:$O$154</c15:sqref>
                        </c15:fullRef>
                        <c15:formulaRef>
                          <c15:sqref>Gráficos!$O$148:$O$150</c15:sqref>
                        </c15:formulaRef>
                      </c:ext>
                    </c:extLst>
                    <c:numCache>
                      <c:formatCode>0.0%</c:formatCode>
                      <c:ptCount val="3"/>
                      <c:pt idx="0">
                        <c:v>5.9878328425768977E-2</c:v>
                      </c:pt>
                      <c:pt idx="1">
                        <c:v>7.9325234286929058E-2</c:v>
                      </c:pt>
                      <c:pt idx="2">
                        <c:v>4.6641620914334381E-2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Gráficos!$O$120</c15:sqref>
                        <c15:spPr xmlns:c15="http://schemas.microsoft.com/office/drawing/2012/chart">
                          <a:solidFill>
                            <a:schemeClr val="accent2">
                              <a:shade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Gráficos!$O$128</c15:sqref>
                        <c15:spPr xmlns:c15="http://schemas.microsoft.com/office/drawing/2012/chart">
                          <a:solidFill>
                            <a:schemeClr val="accent2">
                              <a:tint val="5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Gráficos!$O$129</c15:sqref>
                        <c15:spPr xmlns:c15="http://schemas.microsoft.com/office/drawing/2012/chart">
                          <a:solidFill>
                            <a:schemeClr val="accent2">
                              <a:tint val="2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Gráficos!$O$130</c15:sqref>
                        <c15:spPr xmlns:c15="http://schemas.microsoft.com/office/drawing/2012/chart">
                          <a:solidFill>
                            <a:schemeClr val="accent2">
                              <a:tint val="8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Gráficos!$O$132</c15:sqref>
                        <c15:spPr xmlns:c15="http://schemas.microsoft.com/office/drawing/2012/chart">
                          <a:solidFill>
                            <a:schemeClr val="accent2">
                              <a:tint val="1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Gráficos!$O$134</c15:sqref>
                        <c15:spPr xmlns:c15="http://schemas.microsoft.com/office/drawing/2012/chart">
                          <a:solidFill>
                            <a:schemeClr val="accent2">
                              <a:tint val="4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Gráficos!$O$135</c15:sqref>
                        <c15:spPr xmlns:c15="http://schemas.microsoft.com/office/drawing/2012/chart">
                          <a:solidFill>
                            <a:schemeClr val="accent2">
                              <a:tint val="1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Gráficos!$O$136</c15:sqref>
                        <c15:spPr xmlns:c15="http://schemas.microsoft.com/office/drawing/2012/chart">
                          <a:solidFill>
                            <a:schemeClr val="accent2">
                              <a:tint val="7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Gráficos!$O$137</c15:sqref>
                        <c15:spPr xmlns:c15="http://schemas.microsoft.com/office/drawing/2012/chart">
                          <a:solidFill>
                            <a:schemeClr val="accent2">
                              <a:tint val="4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Gráficos!$O$138</c15:sqref>
                        <c15:spPr xmlns:c15="http://schemas.microsoft.com/office/drawing/2012/chart">
                          <a:solidFill>
                            <a:schemeClr val="accent2">
                              <a:tint val="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Gráficos!$O$139</c15:sqref>
                        <c15:spPr xmlns:c15="http://schemas.microsoft.com/office/drawing/2012/chart">
                          <a:solidFill>
                            <a:schemeClr val="accent2">
                              <a:tint val="7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Gráficos!$O$140</c15:sqref>
                        <c15:spPr xmlns:c15="http://schemas.microsoft.com/office/drawing/2012/chart">
                          <a:solidFill>
                            <a:schemeClr val="accent2">
                              <a:tint val="3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Gráficos!$O$141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Gráficos!$O$142</c15:sqref>
                        <c15:spPr xmlns:c15="http://schemas.microsoft.com/office/drawing/2012/chart">
                          <a:solidFill>
                            <a:schemeClr val="accent2">
                              <a:tint val="6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Gráficos!$O$143</c15:sqref>
                        <c15:spPr xmlns:c15="http://schemas.microsoft.com/office/drawing/2012/chart">
                          <a:solidFill>
                            <a:schemeClr val="accent2">
                              <a:tint val="3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Gráficos!$O$144</c15:sqref>
                        <c15:spPr xmlns:c15="http://schemas.microsoft.com/office/drawing/2012/chart">
                          <a:solidFill>
                            <a:schemeClr val="accent2">
                              <a:tint val="9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Gráficos!$O$145</c15:sqref>
                        <c15:spPr xmlns:c15="http://schemas.microsoft.com/office/drawing/2012/chart">
                          <a:solidFill>
                            <a:schemeClr val="accent2">
                              <a:tint val="6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Gráficos!$O$146</c15:sqref>
                        <c15:spPr xmlns:c15="http://schemas.microsoft.com/office/drawing/2012/chart">
                          <a:solidFill>
                            <a:schemeClr val="accent2">
                              <a:tint val="25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Gráficos!$O$147</c15:sqref>
                        <c15:spPr xmlns:c15="http://schemas.microsoft.com/office/drawing/2012/chart">
                          <a:solidFill>
                            <a:schemeClr val="accent2">
                              <a:tint val="9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Gráficos!$O$151</c15:sqref>
                        <c15:spPr xmlns:c15="http://schemas.microsoft.com/office/drawing/2012/chart">
                          <a:solidFill>
                            <a:schemeClr val="accent2">
                              <a:tint val="5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Gráficos!$O$153</c15:sqref>
                        <c15:spPr xmlns:c15="http://schemas.microsoft.com/office/drawing/2012/chart">
                          <a:solidFill>
                            <a:schemeClr val="accent2">
                              <a:tint val="80%"/>
                            </a:schemeClr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61-0A21-484F-B54D-A1433ECCBDF1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9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Arrecadação de Janeiro 2019</a:t>
            </a:r>
          </a:p>
          <a:p>
            <a:pPr>
              <a:defRPr/>
            </a:pPr>
            <a:r>
              <a:rPr lang="pt-BR" sz="1100"/>
              <a:t>Previsto X Executado</a:t>
            </a:r>
          </a:p>
        </c:rich>
      </c:tx>
      <c:layout>
        <c:manualLayout>
          <c:xMode val="edge"/>
          <c:yMode val="edge"/>
          <c:x val="0.29071562307391136"/>
          <c:y val="1.86136563413392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8856056831198639"/>
          <c:y val="0.17171296296296296"/>
          <c:w val="0.80231270871827165"/>
          <c:h val="0.6030084505266968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Gráficos!$A$5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1C394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8815E70-481D-4FD6-8AE2-17AECAB03076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FC9-40C0-9F31-0CA9A0FE6B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C9-40C0-9F31-0CA9A0FE6B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C9-40C0-9F31-0CA9A0FE6B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C9-40C0-9F31-0CA9A0FE6B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C9-40C0-9F31-0CA9A0FE6B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C9-40C0-9F31-0CA9A0FE6B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C9-40C0-9F31-0CA9A0FE6B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C9-40C0-9F31-0CA9A0FE6B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C9-40C0-9F31-0CA9A0FE6BB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C9-40C0-9F31-0CA9A0FE6BB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C9-40C0-9F31-0CA9A0FE6BB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C9-40C0-9F31-0CA9A0FE6BB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%"/>
                    <a:lumOff val="75%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%">
                    <a:solidFill>
                      <a:schemeClr val="dk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f>Gráficos!$B$2:$M$2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Gráficos!$B$5:$M$5</c:f>
              <c:numCache>
                <c:formatCode>_-* #,##0_-;\-* #,##0_-;_-* "-"??_-;_-@_-</c:formatCode>
                <c:ptCount val="12"/>
                <c:pt idx="0">
                  <c:v>19627391.469999995</c:v>
                </c:pt>
                <c:pt idx="1">
                  <c:v>41572368.199999996</c:v>
                </c:pt>
                <c:pt idx="2">
                  <c:v>54886741.919999994</c:v>
                </c:pt>
                <c:pt idx="3">
                  <c:v>70055080.932999998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Gráficos!$B$6:$M$6</c15:f>
                <c15:dlblRangeCache>
                  <c:ptCount val="12"/>
                  <c:pt idx="0">
                    <c:v>78,6%</c:v>
                  </c:pt>
                  <c:pt idx="1">
                    <c:v>91,1%</c:v>
                  </c:pt>
                  <c:pt idx="2">
                    <c:v>89,0%</c:v>
                  </c:pt>
                  <c:pt idx="3">
                    <c:v>93,1%</c:v>
                  </c:pt>
                  <c:pt idx="4">
                    <c:v>0,0%</c:v>
                  </c:pt>
                  <c:pt idx="5">
                    <c:v>0,0%</c:v>
                  </c:pt>
                  <c:pt idx="6">
                    <c:v>0,0%</c:v>
                  </c:pt>
                  <c:pt idx="7">
                    <c:v>0,0%</c:v>
                  </c:pt>
                  <c:pt idx="8">
                    <c:v>0,0%</c:v>
                  </c:pt>
                  <c:pt idx="9">
                    <c:v>0,0%</c:v>
                  </c:pt>
                  <c:pt idx="10">
                    <c:v>0,0%</c:v>
                  </c:pt>
                  <c:pt idx="11">
                    <c:v>0,0%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3FC9-40C0-9F31-0CA9A0FE6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269440"/>
        <c:axId val="275270000"/>
      </c:barChart>
      <c:lineChart>
        <c:grouping val="standard"/>
        <c:varyColors val="0"/>
        <c:ser>
          <c:idx val="0"/>
          <c:order val="0"/>
          <c:tx>
            <c:strRef>
              <c:f>Gráficos!$A$4</c:f>
              <c:strCache>
                <c:ptCount val="1"/>
                <c:pt idx="0">
                  <c:v>Previsto</c:v>
                </c:pt>
              </c:strCache>
            </c:strRef>
          </c:tx>
          <c:spPr>
            <a:ln w="28575" cap="rnd">
              <a:solidFill>
                <a:srgbClr val="AECCD2"/>
              </a:solidFill>
              <a:round/>
            </a:ln>
            <a:effectLst/>
          </c:spPr>
          <c:marker>
            <c:symbol val="none"/>
          </c:marker>
          <c:cat>
            <c:strRef>
              <c:f>Gráficos!$B$2:$M$2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Gráficos!$B$4:$M$4</c:f>
              <c:numCache>
                <c:formatCode>_-* #,##0_-;\-* #,##0_-;_-* "-"??_-;_-@_-</c:formatCode>
                <c:ptCount val="12"/>
                <c:pt idx="0">
                  <c:v>24965259.088804461</c:v>
                </c:pt>
                <c:pt idx="1">
                  <c:v>45611582.811293431</c:v>
                </c:pt>
                <c:pt idx="2">
                  <c:v>61665519.902792975</c:v>
                </c:pt>
                <c:pt idx="3">
                  <c:v>75245419.01921387</c:v>
                </c:pt>
                <c:pt idx="4">
                  <c:v>92062355.461077303</c:v>
                </c:pt>
                <c:pt idx="5">
                  <c:v>106642143.14316694</c:v>
                </c:pt>
                <c:pt idx="6">
                  <c:v>117349884.97077161</c:v>
                </c:pt>
                <c:pt idx="7">
                  <c:v>129233343.80541581</c:v>
                </c:pt>
                <c:pt idx="8">
                  <c:v>138993372.92205</c:v>
                </c:pt>
                <c:pt idx="9">
                  <c:v>150019716.42441604</c:v>
                </c:pt>
                <c:pt idx="10">
                  <c:v>159670741.00496891</c:v>
                </c:pt>
                <c:pt idx="11">
                  <c:v>168641948.04524186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C9-40C0-9F31-0CA9A0FE6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269440"/>
        <c:axId val="275270000"/>
      </c:lineChart>
      <c:catAx>
        <c:axId val="27526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75270000"/>
        <c:crosses val="autoZero"/>
        <c:auto val="1"/>
        <c:lblAlgn val="ctr"/>
        <c:lblOffset val="100"/>
        <c:noMultiLvlLbl val="0"/>
      </c:catAx>
      <c:valAx>
        <c:axId val="27527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752694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8.3705920432916886E-2"/>
                <c:y val="0.3159686484470238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10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11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12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13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14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15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16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17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18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19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2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20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21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22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23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24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25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26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27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28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29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3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30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31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32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33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34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35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36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37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38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39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4.xml><?xml version="1.0" encoding="utf-8"?>
<cs:colorStyle xmlns:cs="http://schemas.microsoft.com/office/drawing/2012/chartStyle" xmlns:a="http://purl.oclc.org/ooxml/drawingml/main" meth="withinLinear" id="18">
  <a:schemeClr val="accent5"/>
</cs:colorStyle>
</file>

<file path=xl/charts/colors40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41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42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43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44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45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46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47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48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49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5.xml><?xml version="1.0" encoding="utf-8"?>
<cs:colorStyle xmlns:cs="http://schemas.microsoft.com/office/drawing/2012/chartStyle" xmlns:a="http://purl.oclc.org/ooxml/drawingml/main" meth="withinLinear" id="15">
  <a:schemeClr val="accent2"/>
</cs:colorStyle>
</file>

<file path=xl/charts/colors50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51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52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53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54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55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56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57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58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59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6.xml><?xml version="1.0" encoding="utf-8"?>
<cs:colorStyle xmlns:cs="http://schemas.microsoft.com/office/drawing/2012/chartStyle" xmlns:a="http://purl.oclc.org/ooxml/drawingml/main" meth="withinLinear" id="16">
  <a:schemeClr val="accent3"/>
</cs:colorStyle>
</file>

<file path=xl/charts/colors60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61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62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7.xml><?xml version="1.0" encoding="utf-8"?>
<cs:colorStyle xmlns:cs="http://schemas.microsoft.com/office/drawing/2012/chartStyle" xmlns:a="http://purl.oclc.org/ooxml/drawingml/main" meth="withinLinear" id="17">
  <a:schemeClr val="accent4"/>
</cs:colorStyle>
</file>

<file path=xl/charts/colors8.xml><?xml version="1.0" encoding="utf-8"?>
<cs:colorStyle xmlns:cs="http://schemas.microsoft.com/office/drawing/2012/chartStyle" xmlns:a="http://purl.oclc.org/ooxml/drawingml/main" meth="withinLinear" id="15">
  <a:schemeClr val="accent2"/>
</cs:colorStyle>
</file>

<file path=xl/charts/colors9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style1.xml><?xml version="1.0" encoding="utf-8"?>
<cs:chartStyle xmlns:cs="http://schemas.microsoft.com/office/drawing/2012/chartStyle" xmlns:a="http://purl.oclc.org/ooxml/drawingml/main" id="201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%"/>
          <a:lumOff val="35%"/>
        </a:schemeClr>
      </a:solidFill>
      <a:ln w="9525">
        <a:solidFill>
          <a:schemeClr val="tx1">
            <a:lumMod val="65%"/>
            <a:lumOff val="35%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%"/>
            <a:lumOff val="25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%"/>
            <a:lumOff val="85%"/>
          </a:schemeClr>
        </a:solidFill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purl.oclc.org/ooxml/drawingml/main" id="201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%"/>
          <a:lumOff val="35%"/>
        </a:schemeClr>
      </a:solidFill>
      <a:ln w="9525">
        <a:solidFill>
          <a:schemeClr val="tx1">
            <a:lumMod val="65%"/>
            <a:lumOff val="35%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%"/>
            <a:lumOff val="25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%"/>
            <a:lumOff val="85%"/>
          </a:schemeClr>
        </a:solidFill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purl.oclc.org/ooxml/drawingml/main" id="251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purl.oclc.org/ooxml/drawingml/main" id="201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%"/>
          <a:lumOff val="35%"/>
        </a:schemeClr>
      </a:solidFill>
      <a:ln w="9525">
        <a:solidFill>
          <a:schemeClr val="tx1">
            <a:lumMod val="65%"/>
            <a:lumOff val="35%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%"/>
            <a:lumOff val="25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%"/>
            <a:lumOff val="85%"/>
          </a:schemeClr>
        </a:solidFill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purl.oclc.org/ooxml/drawingml/main" id="201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%"/>
          <a:lumOff val="35%"/>
        </a:schemeClr>
      </a:solidFill>
      <a:ln w="9525">
        <a:solidFill>
          <a:schemeClr val="tx1">
            <a:lumMod val="65%"/>
            <a:lumOff val="35%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%"/>
            <a:lumOff val="25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%"/>
            <a:lumOff val="85%"/>
          </a:schemeClr>
        </a:solidFill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purl.oclc.org/ooxml/drawingml/main" id="251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purl.oclc.org/ooxml/drawingml/main" id="251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purl.oclc.org/ooxml/drawingml/main" id="251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purl.oclc.org/ooxml/drawingml/main" id="251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purl.oclc.org/ooxml/drawingml/main" id="29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purl.oclc.org/ooxml/drawingml/main" id="251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purl.oclc.org/ooxml/drawingml/main" id="251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purl.oclc.org/ooxml/drawingml/main" id="201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%"/>
          <a:lumOff val="35%"/>
        </a:schemeClr>
      </a:solidFill>
      <a:ln w="9525">
        <a:solidFill>
          <a:schemeClr val="tx1">
            <a:lumMod val="65%"/>
            <a:lumOff val="35%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%"/>
            <a:lumOff val="25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%"/>
            <a:lumOff val="85%"/>
          </a:schemeClr>
        </a:solidFill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0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1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2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3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4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5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6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7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5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6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7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8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9.xml><?xml version="1.0" encoding="utf-8"?>
<dgm:colorsDef xmlns:dgm="http://purl.oclc.org/ooxml/drawingml/diagram" xmlns:a="http://purl.oclc.org/ooxml/drawingml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%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%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%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%"/>
      </a:schemeClr>
    </dgm:fillClrLst>
    <dgm:linClrLst meth="repeat">
      <a:schemeClr val="accent5">
        <a:tint val="60%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%"/>
        <a:tint val="40%"/>
      </a:schemeClr>
    </dgm:fillClrLst>
    <dgm:linClrLst meth="repeat">
      <a:schemeClr val="accent5">
        <a:alpha val="90%"/>
        <a:tint val="4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%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%"/>
        <a:alpha val="40%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Ativos Previstos</a:t>
          </a:r>
          <a:b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77745E09-BC33-4467-A7D0-00D63E26BF57}">
      <dgm:prSet phldrT="[Texto]"/>
      <dgm:spPr/>
      <dgm:t>
        <a:bodyPr/>
        <a:lstStyle/>
        <a:p>
          <a:endParaRPr lang="pt-BR"/>
        </a:p>
      </dgm:t>
    </dgm:pt>
    <dgm:pt modelId="{05C29930-DCA4-47D2-8F9D-D1F8B73BDC24}" type="parTrans" cxnId="{8CC35CB0-A234-4247-A746-9F1FDD0500DE}">
      <dgm:prSet/>
      <dgm:spPr/>
      <dgm:t>
        <a:bodyPr/>
        <a:lstStyle/>
        <a:p>
          <a:endParaRPr lang="pt-BR"/>
        </a:p>
      </dgm:t>
    </dgm:pt>
    <dgm:pt modelId="{5B9CC1F3-60FF-4ABF-8213-2DA0778BB206}" type="sibTrans" cxnId="{8CC35CB0-A234-4247-A746-9F1FDD0500DE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Média de execução</a:t>
          </a:r>
          <a:b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Ativos Atuais</a:t>
          </a:r>
          <a:b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5AF3E079-3959-4CCD-A44E-0F873ADAD033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384263FE-58EC-4D88-939D-1CB43D223098}" type="sibTrans" cxnId="{4DE81664-7605-4BC9-A127-C349A95161E8}">
      <dgm:prSet/>
      <dgm:spPr/>
      <dgm:t>
        <a:bodyPr/>
        <a:lstStyle/>
        <a:p>
          <a:endParaRPr lang="pt-BR"/>
        </a:p>
      </dgm:t>
    </dgm:pt>
    <dgm:pt modelId="{9FE727F0-10CB-477E-8549-5F86749F9D9D}" type="parTrans" cxnId="{4DE81664-7605-4BC9-A127-C349A95161E8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BA9D2ED0-16C9-44FB-8D9E-22F9C339ED18}" type="pres">
      <dgm:prSet presAssocID="{F0D8276B-5F8E-47CD-83BA-660329F4549E}" presName="node" presStyleLbl="node1" presStyleIdx="0" presStyleCnt="8">
        <dgm:presLayoutVars>
          <dgm:bulletEnabled val="1"/>
        </dgm:presLayoutVars>
      </dgm:prSet>
      <dgm:spPr/>
    </dgm:pt>
    <dgm:pt modelId="{8745EF1C-A4C9-4E6A-99FD-78BF7B12622C}" type="pres">
      <dgm:prSet presAssocID="{0D73E574-52F2-49BF-9E46-4279B23441E7}" presName="sibTrans" presStyleCnt="0"/>
      <dgm:spPr/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</dgm:pt>
    <dgm:pt modelId="{701E9B6D-506A-4B8B-B1E6-AB2D8DB9BB03}" type="pres">
      <dgm:prSet presAssocID="{1022C6E1-7F5E-4A04-9CD4-F8CDCBFA9BE3}" presName="sibTrans" presStyleCnt="0"/>
      <dgm:spPr/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</dgm:pt>
    <dgm:pt modelId="{4A1C71E8-C584-4258-87C4-328020FE1131}" type="pres">
      <dgm:prSet presAssocID="{7066175E-01F0-4FAF-BDE1-888990D25D74}" presName="sibTrans" presStyleCnt="0"/>
      <dgm:spPr/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</dgm:pt>
    <dgm:pt modelId="{C6553CB9-846E-4509-B6CB-620C145D0E09}" type="pres">
      <dgm:prSet presAssocID="{8484CB90-3EDF-4254-AC0E-CDBC59EB95EF}" presName="sibTrans" presStyleCnt="0"/>
      <dgm:spPr/>
    </dgm:pt>
    <dgm:pt modelId="{81E86E99-3676-4A87-9CCC-09470BFADE6D}" type="pres">
      <dgm:prSet presAssocID="{5AF3E079-3959-4CCD-A44E-0F873ADAD033}" presName="node" presStyleLbl="node1" presStyleIdx="4" presStyleCnt="8">
        <dgm:presLayoutVars>
          <dgm:bulletEnabled val="1"/>
        </dgm:presLayoutVars>
      </dgm:prSet>
      <dgm:spPr/>
    </dgm:pt>
    <dgm:pt modelId="{377F2A98-069B-4BD1-8E80-CF862BE0BD68}" type="pres">
      <dgm:prSet presAssocID="{384263FE-58EC-4D88-939D-1CB43D223098}" presName="sibTrans" presStyleCnt="0"/>
      <dgm:spPr/>
    </dgm:pt>
    <dgm:pt modelId="{0E296175-191A-4DDD-9AFD-C58180D0C5B1}" type="pres">
      <dgm:prSet presAssocID="{77745E09-BC33-4467-A7D0-00D63E26BF57}" presName="node" presStyleLbl="node1" presStyleIdx="5" presStyleCnt="8">
        <dgm:presLayoutVars>
          <dgm:bulletEnabled val="1"/>
        </dgm:presLayoutVars>
      </dgm:prSet>
      <dgm:spPr/>
    </dgm:pt>
    <dgm:pt modelId="{7714FE89-4579-418B-8464-0F4B85BAC6A5}" type="pres">
      <dgm:prSet presAssocID="{5B9CC1F3-60FF-4ABF-8213-2DA0778BB206}" presName="sibTrans" presStyleCnt="0"/>
      <dgm:spPr/>
    </dgm:pt>
    <dgm:pt modelId="{5800D369-D655-450A-A267-583A2F68A6F1}" type="pres">
      <dgm:prSet presAssocID="{40E3A9A0-3796-4A48-B2F5-5C63BFC42AC1}" presName="node" presStyleLbl="node1" presStyleIdx="6" presStyleCnt="8">
        <dgm:presLayoutVars>
          <dgm:bulletEnabled val="1"/>
        </dgm:presLayoutVars>
      </dgm:prSet>
      <dgm:spPr/>
    </dgm:pt>
    <dgm:pt modelId="{A3120A94-973F-4B44-8A46-565AD59DED29}" type="pres">
      <dgm:prSet presAssocID="{DD04B6C1-B38B-4696-9D68-BC369D6BA502}" presName="sibTrans" presStyleCnt="0"/>
      <dgm:spPr/>
    </dgm:pt>
    <dgm:pt modelId="{2069F93F-EC36-45CA-81FA-E28CCFC4EDD2}" type="pres">
      <dgm:prSet presAssocID="{5F2F899A-5BAA-4B36-B786-C4FA5DB84DE2}" presName="node" presStyleLbl="node1" presStyleIdx="7" presStyleCnt="8">
        <dgm:presLayoutVars>
          <dgm:bulletEnabled val="1"/>
        </dgm:presLayoutVars>
      </dgm:prSet>
      <dgm:spPr/>
    </dgm:pt>
  </dgm:ptLst>
  <dgm:cxnLst>
    <dgm:cxn modelId="{4D010009-DE04-4888-AAAC-E00401B63806}" type="presOf" srcId="{0C5AA470-A2FC-4675-BBC5-FC07F000DB8B}" destId="{F3AB4A35-E2EB-4DBF-86FB-E54EE2B1FE62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44AFCC30-9746-482B-8B49-313B6FA3FD00}" type="presOf" srcId="{5F2F899A-5BAA-4B36-B786-C4FA5DB84DE2}" destId="{2069F93F-EC36-45CA-81FA-E28CCFC4EDD2}" srcOrd="0" destOrd="0" presId="urn:microsoft.com/office/officeart/2005/8/layout/default"/>
    <dgm:cxn modelId="{09448A38-1D91-4729-8F90-E74F9D309355}" type="presOf" srcId="{F0D8276B-5F8E-47CD-83BA-660329F4549E}" destId="{BA9D2ED0-16C9-44FB-8D9E-22F9C339ED18}" srcOrd="0" destOrd="0" presId="urn:microsoft.com/office/officeart/2005/8/layout/default"/>
    <dgm:cxn modelId="{B2C4913D-F15A-4667-9CD7-BDEC860A3945}" type="presOf" srcId="{F6B446C0-6E43-4493-B573-1F94BA4F7210}" destId="{C221B9C3-A015-449B-9E50-6721626A9470}" srcOrd="0" destOrd="0" presId="urn:microsoft.com/office/officeart/2005/8/layout/default"/>
    <dgm:cxn modelId="{4DE81664-7605-4BC9-A127-C349A95161E8}" srcId="{0C5AA470-A2FC-4675-BBC5-FC07F000DB8B}" destId="{5AF3E079-3959-4CCD-A44E-0F873ADAD033}" srcOrd="4" destOrd="0" parTransId="{9FE727F0-10CB-477E-8549-5F86749F9D9D}" sibTransId="{384263FE-58EC-4D88-939D-1CB43D223098}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86CACC77-E4DD-43C9-80C8-674B434F3D1A}" type="presOf" srcId="{4DF42217-B85D-4249-A568-5B509C0F84B5}" destId="{19166087-240F-4205-829D-E61CAF74B1F0}" srcOrd="0" destOrd="0" presId="urn:microsoft.com/office/officeart/2005/8/layout/default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B158E183-C506-4C34-BE65-E1F127A560D3}" srcId="{0C5AA470-A2FC-4675-BBC5-FC07F000DB8B}" destId="{40E3A9A0-3796-4A48-B2F5-5C63BFC42AC1}" srcOrd="6" destOrd="0" parTransId="{6F0AB90E-55A6-42AC-8FFD-DFE7D5C5A47D}" sibTransId="{DD04B6C1-B38B-4696-9D68-BC369D6BA502}"/>
    <dgm:cxn modelId="{7704F592-3202-4006-8CAB-5C864EBD3C3D}" srcId="{0C5AA470-A2FC-4675-BBC5-FC07F000DB8B}" destId="{5F2F899A-5BAA-4B36-B786-C4FA5DB84DE2}" srcOrd="7" destOrd="0" parTransId="{08AE95AC-558E-438C-A19E-A0A388B3DCB6}" sibTransId="{9C525CED-778E-45D1-BAA1-570F41FFF524}"/>
    <dgm:cxn modelId="{462C7D93-8E45-4294-B6A9-B10A452FEE8A}" type="presOf" srcId="{77745E09-BC33-4467-A7D0-00D63E26BF57}" destId="{0E296175-191A-4DDD-9AFD-C58180D0C5B1}" srcOrd="0" destOrd="0" presId="urn:microsoft.com/office/officeart/2005/8/layout/default"/>
    <dgm:cxn modelId="{8CC35CB0-A234-4247-A746-9F1FDD0500DE}" srcId="{0C5AA470-A2FC-4675-BBC5-FC07F000DB8B}" destId="{77745E09-BC33-4467-A7D0-00D63E26BF57}" srcOrd="5" destOrd="0" parTransId="{05C29930-DCA4-47D2-8F9D-D1F8B73BDC24}" sibTransId="{5B9CC1F3-60FF-4ABF-8213-2DA0778BB206}"/>
    <dgm:cxn modelId="{5F83D5CF-F57E-4181-91AD-D37C4E65BDEB}" type="presOf" srcId="{F28F4473-498E-415A-A16F-A60D42C55427}" destId="{CB133F5D-DBBA-4B12-9FEC-4E54C8197093}" srcOrd="0" destOrd="0" presId="urn:microsoft.com/office/officeart/2005/8/layout/default"/>
    <dgm:cxn modelId="{022E92EC-7B19-4657-8958-9EEC35322049}" type="presOf" srcId="{5AF3E079-3959-4CCD-A44E-0F873ADAD033}" destId="{81E86E99-3676-4A87-9CCC-09470BFADE6D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5AF8B8F5-7DA9-4338-8D23-947C6DAD4882}" type="presOf" srcId="{40E3A9A0-3796-4A48-B2F5-5C63BFC42AC1}" destId="{5800D369-D655-450A-A267-583A2F68A6F1}" srcOrd="0" destOrd="0" presId="urn:microsoft.com/office/officeart/2005/8/layout/default"/>
    <dgm:cxn modelId="{CA1FF329-F4FF-4D58-9F81-BF1AF73D5F1F}" type="presParOf" srcId="{F3AB4A35-E2EB-4DBF-86FB-E54EE2B1FE62}" destId="{BA9D2ED0-16C9-44FB-8D9E-22F9C339ED18}" srcOrd="0" destOrd="0" presId="urn:microsoft.com/office/officeart/2005/8/layout/default"/>
    <dgm:cxn modelId="{56895EC4-43EA-47CF-9D9F-C7C173857D02}" type="presParOf" srcId="{F3AB4A35-E2EB-4DBF-86FB-E54EE2B1FE62}" destId="{8745EF1C-A4C9-4E6A-99FD-78BF7B12622C}" srcOrd="1" destOrd="0" presId="urn:microsoft.com/office/officeart/2005/8/layout/default"/>
    <dgm:cxn modelId="{27F92C92-9077-489B-BA62-35FE4C1833FD}" type="presParOf" srcId="{F3AB4A35-E2EB-4DBF-86FB-E54EE2B1FE62}" destId="{CB133F5D-DBBA-4B12-9FEC-4E54C8197093}" srcOrd="2" destOrd="0" presId="urn:microsoft.com/office/officeart/2005/8/layout/default"/>
    <dgm:cxn modelId="{0AFBFD24-208A-40E3-A0EF-558B3AD05A0D}" type="presParOf" srcId="{F3AB4A35-E2EB-4DBF-86FB-E54EE2B1FE62}" destId="{701E9B6D-506A-4B8B-B1E6-AB2D8DB9BB03}" srcOrd="3" destOrd="0" presId="urn:microsoft.com/office/officeart/2005/8/layout/default"/>
    <dgm:cxn modelId="{0629A7EC-5773-4416-A49A-0B6E368F8BFA}" type="presParOf" srcId="{F3AB4A35-E2EB-4DBF-86FB-E54EE2B1FE62}" destId="{C221B9C3-A015-449B-9E50-6721626A9470}" srcOrd="4" destOrd="0" presId="urn:microsoft.com/office/officeart/2005/8/layout/default"/>
    <dgm:cxn modelId="{DB38815D-965F-44DE-925F-2471F9D6F050}" type="presParOf" srcId="{F3AB4A35-E2EB-4DBF-86FB-E54EE2B1FE62}" destId="{4A1C71E8-C584-4258-87C4-328020FE1131}" srcOrd="5" destOrd="0" presId="urn:microsoft.com/office/officeart/2005/8/layout/default"/>
    <dgm:cxn modelId="{7902C95D-48A6-4419-A80A-B4C4641C4AB1}" type="presParOf" srcId="{F3AB4A35-E2EB-4DBF-86FB-E54EE2B1FE62}" destId="{19166087-240F-4205-829D-E61CAF74B1F0}" srcOrd="6" destOrd="0" presId="urn:microsoft.com/office/officeart/2005/8/layout/default"/>
    <dgm:cxn modelId="{CAFEEE37-C3D1-45D5-9890-E1E503620FC8}" type="presParOf" srcId="{F3AB4A35-E2EB-4DBF-86FB-E54EE2B1FE62}" destId="{C6553CB9-846E-4509-B6CB-620C145D0E09}" srcOrd="7" destOrd="0" presId="urn:microsoft.com/office/officeart/2005/8/layout/default"/>
    <dgm:cxn modelId="{E0F3F218-08AE-49F3-954F-4374D2C008D9}" type="presParOf" srcId="{F3AB4A35-E2EB-4DBF-86FB-E54EE2B1FE62}" destId="{81E86E99-3676-4A87-9CCC-09470BFADE6D}" srcOrd="8" destOrd="0" presId="urn:microsoft.com/office/officeart/2005/8/layout/default"/>
    <dgm:cxn modelId="{72CEDC70-8D58-4D85-80B9-FD7D9F3C0B41}" type="presParOf" srcId="{F3AB4A35-E2EB-4DBF-86FB-E54EE2B1FE62}" destId="{377F2A98-069B-4BD1-8E80-CF862BE0BD68}" srcOrd="9" destOrd="0" presId="urn:microsoft.com/office/officeart/2005/8/layout/default"/>
    <dgm:cxn modelId="{FBC04C14-0C73-4307-B143-CD9063748038}" type="presParOf" srcId="{F3AB4A35-E2EB-4DBF-86FB-E54EE2B1FE62}" destId="{0E296175-191A-4DDD-9AFD-C58180D0C5B1}" srcOrd="10" destOrd="0" presId="urn:microsoft.com/office/officeart/2005/8/layout/default"/>
    <dgm:cxn modelId="{29AD41A5-A36D-4453-80CC-8A040DEFD6AC}" type="presParOf" srcId="{F3AB4A35-E2EB-4DBF-86FB-E54EE2B1FE62}" destId="{7714FE89-4579-418B-8464-0F4B85BAC6A5}" srcOrd="11" destOrd="0" presId="urn:microsoft.com/office/officeart/2005/8/layout/default"/>
    <dgm:cxn modelId="{1D4A64B0-EA1A-4E38-87F3-59E028E5122F}" type="presParOf" srcId="{F3AB4A35-E2EB-4DBF-86FB-E54EE2B1FE62}" destId="{5800D369-D655-450A-A267-583A2F68A6F1}" srcOrd="12" destOrd="0" presId="urn:microsoft.com/office/officeart/2005/8/layout/default"/>
    <dgm:cxn modelId="{7D0AF314-EC25-40B7-ABFE-6849EB411379}" type="presParOf" srcId="{F3AB4A35-E2EB-4DBF-86FB-E54EE2B1FE62}" destId="{A3120A94-973F-4B44-8A46-565AD59DED29}" srcOrd="13" destOrd="0" presId="urn:microsoft.com/office/officeart/2005/8/layout/default"/>
    <dgm:cxn modelId="{75458766-D054-43D6-B7DA-A19130A8EDDB}" type="presParOf" srcId="{F3AB4A35-E2EB-4DBF-86FB-E54EE2B1FE62}" destId="{2069F93F-EC36-45CA-81FA-E28CCFC4EDD2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7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10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 </a:t>
          </a:r>
          <a:r>
            <a:rPr lang="pt-BR" sz="20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2019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77745E09-BC33-4467-A7D0-00D63E26BF57}">
      <dgm:prSet phldrT="[Texto]"/>
      <dgm:spPr/>
      <dgm:t>
        <a:bodyPr/>
        <a:lstStyle/>
        <a:p>
          <a:endParaRPr lang="pt-BR"/>
        </a:p>
      </dgm:t>
    </dgm:pt>
    <dgm:pt modelId="{05C29930-DCA4-47D2-8F9D-D1F8B73BDC24}" type="parTrans" cxnId="{8CC35CB0-A234-4247-A746-9F1FDD0500DE}">
      <dgm:prSet/>
      <dgm:spPr/>
      <dgm:t>
        <a:bodyPr/>
        <a:lstStyle/>
        <a:p>
          <a:endParaRPr lang="pt-BR"/>
        </a:p>
      </dgm:t>
    </dgm:pt>
    <dgm:pt modelId="{5B9CC1F3-60FF-4ABF-8213-2DA0778BB206}" type="sibTrans" cxnId="{8CC35CB0-A234-4247-A746-9F1FDD0500DE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Executado</a:t>
          </a:r>
          <a:br>
            <a:rPr lang="pt-BR" sz="24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20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Jan. a </a:t>
          </a:r>
          <a:r>
            <a:rPr lang="pt-BR" sz="20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Abr.</a:t>
          </a:r>
          <a:endParaRPr lang="pt-BR" sz="2000">
            <a:effectLst>
              <a:outerShdw blurRad="127000" algn="ctr" rotWithShape="0">
                <a:srgbClr val="000000">
                  <a:alpha val="85%"/>
                </a:srgbClr>
              </a:outerShdw>
            </a:effectLst>
          </a:endParaRP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5AF3E079-3959-4CCD-A44E-0F873ADAD033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0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Média de execução</a:t>
          </a:r>
        </a:p>
      </dgm:t>
    </dgm:pt>
    <dgm:pt modelId="{384263FE-58EC-4D88-939D-1CB43D223098}" type="sibTrans" cxnId="{4DE81664-7605-4BC9-A127-C349A95161E8}">
      <dgm:prSet/>
      <dgm:spPr/>
      <dgm:t>
        <a:bodyPr/>
        <a:lstStyle/>
        <a:p>
          <a:endParaRPr lang="pt-BR"/>
        </a:p>
      </dgm:t>
    </dgm:pt>
    <dgm:pt modelId="{9FE727F0-10CB-477E-8549-5F86749F9D9D}" type="parTrans" cxnId="{4DE81664-7605-4BC9-A127-C349A95161E8}">
      <dgm:prSet/>
      <dgm:spPr/>
      <dgm:t>
        <a:bodyPr/>
        <a:lstStyle/>
        <a:p>
          <a:endParaRPr lang="pt-BR"/>
        </a:p>
      </dgm:t>
    </dgm:pt>
    <dgm:pt modelId="{9A2334C4-128B-4C98-ADA8-49B55349EE0B}">
      <dgm:prSet phldrT="[Texto]"/>
      <dgm:spPr/>
      <dgm:t>
        <a:bodyPr/>
        <a:lstStyle/>
        <a:p>
          <a:endParaRPr lang="pt-BR"/>
        </a:p>
      </dgm:t>
    </dgm:pt>
    <dgm:pt modelId="{514E1EC6-8943-4832-A2C1-D6061AF68745}" type="parTrans" cxnId="{3AAA40B2-5CBC-4F70-ADA3-17A45CB14BCE}">
      <dgm:prSet/>
      <dgm:spPr/>
      <dgm:t>
        <a:bodyPr/>
        <a:lstStyle/>
        <a:p>
          <a:endParaRPr lang="pt-BR"/>
        </a:p>
      </dgm:t>
    </dgm:pt>
    <dgm:pt modelId="{DEC4D9E2-18A4-4835-8B3F-10BAB802717C}" type="sibTrans" cxnId="{3AAA40B2-5CBC-4F70-ADA3-17A45CB14BCE}">
      <dgm:prSet/>
      <dgm:spPr/>
      <dgm:t>
        <a:bodyPr/>
        <a:lstStyle/>
        <a:p>
          <a:endParaRPr lang="pt-BR"/>
        </a:p>
      </dgm:t>
    </dgm:pt>
    <dgm:pt modelId="{56F00E95-B3D7-4D69-8DD9-A6EBB79B7719}">
      <dgm:prSet phldrT="[Texto]"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50800" algn="ctr" rotWithShape="0">
                  <a:srgbClr val="000000">
                    <a:alpha val="85%"/>
                  </a:srgbClr>
                </a:outerShdw>
              </a:effectLst>
            </a:rPr>
            <a:t>Comparativo</a:t>
          </a:r>
          <a:br>
            <a:rPr lang="pt-BR"/>
          </a:br>
          <a:r>
            <a:rPr lang="pt-BR">
              <a:effectLst>
                <a:outerShdw blurRad="50800" algn="ctr" rotWithShape="0">
                  <a:srgbClr val="000000">
                    <a:alpha val="85%"/>
                  </a:srgbClr>
                </a:outerShdw>
              </a:effectLst>
            </a:rPr>
            <a:t>YoY</a:t>
          </a:r>
        </a:p>
      </dgm:t>
    </dgm:pt>
    <dgm:pt modelId="{1663B67B-51B5-4C0D-9626-DF178BA32AFD}" type="parTrans" cxnId="{198D3C4A-A060-44AF-BE5D-472832E5BC9E}">
      <dgm:prSet/>
      <dgm:spPr/>
      <dgm:t>
        <a:bodyPr/>
        <a:lstStyle/>
        <a:p>
          <a:endParaRPr lang="pt-BR"/>
        </a:p>
      </dgm:t>
    </dgm:pt>
    <dgm:pt modelId="{F9AD5069-04EE-49D3-90EB-A006F3ACE639}" type="sibTrans" cxnId="{198D3C4A-A060-44AF-BE5D-472832E5BC9E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BA9D2ED0-16C9-44FB-8D9E-22F9C339ED18}" type="pres">
      <dgm:prSet presAssocID="{F0D8276B-5F8E-47CD-83BA-660329F4549E}" presName="node" presStyleLbl="node1" presStyleIdx="0" presStyleCnt="8">
        <dgm:presLayoutVars>
          <dgm:bulletEnabled val="1"/>
        </dgm:presLayoutVars>
      </dgm:prSet>
      <dgm:spPr/>
    </dgm:pt>
    <dgm:pt modelId="{8745EF1C-A4C9-4E6A-99FD-78BF7B12622C}" type="pres">
      <dgm:prSet presAssocID="{0D73E574-52F2-49BF-9E46-4279B23441E7}" presName="sibTrans" presStyleCnt="0"/>
      <dgm:spPr/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</dgm:pt>
    <dgm:pt modelId="{701E9B6D-506A-4B8B-B1E6-AB2D8DB9BB03}" type="pres">
      <dgm:prSet presAssocID="{1022C6E1-7F5E-4A04-9CD4-F8CDCBFA9BE3}" presName="sibTrans" presStyleCnt="0"/>
      <dgm:spPr/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</dgm:pt>
    <dgm:pt modelId="{4A1C71E8-C584-4258-87C4-328020FE1131}" type="pres">
      <dgm:prSet presAssocID="{7066175E-01F0-4FAF-BDE1-888990D25D74}" presName="sibTrans" presStyleCnt="0"/>
      <dgm:spPr/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</dgm:pt>
    <dgm:pt modelId="{C6553CB9-846E-4509-B6CB-620C145D0E09}" type="pres">
      <dgm:prSet presAssocID="{8484CB90-3EDF-4254-AC0E-CDBC59EB95EF}" presName="sibTrans" presStyleCnt="0"/>
      <dgm:spPr/>
    </dgm:pt>
    <dgm:pt modelId="{81E86E99-3676-4A87-9CCC-09470BFADE6D}" type="pres">
      <dgm:prSet presAssocID="{5AF3E079-3959-4CCD-A44E-0F873ADAD033}" presName="node" presStyleLbl="node1" presStyleIdx="4" presStyleCnt="8">
        <dgm:presLayoutVars>
          <dgm:bulletEnabled val="1"/>
        </dgm:presLayoutVars>
      </dgm:prSet>
      <dgm:spPr/>
    </dgm:pt>
    <dgm:pt modelId="{377F2A98-069B-4BD1-8E80-CF862BE0BD68}" type="pres">
      <dgm:prSet presAssocID="{384263FE-58EC-4D88-939D-1CB43D223098}" presName="sibTrans" presStyleCnt="0"/>
      <dgm:spPr/>
    </dgm:pt>
    <dgm:pt modelId="{DD02BDCA-9C99-421B-93CF-F0735B3A7AE9}" type="pres">
      <dgm:prSet presAssocID="{9A2334C4-128B-4C98-ADA8-49B55349EE0B}" presName="node" presStyleLbl="node1" presStyleIdx="5" presStyleCnt="8">
        <dgm:presLayoutVars>
          <dgm:bulletEnabled val="1"/>
        </dgm:presLayoutVars>
      </dgm:prSet>
      <dgm:spPr/>
    </dgm:pt>
    <dgm:pt modelId="{6D491A6B-D019-4A3E-85FA-A450912A03DA}" type="pres">
      <dgm:prSet presAssocID="{DEC4D9E2-18A4-4835-8B3F-10BAB802717C}" presName="sibTrans" presStyleCnt="0"/>
      <dgm:spPr/>
    </dgm:pt>
    <dgm:pt modelId="{1D6DFA5F-5421-43B3-A4F2-75C1834B1DE2}" type="pres">
      <dgm:prSet presAssocID="{56F00E95-B3D7-4D69-8DD9-A6EBB79B7719}" presName="node" presStyleLbl="node1" presStyleIdx="6" presStyleCnt="8">
        <dgm:presLayoutVars>
          <dgm:bulletEnabled val="1"/>
        </dgm:presLayoutVars>
      </dgm:prSet>
      <dgm:spPr/>
    </dgm:pt>
    <dgm:pt modelId="{702F483C-D466-443B-A7D7-E2319B207716}" type="pres">
      <dgm:prSet presAssocID="{F9AD5069-04EE-49D3-90EB-A006F3ACE639}" presName="sibTrans" presStyleCnt="0"/>
      <dgm:spPr/>
    </dgm:pt>
    <dgm:pt modelId="{0E296175-191A-4DDD-9AFD-C58180D0C5B1}" type="pres">
      <dgm:prSet presAssocID="{77745E09-BC33-4467-A7D0-00D63E26BF57}" presName="node" presStyleLbl="node1" presStyleIdx="7" presStyleCnt="8">
        <dgm:presLayoutVars>
          <dgm:bulletEnabled val="1"/>
        </dgm:presLayoutVars>
      </dgm:prSet>
      <dgm:spPr/>
    </dgm:pt>
  </dgm:ptLst>
  <dgm:cxnLst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C6841E43-99EA-4972-968E-92639E00E678}" type="presOf" srcId="{4DF42217-B85D-4249-A568-5B509C0F84B5}" destId="{19166087-240F-4205-829D-E61CAF74B1F0}" srcOrd="0" destOrd="0" presId="urn:microsoft.com/office/officeart/2005/8/layout/default"/>
    <dgm:cxn modelId="{4DE81664-7605-4BC9-A127-C349A95161E8}" srcId="{0C5AA470-A2FC-4675-BBC5-FC07F000DB8B}" destId="{5AF3E079-3959-4CCD-A44E-0F873ADAD033}" srcOrd="4" destOrd="0" parTransId="{9FE727F0-10CB-477E-8549-5F86749F9D9D}" sibTransId="{384263FE-58EC-4D88-939D-1CB43D223098}"/>
    <dgm:cxn modelId="{198D3C4A-A060-44AF-BE5D-472832E5BC9E}" srcId="{0C5AA470-A2FC-4675-BBC5-FC07F000DB8B}" destId="{56F00E95-B3D7-4D69-8DD9-A6EBB79B7719}" srcOrd="6" destOrd="0" parTransId="{1663B67B-51B5-4C0D-9626-DF178BA32AFD}" sibTransId="{F9AD5069-04EE-49D3-90EB-A006F3ACE639}"/>
    <dgm:cxn modelId="{4936B453-EE39-43C4-8A9B-1D18BA003399}" type="presOf" srcId="{F6B446C0-6E43-4493-B573-1F94BA4F7210}" destId="{C221B9C3-A015-449B-9E50-6721626A9470}" srcOrd="0" destOrd="0" presId="urn:microsoft.com/office/officeart/2005/8/layout/default"/>
    <dgm:cxn modelId="{D6D65655-C711-4A17-9E12-72F3EA9E3C97}" type="presOf" srcId="{5AF3E079-3959-4CCD-A44E-0F873ADAD033}" destId="{81E86E99-3676-4A87-9CCC-09470BFADE6D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B9860792-71E8-423A-A319-C3100A9142A2}" type="presOf" srcId="{77745E09-BC33-4467-A7D0-00D63E26BF57}" destId="{0E296175-191A-4DDD-9AFD-C58180D0C5B1}" srcOrd="0" destOrd="0" presId="urn:microsoft.com/office/officeart/2005/8/layout/default"/>
    <dgm:cxn modelId="{8CC35CB0-A234-4247-A746-9F1FDD0500DE}" srcId="{0C5AA470-A2FC-4675-BBC5-FC07F000DB8B}" destId="{77745E09-BC33-4467-A7D0-00D63E26BF57}" srcOrd="7" destOrd="0" parTransId="{05C29930-DCA4-47D2-8F9D-D1F8B73BDC24}" sibTransId="{5B9CC1F3-60FF-4ABF-8213-2DA0778BB206}"/>
    <dgm:cxn modelId="{983E24B2-7614-4696-AEA3-6772DFCD2139}" type="presOf" srcId="{F28F4473-498E-415A-A16F-A60D42C55427}" destId="{CB133F5D-DBBA-4B12-9FEC-4E54C8197093}" srcOrd="0" destOrd="0" presId="urn:microsoft.com/office/officeart/2005/8/layout/default"/>
    <dgm:cxn modelId="{3AAA40B2-5CBC-4F70-ADA3-17A45CB14BCE}" srcId="{0C5AA470-A2FC-4675-BBC5-FC07F000DB8B}" destId="{9A2334C4-128B-4C98-ADA8-49B55349EE0B}" srcOrd="5" destOrd="0" parTransId="{514E1EC6-8943-4832-A2C1-D6061AF68745}" sibTransId="{DEC4D9E2-18A4-4835-8B3F-10BAB802717C}"/>
    <dgm:cxn modelId="{75410ADB-D435-4387-AFED-6682EE3E154D}" type="presOf" srcId="{0C5AA470-A2FC-4675-BBC5-FC07F000DB8B}" destId="{F3AB4A35-E2EB-4DBF-86FB-E54EE2B1FE62}" srcOrd="0" destOrd="0" presId="urn:microsoft.com/office/officeart/2005/8/layout/default"/>
    <dgm:cxn modelId="{1A4006E3-D438-4C0C-9A57-D1E015AD1517}" type="presOf" srcId="{F0D8276B-5F8E-47CD-83BA-660329F4549E}" destId="{BA9D2ED0-16C9-44FB-8D9E-22F9C339ED18}" srcOrd="0" destOrd="0" presId="urn:microsoft.com/office/officeart/2005/8/layout/default"/>
    <dgm:cxn modelId="{6E5755E9-40EF-45D8-B2B0-582F4AB9697E}" type="presOf" srcId="{56F00E95-B3D7-4D69-8DD9-A6EBB79B7719}" destId="{1D6DFA5F-5421-43B3-A4F2-75C1834B1DE2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D558D9FE-43D2-41D8-B092-FF9114DE344C}" type="presOf" srcId="{9A2334C4-128B-4C98-ADA8-49B55349EE0B}" destId="{DD02BDCA-9C99-421B-93CF-F0735B3A7AE9}" srcOrd="0" destOrd="0" presId="urn:microsoft.com/office/officeart/2005/8/layout/default"/>
    <dgm:cxn modelId="{7DC8E4A0-11ED-467D-88BF-D780BEF91D6C}" type="presParOf" srcId="{F3AB4A35-E2EB-4DBF-86FB-E54EE2B1FE62}" destId="{BA9D2ED0-16C9-44FB-8D9E-22F9C339ED18}" srcOrd="0" destOrd="0" presId="urn:microsoft.com/office/officeart/2005/8/layout/default"/>
    <dgm:cxn modelId="{B363A936-79F7-4CFE-A654-7C5FE6D5F8AE}" type="presParOf" srcId="{F3AB4A35-E2EB-4DBF-86FB-E54EE2B1FE62}" destId="{8745EF1C-A4C9-4E6A-99FD-78BF7B12622C}" srcOrd="1" destOrd="0" presId="urn:microsoft.com/office/officeart/2005/8/layout/default"/>
    <dgm:cxn modelId="{475EAB06-4C41-4F8D-A21B-546E6699F582}" type="presParOf" srcId="{F3AB4A35-E2EB-4DBF-86FB-E54EE2B1FE62}" destId="{CB133F5D-DBBA-4B12-9FEC-4E54C8197093}" srcOrd="2" destOrd="0" presId="urn:microsoft.com/office/officeart/2005/8/layout/default"/>
    <dgm:cxn modelId="{677FA779-C037-4030-A690-9436316E5645}" type="presParOf" srcId="{F3AB4A35-E2EB-4DBF-86FB-E54EE2B1FE62}" destId="{701E9B6D-506A-4B8B-B1E6-AB2D8DB9BB03}" srcOrd="3" destOrd="0" presId="urn:microsoft.com/office/officeart/2005/8/layout/default"/>
    <dgm:cxn modelId="{866A075F-B9D2-461E-B970-D28E28EE2BC8}" type="presParOf" srcId="{F3AB4A35-E2EB-4DBF-86FB-E54EE2B1FE62}" destId="{C221B9C3-A015-449B-9E50-6721626A9470}" srcOrd="4" destOrd="0" presId="urn:microsoft.com/office/officeart/2005/8/layout/default"/>
    <dgm:cxn modelId="{1A92B194-552A-4E99-85BF-14FB8D393B1C}" type="presParOf" srcId="{F3AB4A35-E2EB-4DBF-86FB-E54EE2B1FE62}" destId="{4A1C71E8-C584-4258-87C4-328020FE1131}" srcOrd="5" destOrd="0" presId="urn:microsoft.com/office/officeart/2005/8/layout/default"/>
    <dgm:cxn modelId="{78C033DB-E4D5-46C8-B129-DEB8D8155733}" type="presParOf" srcId="{F3AB4A35-E2EB-4DBF-86FB-E54EE2B1FE62}" destId="{19166087-240F-4205-829D-E61CAF74B1F0}" srcOrd="6" destOrd="0" presId="urn:microsoft.com/office/officeart/2005/8/layout/default"/>
    <dgm:cxn modelId="{A6C1FBE8-AE61-41CD-B13D-E202B36AC934}" type="presParOf" srcId="{F3AB4A35-E2EB-4DBF-86FB-E54EE2B1FE62}" destId="{C6553CB9-846E-4509-B6CB-620C145D0E09}" srcOrd="7" destOrd="0" presId="urn:microsoft.com/office/officeart/2005/8/layout/default"/>
    <dgm:cxn modelId="{B945E107-C622-4848-805F-F7F9E6D38F2B}" type="presParOf" srcId="{F3AB4A35-E2EB-4DBF-86FB-E54EE2B1FE62}" destId="{81E86E99-3676-4A87-9CCC-09470BFADE6D}" srcOrd="8" destOrd="0" presId="urn:microsoft.com/office/officeart/2005/8/layout/default"/>
    <dgm:cxn modelId="{4958F82E-8F61-4400-B61B-ED1AB074B8FC}" type="presParOf" srcId="{F3AB4A35-E2EB-4DBF-86FB-E54EE2B1FE62}" destId="{377F2A98-069B-4BD1-8E80-CF862BE0BD68}" srcOrd="9" destOrd="0" presId="urn:microsoft.com/office/officeart/2005/8/layout/default"/>
    <dgm:cxn modelId="{F1CB853F-67B2-452D-949D-28E0825F2C17}" type="presParOf" srcId="{F3AB4A35-E2EB-4DBF-86FB-E54EE2B1FE62}" destId="{DD02BDCA-9C99-421B-93CF-F0735B3A7AE9}" srcOrd="10" destOrd="0" presId="urn:microsoft.com/office/officeart/2005/8/layout/default"/>
    <dgm:cxn modelId="{2FD79DF5-6889-4871-A191-A9EE3D2A9393}" type="presParOf" srcId="{F3AB4A35-E2EB-4DBF-86FB-E54EE2B1FE62}" destId="{6D491A6B-D019-4A3E-85FA-A450912A03DA}" srcOrd="11" destOrd="0" presId="urn:microsoft.com/office/officeart/2005/8/layout/default"/>
    <dgm:cxn modelId="{7AA836FB-4987-444E-A106-4DDAE8275A0C}" type="presParOf" srcId="{F3AB4A35-E2EB-4DBF-86FB-E54EE2B1FE62}" destId="{1D6DFA5F-5421-43B3-A4F2-75C1834B1DE2}" srcOrd="12" destOrd="0" presId="urn:microsoft.com/office/officeart/2005/8/layout/default"/>
    <dgm:cxn modelId="{1FCC7DEF-9889-4150-A6BF-B831C9EB6F80}" type="presParOf" srcId="{F3AB4A35-E2EB-4DBF-86FB-E54EE2B1FE62}" destId="{702F483C-D466-443B-A7D7-E2319B207716}" srcOrd="13" destOrd="0" presId="urn:microsoft.com/office/officeart/2005/8/layout/default"/>
    <dgm:cxn modelId="{6A03AC42-7F9C-4C78-985A-D80E9847075C}" type="presParOf" srcId="{F3AB4A35-E2EB-4DBF-86FB-E54EE2B1FE62}" destId="{0E296175-191A-4DDD-9AFD-C58180D0C5B1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11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45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 </a:t>
          </a:r>
          <a: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2019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77745E09-BC33-4467-A7D0-00D63E26BF57}">
      <dgm:prSet phldrT="[Texto]"/>
      <dgm:spPr/>
      <dgm:t>
        <a:bodyPr/>
        <a:lstStyle/>
        <a:p>
          <a:endParaRPr lang="pt-BR"/>
        </a:p>
      </dgm:t>
    </dgm:pt>
    <dgm:pt modelId="{05C29930-DCA4-47D2-8F9D-D1F8B73BDC24}" type="parTrans" cxnId="{8CC35CB0-A234-4247-A746-9F1FDD0500DE}">
      <dgm:prSet/>
      <dgm:spPr/>
      <dgm:t>
        <a:bodyPr/>
        <a:lstStyle/>
        <a:p>
          <a:endParaRPr lang="pt-BR"/>
        </a:p>
      </dgm:t>
    </dgm:pt>
    <dgm:pt modelId="{5B9CC1F3-60FF-4ABF-8213-2DA0778BB206}" type="sibTrans" cxnId="{8CC35CB0-A234-4247-A746-9F1FDD0500DE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Média de execução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5AF3E079-3959-4CCD-A44E-0F873ADAD033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43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43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384263FE-58EC-4D88-939D-1CB43D223098}" type="sibTrans" cxnId="{4DE81664-7605-4BC9-A127-C349A95161E8}">
      <dgm:prSet/>
      <dgm:spPr/>
      <dgm:t>
        <a:bodyPr/>
        <a:lstStyle/>
        <a:p>
          <a:endParaRPr lang="pt-BR"/>
        </a:p>
      </dgm:t>
    </dgm:pt>
    <dgm:pt modelId="{9FE727F0-10CB-477E-8549-5F86749F9D9D}" type="parTrans" cxnId="{4DE81664-7605-4BC9-A127-C349A95161E8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BA9D2ED0-16C9-44FB-8D9E-22F9C339ED18}" type="pres">
      <dgm:prSet presAssocID="{F0D8276B-5F8E-47CD-83BA-660329F4549E}" presName="node" presStyleLbl="node1" presStyleIdx="0" presStyleCnt="6">
        <dgm:presLayoutVars>
          <dgm:bulletEnabled val="1"/>
        </dgm:presLayoutVars>
      </dgm:prSet>
      <dgm:spPr/>
    </dgm:pt>
    <dgm:pt modelId="{8745EF1C-A4C9-4E6A-99FD-78BF7B12622C}" type="pres">
      <dgm:prSet presAssocID="{0D73E574-52F2-49BF-9E46-4279B23441E7}" presName="sibTrans" presStyleCnt="0"/>
      <dgm:spPr/>
    </dgm:pt>
    <dgm:pt modelId="{CB133F5D-DBBA-4B12-9FEC-4E54C8197093}" type="pres">
      <dgm:prSet presAssocID="{F28F4473-498E-415A-A16F-A60D42C55427}" presName="node" presStyleLbl="node1" presStyleIdx="1" presStyleCnt="6">
        <dgm:presLayoutVars>
          <dgm:bulletEnabled val="1"/>
        </dgm:presLayoutVars>
      </dgm:prSet>
      <dgm:spPr/>
    </dgm:pt>
    <dgm:pt modelId="{701E9B6D-506A-4B8B-B1E6-AB2D8DB9BB03}" type="pres">
      <dgm:prSet presAssocID="{1022C6E1-7F5E-4A04-9CD4-F8CDCBFA9BE3}" presName="sibTrans" presStyleCnt="0"/>
      <dgm:spPr/>
    </dgm:pt>
    <dgm:pt modelId="{81E86E99-3676-4A87-9CCC-09470BFADE6D}" type="pres">
      <dgm:prSet presAssocID="{5AF3E079-3959-4CCD-A44E-0F873ADAD033}" presName="node" presStyleLbl="node1" presStyleIdx="2" presStyleCnt="6">
        <dgm:presLayoutVars>
          <dgm:bulletEnabled val="1"/>
        </dgm:presLayoutVars>
      </dgm:prSet>
      <dgm:spPr/>
    </dgm:pt>
    <dgm:pt modelId="{377F2A98-069B-4BD1-8E80-CF862BE0BD68}" type="pres">
      <dgm:prSet presAssocID="{384263FE-58EC-4D88-939D-1CB43D223098}" presName="sibTrans" presStyleCnt="0"/>
      <dgm:spPr/>
    </dgm:pt>
    <dgm:pt modelId="{0E296175-191A-4DDD-9AFD-C58180D0C5B1}" type="pres">
      <dgm:prSet presAssocID="{77745E09-BC33-4467-A7D0-00D63E26BF57}" presName="node" presStyleLbl="node1" presStyleIdx="3" presStyleCnt="6">
        <dgm:presLayoutVars>
          <dgm:bulletEnabled val="1"/>
        </dgm:presLayoutVars>
      </dgm:prSet>
      <dgm:spPr/>
    </dgm:pt>
    <dgm:pt modelId="{7714FE89-4579-418B-8464-0F4B85BAC6A5}" type="pres">
      <dgm:prSet presAssocID="{5B9CC1F3-60FF-4ABF-8213-2DA0778BB206}" presName="sibTrans" presStyleCnt="0"/>
      <dgm:spPr/>
    </dgm:pt>
    <dgm:pt modelId="{5800D369-D655-450A-A267-583A2F68A6F1}" type="pres">
      <dgm:prSet presAssocID="{40E3A9A0-3796-4A48-B2F5-5C63BFC42AC1}" presName="node" presStyleLbl="node1" presStyleIdx="4" presStyleCnt="6">
        <dgm:presLayoutVars>
          <dgm:bulletEnabled val="1"/>
        </dgm:presLayoutVars>
      </dgm:prSet>
      <dgm:spPr/>
    </dgm:pt>
    <dgm:pt modelId="{A3120A94-973F-4B44-8A46-565AD59DED29}" type="pres">
      <dgm:prSet presAssocID="{DD04B6C1-B38B-4696-9D68-BC369D6BA502}" presName="sibTrans" presStyleCnt="0"/>
      <dgm:spPr/>
    </dgm:pt>
    <dgm:pt modelId="{2069F93F-EC36-45CA-81FA-E28CCFC4EDD2}" type="pres">
      <dgm:prSet presAssocID="{5F2F899A-5BAA-4B36-B786-C4FA5DB84DE2}" presName="node" presStyleLbl="node1" presStyleIdx="5" presStyleCnt="6">
        <dgm:presLayoutVars>
          <dgm:bulletEnabled val="1"/>
        </dgm:presLayoutVars>
      </dgm:prSet>
      <dgm:spPr/>
    </dgm:pt>
  </dgm:ptLst>
  <dgm:cxnLst>
    <dgm:cxn modelId="{019E0504-79F7-4E40-ABE1-A66005ACDC2C}" type="presOf" srcId="{0C5AA470-A2FC-4675-BBC5-FC07F000DB8B}" destId="{F3AB4A35-E2EB-4DBF-86FB-E54EE2B1FE62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5474F03F-B840-4C5D-9B63-9F90F3C1DBB5}" type="presOf" srcId="{40E3A9A0-3796-4A48-B2F5-5C63BFC42AC1}" destId="{5800D369-D655-450A-A267-583A2F68A6F1}" srcOrd="0" destOrd="0" presId="urn:microsoft.com/office/officeart/2005/8/layout/default"/>
    <dgm:cxn modelId="{4DE81664-7605-4BC9-A127-C349A95161E8}" srcId="{0C5AA470-A2FC-4675-BBC5-FC07F000DB8B}" destId="{5AF3E079-3959-4CCD-A44E-0F873ADAD033}" srcOrd="2" destOrd="0" parTransId="{9FE727F0-10CB-477E-8549-5F86749F9D9D}" sibTransId="{384263FE-58EC-4D88-939D-1CB43D223098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7704F592-3202-4006-8CAB-5C864EBD3C3D}" srcId="{0C5AA470-A2FC-4675-BBC5-FC07F000DB8B}" destId="{5F2F899A-5BAA-4B36-B786-C4FA5DB84DE2}" srcOrd="5" destOrd="0" parTransId="{08AE95AC-558E-438C-A19E-A0A388B3DCB6}" sibTransId="{9C525CED-778E-45D1-BAA1-570F41FFF524}"/>
    <dgm:cxn modelId="{E679FD9E-05BC-4444-99AD-86D6E31A2F18}" type="presOf" srcId="{F0D8276B-5F8E-47CD-83BA-660329F4549E}" destId="{BA9D2ED0-16C9-44FB-8D9E-22F9C339ED18}" srcOrd="0" destOrd="0" presId="urn:microsoft.com/office/officeart/2005/8/layout/default"/>
    <dgm:cxn modelId="{8CC35CB0-A234-4247-A746-9F1FDD0500DE}" srcId="{0C5AA470-A2FC-4675-BBC5-FC07F000DB8B}" destId="{77745E09-BC33-4467-A7D0-00D63E26BF57}" srcOrd="3" destOrd="0" parTransId="{05C29930-DCA4-47D2-8F9D-D1F8B73BDC24}" sibTransId="{5B9CC1F3-60FF-4ABF-8213-2DA0778BB206}"/>
    <dgm:cxn modelId="{074F77B2-94D5-4ED9-8418-FB2262F6ABFC}" type="presOf" srcId="{5AF3E079-3959-4CCD-A44E-0F873ADAD033}" destId="{81E86E99-3676-4A87-9CCC-09470BFADE6D}" srcOrd="0" destOrd="0" presId="urn:microsoft.com/office/officeart/2005/8/layout/default"/>
    <dgm:cxn modelId="{182B08D0-A97C-4250-8DAD-B00E765D6E30}" type="presOf" srcId="{77745E09-BC33-4467-A7D0-00D63E26BF57}" destId="{0E296175-191A-4DDD-9AFD-C58180D0C5B1}" srcOrd="0" destOrd="0" presId="urn:microsoft.com/office/officeart/2005/8/layout/default"/>
    <dgm:cxn modelId="{0CB1CFE8-CBAF-4F5C-ACA7-753C38D8282E}" type="presOf" srcId="{5F2F899A-5BAA-4B36-B786-C4FA5DB84DE2}" destId="{2069F93F-EC36-45CA-81FA-E28CCFC4EDD2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EC223AEE-B23F-4144-BB4B-F401C5F480CD}" type="presOf" srcId="{F28F4473-498E-415A-A16F-A60D42C55427}" destId="{CB133F5D-DBBA-4B12-9FEC-4E54C8197093}" srcOrd="0" destOrd="0" presId="urn:microsoft.com/office/officeart/2005/8/layout/default"/>
    <dgm:cxn modelId="{0F98BD31-681A-4072-AC72-00D42CFC2AF4}" type="presParOf" srcId="{F3AB4A35-E2EB-4DBF-86FB-E54EE2B1FE62}" destId="{BA9D2ED0-16C9-44FB-8D9E-22F9C339ED18}" srcOrd="0" destOrd="0" presId="urn:microsoft.com/office/officeart/2005/8/layout/default"/>
    <dgm:cxn modelId="{8073183B-D84B-4A7D-A996-827A337ADE31}" type="presParOf" srcId="{F3AB4A35-E2EB-4DBF-86FB-E54EE2B1FE62}" destId="{8745EF1C-A4C9-4E6A-99FD-78BF7B12622C}" srcOrd="1" destOrd="0" presId="urn:microsoft.com/office/officeart/2005/8/layout/default"/>
    <dgm:cxn modelId="{3779AA9A-FEC6-4A03-A1DD-E83FD1DBE4C1}" type="presParOf" srcId="{F3AB4A35-E2EB-4DBF-86FB-E54EE2B1FE62}" destId="{CB133F5D-DBBA-4B12-9FEC-4E54C8197093}" srcOrd="2" destOrd="0" presId="urn:microsoft.com/office/officeart/2005/8/layout/default"/>
    <dgm:cxn modelId="{181D50F4-EE79-4AC1-9E70-AE776058FDB1}" type="presParOf" srcId="{F3AB4A35-E2EB-4DBF-86FB-E54EE2B1FE62}" destId="{701E9B6D-506A-4B8B-B1E6-AB2D8DB9BB03}" srcOrd="3" destOrd="0" presId="urn:microsoft.com/office/officeart/2005/8/layout/default"/>
    <dgm:cxn modelId="{5B3267E7-DE56-491D-AED4-74D666D93E43}" type="presParOf" srcId="{F3AB4A35-E2EB-4DBF-86FB-E54EE2B1FE62}" destId="{81E86E99-3676-4A87-9CCC-09470BFADE6D}" srcOrd="4" destOrd="0" presId="urn:microsoft.com/office/officeart/2005/8/layout/default"/>
    <dgm:cxn modelId="{D67F0DE4-8AC1-4116-BED0-8D1EB24DAFE2}" type="presParOf" srcId="{F3AB4A35-E2EB-4DBF-86FB-E54EE2B1FE62}" destId="{377F2A98-069B-4BD1-8E80-CF862BE0BD68}" srcOrd="5" destOrd="0" presId="urn:microsoft.com/office/officeart/2005/8/layout/default"/>
    <dgm:cxn modelId="{C4B0A691-1EF8-4CEC-9DBE-1EFB7B58ACBE}" type="presParOf" srcId="{F3AB4A35-E2EB-4DBF-86FB-E54EE2B1FE62}" destId="{0E296175-191A-4DDD-9AFD-C58180D0C5B1}" srcOrd="6" destOrd="0" presId="urn:microsoft.com/office/officeart/2005/8/layout/default"/>
    <dgm:cxn modelId="{403EE696-1918-4E75-A05D-8429B2624C1F}" type="presParOf" srcId="{F3AB4A35-E2EB-4DBF-86FB-E54EE2B1FE62}" destId="{7714FE89-4579-418B-8464-0F4B85BAC6A5}" srcOrd="7" destOrd="0" presId="urn:microsoft.com/office/officeart/2005/8/layout/default"/>
    <dgm:cxn modelId="{204854F1-2EDE-471E-B4A2-EEE8F9E0C698}" type="presParOf" srcId="{F3AB4A35-E2EB-4DBF-86FB-E54EE2B1FE62}" destId="{5800D369-D655-450A-A267-583A2F68A6F1}" srcOrd="8" destOrd="0" presId="urn:microsoft.com/office/officeart/2005/8/layout/default"/>
    <dgm:cxn modelId="{B91576EA-E935-4CAB-843A-8D103B0C26D9}" type="presParOf" srcId="{F3AB4A35-E2EB-4DBF-86FB-E54EE2B1FE62}" destId="{A3120A94-973F-4B44-8A46-565AD59DED29}" srcOrd="9" destOrd="0" presId="urn:microsoft.com/office/officeart/2005/8/layout/default"/>
    <dgm:cxn modelId="{860A1A55-1AAD-41CA-92EB-6A2AA0ACA395}" type="presParOf" srcId="{F3AB4A35-E2EB-4DBF-86FB-E54EE2B1FE62}" destId="{2069F93F-EC36-45CA-81FA-E28CCFC4EDD2}" srcOrd="10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12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</a:t>
          </a:r>
          <a:b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0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% de execução</a:t>
          </a:r>
          <a:br>
            <a:rPr lang="pt-BR" sz="20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Comparativo</a:t>
          </a:r>
          <a:b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YoY</a:t>
          </a:r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3E55D787-E1C1-4C6C-B682-2F823A606E13}">
      <dgm:prSet/>
      <dgm:spPr/>
      <dgm:t>
        <a:bodyPr/>
        <a:lstStyle/>
        <a:p>
          <a:endParaRPr lang="pt-BR"/>
        </a:p>
      </dgm:t>
    </dgm:pt>
    <dgm:pt modelId="{5ED97904-22DF-4E36-A28B-F687A4D3A61E}" type="parTrans" cxnId="{34267945-0F78-4333-98AE-60DB24C40794}">
      <dgm:prSet/>
      <dgm:spPr/>
      <dgm:t>
        <a:bodyPr/>
        <a:lstStyle/>
        <a:p>
          <a:endParaRPr lang="pt-BR"/>
        </a:p>
      </dgm:t>
    </dgm:pt>
    <dgm:pt modelId="{6EF4A891-3DAD-4342-843F-55EE09B3921F}" type="sibTrans" cxnId="{34267945-0F78-4333-98AE-60DB24C40794}">
      <dgm:prSet/>
      <dgm:spPr/>
      <dgm:t>
        <a:bodyPr/>
        <a:lstStyle/>
        <a:p>
          <a:endParaRPr lang="pt-BR"/>
        </a:p>
      </dgm:t>
    </dgm:pt>
    <dgm:pt modelId="{0010CF23-9DED-47EC-8758-73066583FA44}">
      <dgm:prSet/>
      <dgm:spPr/>
      <dgm:t>
        <a:bodyPr/>
        <a:lstStyle/>
        <a:p>
          <a:endParaRPr lang="pt-BR"/>
        </a:p>
      </dgm:t>
    </dgm:pt>
    <dgm:pt modelId="{D82E22A4-5CEB-4667-AEC2-F3C85942AEAD}" type="parTrans" cxnId="{EDCA57AC-8806-44AA-B074-C25819EF868A}">
      <dgm:prSet/>
      <dgm:spPr/>
      <dgm:t>
        <a:bodyPr/>
        <a:lstStyle/>
        <a:p>
          <a:endParaRPr lang="pt-BR"/>
        </a:p>
      </dgm:t>
    </dgm:pt>
    <dgm:pt modelId="{64477A07-5F83-429E-AA8B-488C68653312}" type="sibTrans" cxnId="{EDCA57AC-8806-44AA-B074-C25819EF868A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BA9D2ED0-16C9-44FB-8D9E-22F9C339ED18}" type="pres">
      <dgm:prSet presAssocID="{F0D8276B-5F8E-47CD-83BA-660329F4549E}" presName="node" presStyleLbl="node1" presStyleIdx="0" presStyleCnt="8" custScaleX="100.297%" custScaleY="100.994%">
        <dgm:presLayoutVars>
          <dgm:bulletEnabled val="1"/>
        </dgm:presLayoutVars>
      </dgm:prSet>
      <dgm:spPr/>
    </dgm:pt>
    <dgm:pt modelId="{8745EF1C-A4C9-4E6A-99FD-78BF7B12622C}" type="pres">
      <dgm:prSet presAssocID="{0D73E574-52F2-49BF-9E46-4279B23441E7}" presName="sibTrans" presStyleCnt="0"/>
      <dgm:spPr/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</dgm:pt>
    <dgm:pt modelId="{701E9B6D-506A-4B8B-B1E6-AB2D8DB9BB03}" type="pres">
      <dgm:prSet presAssocID="{1022C6E1-7F5E-4A04-9CD4-F8CDCBFA9BE3}" presName="sibTrans" presStyleCnt="0"/>
      <dgm:spPr/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</dgm:pt>
    <dgm:pt modelId="{4A1C71E8-C584-4258-87C4-328020FE1131}" type="pres">
      <dgm:prSet presAssocID="{7066175E-01F0-4FAF-BDE1-888990D25D74}" presName="sibTrans" presStyleCnt="0"/>
      <dgm:spPr/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</dgm:pt>
    <dgm:pt modelId="{C6553CB9-846E-4509-B6CB-620C145D0E09}" type="pres">
      <dgm:prSet presAssocID="{8484CB90-3EDF-4254-AC0E-CDBC59EB95EF}" presName="sibTrans" presStyleCnt="0"/>
      <dgm:spPr/>
    </dgm:pt>
    <dgm:pt modelId="{5800D369-D655-450A-A267-583A2F68A6F1}" type="pres">
      <dgm:prSet presAssocID="{40E3A9A0-3796-4A48-B2F5-5C63BFC42AC1}" presName="node" presStyleLbl="node1" presStyleIdx="4" presStyleCnt="8">
        <dgm:presLayoutVars>
          <dgm:bulletEnabled val="1"/>
        </dgm:presLayoutVars>
      </dgm:prSet>
      <dgm:spPr/>
    </dgm:pt>
    <dgm:pt modelId="{A3120A94-973F-4B44-8A46-565AD59DED29}" type="pres">
      <dgm:prSet presAssocID="{DD04B6C1-B38B-4696-9D68-BC369D6BA502}" presName="sibTrans" presStyleCnt="0"/>
      <dgm:spPr/>
    </dgm:pt>
    <dgm:pt modelId="{D29654AC-8B1F-4715-B3EF-5B9D45DA3F9C}" type="pres">
      <dgm:prSet presAssocID="{3E55D787-E1C1-4C6C-B682-2F823A606E13}" presName="node" presStyleLbl="node1" presStyleIdx="5" presStyleCnt="8">
        <dgm:presLayoutVars>
          <dgm:bulletEnabled val="1"/>
        </dgm:presLayoutVars>
      </dgm:prSet>
      <dgm:spPr/>
    </dgm:pt>
    <dgm:pt modelId="{4C58FA96-E7B3-4893-BCF3-456F445E7712}" type="pres">
      <dgm:prSet presAssocID="{6EF4A891-3DAD-4342-843F-55EE09B3921F}" presName="sibTrans" presStyleCnt="0"/>
      <dgm:spPr/>
    </dgm:pt>
    <dgm:pt modelId="{2069F93F-EC36-45CA-81FA-E28CCFC4EDD2}" type="pres">
      <dgm:prSet presAssocID="{5F2F899A-5BAA-4B36-B786-C4FA5DB84DE2}" presName="node" presStyleLbl="node1" presStyleIdx="6" presStyleCnt="8">
        <dgm:presLayoutVars>
          <dgm:bulletEnabled val="1"/>
        </dgm:presLayoutVars>
      </dgm:prSet>
      <dgm:spPr/>
    </dgm:pt>
    <dgm:pt modelId="{04622D16-B8C1-47F2-8A8D-189F57CC602A}" type="pres">
      <dgm:prSet presAssocID="{9C525CED-778E-45D1-BAA1-570F41FFF524}" presName="sibTrans" presStyleCnt="0"/>
      <dgm:spPr/>
    </dgm:pt>
    <dgm:pt modelId="{1B25165C-4C00-4CD9-B7B8-A4C893AC4E13}" type="pres">
      <dgm:prSet presAssocID="{0010CF23-9DED-47EC-8758-73066583FA44}" presName="node" presStyleLbl="node1" presStyleIdx="7" presStyleCnt="8">
        <dgm:presLayoutVars>
          <dgm:bulletEnabled val="1"/>
        </dgm:presLayoutVars>
      </dgm:prSet>
      <dgm:spPr/>
    </dgm:pt>
  </dgm:ptLst>
  <dgm:cxnLst>
    <dgm:cxn modelId="{BE8A3D01-9028-422A-BEE1-04052598B6E6}" type="presOf" srcId="{4DF42217-B85D-4249-A568-5B509C0F84B5}" destId="{19166087-240F-4205-829D-E61CAF74B1F0}" srcOrd="0" destOrd="0" presId="urn:microsoft.com/office/officeart/2005/8/layout/default"/>
    <dgm:cxn modelId="{F74B0225-B912-422A-9DE9-10B722001E9B}" type="presOf" srcId="{40E3A9A0-3796-4A48-B2F5-5C63BFC42AC1}" destId="{5800D369-D655-450A-A267-583A2F68A6F1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5C02B25D-727C-4F3B-8E31-DBEA896F42A1}" type="presOf" srcId="{F0D8276B-5F8E-47CD-83BA-660329F4549E}" destId="{BA9D2ED0-16C9-44FB-8D9E-22F9C339ED18}" srcOrd="0" destOrd="0" presId="urn:microsoft.com/office/officeart/2005/8/layout/default"/>
    <dgm:cxn modelId="{34267945-0F78-4333-98AE-60DB24C40794}" srcId="{0C5AA470-A2FC-4675-BBC5-FC07F000DB8B}" destId="{3E55D787-E1C1-4C6C-B682-2F823A606E13}" srcOrd="5" destOrd="0" parTransId="{5ED97904-22DF-4E36-A28B-F687A4D3A61E}" sibTransId="{6EF4A891-3DAD-4342-843F-55EE09B3921F}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5F363A7C-57EB-456D-B9AB-08067984F853}" type="presOf" srcId="{0C5AA470-A2FC-4675-BBC5-FC07F000DB8B}" destId="{F3AB4A35-E2EB-4DBF-86FB-E54EE2B1FE62}" srcOrd="0" destOrd="0" presId="urn:microsoft.com/office/officeart/2005/8/layout/default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7704F592-3202-4006-8CAB-5C864EBD3C3D}" srcId="{0C5AA470-A2FC-4675-BBC5-FC07F000DB8B}" destId="{5F2F899A-5BAA-4B36-B786-C4FA5DB84DE2}" srcOrd="6" destOrd="0" parTransId="{08AE95AC-558E-438C-A19E-A0A388B3DCB6}" sibTransId="{9C525CED-778E-45D1-BAA1-570F41FFF524}"/>
    <dgm:cxn modelId="{3264559C-0182-453B-A95D-E775FFE780AD}" type="presOf" srcId="{3E55D787-E1C1-4C6C-B682-2F823A606E13}" destId="{D29654AC-8B1F-4715-B3EF-5B9D45DA3F9C}" srcOrd="0" destOrd="0" presId="urn:microsoft.com/office/officeart/2005/8/layout/default"/>
    <dgm:cxn modelId="{E65DCDA9-4C36-448B-95D3-32597A54A1A2}" type="presOf" srcId="{F6B446C0-6E43-4493-B573-1F94BA4F7210}" destId="{C221B9C3-A015-449B-9E50-6721626A9470}" srcOrd="0" destOrd="0" presId="urn:microsoft.com/office/officeart/2005/8/layout/default"/>
    <dgm:cxn modelId="{EDCA57AC-8806-44AA-B074-C25819EF868A}" srcId="{0C5AA470-A2FC-4675-BBC5-FC07F000DB8B}" destId="{0010CF23-9DED-47EC-8758-73066583FA44}" srcOrd="7" destOrd="0" parTransId="{D82E22A4-5CEB-4667-AEC2-F3C85942AEAD}" sibTransId="{64477A07-5F83-429E-AA8B-488C68653312}"/>
    <dgm:cxn modelId="{F1AAFDB0-3A84-442C-A316-6E46FB920FFA}" type="presOf" srcId="{5F2F899A-5BAA-4B36-B786-C4FA5DB84DE2}" destId="{2069F93F-EC36-45CA-81FA-E28CCFC4EDD2}" srcOrd="0" destOrd="0" presId="urn:microsoft.com/office/officeart/2005/8/layout/default"/>
    <dgm:cxn modelId="{E8AE1BDD-B5F5-449D-81EA-3EAA31E2A535}" type="presOf" srcId="{0010CF23-9DED-47EC-8758-73066583FA44}" destId="{1B25165C-4C00-4CD9-B7B8-A4C893AC4E13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915589F2-ABA4-4BD7-96EE-AEF5FAF5B1D8}" type="presOf" srcId="{F28F4473-498E-415A-A16F-A60D42C55427}" destId="{CB133F5D-DBBA-4B12-9FEC-4E54C8197093}" srcOrd="0" destOrd="0" presId="urn:microsoft.com/office/officeart/2005/8/layout/default"/>
    <dgm:cxn modelId="{74EA17D2-19B2-45A3-BF2F-6903CB9F2773}" type="presParOf" srcId="{F3AB4A35-E2EB-4DBF-86FB-E54EE2B1FE62}" destId="{BA9D2ED0-16C9-44FB-8D9E-22F9C339ED18}" srcOrd="0" destOrd="0" presId="urn:microsoft.com/office/officeart/2005/8/layout/default"/>
    <dgm:cxn modelId="{38297587-7F07-4AF6-8CBD-CB52DBD2F6E4}" type="presParOf" srcId="{F3AB4A35-E2EB-4DBF-86FB-E54EE2B1FE62}" destId="{8745EF1C-A4C9-4E6A-99FD-78BF7B12622C}" srcOrd="1" destOrd="0" presId="urn:microsoft.com/office/officeart/2005/8/layout/default"/>
    <dgm:cxn modelId="{A63358D7-C3BB-4AC7-BFCC-B8AB11F627F6}" type="presParOf" srcId="{F3AB4A35-E2EB-4DBF-86FB-E54EE2B1FE62}" destId="{CB133F5D-DBBA-4B12-9FEC-4E54C8197093}" srcOrd="2" destOrd="0" presId="urn:microsoft.com/office/officeart/2005/8/layout/default"/>
    <dgm:cxn modelId="{964E5CE4-369E-4F27-8C45-7ADDA66A8FE4}" type="presParOf" srcId="{F3AB4A35-E2EB-4DBF-86FB-E54EE2B1FE62}" destId="{701E9B6D-506A-4B8B-B1E6-AB2D8DB9BB03}" srcOrd="3" destOrd="0" presId="urn:microsoft.com/office/officeart/2005/8/layout/default"/>
    <dgm:cxn modelId="{D3AF1189-18BE-4FF9-9111-4661E703E033}" type="presParOf" srcId="{F3AB4A35-E2EB-4DBF-86FB-E54EE2B1FE62}" destId="{C221B9C3-A015-449B-9E50-6721626A9470}" srcOrd="4" destOrd="0" presId="urn:microsoft.com/office/officeart/2005/8/layout/default"/>
    <dgm:cxn modelId="{C8EED78E-687C-44C9-9A49-A476C61FFED9}" type="presParOf" srcId="{F3AB4A35-E2EB-4DBF-86FB-E54EE2B1FE62}" destId="{4A1C71E8-C584-4258-87C4-328020FE1131}" srcOrd="5" destOrd="0" presId="urn:microsoft.com/office/officeart/2005/8/layout/default"/>
    <dgm:cxn modelId="{5F2EBA04-D818-405A-845D-07E628DD9C96}" type="presParOf" srcId="{F3AB4A35-E2EB-4DBF-86FB-E54EE2B1FE62}" destId="{19166087-240F-4205-829D-E61CAF74B1F0}" srcOrd="6" destOrd="0" presId="urn:microsoft.com/office/officeart/2005/8/layout/default"/>
    <dgm:cxn modelId="{26A0D958-B7F6-4FE3-91FA-9C35080A743A}" type="presParOf" srcId="{F3AB4A35-E2EB-4DBF-86FB-E54EE2B1FE62}" destId="{C6553CB9-846E-4509-B6CB-620C145D0E09}" srcOrd="7" destOrd="0" presId="urn:microsoft.com/office/officeart/2005/8/layout/default"/>
    <dgm:cxn modelId="{341E3A23-F7C2-4195-ADA6-C0CB322E0808}" type="presParOf" srcId="{F3AB4A35-E2EB-4DBF-86FB-E54EE2B1FE62}" destId="{5800D369-D655-450A-A267-583A2F68A6F1}" srcOrd="8" destOrd="0" presId="urn:microsoft.com/office/officeart/2005/8/layout/default"/>
    <dgm:cxn modelId="{92394F87-76B6-4DBD-92E7-DBCAA822E96C}" type="presParOf" srcId="{F3AB4A35-E2EB-4DBF-86FB-E54EE2B1FE62}" destId="{A3120A94-973F-4B44-8A46-565AD59DED29}" srcOrd="9" destOrd="0" presId="urn:microsoft.com/office/officeart/2005/8/layout/default"/>
    <dgm:cxn modelId="{8565F7BC-FFFB-48D0-A6C4-A33EF3B72C5A}" type="presParOf" srcId="{F3AB4A35-E2EB-4DBF-86FB-E54EE2B1FE62}" destId="{D29654AC-8B1F-4715-B3EF-5B9D45DA3F9C}" srcOrd="10" destOrd="0" presId="urn:microsoft.com/office/officeart/2005/8/layout/default"/>
    <dgm:cxn modelId="{337A7A8A-37D1-4378-B43D-6C593028C6AB}" type="presParOf" srcId="{F3AB4A35-E2EB-4DBF-86FB-E54EE2B1FE62}" destId="{4C58FA96-E7B3-4893-BCF3-456F445E7712}" srcOrd="11" destOrd="0" presId="urn:microsoft.com/office/officeart/2005/8/layout/default"/>
    <dgm:cxn modelId="{DD09DD8D-0D95-4702-B801-DC3D4C720980}" type="presParOf" srcId="{F3AB4A35-E2EB-4DBF-86FB-E54EE2B1FE62}" destId="{2069F93F-EC36-45CA-81FA-E28CCFC4EDD2}" srcOrd="12" destOrd="0" presId="urn:microsoft.com/office/officeart/2005/8/layout/default"/>
    <dgm:cxn modelId="{9662B4B3-BEB2-449C-BA9A-A0EBA236B131}" type="presParOf" srcId="{F3AB4A35-E2EB-4DBF-86FB-E54EE2B1FE62}" destId="{04622D16-B8C1-47F2-8A8D-189F57CC602A}" srcOrd="13" destOrd="0" presId="urn:microsoft.com/office/officeart/2005/8/layout/default"/>
    <dgm:cxn modelId="{E5068BC6-CAEF-41F7-A8E6-4CB636BF181E}" type="presParOf" srcId="{F3AB4A35-E2EB-4DBF-86FB-E54EE2B1FE62}" destId="{1B25165C-4C00-4CD9-B7B8-A4C893AC4E13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13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</a:t>
          </a:r>
          <a:br>
            <a:rPr lang="pt-BR" sz="20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1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% de execução</a:t>
          </a:r>
          <a:br>
            <a:rPr lang="pt-BR" sz="1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BA9D2ED0-16C9-44FB-8D9E-22F9C339ED18}" type="pres">
      <dgm:prSet presAssocID="{F0D8276B-5F8E-47CD-83BA-660329F4549E}" presName="node" presStyleLbl="node1" presStyleIdx="0" presStyleCnt="6" custScaleX="115.133%" custScaleY="109.649%" custLinFactNeighborX="-0.447%" custLinFactNeighborY="0.998%">
        <dgm:presLayoutVars>
          <dgm:bulletEnabled val="1"/>
        </dgm:presLayoutVars>
      </dgm:prSet>
      <dgm:spPr/>
    </dgm:pt>
    <dgm:pt modelId="{8745EF1C-A4C9-4E6A-99FD-78BF7B12622C}" type="pres">
      <dgm:prSet presAssocID="{0D73E574-52F2-49BF-9E46-4279B23441E7}" presName="sibTrans" presStyleCnt="0"/>
      <dgm:spPr/>
    </dgm:pt>
    <dgm:pt modelId="{CB133F5D-DBBA-4B12-9FEC-4E54C8197093}" type="pres">
      <dgm:prSet presAssocID="{F28F4473-498E-415A-A16F-A60D42C55427}" presName="node" presStyleLbl="node1" presStyleIdx="1" presStyleCnt="6" custScaleX="123.666%" custScaleY="109.649%">
        <dgm:presLayoutVars>
          <dgm:bulletEnabled val="1"/>
        </dgm:presLayoutVars>
      </dgm:prSet>
      <dgm:spPr/>
    </dgm:pt>
    <dgm:pt modelId="{701E9B6D-506A-4B8B-B1E6-AB2D8DB9BB03}" type="pres">
      <dgm:prSet presAssocID="{1022C6E1-7F5E-4A04-9CD4-F8CDCBFA9BE3}" presName="sibTrans" presStyleCnt="0"/>
      <dgm:spPr/>
    </dgm:pt>
    <dgm:pt modelId="{C221B9C3-A015-449B-9E50-6721626A9470}" type="pres">
      <dgm:prSet presAssocID="{F6B446C0-6E43-4493-B573-1F94BA4F7210}" presName="node" presStyleLbl="node1" presStyleIdx="2" presStyleCnt="6" custScaleX="115.133%" custScaleY="109.649%">
        <dgm:presLayoutVars>
          <dgm:bulletEnabled val="1"/>
        </dgm:presLayoutVars>
      </dgm:prSet>
      <dgm:spPr/>
    </dgm:pt>
    <dgm:pt modelId="{4A1C71E8-C584-4258-87C4-328020FE1131}" type="pres">
      <dgm:prSet presAssocID="{7066175E-01F0-4FAF-BDE1-888990D25D74}" presName="sibTrans" presStyleCnt="0"/>
      <dgm:spPr/>
    </dgm:pt>
    <dgm:pt modelId="{19166087-240F-4205-829D-E61CAF74B1F0}" type="pres">
      <dgm:prSet presAssocID="{4DF42217-B85D-4249-A568-5B509C0F84B5}" presName="node" presStyleLbl="node1" presStyleIdx="3" presStyleCnt="6" custScaleX="123.666%" custScaleY="109.649%">
        <dgm:presLayoutVars>
          <dgm:bulletEnabled val="1"/>
        </dgm:presLayoutVars>
      </dgm:prSet>
      <dgm:spPr/>
    </dgm:pt>
    <dgm:pt modelId="{C6553CB9-846E-4509-B6CB-620C145D0E09}" type="pres">
      <dgm:prSet presAssocID="{8484CB90-3EDF-4254-AC0E-CDBC59EB95EF}" presName="sibTrans" presStyleCnt="0"/>
      <dgm:spPr/>
    </dgm:pt>
    <dgm:pt modelId="{5800D369-D655-450A-A267-583A2F68A6F1}" type="pres">
      <dgm:prSet presAssocID="{40E3A9A0-3796-4A48-B2F5-5C63BFC42AC1}" presName="node" presStyleLbl="node1" presStyleIdx="4" presStyleCnt="6" custScaleX="115.133%" custScaleY="109.649%">
        <dgm:presLayoutVars>
          <dgm:bulletEnabled val="1"/>
        </dgm:presLayoutVars>
      </dgm:prSet>
      <dgm:spPr/>
    </dgm:pt>
    <dgm:pt modelId="{A3120A94-973F-4B44-8A46-565AD59DED29}" type="pres">
      <dgm:prSet presAssocID="{DD04B6C1-B38B-4696-9D68-BC369D6BA502}" presName="sibTrans" presStyleCnt="0"/>
      <dgm:spPr/>
    </dgm:pt>
    <dgm:pt modelId="{2069F93F-EC36-45CA-81FA-E28CCFC4EDD2}" type="pres">
      <dgm:prSet presAssocID="{5F2F899A-5BAA-4B36-B786-C4FA5DB84DE2}" presName="node" presStyleLbl="node1" presStyleIdx="5" presStyleCnt="6" custScaleX="123.666%" custScaleY="109.649%">
        <dgm:presLayoutVars>
          <dgm:bulletEnabled val="1"/>
        </dgm:presLayoutVars>
      </dgm:prSet>
      <dgm:spPr/>
    </dgm:pt>
  </dgm:ptLst>
  <dgm:cxnLst>
    <dgm:cxn modelId="{BE285E24-DFCF-4DFA-A174-2CBC3078E39E}" type="presOf" srcId="{4DF42217-B85D-4249-A568-5B509C0F84B5}" destId="{19166087-240F-4205-829D-E61CAF74B1F0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2C928D38-CD21-4030-841F-FF121F644682}" type="presOf" srcId="{F6B446C0-6E43-4493-B573-1F94BA4F7210}" destId="{C221B9C3-A015-449B-9E50-6721626A9470}" srcOrd="0" destOrd="0" presId="urn:microsoft.com/office/officeart/2005/8/layout/default"/>
    <dgm:cxn modelId="{8C25C370-8786-4AE4-AC63-C9B1C619D464}" type="presOf" srcId="{0C5AA470-A2FC-4675-BBC5-FC07F000DB8B}" destId="{F3AB4A35-E2EB-4DBF-86FB-E54EE2B1FE62}" srcOrd="0" destOrd="0" presId="urn:microsoft.com/office/officeart/2005/8/layout/default"/>
    <dgm:cxn modelId="{A17B3A73-1C0A-4238-8578-C314F0BA94BA}" type="presOf" srcId="{F0D8276B-5F8E-47CD-83BA-660329F4549E}" destId="{BA9D2ED0-16C9-44FB-8D9E-22F9C339ED18}" srcOrd="0" destOrd="0" presId="urn:microsoft.com/office/officeart/2005/8/layout/default"/>
    <dgm:cxn modelId="{DAB35D75-C02D-4C8A-BF7E-6C6CCE3B37CC}" type="presOf" srcId="{F28F4473-498E-415A-A16F-A60D42C55427}" destId="{CB133F5D-DBBA-4B12-9FEC-4E54C8197093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F3965E88-63E7-4AA7-88F7-5BA3C0863FF1}" type="presOf" srcId="{40E3A9A0-3796-4A48-B2F5-5C63BFC42AC1}" destId="{5800D369-D655-450A-A267-583A2F68A6F1}" srcOrd="0" destOrd="0" presId="urn:microsoft.com/office/officeart/2005/8/layout/default"/>
    <dgm:cxn modelId="{7704F592-3202-4006-8CAB-5C864EBD3C3D}" srcId="{0C5AA470-A2FC-4675-BBC5-FC07F000DB8B}" destId="{5F2F899A-5BAA-4B36-B786-C4FA5DB84DE2}" srcOrd="5" destOrd="0" parTransId="{08AE95AC-558E-438C-A19E-A0A388B3DCB6}" sibTransId="{9C525CED-778E-45D1-BAA1-570F41FFF524}"/>
    <dgm:cxn modelId="{7459FFB3-0307-49A2-9BE3-488EB93EB9A9}" type="presOf" srcId="{5F2F899A-5BAA-4B36-B786-C4FA5DB84DE2}" destId="{2069F93F-EC36-45CA-81FA-E28CCFC4EDD2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F7D1AEB2-24F1-4F56-8571-51865F3D9BD7}" type="presParOf" srcId="{F3AB4A35-E2EB-4DBF-86FB-E54EE2B1FE62}" destId="{BA9D2ED0-16C9-44FB-8D9E-22F9C339ED18}" srcOrd="0" destOrd="0" presId="urn:microsoft.com/office/officeart/2005/8/layout/default"/>
    <dgm:cxn modelId="{E14F7EDB-58F4-49AE-934B-0077F6859057}" type="presParOf" srcId="{F3AB4A35-E2EB-4DBF-86FB-E54EE2B1FE62}" destId="{8745EF1C-A4C9-4E6A-99FD-78BF7B12622C}" srcOrd="1" destOrd="0" presId="urn:microsoft.com/office/officeart/2005/8/layout/default"/>
    <dgm:cxn modelId="{B0FF2DDB-AFC1-4204-BE39-863D1535C6A3}" type="presParOf" srcId="{F3AB4A35-E2EB-4DBF-86FB-E54EE2B1FE62}" destId="{CB133F5D-DBBA-4B12-9FEC-4E54C8197093}" srcOrd="2" destOrd="0" presId="urn:microsoft.com/office/officeart/2005/8/layout/default"/>
    <dgm:cxn modelId="{05273FF4-CD88-4C39-8E0D-9AE3860657ED}" type="presParOf" srcId="{F3AB4A35-E2EB-4DBF-86FB-E54EE2B1FE62}" destId="{701E9B6D-506A-4B8B-B1E6-AB2D8DB9BB03}" srcOrd="3" destOrd="0" presId="urn:microsoft.com/office/officeart/2005/8/layout/default"/>
    <dgm:cxn modelId="{6E9B9B7F-3880-4C40-A202-78BED2C2A287}" type="presParOf" srcId="{F3AB4A35-E2EB-4DBF-86FB-E54EE2B1FE62}" destId="{C221B9C3-A015-449B-9E50-6721626A9470}" srcOrd="4" destOrd="0" presId="urn:microsoft.com/office/officeart/2005/8/layout/default"/>
    <dgm:cxn modelId="{B03D101E-66FF-4368-B8F9-BB9D87C98D6F}" type="presParOf" srcId="{F3AB4A35-E2EB-4DBF-86FB-E54EE2B1FE62}" destId="{4A1C71E8-C584-4258-87C4-328020FE1131}" srcOrd="5" destOrd="0" presId="urn:microsoft.com/office/officeart/2005/8/layout/default"/>
    <dgm:cxn modelId="{877AEE0D-E70C-45D3-806D-88F4DB2925C7}" type="presParOf" srcId="{F3AB4A35-E2EB-4DBF-86FB-E54EE2B1FE62}" destId="{19166087-240F-4205-829D-E61CAF74B1F0}" srcOrd="6" destOrd="0" presId="urn:microsoft.com/office/officeart/2005/8/layout/default"/>
    <dgm:cxn modelId="{8349A889-8039-43C7-A818-8E410403EEE9}" type="presParOf" srcId="{F3AB4A35-E2EB-4DBF-86FB-E54EE2B1FE62}" destId="{C6553CB9-846E-4509-B6CB-620C145D0E09}" srcOrd="7" destOrd="0" presId="urn:microsoft.com/office/officeart/2005/8/layout/default"/>
    <dgm:cxn modelId="{39B9F406-4A8C-4824-90A4-0DF2B4B453E5}" type="presParOf" srcId="{F3AB4A35-E2EB-4DBF-86FB-E54EE2B1FE62}" destId="{5800D369-D655-450A-A267-583A2F68A6F1}" srcOrd="8" destOrd="0" presId="urn:microsoft.com/office/officeart/2005/8/layout/default"/>
    <dgm:cxn modelId="{A34512C6-4009-45F3-B55D-C1A8C0CF5A59}" type="presParOf" srcId="{F3AB4A35-E2EB-4DBF-86FB-E54EE2B1FE62}" destId="{A3120A94-973F-4B44-8A46-565AD59DED29}" srcOrd="9" destOrd="0" presId="urn:microsoft.com/office/officeart/2005/8/layout/default"/>
    <dgm:cxn modelId="{23617A10-1B53-4281-A38F-A3239D2048E0}" type="presParOf" srcId="{F3AB4A35-E2EB-4DBF-86FB-E54EE2B1FE62}" destId="{2069F93F-EC36-45CA-81FA-E28CCFC4EDD2}" srcOrd="10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14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</a:t>
          </a:r>
          <a:b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0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% de execução</a:t>
          </a:r>
          <a:br>
            <a:rPr lang="pt-BR" sz="20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Comparativo</a:t>
          </a:r>
          <a:b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YoY</a:t>
          </a:r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3E55D787-E1C1-4C6C-B682-2F823A606E13}">
      <dgm:prSet/>
      <dgm:spPr/>
      <dgm:t>
        <a:bodyPr/>
        <a:lstStyle/>
        <a:p>
          <a:endParaRPr lang="pt-BR"/>
        </a:p>
      </dgm:t>
    </dgm:pt>
    <dgm:pt modelId="{5ED97904-22DF-4E36-A28B-F687A4D3A61E}" type="parTrans" cxnId="{34267945-0F78-4333-98AE-60DB24C40794}">
      <dgm:prSet/>
      <dgm:spPr/>
      <dgm:t>
        <a:bodyPr/>
        <a:lstStyle/>
        <a:p>
          <a:endParaRPr lang="pt-BR"/>
        </a:p>
      </dgm:t>
    </dgm:pt>
    <dgm:pt modelId="{6EF4A891-3DAD-4342-843F-55EE09B3921F}" type="sibTrans" cxnId="{34267945-0F78-4333-98AE-60DB24C40794}">
      <dgm:prSet/>
      <dgm:spPr/>
      <dgm:t>
        <a:bodyPr/>
        <a:lstStyle/>
        <a:p>
          <a:endParaRPr lang="pt-BR"/>
        </a:p>
      </dgm:t>
    </dgm:pt>
    <dgm:pt modelId="{0010CF23-9DED-47EC-8758-73066583FA44}">
      <dgm:prSet/>
      <dgm:spPr/>
      <dgm:t>
        <a:bodyPr/>
        <a:lstStyle/>
        <a:p>
          <a:endParaRPr lang="pt-BR"/>
        </a:p>
      </dgm:t>
    </dgm:pt>
    <dgm:pt modelId="{D82E22A4-5CEB-4667-AEC2-F3C85942AEAD}" type="parTrans" cxnId="{EDCA57AC-8806-44AA-B074-C25819EF868A}">
      <dgm:prSet/>
      <dgm:spPr/>
      <dgm:t>
        <a:bodyPr/>
        <a:lstStyle/>
        <a:p>
          <a:endParaRPr lang="pt-BR"/>
        </a:p>
      </dgm:t>
    </dgm:pt>
    <dgm:pt modelId="{64477A07-5F83-429E-AA8B-488C68653312}" type="sibTrans" cxnId="{EDCA57AC-8806-44AA-B074-C25819EF868A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BA9D2ED0-16C9-44FB-8D9E-22F9C339ED18}" type="pres">
      <dgm:prSet presAssocID="{F0D8276B-5F8E-47CD-83BA-660329F4549E}" presName="node" presStyleLbl="node1" presStyleIdx="0" presStyleCnt="8" custScaleX="100.297%" custScaleY="100.994%">
        <dgm:presLayoutVars>
          <dgm:bulletEnabled val="1"/>
        </dgm:presLayoutVars>
      </dgm:prSet>
      <dgm:spPr/>
    </dgm:pt>
    <dgm:pt modelId="{8745EF1C-A4C9-4E6A-99FD-78BF7B12622C}" type="pres">
      <dgm:prSet presAssocID="{0D73E574-52F2-49BF-9E46-4279B23441E7}" presName="sibTrans" presStyleCnt="0"/>
      <dgm:spPr/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</dgm:pt>
    <dgm:pt modelId="{701E9B6D-506A-4B8B-B1E6-AB2D8DB9BB03}" type="pres">
      <dgm:prSet presAssocID="{1022C6E1-7F5E-4A04-9CD4-F8CDCBFA9BE3}" presName="sibTrans" presStyleCnt="0"/>
      <dgm:spPr/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</dgm:pt>
    <dgm:pt modelId="{4A1C71E8-C584-4258-87C4-328020FE1131}" type="pres">
      <dgm:prSet presAssocID="{7066175E-01F0-4FAF-BDE1-888990D25D74}" presName="sibTrans" presStyleCnt="0"/>
      <dgm:spPr/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</dgm:pt>
    <dgm:pt modelId="{C6553CB9-846E-4509-B6CB-620C145D0E09}" type="pres">
      <dgm:prSet presAssocID="{8484CB90-3EDF-4254-AC0E-CDBC59EB95EF}" presName="sibTrans" presStyleCnt="0"/>
      <dgm:spPr/>
    </dgm:pt>
    <dgm:pt modelId="{5800D369-D655-450A-A267-583A2F68A6F1}" type="pres">
      <dgm:prSet presAssocID="{40E3A9A0-3796-4A48-B2F5-5C63BFC42AC1}" presName="node" presStyleLbl="node1" presStyleIdx="4" presStyleCnt="8">
        <dgm:presLayoutVars>
          <dgm:bulletEnabled val="1"/>
        </dgm:presLayoutVars>
      </dgm:prSet>
      <dgm:spPr/>
    </dgm:pt>
    <dgm:pt modelId="{A3120A94-973F-4B44-8A46-565AD59DED29}" type="pres">
      <dgm:prSet presAssocID="{DD04B6C1-B38B-4696-9D68-BC369D6BA502}" presName="sibTrans" presStyleCnt="0"/>
      <dgm:spPr/>
    </dgm:pt>
    <dgm:pt modelId="{D29654AC-8B1F-4715-B3EF-5B9D45DA3F9C}" type="pres">
      <dgm:prSet presAssocID="{3E55D787-E1C1-4C6C-B682-2F823A606E13}" presName="node" presStyleLbl="node1" presStyleIdx="5" presStyleCnt="8">
        <dgm:presLayoutVars>
          <dgm:bulletEnabled val="1"/>
        </dgm:presLayoutVars>
      </dgm:prSet>
      <dgm:spPr/>
    </dgm:pt>
    <dgm:pt modelId="{4C58FA96-E7B3-4893-BCF3-456F445E7712}" type="pres">
      <dgm:prSet presAssocID="{6EF4A891-3DAD-4342-843F-55EE09B3921F}" presName="sibTrans" presStyleCnt="0"/>
      <dgm:spPr/>
    </dgm:pt>
    <dgm:pt modelId="{2069F93F-EC36-45CA-81FA-E28CCFC4EDD2}" type="pres">
      <dgm:prSet presAssocID="{5F2F899A-5BAA-4B36-B786-C4FA5DB84DE2}" presName="node" presStyleLbl="node1" presStyleIdx="6" presStyleCnt="8">
        <dgm:presLayoutVars>
          <dgm:bulletEnabled val="1"/>
        </dgm:presLayoutVars>
      </dgm:prSet>
      <dgm:spPr/>
    </dgm:pt>
    <dgm:pt modelId="{04622D16-B8C1-47F2-8A8D-189F57CC602A}" type="pres">
      <dgm:prSet presAssocID="{9C525CED-778E-45D1-BAA1-570F41FFF524}" presName="sibTrans" presStyleCnt="0"/>
      <dgm:spPr/>
    </dgm:pt>
    <dgm:pt modelId="{1B25165C-4C00-4CD9-B7B8-A4C893AC4E13}" type="pres">
      <dgm:prSet presAssocID="{0010CF23-9DED-47EC-8758-73066583FA44}" presName="node" presStyleLbl="node1" presStyleIdx="7" presStyleCnt="8">
        <dgm:presLayoutVars>
          <dgm:bulletEnabled val="1"/>
        </dgm:presLayoutVars>
      </dgm:prSet>
      <dgm:spPr/>
    </dgm:pt>
  </dgm:ptLst>
  <dgm:cxnLst>
    <dgm:cxn modelId="{B657F32C-01D8-4B13-8EBC-9DE0E78FD389}" type="presOf" srcId="{F0D8276B-5F8E-47CD-83BA-660329F4549E}" destId="{BA9D2ED0-16C9-44FB-8D9E-22F9C339ED18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34267945-0F78-4333-98AE-60DB24C40794}" srcId="{0C5AA470-A2FC-4675-BBC5-FC07F000DB8B}" destId="{3E55D787-E1C1-4C6C-B682-2F823A606E13}" srcOrd="5" destOrd="0" parTransId="{5ED97904-22DF-4E36-A28B-F687A4D3A61E}" sibTransId="{6EF4A891-3DAD-4342-843F-55EE09B3921F}"/>
    <dgm:cxn modelId="{C1F3AA67-2443-453F-BF00-78C6C475E834}" type="presOf" srcId="{0010CF23-9DED-47EC-8758-73066583FA44}" destId="{1B25165C-4C00-4CD9-B7B8-A4C893AC4E13}" srcOrd="0" destOrd="0" presId="urn:microsoft.com/office/officeart/2005/8/layout/default"/>
    <dgm:cxn modelId="{6DF5884E-2B6A-499A-B676-00FEA64AE504}" type="presOf" srcId="{5F2F899A-5BAA-4B36-B786-C4FA5DB84DE2}" destId="{2069F93F-EC36-45CA-81FA-E28CCFC4EDD2}" srcOrd="0" destOrd="0" presId="urn:microsoft.com/office/officeart/2005/8/layout/default"/>
    <dgm:cxn modelId="{98A34351-16CF-46F2-81F5-A1CB2898D579}" type="presOf" srcId="{F6B446C0-6E43-4493-B573-1F94BA4F7210}" destId="{C221B9C3-A015-449B-9E50-6721626A9470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83A82889-94E0-414B-B30E-D1BB243A0942}" type="presOf" srcId="{4DF42217-B85D-4249-A568-5B509C0F84B5}" destId="{19166087-240F-4205-829D-E61CAF74B1F0}" srcOrd="0" destOrd="0" presId="urn:microsoft.com/office/officeart/2005/8/layout/default"/>
    <dgm:cxn modelId="{A5C37092-0B5A-40CC-9669-F92BC19B16F2}" type="presOf" srcId="{0C5AA470-A2FC-4675-BBC5-FC07F000DB8B}" destId="{F3AB4A35-E2EB-4DBF-86FB-E54EE2B1FE62}" srcOrd="0" destOrd="0" presId="urn:microsoft.com/office/officeart/2005/8/layout/default"/>
    <dgm:cxn modelId="{7704F592-3202-4006-8CAB-5C864EBD3C3D}" srcId="{0C5AA470-A2FC-4675-BBC5-FC07F000DB8B}" destId="{5F2F899A-5BAA-4B36-B786-C4FA5DB84DE2}" srcOrd="6" destOrd="0" parTransId="{08AE95AC-558E-438C-A19E-A0A388B3DCB6}" sibTransId="{9C525CED-778E-45D1-BAA1-570F41FFF524}"/>
    <dgm:cxn modelId="{CFE8389F-A7E0-4434-BE14-52DB8293E86D}" type="presOf" srcId="{F28F4473-498E-415A-A16F-A60D42C55427}" destId="{CB133F5D-DBBA-4B12-9FEC-4E54C8197093}" srcOrd="0" destOrd="0" presId="urn:microsoft.com/office/officeart/2005/8/layout/default"/>
    <dgm:cxn modelId="{EDCA57AC-8806-44AA-B074-C25819EF868A}" srcId="{0C5AA470-A2FC-4675-BBC5-FC07F000DB8B}" destId="{0010CF23-9DED-47EC-8758-73066583FA44}" srcOrd="7" destOrd="0" parTransId="{D82E22A4-5CEB-4667-AEC2-F3C85942AEAD}" sibTransId="{64477A07-5F83-429E-AA8B-488C68653312}"/>
    <dgm:cxn modelId="{EE09FCEB-53FC-4FD3-BBF5-3CCD51124E68}" type="presOf" srcId="{3E55D787-E1C1-4C6C-B682-2F823A606E13}" destId="{D29654AC-8B1F-4715-B3EF-5B9D45DA3F9C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260FB2F1-4A07-4F09-A6FC-4118BAACFFDD}" type="presOf" srcId="{40E3A9A0-3796-4A48-B2F5-5C63BFC42AC1}" destId="{5800D369-D655-450A-A267-583A2F68A6F1}" srcOrd="0" destOrd="0" presId="urn:microsoft.com/office/officeart/2005/8/layout/default"/>
    <dgm:cxn modelId="{CDAF450F-147B-474E-8570-638BEFAA832A}" type="presParOf" srcId="{F3AB4A35-E2EB-4DBF-86FB-E54EE2B1FE62}" destId="{BA9D2ED0-16C9-44FB-8D9E-22F9C339ED18}" srcOrd="0" destOrd="0" presId="urn:microsoft.com/office/officeart/2005/8/layout/default"/>
    <dgm:cxn modelId="{2B3FF774-6662-43AA-9139-C1310DF754FE}" type="presParOf" srcId="{F3AB4A35-E2EB-4DBF-86FB-E54EE2B1FE62}" destId="{8745EF1C-A4C9-4E6A-99FD-78BF7B12622C}" srcOrd="1" destOrd="0" presId="urn:microsoft.com/office/officeart/2005/8/layout/default"/>
    <dgm:cxn modelId="{21E4C395-6CD5-43E6-93D3-C39B03511C5B}" type="presParOf" srcId="{F3AB4A35-E2EB-4DBF-86FB-E54EE2B1FE62}" destId="{CB133F5D-DBBA-4B12-9FEC-4E54C8197093}" srcOrd="2" destOrd="0" presId="urn:microsoft.com/office/officeart/2005/8/layout/default"/>
    <dgm:cxn modelId="{F177090A-6214-491D-B42C-72ACE07186EF}" type="presParOf" srcId="{F3AB4A35-E2EB-4DBF-86FB-E54EE2B1FE62}" destId="{701E9B6D-506A-4B8B-B1E6-AB2D8DB9BB03}" srcOrd="3" destOrd="0" presId="urn:microsoft.com/office/officeart/2005/8/layout/default"/>
    <dgm:cxn modelId="{BFC4BA5E-0F31-488A-839C-07DC7FCA67F4}" type="presParOf" srcId="{F3AB4A35-E2EB-4DBF-86FB-E54EE2B1FE62}" destId="{C221B9C3-A015-449B-9E50-6721626A9470}" srcOrd="4" destOrd="0" presId="urn:microsoft.com/office/officeart/2005/8/layout/default"/>
    <dgm:cxn modelId="{6C5CD655-2801-46C9-85BD-70F8B0B7C7AC}" type="presParOf" srcId="{F3AB4A35-E2EB-4DBF-86FB-E54EE2B1FE62}" destId="{4A1C71E8-C584-4258-87C4-328020FE1131}" srcOrd="5" destOrd="0" presId="urn:microsoft.com/office/officeart/2005/8/layout/default"/>
    <dgm:cxn modelId="{B63F07CB-10F2-4D6A-8BA4-4E481B395E9B}" type="presParOf" srcId="{F3AB4A35-E2EB-4DBF-86FB-E54EE2B1FE62}" destId="{19166087-240F-4205-829D-E61CAF74B1F0}" srcOrd="6" destOrd="0" presId="urn:microsoft.com/office/officeart/2005/8/layout/default"/>
    <dgm:cxn modelId="{1DA30EA6-0F53-4519-AD77-C900E1B5BCF3}" type="presParOf" srcId="{F3AB4A35-E2EB-4DBF-86FB-E54EE2B1FE62}" destId="{C6553CB9-846E-4509-B6CB-620C145D0E09}" srcOrd="7" destOrd="0" presId="urn:microsoft.com/office/officeart/2005/8/layout/default"/>
    <dgm:cxn modelId="{1B61CB65-9F95-4C6E-BF96-F8EDEDABFB6E}" type="presParOf" srcId="{F3AB4A35-E2EB-4DBF-86FB-E54EE2B1FE62}" destId="{5800D369-D655-450A-A267-583A2F68A6F1}" srcOrd="8" destOrd="0" presId="urn:microsoft.com/office/officeart/2005/8/layout/default"/>
    <dgm:cxn modelId="{F7FF8395-BA9E-40BF-9574-58F8EC8C799E}" type="presParOf" srcId="{F3AB4A35-E2EB-4DBF-86FB-E54EE2B1FE62}" destId="{A3120A94-973F-4B44-8A46-565AD59DED29}" srcOrd="9" destOrd="0" presId="urn:microsoft.com/office/officeart/2005/8/layout/default"/>
    <dgm:cxn modelId="{D23EA233-006F-4221-ACD9-69C5C3F958DE}" type="presParOf" srcId="{F3AB4A35-E2EB-4DBF-86FB-E54EE2B1FE62}" destId="{D29654AC-8B1F-4715-B3EF-5B9D45DA3F9C}" srcOrd="10" destOrd="0" presId="urn:microsoft.com/office/officeart/2005/8/layout/default"/>
    <dgm:cxn modelId="{0B86A7CC-4186-4791-BD97-250EDFF58FAA}" type="presParOf" srcId="{F3AB4A35-E2EB-4DBF-86FB-E54EE2B1FE62}" destId="{4C58FA96-E7B3-4893-BCF3-456F445E7712}" srcOrd="11" destOrd="0" presId="urn:microsoft.com/office/officeart/2005/8/layout/default"/>
    <dgm:cxn modelId="{04BE3579-DD09-4548-8613-106695EEA27E}" type="presParOf" srcId="{F3AB4A35-E2EB-4DBF-86FB-E54EE2B1FE62}" destId="{2069F93F-EC36-45CA-81FA-E28CCFC4EDD2}" srcOrd="12" destOrd="0" presId="urn:microsoft.com/office/officeart/2005/8/layout/default"/>
    <dgm:cxn modelId="{B9BFB9C1-BF24-43F5-992A-D4D5DE426367}" type="presParOf" srcId="{F3AB4A35-E2EB-4DBF-86FB-E54EE2B1FE62}" destId="{04622D16-B8C1-47F2-8A8D-189F57CC602A}" srcOrd="13" destOrd="0" presId="urn:microsoft.com/office/officeart/2005/8/layout/default"/>
    <dgm:cxn modelId="{756C2618-16AD-4753-B71E-6B6D83F751CC}" type="presParOf" srcId="{F3AB4A35-E2EB-4DBF-86FB-E54EE2B1FE62}" destId="{1B25165C-4C00-4CD9-B7B8-A4C893AC4E13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16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15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</a:t>
          </a:r>
          <a:br>
            <a:rPr lang="pt-BR" sz="20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1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% de execução</a:t>
          </a:r>
          <a:br>
            <a:rPr lang="pt-BR" sz="1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BA9D2ED0-16C9-44FB-8D9E-22F9C339ED18}" type="pres">
      <dgm:prSet presAssocID="{F0D8276B-5F8E-47CD-83BA-660329F4549E}" presName="node" presStyleLbl="node1" presStyleIdx="0" presStyleCnt="6" custScaleX="115.133%" custScaleY="109.649%" custLinFactNeighborX="-0.447%" custLinFactNeighborY="0.998%">
        <dgm:presLayoutVars>
          <dgm:bulletEnabled val="1"/>
        </dgm:presLayoutVars>
      </dgm:prSet>
      <dgm:spPr/>
    </dgm:pt>
    <dgm:pt modelId="{8745EF1C-A4C9-4E6A-99FD-78BF7B12622C}" type="pres">
      <dgm:prSet presAssocID="{0D73E574-52F2-49BF-9E46-4279B23441E7}" presName="sibTrans" presStyleCnt="0"/>
      <dgm:spPr/>
    </dgm:pt>
    <dgm:pt modelId="{CB133F5D-DBBA-4B12-9FEC-4E54C8197093}" type="pres">
      <dgm:prSet presAssocID="{F28F4473-498E-415A-A16F-A60D42C55427}" presName="node" presStyleLbl="node1" presStyleIdx="1" presStyleCnt="6" custScaleX="123.666%" custScaleY="109.649%">
        <dgm:presLayoutVars>
          <dgm:bulletEnabled val="1"/>
        </dgm:presLayoutVars>
      </dgm:prSet>
      <dgm:spPr/>
    </dgm:pt>
    <dgm:pt modelId="{701E9B6D-506A-4B8B-B1E6-AB2D8DB9BB03}" type="pres">
      <dgm:prSet presAssocID="{1022C6E1-7F5E-4A04-9CD4-F8CDCBFA9BE3}" presName="sibTrans" presStyleCnt="0"/>
      <dgm:spPr/>
    </dgm:pt>
    <dgm:pt modelId="{C221B9C3-A015-449B-9E50-6721626A9470}" type="pres">
      <dgm:prSet presAssocID="{F6B446C0-6E43-4493-B573-1F94BA4F7210}" presName="node" presStyleLbl="node1" presStyleIdx="2" presStyleCnt="6" custScaleX="115.133%" custScaleY="109.649%">
        <dgm:presLayoutVars>
          <dgm:bulletEnabled val="1"/>
        </dgm:presLayoutVars>
      </dgm:prSet>
      <dgm:spPr/>
    </dgm:pt>
    <dgm:pt modelId="{4A1C71E8-C584-4258-87C4-328020FE1131}" type="pres">
      <dgm:prSet presAssocID="{7066175E-01F0-4FAF-BDE1-888990D25D74}" presName="sibTrans" presStyleCnt="0"/>
      <dgm:spPr/>
    </dgm:pt>
    <dgm:pt modelId="{19166087-240F-4205-829D-E61CAF74B1F0}" type="pres">
      <dgm:prSet presAssocID="{4DF42217-B85D-4249-A568-5B509C0F84B5}" presName="node" presStyleLbl="node1" presStyleIdx="3" presStyleCnt="6" custScaleX="123.666%" custScaleY="109.649%">
        <dgm:presLayoutVars>
          <dgm:bulletEnabled val="1"/>
        </dgm:presLayoutVars>
      </dgm:prSet>
      <dgm:spPr/>
    </dgm:pt>
    <dgm:pt modelId="{C6553CB9-846E-4509-B6CB-620C145D0E09}" type="pres">
      <dgm:prSet presAssocID="{8484CB90-3EDF-4254-AC0E-CDBC59EB95EF}" presName="sibTrans" presStyleCnt="0"/>
      <dgm:spPr/>
    </dgm:pt>
    <dgm:pt modelId="{5800D369-D655-450A-A267-583A2F68A6F1}" type="pres">
      <dgm:prSet presAssocID="{40E3A9A0-3796-4A48-B2F5-5C63BFC42AC1}" presName="node" presStyleLbl="node1" presStyleIdx="4" presStyleCnt="6" custScaleX="115.133%" custScaleY="109.649%">
        <dgm:presLayoutVars>
          <dgm:bulletEnabled val="1"/>
        </dgm:presLayoutVars>
      </dgm:prSet>
      <dgm:spPr/>
    </dgm:pt>
    <dgm:pt modelId="{A3120A94-973F-4B44-8A46-565AD59DED29}" type="pres">
      <dgm:prSet presAssocID="{DD04B6C1-B38B-4696-9D68-BC369D6BA502}" presName="sibTrans" presStyleCnt="0"/>
      <dgm:spPr/>
    </dgm:pt>
    <dgm:pt modelId="{2069F93F-EC36-45CA-81FA-E28CCFC4EDD2}" type="pres">
      <dgm:prSet presAssocID="{5F2F899A-5BAA-4B36-B786-C4FA5DB84DE2}" presName="node" presStyleLbl="node1" presStyleIdx="5" presStyleCnt="6" custScaleX="123.666%" custScaleY="109.649%">
        <dgm:presLayoutVars>
          <dgm:bulletEnabled val="1"/>
        </dgm:presLayoutVars>
      </dgm:prSet>
      <dgm:spPr/>
    </dgm:pt>
  </dgm:ptLst>
  <dgm:cxnLst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85E25C5F-9C25-4889-A84B-E67DF7C88186}" type="presOf" srcId="{5F2F899A-5BAA-4B36-B786-C4FA5DB84DE2}" destId="{2069F93F-EC36-45CA-81FA-E28CCFC4EDD2}" srcOrd="0" destOrd="0" presId="urn:microsoft.com/office/officeart/2005/8/layout/default"/>
    <dgm:cxn modelId="{48454860-1104-45F7-A993-6A982A476631}" type="presOf" srcId="{F0D8276B-5F8E-47CD-83BA-660329F4549E}" destId="{BA9D2ED0-16C9-44FB-8D9E-22F9C339ED18}" srcOrd="0" destOrd="0" presId="urn:microsoft.com/office/officeart/2005/8/layout/default"/>
    <dgm:cxn modelId="{A7A3F168-B8F6-41CE-94FE-6DA79D57D7E9}" type="presOf" srcId="{F28F4473-498E-415A-A16F-A60D42C55427}" destId="{CB133F5D-DBBA-4B12-9FEC-4E54C8197093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4964717B-1238-43F9-AD29-9DCA1BA12DA6}" type="presOf" srcId="{40E3A9A0-3796-4A48-B2F5-5C63BFC42AC1}" destId="{5800D369-D655-450A-A267-583A2F68A6F1}" srcOrd="0" destOrd="0" presId="urn:microsoft.com/office/officeart/2005/8/layout/default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7704F592-3202-4006-8CAB-5C864EBD3C3D}" srcId="{0C5AA470-A2FC-4675-BBC5-FC07F000DB8B}" destId="{5F2F899A-5BAA-4B36-B786-C4FA5DB84DE2}" srcOrd="5" destOrd="0" parTransId="{08AE95AC-558E-438C-A19E-A0A388B3DCB6}" sibTransId="{9C525CED-778E-45D1-BAA1-570F41FFF524}"/>
    <dgm:cxn modelId="{6BDB2FD3-604F-44E1-86F5-2B86CB4F3414}" type="presOf" srcId="{F6B446C0-6E43-4493-B573-1F94BA4F7210}" destId="{C221B9C3-A015-449B-9E50-6721626A9470}" srcOrd="0" destOrd="0" presId="urn:microsoft.com/office/officeart/2005/8/layout/default"/>
    <dgm:cxn modelId="{B9E699D6-D417-490D-AC7E-D1A636DA9CFD}" type="presOf" srcId="{0C5AA470-A2FC-4675-BBC5-FC07F000DB8B}" destId="{F3AB4A35-E2EB-4DBF-86FB-E54EE2B1FE62}" srcOrd="0" destOrd="0" presId="urn:microsoft.com/office/officeart/2005/8/layout/default"/>
    <dgm:cxn modelId="{602ABAE2-1F4C-49BE-AD98-4A2D3CCAEB02}" type="presOf" srcId="{4DF42217-B85D-4249-A568-5B509C0F84B5}" destId="{19166087-240F-4205-829D-E61CAF74B1F0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F3E27A4A-62E6-4AAE-84BA-77A8E6DC55CC}" type="presParOf" srcId="{F3AB4A35-E2EB-4DBF-86FB-E54EE2B1FE62}" destId="{BA9D2ED0-16C9-44FB-8D9E-22F9C339ED18}" srcOrd="0" destOrd="0" presId="urn:microsoft.com/office/officeart/2005/8/layout/default"/>
    <dgm:cxn modelId="{018ED3A3-0E63-453F-A7DB-78AFE777F51A}" type="presParOf" srcId="{F3AB4A35-E2EB-4DBF-86FB-E54EE2B1FE62}" destId="{8745EF1C-A4C9-4E6A-99FD-78BF7B12622C}" srcOrd="1" destOrd="0" presId="urn:microsoft.com/office/officeart/2005/8/layout/default"/>
    <dgm:cxn modelId="{87792929-AE6C-45B3-A0EF-1014B1F5B5C1}" type="presParOf" srcId="{F3AB4A35-E2EB-4DBF-86FB-E54EE2B1FE62}" destId="{CB133F5D-DBBA-4B12-9FEC-4E54C8197093}" srcOrd="2" destOrd="0" presId="urn:microsoft.com/office/officeart/2005/8/layout/default"/>
    <dgm:cxn modelId="{40D730BD-84EC-4CD8-8235-59C440E3026E}" type="presParOf" srcId="{F3AB4A35-E2EB-4DBF-86FB-E54EE2B1FE62}" destId="{701E9B6D-506A-4B8B-B1E6-AB2D8DB9BB03}" srcOrd="3" destOrd="0" presId="urn:microsoft.com/office/officeart/2005/8/layout/default"/>
    <dgm:cxn modelId="{43C56B69-9FFE-49CF-B198-2A875A44EB64}" type="presParOf" srcId="{F3AB4A35-E2EB-4DBF-86FB-E54EE2B1FE62}" destId="{C221B9C3-A015-449B-9E50-6721626A9470}" srcOrd="4" destOrd="0" presId="urn:microsoft.com/office/officeart/2005/8/layout/default"/>
    <dgm:cxn modelId="{0F02B227-391D-4FB7-8C74-3DEE7BE42ACB}" type="presParOf" srcId="{F3AB4A35-E2EB-4DBF-86FB-E54EE2B1FE62}" destId="{4A1C71E8-C584-4258-87C4-328020FE1131}" srcOrd="5" destOrd="0" presId="urn:microsoft.com/office/officeart/2005/8/layout/default"/>
    <dgm:cxn modelId="{DDB29A52-28E5-4A2F-9DD2-A57E27755A0E}" type="presParOf" srcId="{F3AB4A35-E2EB-4DBF-86FB-E54EE2B1FE62}" destId="{19166087-240F-4205-829D-E61CAF74B1F0}" srcOrd="6" destOrd="0" presId="urn:microsoft.com/office/officeart/2005/8/layout/default"/>
    <dgm:cxn modelId="{8C5C1AB9-1843-4785-B64C-6DA6FAA775BE}" type="presParOf" srcId="{F3AB4A35-E2EB-4DBF-86FB-E54EE2B1FE62}" destId="{C6553CB9-846E-4509-B6CB-620C145D0E09}" srcOrd="7" destOrd="0" presId="urn:microsoft.com/office/officeart/2005/8/layout/default"/>
    <dgm:cxn modelId="{6705ABBE-1DC9-4A85-A775-1FB6D809BF06}" type="presParOf" srcId="{F3AB4A35-E2EB-4DBF-86FB-E54EE2B1FE62}" destId="{5800D369-D655-450A-A267-583A2F68A6F1}" srcOrd="8" destOrd="0" presId="urn:microsoft.com/office/officeart/2005/8/layout/default"/>
    <dgm:cxn modelId="{9063ADF3-2EE3-4F21-9F7A-4E67FBF70260}" type="presParOf" srcId="{F3AB4A35-E2EB-4DBF-86FB-E54EE2B1FE62}" destId="{A3120A94-973F-4B44-8A46-565AD59DED29}" srcOrd="9" destOrd="0" presId="urn:microsoft.com/office/officeart/2005/8/layout/default"/>
    <dgm:cxn modelId="{EA715C16-57D2-47ED-B9B8-23A95D8E9FD8}" type="presParOf" srcId="{F3AB4A35-E2EB-4DBF-86FB-E54EE2B1FE62}" destId="{2069F93F-EC36-45CA-81FA-E28CCFC4EDD2}" srcOrd="10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21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16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6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</a:t>
          </a:r>
          <a:br>
            <a:rPr lang="pt-BR" sz="36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6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% de execução</a:t>
          </a:r>
          <a:b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6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Comparativo</a:t>
          </a:r>
          <a:b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YoY</a:t>
          </a:r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6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3E55D787-E1C1-4C6C-B682-2F823A606E13}">
      <dgm:prSet/>
      <dgm:spPr/>
      <dgm:t>
        <a:bodyPr/>
        <a:lstStyle/>
        <a:p>
          <a:endParaRPr lang="pt-BR"/>
        </a:p>
      </dgm:t>
    </dgm:pt>
    <dgm:pt modelId="{5ED97904-22DF-4E36-A28B-F687A4D3A61E}" type="parTrans" cxnId="{34267945-0F78-4333-98AE-60DB24C40794}">
      <dgm:prSet/>
      <dgm:spPr/>
      <dgm:t>
        <a:bodyPr/>
        <a:lstStyle/>
        <a:p>
          <a:endParaRPr lang="pt-BR"/>
        </a:p>
      </dgm:t>
    </dgm:pt>
    <dgm:pt modelId="{6EF4A891-3DAD-4342-843F-55EE09B3921F}" type="sibTrans" cxnId="{34267945-0F78-4333-98AE-60DB24C40794}">
      <dgm:prSet/>
      <dgm:spPr/>
      <dgm:t>
        <a:bodyPr/>
        <a:lstStyle/>
        <a:p>
          <a:endParaRPr lang="pt-BR"/>
        </a:p>
      </dgm:t>
    </dgm:pt>
    <dgm:pt modelId="{0010CF23-9DED-47EC-8758-73066583FA44}">
      <dgm:prSet/>
      <dgm:spPr/>
      <dgm:t>
        <a:bodyPr/>
        <a:lstStyle/>
        <a:p>
          <a:endParaRPr lang="pt-BR"/>
        </a:p>
      </dgm:t>
    </dgm:pt>
    <dgm:pt modelId="{D82E22A4-5CEB-4667-AEC2-F3C85942AEAD}" type="parTrans" cxnId="{EDCA57AC-8806-44AA-B074-C25819EF868A}">
      <dgm:prSet/>
      <dgm:spPr/>
      <dgm:t>
        <a:bodyPr/>
        <a:lstStyle/>
        <a:p>
          <a:endParaRPr lang="pt-BR"/>
        </a:p>
      </dgm:t>
    </dgm:pt>
    <dgm:pt modelId="{64477A07-5F83-429E-AA8B-488C68653312}" type="sibTrans" cxnId="{EDCA57AC-8806-44AA-B074-C25819EF868A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BA9D2ED0-16C9-44FB-8D9E-22F9C339ED18}" type="pres">
      <dgm:prSet presAssocID="{F0D8276B-5F8E-47CD-83BA-660329F4549E}" presName="node" presStyleLbl="node1" presStyleIdx="0" presStyleCnt="8" custScaleX="127.493%" custScaleY="100.994%">
        <dgm:presLayoutVars>
          <dgm:bulletEnabled val="1"/>
        </dgm:presLayoutVars>
      </dgm:prSet>
      <dgm:spPr/>
    </dgm:pt>
    <dgm:pt modelId="{8745EF1C-A4C9-4E6A-99FD-78BF7B12622C}" type="pres">
      <dgm:prSet presAssocID="{0D73E574-52F2-49BF-9E46-4279B23441E7}" presName="sibTrans" presStyleCnt="0"/>
      <dgm:spPr/>
    </dgm:pt>
    <dgm:pt modelId="{CB133F5D-DBBA-4B12-9FEC-4E54C8197093}" type="pres">
      <dgm:prSet presAssocID="{F28F4473-498E-415A-A16F-A60D42C55427}" presName="node" presStyleLbl="node1" presStyleIdx="1" presStyleCnt="8" custScaleX="127.493%">
        <dgm:presLayoutVars>
          <dgm:bulletEnabled val="1"/>
        </dgm:presLayoutVars>
      </dgm:prSet>
      <dgm:spPr/>
    </dgm:pt>
    <dgm:pt modelId="{701E9B6D-506A-4B8B-B1E6-AB2D8DB9BB03}" type="pres">
      <dgm:prSet presAssocID="{1022C6E1-7F5E-4A04-9CD4-F8CDCBFA9BE3}" presName="sibTrans" presStyleCnt="0"/>
      <dgm:spPr/>
    </dgm:pt>
    <dgm:pt modelId="{C221B9C3-A015-449B-9E50-6721626A9470}" type="pres">
      <dgm:prSet presAssocID="{F6B446C0-6E43-4493-B573-1F94BA4F7210}" presName="node" presStyleLbl="node1" presStyleIdx="2" presStyleCnt="8" custScaleX="127.493%">
        <dgm:presLayoutVars>
          <dgm:bulletEnabled val="1"/>
        </dgm:presLayoutVars>
      </dgm:prSet>
      <dgm:spPr/>
    </dgm:pt>
    <dgm:pt modelId="{4A1C71E8-C584-4258-87C4-328020FE1131}" type="pres">
      <dgm:prSet presAssocID="{7066175E-01F0-4FAF-BDE1-888990D25D74}" presName="sibTrans" presStyleCnt="0"/>
      <dgm:spPr/>
    </dgm:pt>
    <dgm:pt modelId="{19166087-240F-4205-829D-E61CAF74B1F0}" type="pres">
      <dgm:prSet presAssocID="{4DF42217-B85D-4249-A568-5B509C0F84B5}" presName="node" presStyleLbl="node1" presStyleIdx="3" presStyleCnt="8" custScaleX="127.493%">
        <dgm:presLayoutVars>
          <dgm:bulletEnabled val="1"/>
        </dgm:presLayoutVars>
      </dgm:prSet>
      <dgm:spPr/>
    </dgm:pt>
    <dgm:pt modelId="{C6553CB9-846E-4509-B6CB-620C145D0E09}" type="pres">
      <dgm:prSet presAssocID="{8484CB90-3EDF-4254-AC0E-CDBC59EB95EF}" presName="sibTrans" presStyleCnt="0"/>
      <dgm:spPr/>
    </dgm:pt>
    <dgm:pt modelId="{5800D369-D655-450A-A267-583A2F68A6F1}" type="pres">
      <dgm:prSet presAssocID="{40E3A9A0-3796-4A48-B2F5-5C63BFC42AC1}" presName="node" presStyleLbl="node1" presStyleIdx="4" presStyleCnt="8" custScaleX="127.493%">
        <dgm:presLayoutVars>
          <dgm:bulletEnabled val="1"/>
        </dgm:presLayoutVars>
      </dgm:prSet>
      <dgm:spPr/>
    </dgm:pt>
    <dgm:pt modelId="{A3120A94-973F-4B44-8A46-565AD59DED29}" type="pres">
      <dgm:prSet presAssocID="{DD04B6C1-B38B-4696-9D68-BC369D6BA502}" presName="sibTrans" presStyleCnt="0"/>
      <dgm:spPr/>
    </dgm:pt>
    <dgm:pt modelId="{D29654AC-8B1F-4715-B3EF-5B9D45DA3F9C}" type="pres">
      <dgm:prSet presAssocID="{3E55D787-E1C1-4C6C-B682-2F823A606E13}" presName="node" presStyleLbl="node1" presStyleIdx="5" presStyleCnt="8" custScaleX="127.493%">
        <dgm:presLayoutVars>
          <dgm:bulletEnabled val="1"/>
        </dgm:presLayoutVars>
      </dgm:prSet>
      <dgm:spPr/>
    </dgm:pt>
    <dgm:pt modelId="{4C58FA96-E7B3-4893-BCF3-456F445E7712}" type="pres">
      <dgm:prSet presAssocID="{6EF4A891-3DAD-4342-843F-55EE09B3921F}" presName="sibTrans" presStyleCnt="0"/>
      <dgm:spPr/>
    </dgm:pt>
    <dgm:pt modelId="{2069F93F-EC36-45CA-81FA-E28CCFC4EDD2}" type="pres">
      <dgm:prSet presAssocID="{5F2F899A-5BAA-4B36-B786-C4FA5DB84DE2}" presName="node" presStyleLbl="node1" presStyleIdx="6" presStyleCnt="8" custScaleX="127.493%">
        <dgm:presLayoutVars>
          <dgm:bulletEnabled val="1"/>
        </dgm:presLayoutVars>
      </dgm:prSet>
      <dgm:spPr/>
    </dgm:pt>
    <dgm:pt modelId="{04622D16-B8C1-47F2-8A8D-189F57CC602A}" type="pres">
      <dgm:prSet presAssocID="{9C525CED-778E-45D1-BAA1-570F41FFF524}" presName="sibTrans" presStyleCnt="0"/>
      <dgm:spPr/>
    </dgm:pt>
    <dgm:pt modelId="{1B25165C-4C00-4CD9-B7B8-A4C893AC4E13}" type="pres">
      <dgm:prSet presAssocID="{0010CF23-9DED-47EC-8758-73066583FA44}" presName="node" presStyleLbl="node1" presStyleIdx="7" presStyleCnt="8" custScaleX="127.493%">
        <dgm:presLayoutVars>
          <dgm:bulletEnabled val="1"/>
        </dgm:presLayoutVars>
      </dgm:prSet>
      <dgm:spPr/>
    </dgm:pt>
  </dgm:ptLst>
  <dgm:cxnLst>
    <dgm:cxn modelId="{8625360C-0543-4E1D-86EB-7D6038753269}" type="presOf" srcId="{F0D8276B-5F8E-47CD-83BA-660329F4549E}" destId="{BA9D2ED0-16C9-44FB-8D9E-22F9C339ED18}" srcOrd="0" destOrd="0" presId="urn:microsoft.com/office/officeart/2005/8/layout/default"/>
    <dgm:cxn modelId="{5BC1D00F-F600-4FC5-BFD5-67493B960C73}" type="presOf" srcId="{3E55D787-E1C1-4C6C-B682-2F823A606E13}" destId="{D29654AC-8B1F-4715-B3EF-5B9D45DA3F9C}" srcOrd="0" destOrd="0" presId="urn:microsoft.com/office/officeart/2005/8/layout/default"/>
    <dgm:cxn modelId="{84EA351D-8284-43DA-9AD8-443EEE76276B}" type="presOf" srcId="{F6B446C0-6E43-4493-B573-1F94BA4F7210}" destId="{C221B9C3-A015-449B-9E50-6721626A9470}" srcOrd="0" destOrd="0" presId="urn:microsoft.com/office/officeart/2005/8/layout/default"/>
    <dgm:cxn modelId="{F712862C-18C4-453C-83BE-641207708B5F}" type="presOf" srcId="{0C5AA470-A2FC-4675-BBC5-FC07F000DB8B}" destId="{F3AB4A35-E2EB-4DBF-86FB-E54EE2B1FE62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B377983D-FA6C-461D-8EA4-A01DB7FC2596}" type="presOf" srcId="{4DF42217-B85D-4249-A568-5B509C0F84B5}" destId="{19166087-240F-4205-829D-E61CAF74B1F0}" srcOrd="0" destOrd="0" presId="urn:microsoft.com/office/officeart/2005/8/layout/default"/>
    <dgm:cxn modelId="{34267945-0F78-4333-98AE-60DB24C40794}" srcId="{0C5AA470-A2FC-4675-BBC5-FC07F000DB8B}" destId="{3E55D787-E1C1-4C6C-B682-2F823A606E13}" srcOrd="5" destOrd="0" parTransId="{5ED97904-22DF-4E36-A28B-F687A4D3A61E}" sibTransId="{6EF4A891-3DAD-4342-843F-55EE09B3921F}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7704F592-3202-4006-8CAB-5C864EBD3C3D}" srcId="{0C5AA470-A2FC-4675-BBC5-FC07F000DB8B}" destId="{5F2F899A-5BAA-4B36-B786-C4FA5DB84DE2}" srcOrd="6" destOrd="0" parTransId="{08AE95AC-558E-438C-A19E-A0A388B3DCB6}" sibTransId="{9C525CED-778E-45D1-BAA1-570F41FFF524}"/>
    <dgm:cxn modelId="{108070A0-B749-4EAD-A74B-1FF7911548E6}" type="presOf" srcId="{5F2F899A-5BAA-4B36-B786-C4FA5DB84DE2}" destId="{2069F93F-EC36-45CA-81FA-E28CCFC4EDD2}" srcOrd="0" destOrd="0" presId="urn:microsoft.com/office/officeart/2005/8/layout/default"/>
    <dgm:cxn modelId="{EDCA57AC-8806-44AA-B074-C25819EF868A}" srcId="{0C5AA470-A2FC-4675-BBC5-FC07F000DB8B}" destId="{0010CF23-9DED-47EC-8758-73066583FA44}" srcOrd="7" destOrd="0" parTransId="{D82E22A4-5CEB-4667-AEC2-F3C85942AEAD}" sibTransId="{64477A07-5F83-429E-AA8B-488C68653312}"/>
    <dgm:cxn modelId="{8F5351C9-3C9C-460A-BE4B-C0107FAF2BB1}" type="presOf" srcId="{F28F4473-498E-415A-A16F-A60D42C55427}" destId="{CB133F5D-DBBA-4B12-9FEC-4E54C8197093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8487ABF3-A7FB-49B4-84D5-1FE04CD4383E}" type="presOf" srcId="{40E3A9A0-3796-4A48-B2F5-5C63BFC42AC1}" destId="{5800D369-D655-450A-A267-583A2F68A6F1}" srcOrd="0" destOrd="0" presId="urn:microsoft.com/office/officeart/2005/8/layout/default"/>
    <dgm:cxn modelId="{906734FC-ADF5-4790-A663-AF0924144225}" type="presOf" srcId="{0010CF23-9DED-47EC-8758-73066583FA44}" destId="{1B25165C-4C00-4CD9-B7B8-A4C893AC4E13}" srcOrd="0" destOrd="0" presId="urn:microsoft.com/office/officeart/2005/8/layout/default"/>
    <dgm:cxn modelId="{4118BC1B-ED98-48CE-92F6-2AA0DBF3481B}" type="presParOf" srcId="{F3AB4A35-E2EB-4DBF-86FB-E54EE2B1FE62}" destId="{BA9D2ED0-16C9-44FB-8D9E-22F9C339ED18}" srcOrd="0" destOrd="0" presId="urn:microsoft.com/office/officeart/2005/8/layout/default"/>
    <dgm:cxn modelId="{CC2F6213-38DE-4DDC-B55C-4E013E0AA094}" type="presParOf" srcId="{F3AB4A35-E2EB-4DBF-86FB-E54EE2B1FE62}" destId="{8745EF1C-A4C9-4E6A-99FD-78BF7B12622C}" srcOrd="1" destOrd="0" presId="urn:microsoft.com/office/officeart/2005/8/layout/default"/>
    <dgm:cxn modelId="{D5931CEF-07A3-4EA0-97EF-4A44BD0E21CF}" type="presParOf" srcId="{F3AB4A35-E2EB-4DBF-86FB-E54EE2B1FE62}" destId="{CB133F5D-DBBA-4B12-9FEC-4E54C8197093}" srcOrd="2" destOrd="0" presId="urn:microsoft.com/office/officeart/2005/8/layout/default"/>
    <dgm:cxn modelId="{A064A051-8272-4858-936E-00B3DC1034DC}" type="presParOf" srcId="{F3AB4A35-E2EB-4DBF-86FB-E54EE2B1FE62}" destId="{701E9B6D-506A-4B8B-B1E6-AB2D8DB9BB03}" srcOrd="3" destOrd="0" presId="urn:microsoft.com/office/officeart/2005/8/layout/default"/>
    <dgm:cxn modelId="{CC0DDAD4-686B-46B6-B531-70AF4B2B2E5B}" type="presParOf" srcId="{F3AB4A35-E2EB-4DBF-86FB-E54EE2B1FE62}" destId="{C221B9C3-A015-449B-9E50-6721626A9470}" srcOrd="4" destOrd="0" presId="urn:microsoft.com/office/officeart/2005/8/layout/default"/>
    <dgm:cxn modelId="{E70DD8D7-715A-4BE9-9E27-50EC68093CB1}" type="presParOf" srcId="{F3AB4A35-E2EB-4DBF-86FB-E54EE2B1FE62}" destId="{4A1C71E8-C584-4258-87C4-328020FE1131}" srcOrd="5" destOrd="0" presId="urn:microsoft.com/office/officeart/2005/8/layout/default"/>
    <dgm:cxn modelId="{39FD1F9B-D24E-47EF-86C6-E1260BCB921B}" type="presParOf" srcId="{F3AB4A35-E2EB-4DBF-86FB-E54EE2B1FE62}" destId="{19166087-240F-4205-829D-E61CAF74B1F0}" srcOrd="6" destOrd="0" presId="urn:microsoft.com/office/officeart/2005/8/layout/default"/>
    <dgm:cxn modelId="{D6E932DC-22BE-46A8-88B8-26155F87491E}" type="presParOf" srcId="{F3AB4A35-E2EB-4DBF-86FB-E54EE2B1FE62}" destId="{C6553CB9-846E-4509-B6CB-620C145D0E09}" srcOrd="7" destOrd="0" presId="urn:microsoft.com/office/officeart/2005/8/layout/default"/>
    <dgm:cxn modelId="{33B37167-9514-41A6-9686-D3A3AAC22894}" type="presParOf" srcId="{F3AB4A35-E2EB-4DBF-86FB-E54EE2B1FE62}" destId="{5800D369-D655-450A-A267-583A2F68A6F1}" srcOrd="8" destOrd="0" presId="urn:microsoft.com/office/officeart/2005/8/layout/default"/>
    <dgm:cxn modelId="{4584C609-988A-46E9-BF98-9A225B03E709}" type="presParOf" srcId="{F3AB4A35-E2EB-4DBF-86FB-E54EE2B1FE62}" destId="{A3120A94-973F-4B44-8A46-565AD59DED29}" srcOrd="9" destOrd="0" presId="urn:microsoft.com/office/officeart/2005/8/layout/default"/>
    <dgm:cxn modelId="{10F1D85E-4202-4591-A4E1-C689B9CB9FD4}" type="presParOf" srcId="{F3AB4A35-E2EB-4DBF-86FB-E54EE2B1FE62}" destId="{D29654AC-8B1F-4715-B3EF-5B9D45DA3F9C}" srcOrd="10" destOrd="0" presId="urn:microsoft.com/office/officeart/2005/8/layout/default"/>
    <dgm:cxn modelId="{19091682-9A23-4C21-AD50-ECCD9DAAA452}" type="presParOf" srcId="{F3AB4A35-E2EB-4DBF-86FB-E54EE2B1FE62}" destId="{4C58FA96-E7B3-4893-BCF3-456F445E7712}" srcOrd="11" destOrd="0" presId="urn:microsoft.com/office/officeart/2005/8/layout/default"/>
    <dgm:cxn modelId="{3103D22D-448B-4B19-89EF-25A21BEAD960}" type="presParOf" srcId="{F3AB4A35-E2EB-4DBF-86FB-E54EE2B1FE62}" destId="{2069F93F-EC36-45CA-81FA-E28CCFC4EDD2}" srcOrd="12" destOrd="0" presId="urn:microsoft.com/office/officeart/2005/8/layout/default"/>
    <dgm:cxn modelId="{F95EF2DF-ECA8-4940-96E2-9ED1AFF2F5D3}" type="presParOf" srcId="{F3AB4A35-E2EB-4DBF-86FB-E54EE2B1FE62}" destId="{04622D16-B8C1-47F2-8A8D-189F57CC602A}" srcOrd="13" destOrd="0" presId="urn:microsoft.com/office/officeart/2005/8/layout/default"/>
    <dgm:cxn modelId="{BFAA2C2A-DA12-4F23-9095-157257EA6097}" type="presParOf" srcId="{F3AB4A35-E2EB-4DBF-86FB-E54EE2B1FE62}" destId="{1B25165C-4C00-4CD9-B7B8-A4C893AC4E13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17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6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</a:t>
          </a:r>
          <a:br>
            <a:rPr lang="pt-BR" sz="36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6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% de execução</a:t>
          </a:r>
          <a:b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6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Comparativo</a:t>
          </a:r>
          <a:b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YoY</a:t>
          </a:r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6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3E55D787-E1C1-4C6C-B682-2F823A606E13}">
      <dgm:prSet/>
      <dgm:spPr/>
      <dgm:t>
        <a:bodyPr/>
        <a:lstStyle/>
        <a:p>
          <a:endParaRPr lang="pt-BR"/>
        </a:p>
      </dgm:t>
    </dgm:pt>
    <dgm:pt modelId="{5ED97904-22DF-4E36-A28B-F687A4D3A61E}" type="parTrans" cxnId="{34267945-0F78-4333-98AE-60DB24C40794}">
      <dgm:prSet/>
      <dgm:spPr/>
      <dgm:t>
        <a:bodyPr/>
        <a:lstStyle/>
        <a:p>
          <a:endParaRPr lang="pt-BR"/>
        </a:p>
      </dgm:t>
    </dgm:pt>
    <dgm:pt modelId="{6EF4A891-3DAD-4342-843F-55EE09B3921F}" type="sibTrans" cxnId="{34267945-0F78-4333-98AE-60DB24C40794}">
      <dgm:prSet/>
      <dgm:spPr/>
      <dgm:t>
        <a:bodyPr/>
        <a:lstStyle/>
        <a:p>
          <a:endParaRPr lang="pt-BR"/>
        </a:p>
      </dgm:t>
    </dgm:pt>
    <dgm:pt modelId="{0010CF23-9DED-47EC-8758-73066583FA44}">
      <dgm:prSet/>
      <dgm:spPr/>
      <dgm:t>
        <a:bodyPr/>
        <a:lstStyle/>
        <a:p>
          <a:endParaRPr lang="pt-BR"/>
        </a:p>
      </dgm:t>
    </dgm:pt>
    <dgm:pt modelId="{D82E22A4-5CEB-4667-AEC2-F3C85942AEAD}" type="parTrans" cxnId="{EDCA57AC-8806-44AA-B074-C25819EF868A}">
      <dgm:prSet/>
      <dgm:spPr/>
      <dgm:t>
        <a:bodyPr/>
        <a:lstStyle/>
        <a:p>
          <a:endParaRPr lang="pt-BR"/>
        </a:p>
      </dgm:t>
    </dgm:pt>
    <dgm:pt modelId="{64477A07-5F83-429E-AA8B-488C68653312}" type="sibTrans" cxnId="{EDCA57AC-8806-44AA-B074-C25819EF868A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BA9D2ED0-16C9-44FB-8D9E-22F9C339ED18}" type="pres">
      <dgm:prSet presAssocID="{F0D8276B-5F8E-47CD-83BA-660329F4549E}" presName="node" presStyleLbl="node1" presStyleIdx="0" presStyleCnt="8" custScaleX="127.493%" custScaleY="100.994%">
        <dgm:presLayoutVars>
          <dgm:bulletEnabled val="1"/>
        </dgm:presLayoutVars>
      </dgm:prSet>
      <dgm:spPr/>
    </dgm:pt>
    <dgm:pt modelId="{8745EF1C-A4C9-4E6A-99FD-78BF7B12622C}" type="pres">
      <dgm:prSet presAssocID="{0D73E574-52F2-49BF-9E46-4279B23441E7}" presName="sibTrans" presStyleCnt="0"/>
      <dgm:spPr/>
    </dgm:pt>
    <dgm:pt modelId="{CB133F5D-DBBA-4B12-9FEC-4E54C8197093}" type="pres">
      <dgm:prSet presAssocID="{F28F4473-498E-415A-A16F-A60D42C55427}" presName="node" presStyleLbl="node1" presStyleIdx="1" presStyleCnt="8" custScaleX="127.493%">
        <dgm:presLayoutVars>
          <dgm:bulletEnabled val="1"/>
        </dgm:presLayoutVars>
      </dgm:prSet>
      <dgm:spPr/>
    </dgm:pt>
    <dgm:pt modelId="{701E9B6D-506A-4B8B-B1E6-AB2D8DB9BB03}" type="pres">
      <dgm:prSet presAssocID="{1022C6E1-7F5E-4A04-9CD4-F8CDCBFA9BE3}" presName="sibTrans" presStyleCnt="0"/>
      <dgm:spPr/>
    </dgm:pt>
    <dgm:pt modelId="{C221B9C3-A015-449B-9E50-6721626A9470}" type="pres">
      <dgm:prSet presAssocID="{F6B446C0-6E43-4493-B573-1F94BA4F7210}" presName="node" presStyleLbl="node1" presStyleIdx="2" presStyleCnt="8" custScaleX="127.493%">
        <dgm:presLayoutVars>
          <dgm:bulletEnabled val="1"/>
        </dgm:presLayoutVars>
      </dgm:prSet>
      <dgm:spPr/>
    </dgm:pt>
    <dgm:pt modelId="{4A1C71E8-C584-4258-87C4-328020FE1131}" type="pres">
      <dgm:prSet presAssocID="{7066175E-01F0-4FAF-BDE1-888990D25D74}" presName="sibTrans" presStyleCnt="0"/>
      <dgm:spPr/>
    </dgm:pt>
    <dgm:pt modelId="{19166087-240F-4205-829D-E61CAF74B1F0}" type="pres">
      <dgm:prSet presAssocID="{4DF42217-B85D-4249-A568-5B509C0F84B5}" presName="node" presStyleLbl="node1" presStyleIdx="3" presStyleCnt="8" custScaleX="127.493%">
        <dgm:presLayoutVars>
          <dgm:bulletEnabled val="1"/>
        </dgm:presLayoutVars>
      </dgm:prSet>
      <dgm:spPr/>
    </dgm:pt>
    <dgm:pt modelId="{C6553CB9-846E-4509-B6CB-620C145D0E09}" type="pres">
      <dgm:prSet presAssocID="{8484CB90-3EDF-4254-AC0E-CDBC59EB95EF}" presName="sibTrans" presStyleCnt="0"/>
      <dgm:spPr/>
    </dgm:pt>
    <dgm:pt modelId="{5800D369-D655-450A-A267-583A2F68A6F1}" type="pres">
      <dgm:prSet presAssocID="{40E3A9A0-3796-4A48-B2F5-5C63BFC42AC1}" presName="node" presStyleLbl="node1" presStyleIdx="4" presStyleCnt="8" custScaleX="127.493%">
        <dgm:presLayoutVars>
          <dgm:bulletEnabled val="1"/>
        </dgm:presLayoutVars>
      </dgm:prSet>
      <dgm:spPr/>
    </dgm:pt>
    <dgm:pt modelId="{A3120A94-973F-4B44-8A46-565AD59DED29}" type="pres">
      <dgm:prSet presAssocID="{DD04B6C1-B38B-4696-9D68-BC369D6BA502}" presName="sibTrans" presStyleCnt="0"/>
      <dgm:spPr/>
    </dgm:pt>
    <dgm:pt modelId="{D29654AC-8B1F-4715-B3EF-5B9D45DA3F9C}" type="pres">
      <dgm:prSet presAssocID="{3E55D787-E1C1-4C6C-B682-2F823A606E13}" presName="node" presStyleLbl="node1" presStyleIdx="5" presStyleCnt="8" custScaleX="127.493%">
        <dgm:presLayoutVars>
          <dgm:bulletEnabled val="1"/>
        </dgm:presLayoutVars>
      </dgm:prSet>
      <dgm:spPr/>
    </dgm:pt>
    <dgm:pt modelId="{4C58FA96-E7B3-4893-BCF3-456F445E7712}" type="pres">
      <dgm:prSet presAssocID="{6EF4A891-3DAD-4342-843F-55EE09B3921F}" presName="sibTrans" presStyleCnt="0"/>
      <dgm:spPr/>
    </dgm:pt>
    <dgm:pt modelId="{2069F93F-EC36-45CA-81FA-E28CCFC4EDD2}" type="pres">
      <dgm:prSet presAssocID="{5F2F899A-5BAA-4B36-B786-C4FA5DB84DE2}" presName="node" presStyleLbl="node1" presStyleIdx="6" presStyleCnt="8" custScaleX="127.493%">
        <dgm:presLayoutVars>
          <dgm:bulletEnabled val="1"/>
        </dgm:presLayoutVars>
      </dgm:prSet>
      <dgm:spPr/>
    </dgm:pt>
    <dgm:pt modelId="{04622D16-B8C1-47F2-8A8D-189F57CC602A}" type="pres">
      <dgm:prSet presAssocID="{9C525CED-778E-45D1-BAA1-570F41FFF524}" presName="sibTrans" presStyleCnt="0"/>
      <dgm:spPr/>
    </dgm:pt>
    <dgm:pt modelId="{1B25165C-4C00-4CD9-B7B8-A4C893AC4E13}" type="pres">
      <dgm:prSet presAssocID="{0010CF23-9DED-47EC-8758-73066583FA44}" presName="node" presStyleLbl="node1" presStyleIdx="7" presStyleCnt="8" custScaleX="127.493%">
        <dgm:presLayoutVars>
          <dgm:bulletEnabled val="1"/>
        </dgm:presLayoutVars>
      </dgm:prSet>
      <dgm:spPr/>
    </dgm:pt>
  </dgm:ptLst>
  <dgm:cxnLst>
    <dgm:cxn modelId="{A57B090C-D4C5-4AAE-AD94-EA4EEAAD6982}" type="presOf" srcId="{0010CF23-9DED-47EC-8758-73066583FA44}" destId="{1B25165C-4C00-4CD9-B7B8-A4C893AC4E13}" srcOrd="0" destOrd="0" presId="urn:microsoft.com/office/officeart/2005/8/layout/default"/>
    <dgm:cxn modelId="{D9E5D51E-56E6-4889-B57A-CC6DEE11D9DB}" type="presOf" srcId="{3E55D787-E1C1-4C6C-B682-2F823A606E13}" destId="{D29654AC-8B1F-4715-B3EF-5B9D45DA3F9C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34267945-0F78-4333-98AE-60DB24C40794}" srcId="{0C5AA470-A2FC-4675-BBC5-FC07F000DB8B}" destId="{3E55D787-E1C1-4C6C-B682-2F823A606E13}" srcOrd="5" destOrd="0" parTransId="{5ED97904-22DF-4E36-A28B-F687A4D3A61E}" sibTransId="{6EF4A891-3DAD-4342-843F-55EE09B3921F}"/>
    <dgm:cxn modelId="{18E0336D-A7C4-44FB-99C7-4907DE38AAC9}" type="presOf" srcId="{5F2F899A-5BAA-4B36-B786-C4FA5DB84DE2}" destId="{2069F93F-EC36-45CA-81FA-E28CCFC4EDD2}" srcOrd="0" destOrd="0" presId="urn:microsoft.com/office/officeart/2005/8/layout/default"/>
    <dgm:cxn modelId="{0985FC56-E195-4F98-BF8A-A3333FA44498}" type="presOf" srcId="{F0D8276B-5F8E-47CD-83BA-660329F4549E}" destId="{BA9D2ED0-16C9-44FB-8D9E-22F9C339ED18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1C5F5A85-A04B-4C77-87CD-2F342CFF985E}" type="presOf" srcId="{0C5AA470-A2FC-4675-BBC5-FC07F000DB8B}" destId="{F3AB4A35-E2EB-4DBF-86FB-E54EE2B1FE62}" srcOrd="0" destOrd="0" presId="urn:microsoft.com/office/officeart/2005/8/layout/default"/>
    <dgm:cxn modelId="{E78C438F-F233-43E8-8D47-0F361EAE9B53}" type="presOf" srcId="{F28F4473-498E-415A-A16F-A60D42C55427}" destId="{CB133F5D-DBBA-4B12-9FEC-4E54C8197093}" srcOrd="0" destOrd="0" presId="urn:microsoft.com/office/officeart/2005/8/layout/default"/>
    <dgm:cxn modelId="{7704F592-3202-4006-8CAB-5C864EBD3C3D}" srcId="{0C5AA470-A2FC-4675-BBC5-FC07F000DB8B}" destId="{5F2F899A-5BAA-4B36-B786-C4FA5DB84DE2}" srcOrd="6" destOrd="0" parTransId="{08AE95AC-558E-438C-A19E-A0A388B3DCB6}" sibTransId="{9C525CED-778E-45D1-BAA1-570F41FFF524}"/>
    <dgm:cxn modelId="{22D6D8A7-62AF-463F-B6AD-54DD415AF0FB}" type="presOf" srcId="{4DF42217-B85D-4249-A568-5B509C0F84B5}" destId="{19166087-240F-4205-829D-E61CAF74B1F0}" srcOrd="0" destOrd="0" presId="urn:microsoft.com/office/officeart/2005/8/layout/default"/>
    <dgm:cxn modelId="{EDCA57AC-8806-44AA-B074-C25819EF868A}" srcId="{0C5AA470-A2FC-4675-BBC5-FC07F000DB8B}" destId="{0010CF23-9DED-47EC-8758-73066583FA44}" srcOrd="7" destOrd="0" parTransId="{D82E22A4-5CEB-4667-AEC2-F3C85942AEAD}" sibTransId="{64477A07-5F83-429E-AA8B-488C68653312}"/>
    <dgm:cxn modelId="{ACBEDEBD-EEAF-49AF-98B4-31B91D64DBB0}" type="presOf" srcId="{40E3A9A0-3796-4A48-B2F5-5C63BFC42AC1}" destId="{5800D369-D655-450A-A267-583A2F68A6F1}" srcOrd="0" destOrd="0" presId="urn:microsoft.com/office/officeart/2005/8/layout/default"/>
    <dgm:cxn modelId="{46038BD3-07B5-420B-BD64-AAC20A6DA530}" type="presOf" srcId="{F6B446C0-6E43-4493-B573-1F94BA4F7210}" destId="{C221B9C3-A015-449B-9E50-6721626A9470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71C7B3C5-26B5-4023-AC13-5DE3476DA360}" type="presParOf" srcId="{F3AB4A35-E2EB-4DBF-86FB-E54EE2B1FE62}" destId="{BA9D2ED0-16C9-44FB-8D9E-22F9C339ED18}" srcOrd="0" destOrd="0" presId="urn:microsoft.com/office/officeart/2005/8/layout/default"/>
    <dgm:cxn modelId="{9100E879-9EE5-4FCE-B020-65F9E2D145C9}" type="presParOf" srcId="{F3AB4A35-E2EB-4DBF-86FB-E54EE2B1FE62}" destId="{8745EF1C-A4C9-4E6A-99FD-78BF7B12622C}" srcOrd="1" destOrd="0" presId="urn:microsoft.com/office/officeart/2005/8/layout/default"/>
    <dgm:cxn modelId="{D0440629-B907-40E5-BE65-5BA49F0D8D54}" type="presParOf" srcId="{F3AB4A35-E2EB-4DBF-86FB-E54EE2B1FE62}" destId="{CB133F5D-DBBA-4B12-9FEC-4E54C8197093}" srcOrd="2" destOrd="0" presId="urn:microsoft.com/office/officeart/2005/8/layout/default"/>
    <dgm:cxn modelId="{7C5DF7DB-E302-4C5C-BE6D-C8A2F5B28CE7}" type="presParOf" srcId="{F3AB4A35-E2EB-4DBF-86FB-E54EE2B1FE62}" destId="{701E9B6D-506A-4B8B-B1E6-AB2D8DB9BB03}" srcOrd="3" destOrd="0" presId="urn:microsoft.com/office/officeart/2005/8/layout/default"/>
    <dgm:cxn modelId="{DD605D09-9FE0-496E-B6BA-F5A99DD418D1}" type="presParOf" srcId="{F3AB4A35-E2EB-4DBF-86FB-E54EE2B1FE62}" destId="{C221B9C3-A015-449B-9E50-6721626A9470}" srcOrd="4" destOrd="0" presId="urn:microsoft.com/office/officeart/2005/8/layout/default"/>
    <dgm:cxn modelId="{FE8C08EB-D5FF-4D50-AE72-1298C3E7B8F1}" type="presParOf" srcId="{F3AB4A35-E2EB-4DBF-86FB-E54EE2B1FE62}" destId="{4A1C71E8-C584-4258-87C4-328020FE1131}" srcOrd="5" destOrd="0" presId="urn:microsoft.com/office/officeart/2005/8/layout/default"/>
    <dgm:cxn modelId="{B1ABF57C-8465-4459-B480-6ACFF57A3372}" type="presParOf" srcId="{F3AB4A35-E2EB-4DBF-86FB-E54EE2B1FE62}" destId="{19166087-240F-4205-829D-E61CAF74B1F0}" srcOrd="6" destOrd="0" presId="urn:microsoft.com/office/officeart/2005/8/layout/default"/>
    <dgm:cxn modelId="{5214ADE7-1AD4-4AC0-B6CF-DFA9DF2A2EBE}" type="presParOf" srcId="{F3AB4A35-E2EB-4DBF-86FB-E54EE2B1FE62}" destId="{C6553CB9-846E-4509-B6CB-620C145D0E09}" srcOrd="7" destOrd="0" presId="urn:microsoft.com/office/officeart/2005/8/layout/default"/>
    <dgm:cxn modelId="{52D616E2-08D7-4794-8236-A4D6051331C5}" type="presParOf" srcId="{F3AB4A35-E2EB-4DBF-86FB-E54EE2B1FE62}" destId="{5800D369-D655-450A-A267-583A2F68A6F1}" srcOrd="8" destOrd="0" presId="urn:microsoft.com/office/officeart/2005/8/layout/default"/>
    <dgm:cxn modelId="{EE6E876E-8BC0-4C0E-A742-AC0495F60717}" type="presParOf" srcId="{F3AB4A35-E2EB-4DBF-86FB-E54EE2B1FE62}" destId="{A3120A94-973F-4B44-8A46-565AD59DED29}" srcOrd="9" destOrd="0" presId="urn:microsoft.com/office/officeart/2005/8/layout/default"/>
    <dgm:cxn modelId="{57AE735F-B3FD-4029-92D4-3779D5B573B6}" type="presParOf" srcId="{F3AB4A35-E2EB-4DBF-86FB-E54EE2B1FE62}" destId="{D29654AC-8B1F-4715-B3EF-5B9D45DA3F9C}" srcOrd="10" destOrd="0" presId="urn:microsoft.com/office/officeart/2005/8/layout/default"/>
    <dgm:cxn modelId="{ECD7BE58-3BB5-4D03-85F7-45338F548C2A}" type="presParOf" srcId="{F3AB4A35-E2EB-4DBF-86FB-E54EE2B1FE62}" destId="{4C58FA96-E7B3-4893-BCF3-456F445E7712}" srcOrd="11" destOrd="0" presId="urn:microsoft.com/office/officeart/2005/8/layout/default"/>
    <dgm:cxn modelId="{AED14E55-5F6E-423F-AC00-996991BFE439}" type="presParOf" srcId="{F3AB4A35-E2EB-4DBF-86FB-E54EE2B1FE62}" destId="{2069F93F-EC36-45CA-81FA-E28CCFC4EDD2}" srcOrd="12" destOrd="0" presId="urn:microsoft.com/office/officeart/2005/8/layout/default"/>
    <dgm:cxn modelId="{C402541C-85BA-43FD-9459-EB8D2F63E8C2}" type="presParOf" srcId="{F3AB4A35-E2EB-4DBF-86FB-E54EE2B1FE62}" destId="{04622D16-B8C1-47F2-8A8D-189F57CC602A}" srcOrd="13" destOrd="0" presId="urn:microsoft.com/office/officeart/2005/8/layout/default"/>
    <dgm:cxn modelId="{AA326E06-C3EC-46A6-A53B-4EE7B6972EEB}" type="presParOf" srcId="{F3AB4A35-E2EB-4DBF-86FB-E54EE2B1FE62}" destId="{1B25165C-4C00-4CD9-B7B8-A4C893AC4E13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2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Entrantes </a:t>
          </a:r>
          <a:r>
            <a:rPr lang="pt-BR" sz="16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 - Jan. a Dez.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77745E09-BC33-4467-A7D0-00D63E26BF57}">
      <dgm:prSet phldrT="[Texto]"/>
      <dgm:spPr/>
      <dgm:t>
        <a:bodyPr/>
        <a:lstStyle/>
        <a:p>
          <a:endParaRPr lang="pt-BR"/>
        </a:p>
      </dgm:t>
    </dgm:pt>
    <dgm:pt modelId="{05C29930-DCA4-47D2-8F9D-D1F8B73BDC24}" type="parTrans" cxnId="{8CC35CB0-A234-4247-A746-9F1FDD0500DE}">
      <dgm:prSet/>
      <dgm:spPr/>
      <dgm:t>
        <a:bodyPr/>
        <a:lstStyle/>
        <a:p>
          <a:endParaRPr lang="pt-BR"/>
        </a:p>
      </dgm:t>
    </dgm:pt>
    <dgm:pt modelId="{5B9CC1F3-60FF-4ABF-8213-2DA0778BB206}" type="sibTrans" cxnId="{8CC35CB0-A234-4247-A746-9F1FDD0500DE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000">
              <a:solidFill>
                <a:schemeClr val="bg1"/>
              </a:solidFill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Adimplência</a:t>
          </a:r>
          <a:r>
            <a:rPr lang="pt-BR" sz="20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 PF</a:t>
          </a:r>
          <a:br>
            <a:rPr lang="pt-BR" sz="24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Jan. a </a:t>
          </a: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Abr.</a:t>
          </a:r>
          <a:endParaRPr lang="pt-BR" sz="1400">
            <a:effectLst>
              <a:outerShdw blurRad="127000" algn="ctr" rotWithShape="0">
                <a:srgbClr val="000000">
                  <a:alpha val="85%"/>
                </a:srgbClr>
              </a:outerShdw>
            </a:effectLst>
          </a:endParaRP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19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Entrantes</a:t>
          </a:r>
          <a:br>
            <a:rPr lang="pt-BR" sz="19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  <a:b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br>
            <a:rPr lang="pt-BR" sz="105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9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%</a:t>
          </a: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 </a:t>
          </a:r>
          <a:r>
            <a:rPr lang="pt-BR" sz="19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de Execução</a:t>
          </a:r>
          <a:endParaRPr lang="pt-BR" sz="1900">
            <a:effectLst>
              <a:outerShdw blurRad="127000" algn="ctr" rotWithShape="0">
                <a:srgbClr val="000000">
                  <a:alpha val="85%"/>
                </a:srgbClr>
              </a:outerShdw>
            </a:effectLst>
          </a:endParaRP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5AF3E079-3959-4CCD-A44E-0F873ADAD033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000">
              <a:solidFill>
                <a:schemeClr val="bg1"/>
              </a:solidFill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Adimplência PF</a:t>
          </a:r>
          <a:br>
            <a:rPr lang="pt-BR" sz="24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Previsto - Jan. a Dez.</a:t>
          </a:r>
        </a:p>
      </dgm:t>
    </dgm:pt>
    <dgm:pt modelId="{384263FE-58EC-4D88-939D-1CB43D223098}" type="sibTrans" cxnId="{4DE81664-7605-4BC9-A127-C349A95161E8}">
      <dgm:prSet/>
      <dgm:spPr/>
      <dgm:t>
        <a:bodyPr/>
        <a:lstStyle/>
        <a:p>
          <a:endParaRPr lang="pt-BR"/>
        </a:p>
      </dgm:t>
    </dgm:pt>
    <dgm:pt modelId="{9FE727F0-10CB-477E-8549-5F86749F9D9D}" type="parTrans" cxnId="{4DE81664-7605-4BC9-A127-C349A95161E8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BA9D2ED0-16C9-44FB-8D9E-22F9C339ED18}" type="pres">
      <dgm:prSet presAssocID="{F0D8276B-5F8E-47CD-83BA-660329F4549E}" presName="node" presStyleLbl="node1" presStyleIdx="0" presStyleCnt="8">
        <dgm:presLayoutVars>
          <dgm:bulletEnabled val="1"/>
        </dgm:presLayoutVars>
      </dgm:prSet>
      <dgm:spPr/>
    </dgm:pt>
    <dgm:pt modelId="{8745EF1C-A4C9-4E6A-99FD-78BF7B12622C}" type="pres">
      <dgm:prSet presAssocID="{0D73E574-52F2-49BF-9E46-4279B23441E7}" presName="sibTrans" presStyleCnt="0"/>
      <dgm:spPr/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</dgm:pt>
    <dgm:pt modelId="{701E9B6D-506A-4B8B-B1E6-AB2D8DB9BB03}" type="pres">
      <dgm:prSet presAssocID="{1022C6E1-7F5E-4A04-9CD4-F8CDCBFA9BE3}" presName="sibTrans" presStyleCnt="0"/>
      <dgm:spPr/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</dgm:pt>
    <dgm:pt modelId="{4A1C71E8-C584-4258-87C4-328020FE1131}" type="pres">
      <dgm:prSet presAssocID="{7066175E-01F0-4FAF-BDE1-888990D25D74}" presName="sibTrans" presStyleCnt="0"/>
      <dgm:spPr/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</dgm:pt>
    <dgm:pt modelId="{C6553CB9-846E-4509-B6CB-620C145D0E09}" type="pres">
      <dgm:prSet presAssocID="{8484CB90-3EDF-4254-AC0E-CDBC59EB95EF}" presName="sibTrans" presStyleCnt="0"/>
      <dgm:spPr/>
    </dgm:pt>
    <dgm:pt modelId="{81E86E99-3676-4A87-9CCC-09470BFADE6D}" type="pres">
      <dgm:prSet presAssocID="{5AF3E079-3959-4CCD-A44E-0F873ADAD033}" presName="node" presStyleLbl="node1" presStyleIdx="4" presStyleCnt="8">
        <dgm:presLayoutVars>
          <dgm:bulletEnabled val="1"/>
        </dgm:presLayoutVars>
      </dgm:prSet>
      <dgm:spPr/>
    </dgm:pt>
    <dgm:pt modelId="{377F2A98-069B-4BD1-8E80-CF862BE0BD68}" type="pres">
      <dgm:prSet presAssocID="{384263FE-58EC-4D88-939D-1CB43D223098}" presName="sibTrans" presStyleCnt="0"/>
      <dgm:spPr/>
    </dgm:pt>
    <dgm:pt modelId="{0E296175-191A-4DDD-9AFD-C58180D0C5B1}" type="pres">
      <dgm:prSet presAssocID="{77745E09-BC33-4467-A7D0-00D63E26BF57}" presName="node" presStyleLbl="node1" presStyleIdx="5" presStyleCnt="8">
        <dgm:presLayoutVars>
          <dgm:bulletEnabled val="1"/>
        </dgm:presLayoutVars>
      </dgm:prSet>
      <dgm:spPr/>
    </dgm:pt>
    <dgm:pt modelId="{7714FE89-4579-418B-8464-0F4B85BAC6A5}" type="pres">
      <dgm:prSet presAssocID="{5B9CC1F3-60FF-4ABF-8213-2DA0778BB206}" presName="sibTrans" presStyleCnt="0"/>
      <dgm:spPr/>
    </dgm:pt>
    <dgm:pt modelId="{5800D369-D655-450A-A267-583A2F68A6F1}" type="pres">
      <dgm:prSet presAssocID="{40E3A9A0-3796-4A48-B2F5-5C63BFC42AC1}" presName="node" presStyleLbl="node1" presStyleIdx="6" presStyleCnt="8">
        <dgm:presLayoutVars>
          <dgm:bulletEnabled val="1"/>
        </dgm:presLayoutVars>
      </dgm:prSet>
      <dgm:spPr/>
    </dgm:pt>
    <dgm:pt modelId="{A3120A94-973F-4B44-8A46-565AD59DED29}" type="pres">
      <dgm:prSet presAssocID="{DD04B6C1-B38B-4696-9D68-BC369D6BA502}" presName="sibTrans" presStyleCnt="0"/>
      <dgm:spPr/>
    </dgm:pt>
    <dgm:pt modelId="{2069F93F-EC36-45CA-81FA-E28CCFC4EDD2}" type="pres">
      <dgm:prSet presAssocID="{5F2F899A-5BAA-4B36-B786-C4FA5DB84DE2}" presName="node" presStyleLbl="node1" presStyleIdx="7" presStyleCnt="8">
        <dgm:presLayoutVars>
          <dgm:bulletEnabled val="1"/>
        </dgm:presLayoutVars>
      </dgm:prSet>
      <dgm:spPr/>
    </dgm:pt>
  </dgm:ptLst>
  <dgm:cxnLst>
    <dgm:cxn modelId="{E82BCD02-E51F-48D4-92CF-33290A4C95F6}" type="presOf" srcId="{5F2F899A-5BAA-4B36-B786-C4FA5DB84DE2}" destId="{2069F93F-EC36-45CA-81FA-E28CCFC4EDD2}" srcOrd="0" destOrd="0" presId="urn:microsoft.com/office/officeart/2005/8/layout/default"/>
    <dgm:cxn modelId="{C0DC2E08-ED6D-484E-A148-3C84D9F7127C}" type="presOf" srcId="{77745E09-BC33-4467-A7D0-00D63E26BF57}" destId="{0E296175-191A-4DDD-9AFD-C58180D0C5B1}" srcOrd="0" destOrd="0" presId="urn:microsoft.com/office/officeart/2005/8/layout/default"/>
    <dgm:cxn modelId="{435EE50C-B354-4B98-9610-284C03A27DB4}" type="presOf" srcId="{0C5AA470-A2FC-4675-BBC5-FC07F000DB8B}" destId="{F3AB4A35-E2EB-4DBF-86FB-E54EE2B1FE62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4DE81664-7605-4BC9-A127-C349A95161E8}" srcId="{0C5AA470-A2FC-4675-BBC5-FC07F000DB8B}" destId="{5AF3E079-3959-4CCD-A44E-0F873ADAD033}" srcOrd="4" destOrd="0" parTransId="{9FE727F0-10CB-477E-8549-5F86749F9D9D}" sibTransId="{384263FE-58EC-4D88-939D-1CB43D223098}"/>
    <dgm:cxn modelId="{781E8F46-A43E-4844-AA77-945B3BA7AE18}" type="presOf" srcId="{40E3A9A0-3796-4A48-B2F5-5C63BFC42AC1}" destId="{5800D369-D655-450A-A267-583A2F68A6F1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BAF52E82-A928-4736-B889-6FBBACEF0B7B}" type="presOf" srcId="{F6B446C0-6E43-4493-B573-1F94BA4F7210}" destId="{C221B9C3-A015-449B-9E50-6721626A9470}" srcOrd="0" destOrd="0" presId="urn:microsoft.com/office/officeart/2005/8/layout/default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B158E183-C506-4C34-BE65-E1F127A560D3}" srcId="{0C5AA470-A2FC-4675-BBC5-FC07F000DB8B}" destId="{40E3A9A0-3796-4A48-B2F5-5C63BFC42AC1}" srcOrd="6" destOrd="0" parTransId="{6F0AB90E-55A6-42AC-8FFD-DFE7D5C5A47D}" sibTransId="{DD04B6C1-B38B-4696-9D68-BC369D6BA502}"/>
    <dgm:cxn modelId="{7704F592-3202-4006-8CAB-5C864EBD3C3D}" srcId="{0C5AA470-A2FC-4675-BBC5-FC07F000DB8B}" destId="{5F2F899A-5BAA-4B36-B786-C4FA5DB84DE2}" srcOrd="7" destOrd="0" parTransId="{08AE95AC-558E-438C-A19E-A0A388B3DCB6}" sibTransId="{9C525CED-778E-45D1-BAA1-570F41FFF524}"/>
    <dgm:cxn modelId="{6AEC959F-16F9-4981-B68C-2B59DF02B3C3}" type="presOf" srcId="{4DF42217-B85D-4249-A568-5B509C0F84B5}" destId="{19166087-240F-4205-829D-E61CAF74B1F0}" srcOrd="0" destOrd="0" presId="urn:microsoft.com/office/officeart/2005/8/layout/default"/>
    <dgm:cxn modelId="{8CC35CB0-A234-4247-A746-9F1FDD0500DE}" srcId="{0C5AA470-A2FC-4675-BBC5-FC07F000DB8B}" destId="{77745E09-BC33-4467-A7D0-00D63E26BF57}" srcOrd="5" destOrd="0" parTransId="{05C29930-DCA4-47D2-8F9D-D1F8B73BDC24}" sibTransId="{5B9CC1F3-60FF-4ABF-8213-2DA0778BB206}"/>
    <dgm:cxn modelId="{EAA801D0-559D-48B4-AC07-68DFB8803FEB}" type="presOf" srcId="{F0D8276B-5F8E-47CD-83BA-660329F4549E}" destId="{BA9D2ED0-16C9-44FB-8D9E-22F9C339ED18}" srcOrd="0" destOrd="0" presId="urn:microsoft.com/office/officeart/2005/8/layout/default"/>
    <dgm:cxn modelId="{C0833EE6-06BE-4ADB-8DA3-DF70F6A431A9}" type="presOf" srcId="{F28F4473-498E-415A-A16F-A60D42C55427}" destId="{CB133F5D-DBBA-4B12-9FEC-4E54C8197093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0F1E5BEF-82B3-41BE-A216-57AF947564A4}" type="presOf" srcId="{5AF3E079-3959-4CCD-A44E-0F873ADAD033}" destId="{81E86E99-3676-4A87-9CCC-09470BFADE6D}" srcOrd="0" destOrd="0" presId="urn:microsoft.com/office/officeart/2005/8/layout/default"/>
    <dgm:cxn modelId="{816050EC-B6A5-41E2-8315-CF8E7407D6D7}" type="presParOf" srcId="{F3AB4A35-E2EB-4DBF-86FB-E54EE2B1FE62}" destId="{BA9D2ED0-16C9-44FB-8D9E-22F9C339ED18}" srcOrd="0" destOrd="0" presId="urn:microsoft.com/office/officeart/2005/8/layout/default"/>
    <dgm:cxn modelId="{874634D9-0C62-4110-873D-FC329BD6CA8E}" type="presParOf" srcId="{F3AB4A35-E2EB-4DBF-86FB-E54EE2B1FE62}" destId="{8745EF1C-A4C9-4E6A-99FD-78BF7B12622C}" srcOrd="1" destOrd="0" presId="urn:microsoft.com/office/officeart/2005/8/layout/default"/>
    <dgm:cxn modelId="{60541ABE-581B-475A-A209-8FB18CF57AA2}" type="presParOf" srcId="{F3AB4A35-E2EB-4DBF-86FB-E54EE2B1FE62}" destId="{CB133F5D-DBBA-4B12-9FEC-4E54C8197093}" srcOrd="2" destOrd="0" presId="urn:microsoft.com/office/officeart/2005/8/layout/default"/>
    <dgm:cxn modelId="{B495DDE4-C93F-46D4-B47E-310DBA111B30}" type="presParOf" srcId="{F3AB4A35-E2EB-4DBF-86FB-E54EE2B1FE62}" destId="{701E9B6D-506A-4B8B-B1E6-AB2D8DB9BB03}" srcOrd="3" destOrd="0" presId="urn:microsoft.com/office/officeart/2005/8/layout/default"/>
    <dgm:cxn modelId="{F20AC542-842E-40D6-ACE8-EFC33EBB261D}" type="presParOf" srcId="{F3AB4A35-E2EB-4DBF-86FB-E54EE2B1FE62}" destId="{C221B9C3-A015-449B-9E50-6721626A9470}" srcOrd="4" destOrd="0" presId="urn:microsoft.com/office/officeart/2005/8/layout/default"/>
    <dgm:cxn modelId="{4280EDCC-6EED-43DE-A9DC-314B8743F1EA}" type="presParOf" srcId="{F3AB4A35-E2EB-4DBF-86FB-E54EE2B1FE62}" destId="{4A1C71E8-C584-4258-87C4-328020FE1131}" srcOrd="5" destOrd="0" presId="urn:microsoft.com/office/officeart/2005/8/layout/default"/>
    <dgm:cxn modelId="{93EB338F-9E04-4EBD-B8E5-654454F9CEAE}" type="presParOf" srcId="{F3AB4A35-E2EB-4DBF-86FB-E54EE2B1FE62}" destId="{19166087-240F-4205-829D-E61CAF74B1F0}" srcOrd="6" destOrd="0" presId="urn:microsoft.com/office/officeart/2005/8/layout/default"/>
    <dgm:cxn modelId="{4D35265B-2AC9-4303-BB16-BEEBB5C1F9B2}" type="presParOf" srcId="{F3AB4A35-E2EB-4DBF-86FB-E54EE2B1FE62}" destId="{C6553CB9-846E-4509-B6CB-620C145D0E09}" srcOrd="7" destOrd="0" presId="urn:microsoft.com/office/officeart/2005/8/layout/default"/>
    <dgm:cxn modelId="{4EBAF563-C621-4721-9E47-CEE2FA0B4C2D}" type="presParOf" srcId="{F3AB4A35-E2EB-4DBF-86FB-E54EE2B1FE62}" destId="{81E86E99-3676-4A87-9CCC-09470BFADE6D}" srcOrd="8" destOrd="0" presId="urn:microsoft.com/office/officeart/2005/8/layout/default"/>
    <dgm:cxn modelId="{362F5EF1-AC98-4F24-9AFD-2E9558C55C07}" type="presParOf" srcId="{F3AB4A35-E2EB-4DBF-86FB-E54EE2B1FE62}" destId="{377F2A98-069B-4BD1-8E80-CF862BE0BD68}" srcOrd="9" destOrd="0" presId="urn:microsoft.com/office/officeart/2005/8/layout/default"/>
    <dgm:cxn modelId="{E0C9DEEE-1950-4091-8162-C86DFD5E76CF}" type="presParOf" srcId="{F3AB4A35-E2EB-4DBF-86FB-E54EE2B1FE62}" destId="{0E296175-191A-4DDD-9AFD-C58180D0C5B1}" srcOrd="10" destOrd="0" presId="urn:microsoft.com/office/officeart/2005/8/layout/default"/>
    <dgm:cxn modelId="{FCFD739D-516F-4437-9B97-44D072D21A90}" type="presParOf" srcId="{F3AB4A35-E2EB-4DBF-86FB-E54EE2B1FE62}" destId="{7714FE89-4579-418B-8464-0F4B85BAC6A5}" srcOrd="11" destOrd="0" presId="urn:microsoft.com/office/officeart/2005/8/layout/default"/>
    <dgm:cxn modelId="{F747F6B4-AD33-40CE-9105-D2D395174728}" type="presParOf" srcId="{F3AB4A35-E2EB-4DBF-86FB-E54EE2B1FE62}" destId="{5800D369-D655-450A-A267-583A2F68A6F1}" srcOrd="12" destOrd="0" presId="urn:microsoft.com/office/officeart/2005/8/layout/default"/>
    <dgm:cxn modelId="{034D962F-7BF6-40B8-A913-790846F2A1D6}" type="presParOf" srcId="{F3AB4A35-E2EB-4DBF-86FB-E54EE2B1FE62}" destId="{A3120A94-973F-4B44-8A46-565AD59DED29}" srcOrd="13" destOrd="0" presId="urn:microsoft.com/office/officeart/2005/8/layout/default"/>
    <dgm:cxn modelId="{32308AB5-CBB2-493F-A865-3DA245979D00}" type="presParOf" srcId="{F3AB4A35-E2EB-4DBF-86FB-E54EE2B1FE62}" destId="{2069F93F-EC36-45CA-81FA-E28CCFC4EDD2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12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3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</a:t>
          </a:r>
          <a:b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0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Média de execução</a:t>
          </a:r>
          <a:br>
            <a:rPr lang="pt-BR" sz="20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Comparativo</a:t>
          </a:r>
          <a:b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YoY</a:t>
          </a:r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3E55D787-E1C1-4C6C-B682-2F823A606E13}">
      <dgm:prSet/>
      <dgm:spPr/>
      <dgm:t>
        <a:bodyPr/>
        <a:lstStyle/>
        <a:p>
          <a:endParaRPr lang="pt-BR"/>
        </a:p>
      </dgm:t>
    </dgm:pt>
    <dgm:pt modelId="{5ED97904-22DF-4E36-A28B-F687A4D3A61E}" type="parTrans" cxnId="{34267945-0F78-4333-98AE-60DB24C40794}">
      <dgm:prSet/>
      <dgm:spPr/>
      <dgm:t>
        <a:bodyPr/>
        <a:lstStyle/>
        <a:p>
          <a:endParaRPr lang="pt-BR"/>
        </a:p>
      </dgm:t>
    </dgm:pt>
    <dgm:pt modelId="{6EF4A891-3DAD-4342-843F-55EE09B3921F}" type="sibTrans" cxnId="{34267945-0F78-4333-98AE-60DB24C40794}">
      <dgm:prSet/>
      <dgm:spPr/>
      <dgm:t>
        <a:bodyPr/>
        <a:lstStyle/>
        <a:p>
          <a:endParaRPr lang="pt-BR"/>
        </a:p>
      </dgm:t>
    </dgm:pt>
    <dgm:pt modelId="{0010CF23-9DED-47EC-8758-73066583FA44}">
      <dgm:prSet/>
      <dgm:spPr/>
      <dgm:t>
        <a:bodyPr/>
        <a:lstStyle/>
        <a:p>
          <a:endParaRPr lang="pt-BR"/>
        </a:p>
      </dgm:t>
    </dgm:pt>
    <dgm:pt modelId="{D82E22A4-5CEB-4667-AEC2-F3C85942AEAD}" type="parTrans" cxnId="{EDCA57AC-8806-44AA-B074-C25819EF868A}">
      <dgm:prSet/>
      <dgm:spPr/>
      <dgm:t>
        <a:bodyPr/>
        <a:lstStyle/>
        <a:p>
          <a:endParaRPr lang="pt-BR"/>
        </a:p>
      </dgm:t>
    </dgm:pt>
    <dgm:pt modelId="{64477A07-5F83-429E-AA8B-488C68653312}" type="sibTrans" cxnId="{EDCA57AC-8806-44AA-B074-C25819EF868A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BA9D2ED0-16C9-44FB-8D9E-22F9C339ED18}" type="pres">
      <dgm:prSet presAssocID="{F0D8276B-5F8E-47CD-83BA-660329F4549E}" presName="node" presStyleLbl="node1" presStyleIdx="0" presStyleCnt="8">
        <dgm:presLayoutVars>
          <dgm:bulletEnabled val="1"/>
        </dgm:presLayoutVars>
      </dgm:prSet>
      <dgm:spPr/>
    </dgm:pt>
    <dgm:pt modelId="{8745EF1C-A4C9-4E6A-99FD-78BF7B12622C}" type="pres">
      <dgm:prSet presAssocID="{0D73E574-52F2-49BF-9E46-4279B23441E7}" presName="sibTrans" presStyleCnt="0"/>
      <dgm:spPr/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</dgm:pt>
    <dgm:pt modelId="{701E9B6D-506A-4B8B-B1E6-AB2D8DB9BB03}" type="pres">
      <dgm:prSet presAssocID="{1022C6E1-7F5E-4A04-9CD4-F8CDCBFA9BE3}" presName="sibTrans" presStyleCnt="0"/>
      <dgm:spPr/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</dgm:pt>
    <dgm:pt modelId="{4A1C71E8-C584-4258-87C4-328020FE1131}" type="pres">
      <dgm:prSet presAssocID="{7066175E-01F0-4FAF-BDE1-888990D25D74}" presName="sibTrans" presStyleCnt="0"/>
      <dgm:spPr/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</dgm:pt>
    <dgm:pt modelId="{C6553CB9-846E-4509-B6CB-620C145D0E09}" type="pres">
      <dgm:prSet presAssocID="{8484CB90-3EDF-4254-AC0E-CDBC59EB95EF}" presName="sibTrans" presStyleCnt="0"/>
      <dgm:spPr/>
    </dgm:pt>
    <dgm:pt modelId="{5800D369-D655-450A-A267-583A2F68A6F1}" type="pres">
      <dgm:prSet presAssocID="{40E3A9A0-3796-4A48-B2F5-5C63BFC42AC1}" presName="node" presStyleLbl="node1" presStyleIdx="4" presStyleCnt="8">
        <dgm:presLayoutVars>
          <dgm:bulletEnabled val="1"/>
        </dgm:presLayoutVars>
      </dgm:prSet>
      <dgm:spPr/>
    </dgm:pt>
    <dgm:pt modelId="{A3120A94-973F-4B44-8A46-565AD59DED29}" type="pres">
      <dgm:prSet presAssocID="{DD04B6C1-B38B-4696-9D68-BC369D6BA502}" presName="sibTrans" presStyleCnt="0"/>
      <dgm:spPr/>
    </dgm:pt>
    <dgm:pt modelId="{D29654AC-8B1F-4715-B3EF-5B9D45DA3F9C}" type="pres">
      <dgm:prSet presAssocID="{3E55D787-E1C1-4C6C-B682-2F823A606E13}" presName="node" presStyleLbl="node1" presStyleIdx="5" presStyleCnt="8">
        <dgm:presLayoutVars>
          <dgm:bulletEnabled val="1"/>
        </dgm:presLayoutVars>
      </dgm:prSet>
      <dgm:spPr/>
    </dgm:pt>
    <dgm:pt modelId="{4C58FA96-E7B3-4893-BCF3-456F445E7712}" type="pres">
      <dgm:prSet presAssocID="{6EF4A891-3DAD-4342-843F-55EE09B3921F}" presName="sibTrans" presStyleCnt="0"/>
      <dgm:spPr/>
    </dgm:pt>
    <dgm:pt modelId="{2069F93F-EC36-45CA-81FA-E28CCFC4EDD2}" type="pres">
      <dgm:prSet presAssocID="{5F2F899A-5BAA-4B36-B786-C4FA5DB84DE2}" presName="node" presStyleLbl="node1" presStyleIdx="6" presStyleCnt="8">
        <dgm:presLayoutVars>
          <dgm:bulletEnabled val="1"/>
        </dgm:presLayoutVars>
      </dgm:prSet>
      <dgm:spPr/>
    </dgm:pt>
    <dgm:pt modelId="{04622D16-B8C1-47F2-8A8D-189F57CC602A}" type="pres">
      <dgm:prSet presAssocID="{9C525CED-778E-45D1-BAA1-570F41FFF524}" presName="sibTrans" presStyleCnt="0"/>
      <dgm:spPr/>
    </dgm:pt>
    <dgm:pt modelId="{1B25165C-4C00-4CD9-B7B8-A4C893AC4E13}" type="pres">
      <dgm:prSet presAssocID="{0010CF23-9DED-47EC-8758-73066583FA44}" presName="node" presStyleLbl="node1" presStyleIdx="7" presStyleCnt="8">
        <dgm:presLayoutVars>
          <dgm:bulletEnabled val="1"/>
        </dgm:presLayoutVars>
      </dgm:prSet>
      <dgm:spPr/>
    </dgm:pt>
  </dgm:ptLst>
  <dgm:cxnLst>
    <dgm:cxn modelId="{9FEFCE11-D0F8-4B21-A65B-08F6A6B295C8}" type="presOf" srcId="{F28F4473-498E-415A-A16F-A60D42C55427}" destId="{CB133F5D-DBBA-4B12-9FEC-4E54C8197093}" srcOrd="0" destOrd="0" presId="urn:microsoft.com/office/officeart/2005/8/layout/default"/>
    <dgm:cxn modelId="{20EF0525-215F-42AD-B6B4-897503D3AD89}" type="presOf" srcId="{F0D8276B-5F8E-47CD-83BA-660329F4549E}" destId="{BA9D2ED0-16C9-44FB-8D9E-22F9C339ED18}" srcOrd="0" destOrd="0" presId="urn:microsoft.com/office/officeart/2005/8/layout/default"/>
    <dgm:cxn modelId="{C6281F2E-D503-4263-9EA3-BF55D2F1144C}" type="presOf" srcId="{0010CF23-9DED-47EC-8758-73066583FA44}" destId="{1B25165C-4C00-4CD9-B7B8-A4C893AC4E13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34267945-0F78-4333-98AE-60DB24C40794}" srcId="{0C5AA470-A2FC-4675-BBC5-FC07F000DB8B}" destId="{3E55D787-E1C1-4C6C-B682-2F823A606E13}" srcOrd="5" destOrd="0" parTransId="{5ED97904-22DF-4E36-A28B-F687A4D3A61E}" sibTransId="{6EF4A891-3DAD-4342-843F-55EE09B3921F}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F2CD2C8D-CCF3-4CB9-83D4-9CE45BC6298B}" type="presOf" srcId="{F6B446C0-6E43-4493-B573-1F94BA4F7210}" destId="{C221B9C3-A015-449B-9E50-6721626A9470}" srcOrd="0" destOrd="0" presId="urn:microsoft.com/office/officeart/2005/8/layout/default"/>
    <dgm:cxn modelId="{97BE898E-B3E7-48CE-A220-6DDD4EECB485}" type="presOf" srcId="{40E3A9A0-3796-4A48-B2F5-5C63BFC42AC1}" destId="{5800D369-D655-450A-A267-583A2F68A6F1}" srcOrd="0" destOrd="0" presId="urn:microsoft.com/office/officeart/2005/8/layout/default"/>
    <dgm:cxn modelId="{7704F592-3202-4006-8CAB-5C864EBD3C3D}" srcId="{0C5AA470-A2FC-4675-BBC5-FC07F000DB8B}" destId="{5F2F899A-5BAA-4B36-B786-C4FA5DB84DE2}" srcOrd="6" destOrd="0" parTransId="{08AE95AC-558E-438C-A19E-A0A388B3DCB6}" sibTransId="{9C525CED-778E-45D1-BAA1-570F41FFF524}"/>
    <dgm:cxn modelId="{D8F0C99D-C0E3-4546-8ADC-1F5C5B008297}" type="presOf" srcId="{5F2F899A-5BAA-4B36-B786-C4FA5DB84DE2}" destId="{2069F93F-EC36-45CA-81FA-E28CCFC4EDD2}" srcOrd="0" destOrd="0" presId="urn:microsoft.com/office/officeart/2005/8/layout/default"/>
    <dgm:cxn modelId="{EDCA57AC-8806-44AA-B074-C25819EF868A}" srcId="{0C5AA470-A2FC-4675-BBC5-FC07F000DB8B}" destId="{0010CF23-9DED-47EC-8758-73066583FA44}" srcOrd="7" destOrd="0" parTransId="{D82E22A4-5CEB-4667-AEC2-F3C85942AEAD}" sibTransId="{64477A07-5F83-429E-AA8B-488C68653312}"/>
    <dgm:cxn modelId="{38A51FBD-D46F-4452-B137-6B81BCE17042}" type="presOf" srcId="{4DF42217-B85D-4249-A568-5B509C0F84B5}" destId="{19166087-240F-4205-829D-E61CAF74B1F0}" srcOrd="0" destOrd="0" presId="urn:microsoft.com/office/officeart/2005/8/layout/default"/>
    <dgm:cxn modelId="{E091A1C5-8EF7-4CD9-8244-8646C007A3EB}" type="presOf" srcId="{0C5AA470-A2FC-4675-BBC5-FC07F000DB8B}" destId="{F3AB4A35-E2EB-4DBF-86FB-E54EE2B1FE62}" srcOrd="0" destOrd="0" presId="urn:microsoft.com/office/officeart/2005/8/layout/default"/>
    <dgm:cxn modelId="{4EC60FCD-F086-4A60-9029-9630C92B633D}" type="presOf" srcId="{3E55D787-E1C1-4C6C-B682-2F823A606E13}" destId="{D29654AC-8B1F-4715-B3EF-5B9D45DA3F9C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67B581B9-E89D-4E54-88E1-C9F1DD96DF26}" type="presParOf" srcId="{F3AB4A35-E2EB-4DBF-86FB-E54EE2B1FE62}" destId="{BA9D2ED0-16C9-44FB-8D9E-22F9C339ED18}" srcOrd="0" destOrd="0" presId="urn:microsoft.com/office/officeart/2005/8/layout/default"/>
    <dgm:cxn modelId="{7816058E-9A69-4820-9D27-D4C7795826B0}" type="presParOf" srcId="{F3AB4A35-E2EB-4DBF-86FB-E54EE2B1FE62}" destId="{8745EF1C-A4C9-4E6A-99FD-78BF7B12622C}" srcOrd="1" destOrd="0" presId="urn:microsoft.com/office/officeart/2005/8/layout/default"/>
    <dgm:cxn modelId="{F4B23E88-7C9C-4B24-98D4-AB43A5E7F429}" type="presParOf" srcId="{F3AB4A35-E2EB-4DBF-86FB-E54EE2B1FE62}" destId="{CB133F5D-DBBA-4B12-9FEC-4E54C8197093}" srcOrd="2" destOrd="0" presId="urn:microsoft.com/office/officeart/2005/8/layout/default"/>
    <dgm:cxn modelId="{2EAF7DD7-083C-4B5C-A5E4-AF4947BA6DDD}" type="presParOf" srcId="{F3AB4A35-E2EB-4DBF-86FB-E54EE2B1FE62}" destId="{701E9B6D-506A-4B8B-B1E6-AB2D8DB9BB03}" srcOrd="3" destOrd="0" presId="urn:microsoft.com/office/officeart/2005/8/layout/default"/>
    <dgm:cxn modelId="{176CB5E9-1579-4D7D-9C41-12BDB3BEE895}" type="presParOf" srcId="{F3AB4A35-E2EB-4DBF-86FB-E54EE2B1FE62}" destId="{C221B9C3-A015-449B-9E50-6721626A9470}" srcOrd="4" destOrd="0" presId="urn:microsoft.com/office/officeart/2005/8/layout/default"/>
    <dgm:cxn modelId="{46A6FADA-F949-48BD-B58C-555BD5614398}" type="presParOf" srcId="{F3AB4A35-E2EB-4DBF-86FB-E54EE2B1FE62}" destId="{4A1C71E8-C584-4258-87C4-328020FE1131}" srcOrd="5" destOrd="0" presId="urn:microsoft.com/office/officeart/2005/8/layout/default"/>
    <dgm:cxn modelId="{08738F7C-E69D-42CF-A4E6-BE2920EA9F00}" type="presParOf" srcId="{F3AB4A35-E2EB-4DBF-86FB-E54EE2B1FE62}" destId="{19166087-240F-4205-829D-E61CAF74B1F0}" srcOrd="6" destOrd="0" presId="urn:microsoft.com/office/officeart/2005/8/layout/default"/>
    <dgm:cxn modelId="{6522B54D-5F88-4DB3-B265-9953086DB2CC}" type="presParOf" srcId="{F3AB4A35-E2EB-4DBF-86FB-E54EE2B1FE62}" destId="{C6553CB9-846E-4509-B6CB-620C145D0E09}" srcOrd="7" destOrd="0" presId="urn:microsoft.com/office/officeart/2005/8/layout/default"/>
    <dgm:cxn modelId="{0E7E296B-25B4-412B-9F41-A7965EAE6456}" type="presParOf" srcId="{F3AB4A35-E2EB-4DBF-86FB-E54EE2B1FE62}" destId="{5800D369-D655-450A-A267-583A2F68A6F1}" srcOrd="8" destOrd="0" presId="urn:microsoft.com/office/officeart/2005/8/layout/default"/>
    <dgm:cxn modelId="{99CECE8A-6130-4326-9447-E77A48A66670}" type="presParOf" srcId="{F3AB4A35-E2EB-4DBF-86FB-E54EE2B1FE62}" destId="{A3120A94-973F-4B44-8A46-565AD59DED29}" srcOrd="9" destOrd="0" presId="urn:microsoft.com/office/officeart/2005/8/layout/default"/>
    <dgm:cxn modelId="{25441AC1-326A-4270-9606-F2E464BC424C}" type="presParOf" srcId="{F3AB4A35-E2EB-4DBF-86FB-E54EE2B1FE62}" destId="{D29654AC-8B1F-4715-B3EF-5B9D45DA3F9C}" srcOrd="10" destOrd="0" presId="urn:microsoft.com/office/officeart/2005/8/layout/default"/>
    <dgm:cxn modelId="{3CDD6882-3468-440A-B168-19B6B6447180}" type="presParOf" srcId="{F3AB4A35-E2EB-4DBF-86FB-E54EE2B1FE62}" destId="{4C58FA96-E7B3-4893-BCF3-456F445E7712}" srcOrd="11" destOrd="0" presId="urn:microsoft.com/office/officeart/2005/8/layout/default"/>
    <dgm:cxn modelId="{E0381379-D4F2-49E0-979C-2A9E07AA2875}" type="presParOf" srcId="{F3AB4A35-E2EB-4DBF-86FB-E54EE2B1FE62}" destId="{2069F93F-EC36-45CA-81FA-E28CCFC4EDD2}" srcOrd="12" destOrd="0" presId="urn:microsoft.com/office/officeart/2005/8/layout/default"/>
    <dgm:cxn modelId="{96B912FE-3B1F-4059-ABA3-7743060C147D}" type="presParOf" srcId="{F3AB4A35-E2EB-4DBF-86FB-E54EE2B1FE62}" destId="{04622D16-B8C1-47F2-8A8D-189F57CC602A}" srcOrd="13" destOrd="0" presId="urn:microsoft.com/office/officeart/2005/8/layout/default"/>
    <dgm:cxn modelId="{AE698D54-FBBD-4452-985B-B2C3BA114BB2}" type="presParOf" srcId="{F3AB4A35-E2EB-4DBF-86FB-E54EE2B1FE62}" destId="{1B25165C-4C00-4CD9-B7B8-A4C893AC4E13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4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</a:t>
          </a:r>
          <a:b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% de execução</a:t>
          </a:r>
          <a:b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3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3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BA9D2ED0-16C9-44FB-8D9E-22F9C339ED18}" type="pres">
      <dgm:prSet presAssocID="{F0D8276B-5F8E-47CD-83BA-660329F4549E}" presName="node" presStyleLbl="node1" presStyleIdx="0" presStyleCnt="6">
        <dgm:presLayoutVars>
          <dgm:bulletEnabled val="1"/>
        </dgm:presLayoutVars>
      </dgm:prSet>
      <dgm:spPr/>
    </dgm:pt>
    <dgm:pt modelId="{8745EF1C-A4C9-4E6A-99FD-78BF7B12622C}" type="pres">
      <dgm:prSet presAssocID="{0D73E574-52F2-49BF-9E46-4279B23441E7}" presName="sibTrans" presStyleCnt="0"/>
      <dgm:spPr/>
    </dgm:pt>
    <dgm:pt modelId="{CB133F5D-DBBA-4B12-9FEC-4E54C8197093}" type="pres">
      <dgm:prSet presAssocID="{F28F4473-498E-415A-A16F-A60D42C55427}" presName="node" presStyleLbl="node1" presStyleIdx="1" presStyleCnt="6">
        <dgm:presLayoutVars>
          <dgm:bulletEnabled val="1"/>
        </dgm:presLayoutVars>
      </dgm:prSet>
      <dgm:spPr/>
    </dgm:pt>
    <dgm:pt modelId="{701E9B6D-506A-4B8B-B1E6-AB2D8DB9BB03}" type="pres">
      <dgm:prSet presAssocID="{1022C6E1-7F5E-4A04-9CD4-F8CDCBFA9BE3}" presName="sibTrans" presStyleCnt="0"/>
      <dgm:spPr/>
    </dgm:pt>
    <dgm:pt modelId="{C221B9C3-A015-449B-9E50-6721626A9470}" type="pres">
      <dgm:prSet presAssocID="{F6B446C0-6E43-4493-B573-1F94BA4F7210}" presName="node" presStyleLbl="node1" presStyleIdx="2" presStyleCnt="6">
        <dgm:presLayoutVars>
          <dgm:bulletEnabled val="1"/>
        </dgm:presLayoutVars>
      </dgm:prSet>
      <dgm:spPr/>
    </dgm:pt>
    <dgm:pt modelId="{4A1C71E8-C584-4258-87C4-328020FE1131}" type="pres">
      <dgm:prSet presAssocID="{7066175E-01F0-4FAF-BDE1-888990D25D74}" presName="sibTrans" presStyleCnt="0"/>
      <dgm:spPr/>
    </dgm:pt>
    <dgm:pt modelId="{19166087-240F-4205-829D-E61CAF74B1F0}" type="pres">
      <dgm:prSet presAssocID="{4DF42217-B85D-4249-A568-5B509C0F84B5}" presName="node" presStyleLbl="node1" presStyleIdx="3" presStyleCnt="6">
        <dgm:presLayoutVars>
          <dgm:bulletEnabled val="1"/>
        </dgm:presLayoutVars>
      </dgm:prSet>
      <dgm:spPr/>
    </dgm:pt>
    <dgm:pt modelId="{C6553CB9-846E-4509-B6CB-620C145D0E09}" type="pres">
      <dgm:prSet presAssocID="{8484CB90-3EDF-4254-AC0E-CDBC59EB95EF}" presName="sibTrans" presStyleCnt="0"/>
      <dgm:spPr/>
    </dgm:pt>
    <dgm:pt modelId="{5800D369-D655-450A-A267-583A2F68A6F1}" type="pres">
      <dgm:prSet presAssocID="{40E3A9A0-3796-4A48-B2F5-5C63BFC42AC1}" presName="node" presStyleLbl="node1" presStyleIdx="4" presStyleCnt="6">
        <dgm:presLayoutVars>
          <dgm:bulletEnabled val="1"/>
        </dgm:presLayoutVars>
      </dgm:prSet>
      <dgm:spPr/>
    </dgm:pt>
    <dgm:pt modelId="{A3120A94-973F-4B44-8A46-565AD59DED29}" type="pres">
      <dgm:prSet presAssocID="{DD04B6C1-B38B-4696-9D68-BC369D6BA502}" presName="sibTrans" presStyleCnt="0"/>
      <dgm:spPr/>
    </dgm:pt>
    <dgm:pt modelId="{2069F93F-EC36-45CA-81FA-E28CCFC4EDD2}" type="pres">
      <dgm:prSet presAssocID="{5F2F899A-5BAA-4B36-B786-C4FA5DB84DE2}" presName="node" presStyleLbl="node1" presStyleIdx="5" presStyleCnt="6">
        <dgm:presLayoutVars>
          <dgm:bulletEnabled val="1"/>
        </dgm:presLayoutVars>
      </dgm:prSet>
      <dgm:spPr/>
    </dgm:pt>
  </dgm:ptLst>
  <dgm:cxnLst>
    <dgm:cxn modelId="{E8CC2B1B-20F3-4618-A293-258495A21FFC}" type="presOf" srcId="{F6B446C0-6E43-4493-B573-1F94BA4F7210}" destId="{C221B9C3-A015-449B-9E50-6721626A9470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68504846-FD64-4929-BF38-7CEA0D0E1903}" type="presOf" srcId="{0C5AA470-A2FC-4675-BBC5-FC07F000DB8B}" destId="{F3AB4A35-E2EB-4DBF-86FB-E54EE2B1FE62}" srcOrd="0" destOrd="0" presId="urn:microsoft.com/office/officeart/2005/8/layout/default"/>
    <dgm:cxn modelId="{B67D0E49-D196-48A4-8171-10001333B283}" type="presOf" srcId="{40E3A9A0-3796-4A48-B2F5-5C63BFC42AC1}" destId="{5800D369-D655-450A-A267-583A2F68A6F1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7704F592-3202-4006-8CAB-5C864EBD3C3D}" srcId="{0C5AA470-A2FC-4675-BBC5-FC07F000DB8B}" destId="{5F2F899A-5BAA-4B36-B786-C4FA5DB84DE2}" srcOrd="5" destOrd="0" parTransId="{08AE95AC-558E-438C-A19E-A0A388B3DCB6}" sibTransId="{9C525CED-778E-45D1-BAA1-570F41FFF524}"/>
    <dgm:cxn modelId="{5C278EB3-0489-4867-8635-14E9B333B62F}" type="presOf" srcId="{F28F4473-498E-415A-A16F-A60D42C55427}" destId="{CB133F5D-DBBA-4B12-9FEC-4E54C8197093}" srcOrd="0" destOrd="0" presId="urn:microsoft.com/office/officeart/2005/8/layout/default"/>
    <dgm:cxn modelId="{26972ED7-CC0A-45FF-8CB0-23CDE345512F}" type="presOf" srcId="{F0D8276B-5F8E-47CD-83BA-660329F4549E}" destId="{BA9D2ED0-16C9-44FB-8D9E-22F9C339ED18}" srcOrd="0" destOrd="0" presId="urn:microsoft.com/office/officeart/2005/8/layout/default"/>
    <dgm:cxn modelId="{8A6ECAE9-161D-4247-B4EC-C97F5E5F0124}" type="presOf" srcId="{4DF42217-B85D-4249-A568-5B509C0F84B5}" destId="{19166087-240F-4205-829D-E61CAF74B1F0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9E430EF6-B4E7-4DDB-A4B7-B0DDD2076496}" type="presOf" srcId="{5F2F899A-5BAA-4B36-B786-C4FA5DB84DE2}" destId="{2069F93F-EC36-45CA-81FA-E28CCFC4EDD2}" srcOrd="0" destOrd="0" presId="urn:microsoft.com/office/officeart/2005/8/layout/default"/>
    <dgm:cxn modelId="{306FDC14-2420-45B0-A666-6197FDC00421}" type="presParOf" srcId="{F3AB4A35-E2EB-4DBF-86FB-E54EE2B1FE62}" destId="{BA9D2ED0-16C9-44FB-8D9E-22F9C339ED18}" srcOrd="0" destOrd="0" presId="urn:microsoft.com/office/officeart/2005/8/layout/default"/>
    <dgm:cxn modelId="{C480E9E5-5920-4484-B3C2-F0F22A5B9724}" type="presParOf" srcId="{F3AB4A35-E2EB-4DBF-86FB-E54EE2B1FE62}" destId="{8745EF1C-A4C9-4E6A-99FD-78BF7B12622C}" srcOrd="1" destOrd="0" presId="urn:microsoft.com/office/officeart/2005/8/layout/default"/>
    <dgm:cxn modelId="{C8D12C41-CF0D-4432-BC4C-B48282A24A11}" type="presParOf" srcId="{F3AB4A35-E2EB-4DBF-86FB-E54EE2B1FE62}" destId="{CB133F5D-DBBA-4B12-9FEC-4E54C8197093}" srcOrd="2" destOrd="0" presId="urn:microsoft.com/office/officeart/2005/8/layout/default"/>
    <dgm:cxn modelId="{9E6574C8-D832-4D2B-ADD2-B8466334A4C8}" type="presParOf" srcId="{F3AB4A35-E2EB-4DBF-86FB-E54EE2B1FE62}" destId="{701E9B6D-506A-4B8B-B1E6-AB2D8DB9BB03}" srcOrd="3" destOrd="0" presId="urn:microsoft.com/office/officeart/2005/8/layout/default"/>
    <dgm:cxn modelId="{99179E8B-7257-4187-BBBA-5D6C4BDDE568}" type="presParOf" srcId="{F3AB4A35-E2EB-4DBF-86FB-E54EE2B1FE62}" destId="{C221B9C3-A015-449B-9E50-6721626A9470}" srcOrd="4" destOrd="0" presId="urn:microsoft.com/office/officeart/2005/8/layout/default"/>
    <dgm:cxn modelId="{B89730F0-07E2-4831-96ED-96237A9D7059}" type="presParOf" srcId="{F3AB4A35-E2EB-4DBF-86FB-E54EE2B1FE62}" destId="{4A1C71E8-C584-4258-87C4-328020FE1131}" srcOrd="5" destOrd="0" presId="urn:microsoft.com/office/officeart/2005/8/layout/default"/>
    <dgm:cxn modelId="{0CB3ED00-11D5-49DE-8886-73EB98678E2B}" type="presParOf" srcId="{F3AB4A35-E2EB-4DBF-86FB-E54EE2B1FE62}" destId="{19166087-240F-4205-829D-E61CAF74B1F0}" srcOrd="6" destOrd="0" presId="urn:microsoft.com/office/officeart/2005/8/layout/default"/>
    <dgm:cxn modelId="{88A82CDD-D2AB-4807-9B5C-8841A345371F}" type="presParOf" srcId="{F3AB4A35-E2EB-4DBF-86FB-E54EE2B1FE62}" destId="{C6553CB9-846E-4509-B6CB-620C145D0E09}" srcOrd="7" destOrd="0" presId="urn:microsoft.com/office/officeart/2005/8/layout/default"/>
    <dgm:cxn modelId="{6C9BD60C-246D-474E-9CAF-3039EF2CFF29}" type="presParOf" srcId="{F3AB4A35-E2EB-4DBF-86FB-E54EE2B1FE62}" destId="{5800D369-D655-450A-A267-583A2F68A6F1}" srcOrd="8" destOrd="0" presId="urn:microsoft.com/office/officeart/2005/8/layout/default"/>
    <dgm:cxn modelId="{AA4DAFF4-32BE-40C8-9A89-A3CD59457983}" type="presParOf" srcId="{F3AB4A35-E2EB-4DBF-86FB-E54EE2B1FE62}" destId="{A3120A94-973F-4B44-8A46-565AD59DED29}" srcOrd="9" destOrd="0" presId="urn:microsoft.com/office/officeart/2005/8/layout/default"/>
    <dgm:cxn modelId="{DE2FD039-E4AF-47FA-98E2-CC92056CD87D}" type="presParOf" srcId="{F3AB4A35-E2EB-4DBF-86FB-E54EE2B1FE62}" destId="{2069F93F-EC36-45CA-81FA-E28CCFC4EDD2}" srcOrd="10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5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Empresas Previstas</a:t>
          </a:r>
          <a:br>
            <a:rPr lang="pt-BR" sz="36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Dez.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77745E09-BC33-4467-A7D0-00D63E26BF57}">
      <dgm:prSet phldrT="[Texto]"/>
      <dgm:spPr/>
      <dgm:t>
        <a:bodyPr/>
        <a:lstStyle/>
        <a:p>
          <a:endParaRPr lang="pt-BR"/>
        </a:p>
      </dgm:t>
    </dgm:pt>
    <dgm:pt modelId="{05C29930-DCA4-47D2-8F9D-D1F8B73BDC24}" type="parTrans" cxnId="{8CC35CB0-A234-4247-A746-9F1FDD0500DE}">
      <dgm:prSet/>
      <dgm:spPr/>
      <dgm:t>
        <a:bodyPr/>
        <a:lstStyle/>
        <a:p>
          <a:endParaRPr lang="pt-BR"/>
        </a:p>
      </dgm:t>
    </dgm:pt>
    <dgm:pt modelId="{5B9CC1F3-60FF-4ABF-8213-2DA0778BB206}" type="sibTrans" cxnId="{8CC35CB0-A234-4247-A746-9F1FDD0500DE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Média de execução</a:t>
          </a:r>
          <a:b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Empresa Atuais</a:t>
          </a:r>
          <a:b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5AF3E079-3959-4CCD-A44E-0F873ADAD033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33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384263FE-58EC-4D88-939D-1CB43D223098}" type="sibTrans" cxnId="{4DE81664-7605-4BC9-A127-C349A95161E8}">
      <dgm:prSet/>
      <dgm:spPr/>
      <dgm:t>
        <a:bodyPr/>
        <a:lstStyle/>
        <a:p>
          <a:endParaRPr lang="pt-BR"/>
        </a:p>
      </dgm:t>
    </dgm:pt>
    <dgm:pt modelId="{9FE727F0-10CB-477E-8549-5F86749F9D9D}" type="parTrans" cxnId="{4DE81664-7605-4BC9-A127-C349A95161E8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BA9D2ED0-16C9-44FB-8D9E-22F9C339ED18}" type="pres">
      <dgm:prSet presAssocID="{F0D8276B-5F8E-47CD-83BA-660329F4549E}" presName="node" presStyleLbl="node1" presStyleIdx="0" presStyleCnt="8">
        <dgm:presLayoutVars>
          <dgm:bulletEnabled val="1"/>
        </dgm:presLayoutVars>
      </dgm:prSet>
      <dgm:spPr/>
    </dgm:pt>
    <dgm:pt modelId="{8745EF1C-A4C9-4E6A-99FD-78BF7B12622C}" type="pres">
      <dgm:prSet presAssocID="{0D73E574-52F2-49BF-9E46-4279B23441E7}" presName="sibTrans" presStyleCnt="0"/>
      <dgm:spPr/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</dgm:pt>
    <dgm:pt modelId="{701E9B6D-506A-4B8B-B1E6-AB2D8DB9BB03}" type="pres">
      <dgm:prSet presAssocID="{1022C6E1-7F5E-4A04-9CD4-F8CDCBFA9BE3}" presName="sibTrans" presStyleCnt="0"/>
      <dgm:spPr/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</dgm:pt>
    <dgm:pt modelId="{4A1C71E8-C584-4258-87C4-328020FE1131}" type="pres">
      <dgm:prSet presAssocID="{7066175E-01F0-4FAF-BDE1-888990D25D74}" presName="sibTrans" presStyleCnt="0"/>
      <dgm:spPr/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</dgm:pt>
    <dgm:pt modelId="{C6553CB9-846E-4509-B6CB-620C145D0E09}" type="pres">
      <dgm:prSet presAssocID="{8484CB90-3EDF-4254-AC0E-CDBC59EB95EF}" presName="sibTrans" presStyleCnt="0"/>
      <dgm:spPr/>
    </dgm:pt>
    <dgm:pt modelId="{81E86E99-3676-4A87-9CCC-09470BFADE6D}" type="pres">
      <dgm:prSet presAssocID="{5AF3E079-3959-4CCD-A44E-0F873ADAD033}" presName="node" presStyleLbl="node1" presStyleIdx="4" presStyleCnt="8">
        <dgm:presLayoutVars>
          <dgm:bulletEnabled val="1"/>
        </dgm:presLayoutVars>
      </dgm:prSet>
      <dgm:spPr/>
    </dgm:pt>
    <dgm:pt modelId="{377F2A98-069B-4BD1-8E80-CF862BE0BD68}" type="pres">
      <dgm:prSet presAssocID="{384263FE-58EC-4D88-939D-1CB43D223098}" presName="sibTrans" presStyleCnt="0"/>
      <dgm:spPr/>
    </dgm:pt>
    <dgm:pt modelId="{0E296175-191A-4DDD-9AFD-C58180D0C5B1}" type="pres">
      <dgm:prSet presAssocID="{77745E09-BC33-4467-A7D0-00D63E26BF57}" presName="node" presStyleLbl="node1" presStyleIdx="5" presStyleCnt="8">
        <dgm:presLayoutVars>
          <dgm:bulletEnabled val="1"/>
        </dgm:presLayoutVars>
      </dgm:prSet>
      <dgm:spPr/>
    </dgm:pt>
    <dgm:pt modelId="{7714FE89-4579-418B-8464-0F4B85BAC6A5}" type="pres">
      <dgm:prSet presAssocID="{5B9CC1F3-60FF-4ABF-8213-2DA0778BB206}" presName="sibTrans" presStyleCnt="0"/>
      <dgm:spPr/>
    </dgm:pt>
    <dgm:pt modelId="{5800D369-D655-450A-A267-583A2F68A6F1}" type="pres">
      <dgm:prSet presAssocID="{40E3A9A0-3796-4A48-B2F5-5C63BFC42AC1}" presName="node" presStyleLbl="node1" presStyleIdx="6" presStyleCnt="8">
        <dgm:presLayoutVars>
          <dgm:bulletEnabled val="1"/>
        </dgm:presLayoutVars>
      </dgm:prSet>
      <dgm:spPr/>
    </dgm:pt>
    <dgm:pt modelId="{A3120A94-973F-4B44-8A46-565AD59DED29}" type="pres">
      <dgm:prSet presAssocID="{DD04B6C1-B38B-4696-9D68-BC369D6BA502}" presName="sibTrans" presStyleCnt="0"/>
      <dgm:spPr/>
    </dgm:pt>
    <dgm:pt modelId="{2069F93F-EC36-45CA-81FA-E28CCFC4EDD2}" type="pres">
      <dgm:prSet presAssocID="{5F2F899A-5BAA-4B36-B786-C4FA5DB84DE2}" presName="node" presStyleLbl="node1" presStyleIdx="7" presStyleCnt="8">
        <dgm:presLayoutVars>
          <dgm:bulletEnabled val="1"/>
        </dgm:presLayoutVars>
      </dgm:prSet>
      <dgm:spPr/>
    </dgm:pt>
  </dgm:ptLst>
  <dgm:cxnLst>
    <dgm:cxn modelId="{D2384901-56BD-4D12-B13F-CFCA82E1F3D9}" type="presOf" srcId="{0C5AA470-A2FC-4675-BBC5-FC07F000DB8B}" destId="{F3AB4A35-E2EB-4DBF-86FB-E54EE2B1FE62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5925E93D-C964-48E1-8A33-5C269FA84C86}" type="presOf" srcId="{F28F4473-498E-415A-A16F-A60D42C55427}" destId="{CB133F5D-DBBA-4B12-9FEC-4E54C8197093}" srcOrd="0" destOrd="0" presId="urn:microsoft.com/office/officeart/2005/8/layout/default"/>
    <dgm:cxn modelId="{4DE81664-7605-4BC9-A127-C349A95161E8}" srcId="{0C5AA470-A2FC-4675-BBC5-FC07F000DB8B}" destId="{5AF3E079-3959-4CCD-A44E-0F873ADAD033}" srcOrd="4" destOrd="0" parTransId="{9FE727F0-10CB-477E-8549-5F86749F9D9D}" sibTransId="{384263FE-58EC-4D88-939D-1CB43D223098}"/>
    <dgm:cxn modelId="{B958BD50-1BB3-45A9-A210-7DACD9CFC501}" type="presOf" srcId="{5AF3E079-3959-4CCD-A44E-0F873ADAD033}" destId="{81E86E99-3676-4A87-9CCC-09470BFADE6D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B158E183-C506-4C34-BE65-E1F127A560D3}" srcId="{0C5AA470-A2FC-4675-BBC5-FC07F000DB8B}" destId="{40E3A9A0-3796-4A48-B2F5-5C63BFC42AC1}" srcOrd="6" destOrd="0" parTransId="{6F0AB90E-55A6-42AC-8FFD-DFE7D5C5A47D}" sibTransId="{DD04B6C1-B38B-4696-9D68-BC369D6BA502}"/>
    <dgm:cxn modelId="{27565891-AF0E-4831-8C62-71D90D1EFAE2}" type="presOf" srcId="{F0D8276B-5F8E-47CD-83BA-660329F4549E}" destId="{BA9D2ED0-16C9-44FB-8D9E-22F9C339ED18}" srcOrd="0" destOrd="0" presId="urn:microsoft.com/office/officeart/2005/8/layout/default"/>
    <dgm:cxn modelId="{7704F592-3202-4006-8CAB-5C864EBD3C3D}" srcId="{0C5AA470-A2FC-4675-BBC5-FC07F000DB8B}" destId="{5F2F899A-5BAA-4B36-B786-C4FA5DB84DE2}" srcOrd="7" destOrd="0" parTransId="{08AE95AC-558E-438C-A19E-A0A388B3DCB6}" sibTransId="{9C525CED-778E-45D1-BAA1-570F41FFF524}"/>
    <dgm:cxn modelId="{2773B993-FBBD-4D05-BA87-03BA1E91E338}" type="presOf" srcId="{5F2F899A-5BAA-4B36-B786-C4FA5DB84DE2}" destId="{2069F93F-EC36-45CA-81FA-E28CCFC4EDD2}" srcOrd="0" destOrd="0" presId="urn:microsoft.com/office/officeart/2005/8/layout/default"/>
    <dgm:cxn modelId="{8CC35CB0-A234-4247-A746-9F1FDD0500DE}" srcId="{0C5AA470-A2FC-4675-BBC5-FC07F000DB8B}" destId="{77745E09-BC33-4467-A7D0-00D63E26BF57}" srcOrd="5" destOrd="0" parTransId="{05C29930-DCA4-47D2-8F9D-D1F8B73BDC24}" sibTransId="{5B9CC1F3-60FF-4ABF-8213-2DA0778BB206}"/>
    <dgm:cxn modelId="{19631FBD-CB59-4BA7-9A5C-56694A288106}" type="presOf" srcId="{4DF42217-B85D-4249-A568-5B509C0F84B5}" destId="{19166087-240F-4205-829D-E61CAF74B1F0}" srcOrd="0" destOrd="0" presId="urn:microsoft.com/office/officeart/2005/8/layout/default"/>
    <dgm:cxn modelId="{F1E949C3-E926-4C58-8F6B-90B4B6228FF4}" type="presOf" srcId="{77745E09-BC33-4467-A7D0-00D63E26BF57}" destId="{0E296175-191A-4DDD-9AFD-C58180D0C5B1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105BEFF4-D8AD-47C8-81DC-5325D2B5C1CD}" type="presOf" srcId="{F6B446C0-6E43-4493-B573-1F94BA4F7210}" destId="{C221B9C3-A015-449B-9E50-6721626A9470}" srcOrd="0" destOrd="0" presId="urn:microsoft.com/office/officeart/2005/8/layout/default"/>
    <dgm:cxn modelId="{81F633F9-17F2-41A0-A87C-DECC4856664C}" type="presOf" srcId="{40E3A9A0-3796-4A48-B2F5-5C63BFC42AC1}" destId="{5800D369-D655-450A-A267-583A2F68A6F1}" srcOrd="0" destOrd="0" presId="urn:microsoft.com/office/officeart/2005/8/layout/default"/>
    <dgm:cxn modelId="{A65BD774-4BD3-4F37-B62E-A55372A7E176}" type="presParOf" srcId="{F3AB4A35-E2EB-4DBF-86FB-E54EE2B1FE62}" destId="{BA9D2ED0-16C9-44FB-8D9E-22F9C339ED18}" srcOrd="0" destOrd="0" presId="urn:microsoft.com/office/officeart/2005/8/layout/default"/>
    <dgm:cxn modelId="{0AE27649-0D32-42F1-B5BD-7BB2CE6C00CC}" type="presParOf" srcId="{F3AB4A35-E2EB-4DBF-86FB-E54EE2B1FE62}" destId="{8745EF1C-A4C9-4E6A-99FD-78BF7B12622C}" srcOrd="1" destOrd="0" presId="urn:microsoft.com/office/officeart/2005/8/layout/default"/>
    <dgm:cxn modelId="{054C645C-0A53-477E-B4E8-A1021C32B889}" type="presParOf" srcId="{F3AB4A35-E2EB-4DBF-86FB-E54EE2B1FE62}" destId="{CB133F5D-DBBA-4B12-9FEC-4E54C8197093}" srcOrd="2" destOrd="0" presId="urn:microsoft.com/office/officeart/2005/8/layout/default"/>
    <dgm:cxn modelId="{9BF8BFB5-4070-49C8-BF13-B5AA4E4E7634}" type="presParOf" srcId="{F3AB4A35-E2EB-4DBF-86FB-E54EE2B1FE62}" destId="{701E9B6D-506A-4B8B-B1E6-AB2D8DB9BB03}" srcOrd="3" destOrd="0" presId="urn:microsoft.com/office/officeart/2005/8/layout/default"/>
    <dgm:cxn modelId="{3852FEDC-ED42-4E29-90CF-8FDE22E90523}" type="presParOf" srcId="{F3AB4A35-E2EB-4DBF-86FB-E54EE2B1FE62}" destId="{C221B9C3-A015-449B-9E50-6721626A9470}" srcOrd="4" destOrd="0" presId="urn:microsoft.com/office/officeart/2005/8/layout/default"/>
    <dgm:cxn modelId="{329ABD8B-01D4-48D7-B630-6F441EAA6E2E}" type="presParOf" srcId="{F3AB4A35-E2EB-4DBF-86FB-E54EE2B1FE62}" destId="{4A1C71E8-C584-4258-87C4-328020FE1131}" srcOrd="5" destOrd="0" presId="urn:microsoft.com/office/officeart/2005/8/layout/default"/>
    <dgm:cxn modelId="{888F186B-8BE9-4642-BE51-B941CD5B9C77}" type="presParOf" srcId="{F3AB4A35-E2EB-4DBF-86FB-E54EE2B1FE62}" destId="{19166087-240F-4205-829D-E61CAF74B1F0}" srcOrd="6" destOrd="0" presId="urn:microsoft.com/office/officeart/2005/8/layout/default"/>
    <dgm:cxn modelId="{29856311-D990-4E04-9281-40EF47ABA5FE}" type="presParOf" srcId="{F3AB4A35-E2EB-4DBF-86FB-E54EE2B1FE62}" destId="{C6553CB9-846E-4509-B6CB-620C145D0E09}" srcOrd="7" destOrd="0" presId="urn:microsoft.com/office/officeart/2005/8/layout/default"/>
    <dgm:cxn modelId="{7CC83601-3969-49AB-8892-BA14D4E75FD1}" type="presParOf" srcId="{F3AB4A35-E2EB-4DBF-86FB-E54EE2B1FE62}" destId="{81E86E99-3676-4A87-9CCC-09470BFADE6D}" srcOrd="8" destOrd="0" presId="urn:microsoft.com/office/officeart/2005/8/layout/default"/>
    <dgm:cxn modelId="{3B8A4EF8-2A4B-41CE-8E65-ECCBE379E32C}" type="presParOf" srcId="{F3AB4A35-E2EB-4DBF-86FB-E54EE2B1FE62}" destId="{377F2A98-069B-4BD1-8E80-CF862BE0BD68}" srcOrd="9" destOrd="0" presId="urn:microsoft.com/office/officeart/2005/8/layout/default"/>
    <dgm:cxn modelId="{AA95724F-A622-4AB7-87B1-4A4234867CA1}" type="presParOf" srcId="{F3AB4A35-E2EB-4DBF-86FB-E54EE2B1FE62}" destId="{0E296175-191A-4DDD-9AFD-C58180D0C5B1}" srcOrd="10" destOrd="0" presId="urn:microsoft.com/office/officeart/2005/8/layout/default"/>
    <dgm:cxn modelId="{E9CC0166-0692-4925-A0FD-D71CC9158648}" type="presParOf" srcId="{F3AB4A35-E2EB-4DBF-86FB-E54EE2B1FE62}" destId="{7714FE89-4579-418B-8464-0F4B85BAC6A5}" srcOrd="11" destOrd="0" presId="urn:microsoft.com/office/officeart/2005/8/layout/default"/>
    <dgm:cxn modelId="{83468CBB-D031-42CB-9160-003138C1BE17}" type="presParOf" srcId="{F3AB4A35-E2EB-4DBF-86FB-E54EE2B1FE62}" destId="{5800D369-D655-450A-A267-583A2F68A6F1}" srcOrd="12" destOrd="0" presId="urn:microsoft.com/office/officeart/2005/8/layout/default"/>
    <dgm:cxn modelId="{E8C199CC-10F8-49C0-A567-915C5618EBAF}" type="presParOf" srcId="{F3AB4A35-E2EB-4DBF-86FB-E54EE2B1FE62}" destId="{A3120A94-973F-4B44-8A46-565AD59DED29}" srcOrd="13" destOrd="0" presId="urn:microsoft.com/office/officeart/2005/8/layout/default"/>
    <dgm:cxn modelId="{A25B98B6-D2C2-4BCE-9E82-92D5243A22C2}" type="presParOf" srcId="{F3AB4A35-E2EB-4DBF-86FB-E54EE2B1FE62}" destId="{2069F93F-EC36-45CA-81FA-E28CCFC4EDD2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6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400">
              <a:solidFill>
                <a:schemeClr val="bg1"/>
              </a:solidFill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Adimplência PJ</a:t>
          </a:r>
          <a:br>
            <a:rPr lang="pt-BR" sz="27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Jan. a </a:t>
          </a:r>
          <a:r>
            <a:rPr lang="pt-BR" sz="1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Abr.</a:t>
          </a:r>
          <a:endParaRPr lang="pt-BR" sz="1400">
            <a:effectLst>
              <a:outerShdw blurRad="127000" algn="ctr" rotWithShape="0">
                <a:srgbClr val="000000">
                  <a:alpha val="85%"/>
                </a:srgbClr>
              </a:outerShdw>
            </a:effectLst>
          </a:endParaRP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5AF3E079-3959-4CCD-A44E-0F873ADAD033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600">
              <a:solidFill>
                <a:schemeClr val="bg1"/>
              </a:solidFill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Adimplência PJ</a:t>
          </a:r>
          <a:br>
            <a:rPr lang="pt-BR" sz="26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14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Previsto - Jan. a Dez.</a:t>
          </a:r>
        </a:p>
      </dgm:t>
    </dgm:pt>
    <dgm:pt modelId="{384263FE-58EC-4D88-939D-1CB43D223098}" type="sibTrans" cxnId="{4DE81664-7605-4BC9-A127-C349A95161E8}">
      <dgm:prSet/>
      <dgm:spPr/>
      <dgm:t>
        <a:bodyPr/>
        <a:lstStyle/>
        <a:p>
          <a:endParaRPr lang="pt-BR"/>
        </a:p>
      </dgm:t>
    </dgm:pt>
    <dgm:pt modelId="{9FE727F0-10CB-477E-8549-5F86749F9D9D}" type="parTrans" cxnId="{4DE81664-7605-4BC9-A127-C349A95161E8}">
      <dgm:prSet/>
      <dgm:spPr/>
      <dgm:t>
        <a:bodyPr/>
        <a:lstStyle/>
        <a:p>
          <a:endParaRPr lang="pt-BR"/>
        </a:p>
      </dgm:t>
    </dgm:pt>
    <dgm:pt modelId="{77745E09-BC33-4467-A7D0-00D63E26BF57}">
      <dgm:prSet phldrT="[Texto]"/>
      <dgm:spPr/>
      <dgm:t>
        <a:bodyPr/>
        <a:lstStyle/>
        <a:p>
          <a:endParaRPr lang="pt-BR"/>
        </a:p>
      </dgm:t>
    </dgm:pt>
    <dgm:pt modelId="{5B9CC1F3-60FF-4ABF-8213-2DA0778BB206}" type="sibTrans" cxnId="{8CC35CB0-A234-4247-A746-9F1FDD0500DE}">
      <dgm:prSet/>
      <dgm:spPr/>
      <dgm:t>
        <a:bodyPr/>
        <a:lstStyle/>
        <a:p>
          <a:endParaRPr lang="pt-BR"/>
        </a:p>
      </dgm:t>
    </dgm:pt>
    <dgm:pt modelId="{05C29930-DCA4-47D2-8F9D-D1F8B73BDC24}" type="parTrans" cxnId="{8CC35CB0-A234-4247-A746-9F1FDD0500DE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81E86E99-3676-4A87-9CCC-09470BFADE6D}" type="pres">
      <dgm:prSet presAssocID="{5AF3E079-3959-4CCD-A44E-0F873ADAD033}" presName="node" presStyleLbl="node1" presStyleIdx="0" presStyleCnt="4">
        <dgm:presLayoutVars>
          <dgm:bulletEnabled val="1"/>
        </dgm:presLayoutVars>
      </dgm:prSet>
      <dgm:spPr/>
    </dgm:pt>
    <dgm:pt modelId="{377F2A98-069B-4BD1-8E80-CF862BE0BD68}" type="pres">
      <dgm:prSet presAssocID="{384263FE-58EC-4D88-939D-1CB43D223098}" presName="sibTrans" presStyleCnt="0"/>
      <dgm:spPr/>
    </dgm:pt>
    <dgm:pt modelId="{0E296175-191A-4DDD-9AFD-C58180D0C5B1}" type="pres">
      <dgm:prSet presAssocID="{77745E09-BC33-4467-A7D0-00D63E26BF57}" presName="node" presStyleLbl="node1" presStyleIdx="1" presStyleCnt="4">
        <dgm:presLayoutVars>
          <dgm:bulletEnabled val="1"/>
        </dgm:presLayoutVars>
      </dgm:prSet>
      <dgm:spPr/>
    </dgm:pt>
    <dgm:pt modelId="{7714FE89-4579-418B-8464-0F4B85BAC6A5}" type="pres">
      <dgm:prSet presAssocID="{5B9CC1F3-60FF-4ABF-8213-2DA0778BB206}" presName="sibTrans" presStyleCnt="0"/>
      <dgm:spPr/>
    </dgm:pt>
    <dgm:pt modelId="{5800D369-D655-450A-A267-583A2F68A6F1}" type="pres">
      <dgm:prSet presAssocID="{40E3A9A0-3796-4A48-B2F5-5C63BFC42AC1}" presName="node" presStyleLbl="node1" presStyleIdx="2" presStyleCnt="4">
        <dgm:presLayoutVars>
          <dgm:bulletEnabled val="1"/>
        </dgm:presLayoutVars>
      </dgm:prSet>
      <dgm:spPr/>
    </dgm:pt>
    <dgm:pt modelId="{A3120A94-973F-4B44-8A46-565AD59DED29}" type="pres">
      <dgm:prSet presAssocID="{DD04B6C1-B38B-4696-9D68-BC369D6BA502}" presName="sibTrans" presStyleCnt="0"/>
      <dgm:spPr/>
    </dgm:pt>
    <dgm:pt modelId="{2069F93F-EC36-45CA-81FA-E28CCFC4EDD2}" type="pres">
      <dgm:prSet presAssocID="{5F2F899A-5BAA-4B36-B786-C4FA5DB84DE2}" presName="node" presStyleLbl="node1" presStyleIdx="3" presStyleCnt="4">
        <dgm:presLayoutVars>
          <dgm:bulletEnabled val="1"/>
        </dgm:presLayoutVars>
      </dgm:prSet>
      <dgm:spPr/>
    </dgm:pt>
  </dgm:ptLst>
  <dgm:cxnLst>
    <dgm:cxn modelId="{4DE81664-7605-4BC9-A127-C349A95161E8}" srcId="{0C5AA470-A2FC-4675-BBC5-FC07F000DB8B}" destId="{5AF3E079-3959-4CCD-A44E-0F873ADAD033}" srcOrd="0" destOrd="0" parTransId="{9FE727F0-10CB-477E-8549-5F86749F9D9D}" sibTransId="{384263FE-58EC-4D88-939D-1CB43D223098}"/>
    <dgm:cxn modelId="{6B522070-BF0F-4C01-BB36-CEA1BE724E0A}" type="presOf" srcId="{77745E09-BC33-4467-A7D0-00D63E26BF57}" destId="{0E296175-191A-4DDD-9AFD-C58180D0C5B1}" srcOrd="0" destOrd="0" presId="urn:microsoft.com/office/officeart/2005/8/layout/default"/>
    <dgm:cxn modelId="{A7433481-001F-4F11-8F75-23D4B7DEFB3C}" type="presOf" srcId="{5AF3E079-3959-4CCD-A44E-0F873ADAD033}" destId="{81E86E99-3676-4A87-9CCC-09470BFADE6D}" srcOrd="0" destOrd="0" presId="urn:microsoft.com/office/officeart/2005/8/layout/default"/>
    <dgm:cxn modelId="{B158E183-C506-4C34-BE65-E1F127A560D3}" srcId="{0C5AA470-A2FC-4675-BBC5-FC07F000DB8B}" destId="{40E3A9A0-3796-4A48-B2F5-5C63BFC42AC1}" srcOrd="2" destOrd="0" parTransId="{6F0AB90E-55A6-42AC-8FFD-DFE7D5C5A47D}" sibTransId="{DD04B6C1-B38B-4696-9D68-BC369D6BA502}"/>
    <dgm:cxn modelId="{7704F592-3202-4006-8CAB-5C864EBD3C3D}" srcId="{0C5AA470-A2FC-4675-BBC5-FC07F000DB8B}" destId="{5F2F899A-5BAA-4B36-B786-C4FA5DB84DE2}" srcOrd="3" destOrd="0" parTransId="{08AE95AC-558E-438C-A19E-A0A388B3DCB6}" sibTransId="{9C525CED-778E-45D1-BAA1-570F41FFF524}"/>
    <dgm:cxn modelId="{8CC35CB0-A234-4247-A746-9F1FDD0500DE}" srcId="{0C5AA470-A2FC-4675-BBC5-FC07F000DB8B}" destId="{77745E09-BC33-4467-A7D0-00D63E26BF57}" srcOrd="1" destOrd="0" parTransId="{05C29930-DCA4-47D2-8F9D-D1F8B73BDC24}" sibTransId="{5B9CC1F3-60FF-4ABF-8213-2DA0778BB206}"/>
    <dgm:cxn modelId="{8B978BC7-C781-44E2-BAC4-FC9173ACC27A}" type="presOf" srcId="{40E3A9A0-3796-4A48-B2F5-5C63BFC42AC1}" destId="{5800D369-D655-450A-A267-583A2F68A6F1}" srcOrd="0" destOrd="0" presId="urn:microsoft.com/office/officeart/2005/8/layout/default"/>
    <dgm:cxn modelId="{827EC5D7-B9A1-497E-AF76-17E755795722}" type="presOf" srcId="{0C5AA470-A2FC-4675-BBC5-FC07F000DB8B}" destId="{F3AB4A35-E2EB-4DBF-86FB-E54EE2B1FE62}" srcOrd="0" destOrd="0" presId="urn:microsoft.com/office/officeart/2005/8/layout/default"/>
    <dgm:cxn modelId="{BE6CA1E9-63FB-4996-B83C-E8500D48EA5E}" type="presOf" srcId="{5F2F899A-5BAA-4B36-B786-C4FA5DB84DE2}" destId="{2069F93F-EC36-45CA-81FA-E28CCFC4EDD2}" srcOrd="0" destOrd="0" presId="urn:microsoft.com/office/officeart/2005/8/layout/default"/>
    <dgm:cxn modelId="{70A01766-CAF4-4776-B319-B38DF640BA2B}" type="presParOf" srcId="{F3AB4A35-E2EB-4DBF-86FB-E54EE2B1FE62}" destId="{81E86E99-3676-4A87-9CCC-09470BFADE6D}" srcOrd="0" destOrd="0" presId="urn:microsoft.com/office/officeart/2005/8/layout/default"/>
    <dgm:cxn modelId="{40D4D567-F344-4387-B1CD-9A0C474EC16B}" type="presParOf" srcId="{F3AB4A35-E2EB-4DBF-86FB-E54EE2B1FE62}" destId="{377F2A98-069B-4BD1-8E80-CF862BE0BD68}" srcOrd="1" destOrd="0" presId="urn:microsoft.com/office/officeart/2005/8/layout/default"/>
    <dgm:cxn modelId="{0E2BECBA-B9D3-4C58-8DB1-852F28BF61F7}" type="presParOf" srcId="{F3AB4A35-E2EB-4DBF-86FB-E54EE2B1FE62}" destId="{0E296175-191A-4DDD-9AFD-C58180D0C5B1}" srcOrd="2" destOrd="0" presId="urn:microsoft.com/office/officeart/2005/8/layout/default"/>
    <dgm:cxn modelId="{C6802C67-26FA-4683-AE7D-4269F21F202C}" type="presParOf" srcId="{F3AB4A35-E2EB-4DBF-86FB-E54EE2B1FE62}" destId="{7714FE89-4579-418B-8464-0F4B85BAC6A5}" srcOrd="3" destOrd="0" presId="urn:microsoft.com/office/officeart/2005/8/layout/default"/>
    <dgm:cxn modelId="{B7A5E27C-38EC-4535-9714-F3B2B0694168}" type="presParOf" srcId="{F3AB4A35-E2EB-4DBF-86FB-E54EE2B1FE62}" destId="{5800D369-D655-450A-A267-583A2F68A6F1}" srcOrd="4" destOrd="0" presId="urn:microsoft.com/office/officeart/2005/8/layout/default"/>
    <dgm:cxn modelId="{22D55AC7-3628-4390-883D-FC7BB108161A}" type="presParOf" srcId="{F3AB4A35-E2EB-4DBF-86FB-E54EE2B1FE62}" destId="{A3120A94-973F-4B44-8A46-565AD59DED29}" srcOrd="5" destOrd="0" presId="urn:microsoft.com/office/officeart/2005/8/layout/default"/>
    <dgm:cxn modelId="{42D63F61-ADC5-4D05-A9FD-37869201B4D4}" type="presParOf" srcId="{F3AB4A35-E2EB-4DBF-86FB-E54EE2B1FE62}" destId="{2069F93F-EC36-45CA-81FA-E28CCFC4EDD2}" srcOrd="6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7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 </a:t>
          </a:r>
          <a:r>
            <a:rPr lang="pt-BR" sz="20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2019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Média de execução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8918B4A0-50B2-4C12-A35A-46BE8128BF63}">
      <dgm:prSet/>
      <dgm:spPr/>
      <dgm:t>
        <a:bodyPr/>
        <a:lstStyle/>
        <a:p>
          <a:endParaRPr lang="pt-BR"/>
        </a:p>
      </dgm:t>
    </dgm:pt>
    <dgm:pt modelId="{D8527542-C4AC-4B35-9671-87EA07F3C5A2}" type="parTrans" cxnId="{9F8A78CE-143B-488A-9BB5-D7B280BDDB71}">
      <dgm:prSet/>
      <dgm:spPr/>
      <dgm:t>
        <a:bodyPr/>
        <a:lstStyle/>
        <a:p>
          <a:endParaRPr lang="pt-BR"/>
        </a:p>
      </dgm:t>
    </dgm:pt>
    <dgm:pt modelId="{F244435A-76BC-45B1-B7ED-7C9FE8513941}" type="sibTrans" cxnId="{9F8A78CE-143B-488A-9BB5-D7B280BDDB71}">
      <dgm:prSet/>
      <dgm:spPr/>
      <dgm:t>
        <a:bodyPr/>
        <a:lstStyle/>
        <a:p>
          <a:endParaRPr lang="pt-BR"/>
        </a:p>
      </dgm:t>
    </dgm:pt>
    <dgm:pt modelId="{BE1EA09F-8CE9-49DC-92EE-F540C65010BB}">
      <dgm:prSet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Comparativo</a:t>
          </a:r>
          <a:b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YoY</a:t>
          </a:r>
        </a:p>
      </dgm:t>
    </dgm:pt>
    <dgm:pt modelId="{352ECD4B-5EC6-4813-AA4F-1652AD5245A8}" type="parTrans" cxnId="{FA1C97D6-7BAF-4165-8AF0-3DF2CD2D8CAA}">
      <dgm:prSet/>
      <dgm:spPr/>
      <dgm:t>
        <a:bodyPr/>
        <a:lstStyle/>
        <a:p>
          <a:endParaRPr lang="pt-BR"/>
        </a:p>
      </dgm:t>
    </dgm:pt>
    <dgm:pt modelId="{F0EDC0F1-F5A6-4B37-A5D1-B8D255617E13}" type="sibTrans" cxnId="{FA1C97D6-7BAF-4165-8AF0-3DF2CD2D8CAA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BA9D2ED0-16C9-44FB-8D9E-22F9C339ED18}" type="pres">
      <dgm:prSet presAssocID="{F0D8276B-5F8E-47CD-83BA-660329F4549E}" presName="node" presStyleLbl="node1" presStyleIdx="0" presStyleCnt="8">
        <dgm:presLayoutVars>
          <dgm:bulletEnabled val="1"/>
        </dgm:presLayoutVars>
      </dgm:prSet>
      <dgm:spPr/>
    </dgm:pt>
    <dgm:pt modelId="{8745EF1C-A4C9-4E6A-99FD-78BF7B12622C}" type="pres">
      <dgm:prSet presAssocID="{0D73E574-52F2-49BF-9E46-4279B23441E7}" presName="sibTrans" presStyleCnt="0"/>
      <dgm:spPr/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</dgm:pt>
    <dgm:pt modelId="{701E9B6D-506A-4B8B-B1E6-AB2D8DB9BB03}" type="pres">
      <dgm:prSet presAssocID="{1022C6E1-7F5E-4A04-9CD4-F8CDCBFA9BE3}" presName="sibTrans" presStyleCnt="0"/>
      <dgm:spPr/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</dgm:pt>
    <dgm:pt modelId="{4A1C71E8-C584-4258-87C4-328020FE1131}" type="pres">
      <dgm:prSet presAssocID="{7066175E-01F0-4FAF-BDE1-888990D25D74}" presName="sibTrans" presStyleCnt="0"/>
      <dgm:spPr/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</dgm:pt>
    <dgm:pt modelId="{C6553CB9-846E-4509-B6CB-620C145D0E09}" type="pres">
      <dgm:prSet presAssocID="{8484CB90-3EDF-4254-AC0E-CDBC59EB95EF}" presName="sibTrans" presStyleCnt="0"/>
      <dgm:spPr/>
    </dgm:pt>
    <dgm:pt modelId="{5800D369-D655-450A-A267-583A2F68A6F1}" type="pres">
      <dgm:prSet presAssocID="{40E3A9A0-3796-4A48-B2F5-5C63BFC42AC1}" presName="node" presStyleLbl="node1" presStyleIdx="4" presStyleCnt="8">
        <dgm:presLayoutVars>
          <dgm:bulletEnabled val="1"/>
        </dgm:presLayoutVars>
      </dgm:prSet>
      <dgm:spPr/>
    </dgm:pt>
    <dgm:pt modelId="{A3120A94-973F-4B44-8A46-565AD59DED29}" type="pres">
      <dgm:prSet presAssocID="{DD04B6C1-B38B-4696-9D68-BC369D6BA502}" presName="sibTrans" presStyleCnt="0"/>
      <dgm:spPr/>
    </dgm:pt>
    <dgm:pt modelId="{1EDBA391-CE45-4122-A2BD-AC939FFB038A}" type="pres">
      <dgm:prSet presAssocID="{8918B4A0-50B2-4C12-A35A-46BE8128BF63}" presName="node" presStyleLbl="node1" presStyleIdx="5" presStyleCnt="8">
        <dgm:presLayoutVars>
          <dgm:bulletEnabled val="1"/>
        </dgm:presLayoutVars>
      </dgm:prSet>
      <dgm:spPr/>
    </dgm:pt>
    <dgm:pt modelId="{6A03171D-3477-4618-BB50-EC04C09AFDAA}" type="pres">
      <dgm:prSet presAssocID="{F244435A-76BC-45B1-B7ED-7C9FE8513941}" presName="sibTrans" presStyleCnt="0"/>
      <dgm:spPr/>
    </dgm:pt>
    <dgm:pt modelId="{26C29F5A-5C9B-4D16-A9F5-DF7736AB47DF}" type="pres">
      <dgm:prSet presAssocID="{BE1EA09F-8CE9-49DC-92EE-F540C65010BB}" presName="node" presStyleLbl="node1" presStyleIdx="6" presStyleCnt="8">
        <dgm:presLayoutVars>
          <dgm:bulletEnabled val="1"/>
        </dgm:presLayoutVars>
      </dgm:prSet>
      <dgm:spPr/>
    </dgm:pt>
    <dgm:pt modelId="{46E90995-A60B-4608-A51C-6EF572F91007}" type="pres">
      <dgm:prSet presAssocID="{F0EDC0F1-F5A6-4B37-A5D1-B8D255617E13}" presName="sibTrans" presStyleCnt="0"/>
      <dgm:spPr/>
    </dgm:pt>
    <dgm:pt modelId="{2069F93F-EC36-45CA-81FA-E28CCFC4EDD2}" type="pres">
      <dgm:prSet presAssocID="{5F2F899A-5BAA-4B36-B786-C4FA5DB84DE2}" presName="node" presStyleLbl="node1" presStyleIdx="7" presStyleCnt="8">
        <dgm:presLayoutVars>
          <dgm:bulletEnabled val="1"/>
        </dgm:presLayoutVars>
      </dgm:prSet>
      <dgm:spPr/>
    </dgm:pt>
  </dgm:ptLst>
  <dgm:cxnLst>
    <dgm:cxn modelId="{2C239D01-11AC-425D-AD4F-152DD124D937}" type="presOf" srcId="{F6B446C0-6E43-4493-B573-1F94BA4F7210}" destId="{C221B9C3-A015-449B-9E50-6721626A9470}" srcOrd="0" destOrd="0" presId="urn:microsoft.com/office/officeart/2005/8/layout/default"/>
    <dgm:cxn modelId="{0EB3B403-BEB6-4BAF-A064-33A66C428A1E}" type="presOf" srcId="{8918B4A0-50B2-4C12-A35A-46BE8128BF63}" destId="{1EDBA391-CE45-4122-A2BD-AC939FFB038A}" srcOrd="0" destOrd="0" presId="urn:microsoft.com/office/officeart/2005/8/layout/default"/>
    <dgm:cxn modelId="{39692E14-1646-4D8C-B789-AE85F3001E1A}" type="presOf" srcId="{4DF42217-B85D-4249-A568-5B509C0F84B5}" destId="{19166087-240F-4205-829D-E61CAF74B1F0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9379BA54-7299-494B-9653-5AEDE786002F}" type="presOf" srcId="{40E3A9A0-3796-4A48-B2F5-5C63BFC42AC1}" destId="{5800D369-D655-450A-A267-583A2F68A6F1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C40D7991-49B4-4608-AC07-0AEE9CB3097B}" type="presOf" srcId="{BE1EA09F-8CE9-49DC-92EE-F540C65010BB}" destId="{26C29F5A-5C9B-4D16-A9F5-DF7736AB47DF}" srcOrd="0" destOrd="0" presId="urn:microsoft.com/office/officeart/2005/8/layout/default"/>
    <dgm:cxn modelId="{7704F592-3202-4006-8CAB-5C864EBD3C3D}" srcId="{0C5AA470-A2FC-4675-BBC5-FC07F000DB8B}" destId="{5F2F899A-5BAA-4B36-B786-C4FA5DB84DE2}" srcOrd="7" destOrd="0" parTransId="{08AE95AC-558E-438C-A19E-A0A388B3DCB6}" sibTransId="{9C525CED-778E-45D1-BAA1-570F41FFF524}"/>
    <dgm:cxn modelId="{FBEC7CAC-94AC-46B1-B569-FEAE10C7471D}" type="presOf" srcId="{F28F4473-498E-415A-A16F-A60D42C55427}" destId="{CB133F5D-DBBA-4B12-9FEC-4E54C8197093}" srcOrd="0" destOrd="0" presId="urn:microsoft.com/office/officeart/2005/8/layout/default"/>
    <dgm:cxn modelId="{9F8A78CE-143B-488A-9BB5-D7B280BDDB71}" srcId="{0C5AA470-A2FC-4675-BBC5-FC07F000DB8B}" destId="{8918B4A0-50B2-4C12-A35A-46BE8128BF63}" srcOrd="5" destOrd="0" parTransId="{D8527542-C4AC-4B35-9671-87EA07F3C5A2}" sibTransId="{F244435A-76BC-45B1-B7ED-7C9FE8513941}"/>
    <dgm:cxn modelId="{B8BEE3D1-2141-492B-A18B-AB5041A33F3D}" type="presOf" srcId="{F0D8276B-5F8E-47CD-83BA-660329F4549E}" destId="{BA9D2ED0-16C9-44FB-8D9E-22F9C339ED18}" srcOrd="0" destOrd="0" presId="urn:microsoft.com/office/officeart/2005/8/layout/default"/>
    <dgm:cxn modelId="{FA1C97D6-7BAF-4165-8AF0-3DF2CD2D8CAA}" srcId="{0C5AA470-A2FC-4675-BBC5-FC07F000DB8B}" destId="{BE1EA09F-8CE9-49DC-92EE-F540C65010BB}" srcOrd="6" destOrd="0" parTransId="{352ECD4B-5EC6-4813-AA4F-1652AD5245A8}" sibTransId="{F0EDC0F1-F5A6-4B37-A5D1-B8D255617E13}"/>
    <dgm:cxn modelId="{640EFFD9-24EA-4FA5-A8A9-4F33512D6049}" type="presOf" srcId="{0C5AA470-A2FC-4675-BBC5-FC07F000DB8B}" destId="{F3AB4A35-E2EB-4DBF-86FB-E54EE2B1FE62}" srcOrd="0" destOrd="0" presId="urn:microsoft.com/office/officeart/2005/8/layout/default"/>
    <dgm:cxn modelId="{E07379E7-29EE-4949-973B-25ED921B8470}" type="presOf" srcId="{5F2F899A-5BAA-4B36-B786-C4FA5DB84DE2}" destId="{2069F93F-EC36-45CA-81FA-E28CCFC4EDD2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7A367255-4619-4F00-9EDB-843201FB097D}" type="presParOf" srcId="{F3AB4A35-E2EB-4DBF-86FB-E54EE2B1FE62}" destId="{BA9D2ED0-16C9-44FB-8D9E-22F9C339ED18}" srcOrd="0" destOrd="0" presId="urn:microsoft.com/office/officeart/2005/8/layout/default"/>
    <dgm:cxn modelId="{C17E9ACD-E960-4291-BF09-DD872BF6227C}" type="presParOf" srcId="{F3AB4A35-E2EB-4DBF-86FB-E54EE2B1FE62}" destId="{8745EF1C-A4C9-4E6A-99FD-78BF7B12622C}" srcOrd="1" destOrd="0" presId="urn:microsoft.com/office/officeart/2005/8/layout/default"/>
    <dgm:cxn modelId="{CFE84F36-630D-49FD-A349-709F75208F51}" type="presParOf" srcId="{F3AB4A35-E2EB-4DBF-86FB-E54EE2B1FE62}" destId="{CB133F5D-DBBA-4B12-9FEC-4E54C8197093}" srcOrd="2" destOrd="0" presId="urn:microsoft.com/office/officeart/2005/8/layout/default"/>
    <dgm:cxn modelId="{1648A257-CA35-407F-951D-64F1629E55DB}" type="presParOf" srcId="{F3AB4A35-E2EB-4DBF-86FB-E54EE2B1FE62}" destId="{701E9B6D-506A-4B8B-B1E6-AB2D8DB9BB03}" srcOrd="3" destOrd="0" presId="urn:microsoft.com/office/officeart/2005/8/layout/default"/>
    <dgm:cxn modelId="{434E1B12-E5C9-4733-B9CC-E41A23440012}" type="presParOf" srcId="{F3AB4A35-E2EB-4DBF-86FB-E54EE2B1FE62}" destId="{C221B9C3-A015-449B-9E50-6721626A9470}" srcOrd="4" destOrd="0" presId="urn:microsoft.com/office/officeart/2005/8/layout/default"/>
    <dgm:cxn modelId="{4FE5C63A-DE38-4094-A88C-78848F541C28}" type="presParOf" srcId="{F3AB4A35-E2EB-4DBF-86FB-E54EE2B1FE62}" destId="{4A1C71E8-C584-4258-87C4-328020FE1131}" srcOrd="5" destOrd="0" presId="urn:microsoft.com/office/officeart/2005/8/layout/default"/>
    <dgm:cxn modelId="{23DF6BF9-DA91-4C7F-B724-B666FD50A33C}" type="presParOf" srcId="{F3AB4A35-E2EB-4DBF-86FB-E54EE2B1FE62}" destId="{19166087-240F-4205-829D-E61CAF74B1F0}" srcOrd="6" destOrd="0" presId="urn:microsoft.com/office/officeart/2005/8/layout/default"/>
    <dgm:cxn modelId="{5190B2E5-5087-4432-9330-4F72BA8BF902}" type="presParOf" srcId="{F3AB4A35-E2EB-4DBF-86FB-E54EE2B1FE62}" destId="{C6553CB9-846E-4509-B6CB-620C145D0E09}" srcOrd="7" destOrd="0" presId="urn:microsoft.com/office/officeart/2005/8/layout/default"/>
    <dgm:cxn modelId="{5B455501-9129-445E-8CD5-BB9CF09F1840}" type="presParOf" srcId="{F3AB4A35-E2EB-4DBF-86FB-E54EE2B1FE62}" destId="{5800D369-D655-450A-A267-583A2F68A6F1}" srcOrd="8" destOrd="0" presId="urn:microsoft.com/office/officeart/2005/8/layout/default"/>
    <dgm:cxn modelId="{5C5D220C-9C47-48A1-B28E-C2FF2844D0FC}" type="presParOf" srcId="{F3AB4A35-E2EB-4DBF-86FB-E54EE2B1FE62}" destId="{A3120A94-973F-4B44-8A46-565AD59DED29}" srcOrd="9" destOrd="0" presId="urn:microsoft.com/office/officeart/2005/8/layout/default"/>
    <dgm:cxn modelId="{480F1418-697A-44E4-8BA0-9C94D685B5F2}" type="presParOf" srcId="{F3AB4A35-E2EB-4DBF-86FB-E54EE2B1FE62}" destId="{1EDBA391-CE45-4122-A2BD-AC939FFB038A}" srcOrd="10" destOrd="0" presId="urn:microsoft.com/office/officeart/2005/8/layout/default"/>
    <dgm:cxn modelId="{ECC65808-1785-4D42-8F1F-B2DB3262A22D}" type="presParOf" srcId="{F3AB4A35-E2EB-4DBF-86FB-E54EE2B1FE62}" destId="{6A03171D-3477-4618-BB50-EC04C09AFDAA}" srcOrd="11" destOrd="0" presId="urn:microsoft.com/office/officeart/2005/8/layout/default"/>
    <dgm:cxn modelId="{4A3F6191-7525-4E14-9E3F-CB24D8D39340}" type="presParOf" srcId="{F3AB4A35-E2EB-4DBF-86FB-E54EE2B1FE62}" destId="{26C29F5A-5C9B-4D16-A9F5-DF7736AB47DF}" srcOrd="12" destOrd="0" presId="urn:microsoft.com/office/officeart/2005/8/layout/default"/>
    <dgm:cxn modelId="{14ECAA9D-5B99-4380-BE7B-C3413FEA9C63}" type="presParOf" srcId="{F3AB4A35-E2EB-4DBF-86FB-E54EE2B1FE62}" destId="{46E90995-A60B-4608-A51C-6EF572F91007}" srcOrd="13" destOrd="0" presId="urn:microsoft.com/office/officeart/2005/8/layout/default"/>
    <dgm:cxn modelId="{90933398-AA07-4311-9020-D951592FF2DF}" type="presParOf" srcId="{F3AB4A35-E2EB-4DBF-86FB-E54EE2B1FE62}" destId="{2069F93F-EC36-45CA-81FA-E28CCFC4EDD2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8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39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 </a:t>
          </a:r>
          <a: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2019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Média de execução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37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37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BA9D2ED0-16C9-44FB-8D9E-22F9C339ED18}" type="pres">
      <dgm:prSet presAssocID="{F0D8276B-5F8E-47CD-83BA-660329F4549E}" presName="node" presStyleLbl="node1" presStyleIdx="0" presStyleCnt="6">
        <dgm:presLayoutVars>
          <dgm:bulletEnabled val="1"/>
        </dgm:presLayoutVars>
      </dgm:prSet>
      <dgm:spPr/>
    </dgm:pt>
    <dgm:pt modelId="{8745EF1C-A4C9-4E6A-99FD-78BF7B12622C}" type="pres">
      <dgm:prSet presAssocID="{0D73E574-52F2-49BF-9E46-4279B23441E7}" presName="sibTrans" presStyleCnt="0"/>
      <dgm:spPr/>
    </dgm:pt>
    <dgm:pt modelId="{CB133F5D-DBBA-4B12-9FEC-4E54C8197093}" type="pres">
      <dgm:prSet presAssocID="{F28F4473-498E-415A-A16F-A60D42C55427}" presName="node" presStyleLbl="node1" presStyleIdx="1" presStyleCnt="6">
        <dgm:presLayoutVars>
          <dgm:bulletEnabled val="1"/>
        </dgm:presLayoutVars>
      </dgm:prSet>
      <dgm:spPr/>
    </dgm:pt>
    <dgm:pt modelId="{701E9B6D-506A-4B8B-B1E6-AB2D8DB9BB03}" type="pres">
      <dgm:prSet presAssocID="{1022C6E1-7F5E-4A04-9CD4-F8CDCBFA9BE3}" presName="sibTrans" presStyleCnt="0"/>
      <dgm:spPr/>
    </dgm:pt>
    <dgm:pt modelId="{C221B9C3-A015-449B-9E50-6721626A9470}" type="pres">
      <dgm:prSet presAssocID="{F6B446C0-6E43-4493-B573-1F94BA4F7210}" presName="node" presStyleLbl="node1" presStyleIdx="2" presStyleCnt="6">
        <dgm:presLayoutVars>
          <dgm:bulletEnabled val="1"/>
        </dgm:presLayoutVars>
      </dgm:prSet>
      <dgm:spPr/>
    </dgm:pt>
    <dgm:pt modelId="{4A1C71E8-C584-4258-87C4-328020FE1131}" type="pres">
      <dgm:prSet presAssocID="{7066175E-01F0-4FAF-BDE1-888990D25D74}" presName="sibTrans" presStyleCnt="0"/>
      <dgm:spPr/>
    </dgm:pt>
    <dgm:pt modelId="{19166087-240F-4205-829D-E61CAF74B1F0}" type="pres">
      <dgm:prSet presAssocID="{4DF42217-B85D-4249-A568-5B509C0F84B5}" presName="node" presStyleLbl="node1" presStyleIdx="3" presStyleCnt="6">
        <dgm:presLayoutVars>
          <dgm:bulletEnabled val="1"/>
        </dgm:presLayoutVars>
      </dgm:prSet>
      <dgm:spPr/>
    </dgm:pt>
    <dgm:pt modelId="{C6553CB9-846E-4509-B6CB-620C145D0E09}" type="pres">
      <dgm:prSet presAssocID="{8484CB90-3EDF-4254-AC0E-CDBC59EB95EF}" presName="sibTrans" presStyleCnt="0"/>
      <dgm:spPr/>
    </dgm:pt>
    <dgm:pt modelId="{5800D369-D655-450A-A267-583A2F68A6F1}" type="pres">
      <dgm:prSet presAssocID="{40E3A9A0-3796-4A48-B2F5-5C63BFC42AC1}" presName="node" presStyleLbl="node1" presStyleIdx="4" presStyleCnt="6">
        <dgm:presLayoutVars>
          <dgm:bulletEnabled val="1"/>
        </dgm:presLayoutVars>
      </dgm:prSet>
      <dgm:spPr/>
    </dgm:pt>
    <dgm:pt modelId="{A3120A94-973F-4B44-8A46-565AD59DED29}" type="pres">
      <dgm:prSet presAssocID="{DD04B6C1-B38B-4696-9D68-BC369D6BA502}" presName="sibTrans" presStyleCnt="0"/>
      <dgm:spPr/>
    </dgm:pt>
    <dgm:pt modelId="{2069F93F-EC36-45CA-81FA-E28CCFC4EDD2}" type="pres">
      <dgm:prSet presAssocID="{5F2F899A-5BAA-4B36-B786-C4FA5DB84DE2}" presName="node" presStyleLbl="node1" presStyleIdx="5" presStyleCnt="6">
        <dgm:presLayoutVars>
          <dgm:bulletEnabled val="1"/>
        </dgm:presLayoutVars>
      </dgm:prSet>
      <dgm:spPr/>
    </dgm:pt>
  </dgm:ptLst>
  <dgm:cxnLst>
    <dgm:cxn modelId="{BD412009-F02E-4655-A6CD-75ACD689F94F}" type="presOf" srcId="{0C5AA470-A2FC-4675-BBC5-FC07F000DB8B}" destId="{F3AB4A35-E2EB-4DBF-86FB-E54EE2B1FE62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2347FC3E-3097-4632-83FD-A59185131CAD}" type="presOf" srcId="{F28F4473-498E-415A-A16F-A60D42C55427}" destId="{CB133F5D-DBBA-4B12-9FEC-4E54C8197093}" srcOrd="0" destOrd="0" presId="urn:microsoft.com/office/officeart/2005/8/layout/default"/>
    <dgm:cxn modelId="{D6FC395E-5F76-4A4C-BA4E-B3EC5E0A46DC}" type="presOf" srcId="{F0D8276B-5F8E-47CD-83BA-660329F4549E}" destId="{BA9D2ED0-16C9-44FB-8D9E-22F9C339ED18}" srcOrd="0" destOrd="0" presId="urn:microsoft.com/office/officeart/2005/8/layout/default"/>
    <dgm:cxn modelId="{EA3E4274-F9B0-49FE-B3CD-7D8E6CD8CEB1}" type="presOf" srcId="{4DF42217-B85D-4249-A568-5B509C0F84B5}" destId="{19166087-240F-4205-829D-E61CAF74B1F0}" srcOrd="0" destOrd="0" presId="urn:microsoft.com/office/officeart/2005/8/layout/default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B158E183-C506-4C34-BE65-E1F127A560D3}" srcId="{0C5AA470-A2FC-4675-BBC5-FC07F000DB8B}" destId="{40E3A9A0-3796-4A48-B2F5-5C63BFC42AC1}" srcOrd="4" destOrd="0" parTransId="{6F0AB90E-55A6-42AC-8FFD-DFE7D5C5A47D}" sibTransId="{DD04B6C1-B38B-4696-9D68-BC369D6BA502}"/>
    <dgm:cxn modelId="{7704F592-3202-4006-8CAB-5C864EBD3C3D}" srcId="{0C5AA470-A2FC-4675-BBC5-FC07F000DB8B}" destId="{5F2F899A-5BAA-4B36-B786-C4FA5DB84DE2}" srcOrd="5" destOrd="0" parTransId="{08AE95AC-558E-438C-A19E-A0A388B3DCB6}" sibTransId="{9C525CED-778E-45D1-BAA1-570F41FFF524}"/>
    <dgm:cxn modelId="{EC9FEECC-1AC0-4E79-9BC2-0602A1BA9E3E}" type="presOf" srcId="{40E3A9A0-3796-4A48-B2F5-5C63BFC42AC1}" destId="{5800D369-D655-450A-A267-583A2F68A6F1}" srcOrd="0" destOrd="0" presId="urn:microsoft.com/office/officeart/2005/8/layout/default"/>
    <dgm:cxn modelId="{D36747CF-CF06-4AE2-8EA4-5A7A008DD5F8}" type="presOf" srcId="{F6B446C0-6E43-4493-B573-1F94BA4F7210}" destId="{C221B9C3-A015-449B-9E50-6721626A9470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CE7362F7-ABB2-44F3-9CA0-AE2F8715AC38}" type="presOf" srcId="{5F2F899A-5BAA-4B36-B786-C4FA5DB84DE2}" destId="{2069F93F-EC36-45CA-81FA-E28CCFC4EDD2}" srcOrd="0" destOrd="0" presId="urn:microsoft.com/office/officeart/2005/8/layout/default"/>
    <dgm:cxn modelId="{14FDECBC-C2C6-4FF3-AADC-02DF29FE0298}" type="presParOf" srcId="{F3AB4A35-E2EB-4DBF-86FB-E54EE2B1FE62}" destId="{BA9D2ED0-16C9-44FB-8D9E-22F9C339ED18}" srcOrd="0" destOrd="0" presId="urn:microsoft.com/office/officeart/2005/8/layout/default"/>
    <dgm:cxn modelId="{FC4ECCB6-CAFB-4223-B10A-2E61274BB45B}" type="presParOf" srcId="{F3AB4A35-E2EB-4DBF-86FB-E54EE2B1FE62}" destId="{8745EF1C-A4C9-4E6A-99FD-78BF7B12622C}" srcOrd="1" destOrd="0" presId="urn:microsoft.com/office/officeart/2005/8/layout/default"/>
    <dgm:cxn modelId="{1B867E5D-CF3D-41E1-8B9B-BFCA406CC744}" type="presParOf" srcId="{F3AB4A35-E2EB-4DBF-86FB-E54EE2B1FE62}" destId="{CB133F5D-DBBA-4B12-9FEC-4E54C8197093}" srcOrd="2" destOrd="0" presId="urn:microsoft.com/office/officeart/2005/8/layout/default"/>
    <dgm:cxn modelId="{17F81A08-B61D-44EA-80DC-2F874A779803}" type="presParOf" srcId="{F3AB4A35-E2EB-4DBF-86FB-E54EE2B1FE62}" destId="{701E9B6D-506A-4B8B-B1E6-AB2D8DB9BB03}" srcOrd="3" destOrd="0" presId="urn:microsoft.com/office/officeart/2005/8/layout/default"/>
    <dgm:cxn modelId="{BD682C1A-733B-450A-823E-E6794B2818E1}" type="presParOf" srcId="{F3AB4A35-E2EB-4DBF-86FB-E54EE2B1FE62}" destId="{C221B9C3-A015-449B-9E50-6721626A9470}" srcOrd="4" destOrd="0" presId="urn:microsoft.com/office/officeart/2005/8/layout/default"/>
    <dgm:cxn modelId="{DB6D00E6-DE3F-431F-B22D-C16E225678A7}" type="presParOf" srcId="{F3AB4A35-E2EB-4DBF-86FB-E54EE2B1FE62}" destId="{4A1C71E8-C584-4258-87C4-328020FE1131}" srcOrd="5" destOrd="0" presId="urn:microsoft.com/office/officeart/2005/8/layout/default"/>
    <dgm:cxn modelId="{C735B666-9298-4207-A11D-6243B5E0E5AA}" type="presParOf" srcId="{F3AB4A35-E2EB-4DBF-86FB-E54EE2B1FE62}" destId="{19166087-240F-4205-829D-E61CAF74B1F0}" srcOrd="6" destOrd="0" presId="urn:microsoft.com/office/officeart/2005/8/layout/default"/>
    <dgm:cxn modelId="{07E00938-9D97-4C7E-BB15-0FA410B10972}" type="presParOf" srcId="{F3AB4A35-E2EB-4DBF-86FB-E54EE2B1FE62}" destId="{C6553CB9-846E-4509-B6CB-620C145D0E09}" srcOrd="7" destOrd="0" presId="urn:microsoft.com/office/officeart/2005/8/layout/default"/>
    <dgm:cxn modelId="{4B7B18F4-66CC-4BA1-A4A3-0543C01F8ADA}" type="presParOf" srcId="{F3AB4A35-E2EB-4DBF-86FB-E54EE2B1FE62}" destId="{5800D369-D655-450A-A267-583A2F68A6F1}" srcOrd="8" destOrd="0" presId="urn:microsoft.com/office/officeart/2005/8/layout/default"/>
    <dgm:cxn modelId="{742378F9-4E4B-4740-BCD7-1DDF0C5772B0}" type="presParOf" srcId="{F3AB4A35-E2EB-4DBF-86FB-E54EE2B1FE62}" destId="{A3120A94-973F-4B44-8A46-565AD59DED29}" srcOrd="9" destOrd="0" presId="urn:microsoft.com/office/officeart/2005/8/layout/default"/>
    <dgm:cxn modelId="{B1EC330A-74EA-424E-8BD2-839CDDAF1AF5}" type="presParOf" srcId="{F3AB4A35-E2EB-4DBF-86FB-E54EE2B1FE62}" destId="{2069F93F-EC36-45CA-81FA-E28CCFC4EDD2}" srcOrd="10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9.xml><?xml version="1.0" encoding="utf-8"?>
<dgm:dataModel xmlns:dgm="http://purl.oclc.org/ooxml/drawingml/diagram" xmlns:a="http://purl.oclc.org/ooxml/drawingml/main">
  <dgm:ptLst>
    <dgm:pt modelId="{0C5AA470-A2FC-4675-BBC5-FC07F000DB8B}" type="doc">
      <dgm:prSet loTypeId="urn:microsoft.com/office/officeart/2005/8/layout/default" loCatId="list" qsTypeId="urn:microsoft.com/office/officeart/2005/8/quickstyle/simple2" qsCatId="simple" csTypeId="urn:microsoft.com/office/officeart/2005/8/colors/accent5_2" csCatId="accent5" phldr="1"/>
      <dgm:spPr/>
      <dgm:t>
        <a:bodyPr/>
        <a:lstStyle/>
        <a:p>
          <a:endParaRPr lang="pt-BR"/>
        </a:p>
      </dgm:t>
    </dgm:pt>
    <dgm:pt modelId="{F0D8276B-5F8E-47CD-83BA-660329F4549E}">
      <dgm:prSet phldrT="[Texto]" custT="1"/>
      <dgm:spPr>
        <a:solidFill>
          <a:srgbClr val="5E9AA6"/>
        </a:solidFill>
      </dgm:spPr>
      <dgm:t>
        <a:bodyPr/>
        <a:lstStyle/>
        <a:p>
          <a:r>
            <a:rPr lang="pt-BR" sz="28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 </a:t>
          </a:r>
          <a:r>
            <a:rPr lang="pt-BR" sz="20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2019</a:t>
          </a:r>
        </a:p>
      </dgm:t>
    </dgm:pt>
    <dgm:pt modelId="{674AD877-DEC4-4D43-9E7F-526CCBE9D227}" type="parTrans" cxnId="{952E642F-B648-4332-A317-0550FE9F5AC5}">
      <dgm:prSet/>
      <dgm:spPr/>
      <dgm:t>
        <a:bodyPr/>
        <a:lstStyle/>
        <a:p>
          <a:endParaRPr lang="pt-BR"/>
        </a:p>
      </dgm:t>
    </dgm:pt>
    <dgm:pt modelId="{0D73E574-52F2-49BF-9E46-4279B23441E7}" type="sibTrans" cxnId="{952E642F-B648-4332-A317-0550FE9F5AC5}">
      <dgm:prSet/>
      <dgm:spPr/>
      <dgm:t>
        <a:bodyPr/>
        <a:lstStyle/>
        <a:p>
          <a:endParaRPr lang="pt-BR"/>
        </a:p>
      </dgm:t>
    </dgm:pt>
    <dgm:pt modelId="{4DF42217-B85D-4249-A568-5B509C0F84B5}">
      <dgm:prSet phldrT="[Texto]"/>
      <dgm:spPr/>
      <dgm:t>
        <a:bodyPr/>
        <a:lstStyle/>
        <a:p>
          <a:endParaRPr lang="pt-BR"/>
        </a:p>
      </dgm:t>
    </dgm:pt>
    <dgm:pt modelId="{F03263C3-845B-4682-A445-4708B9F52BA9}" type="parTrans" cxnId="{4C293A83-50D5-4569-80F3-2177D656CD85}">
      <dgm:prSet/>
      <dgm:spPr/>
      <dgm:t>
        <a:bodyPr/>
        <a:lstStyle/>
        <a:p>
          <a:endParaRPr lang="pt-BR"/>
        </a:p>
      </dgm:t>
    </dgm:pt>
    <dgm:pt modelId="{8484CB90-3EDF-4254-AC0E-CDBC59EB95EF}" type="sibTrans" cxnId="{4C293A83-50D5-4569-80F3-2177D656CD85}">
      <dgm:prSet/>
      <dgm:spPr/>
      <dgm:t>
        <a:bodyPr/>
        <a:lstStyle/>
        <a:p>
          <a:endParaRPr lang="pt-BR"/>
        </a:p>
      </dgm:t>
    </dgm:pt>
    <dgm:pt modelId="{77745E09-BC33-4467-A7D0-00D63E26BF57}">
      <dgm:prSet phldrT="[Texto]"/>
      <dgm:spPr/>
      <dgm:t>
        <a:bodyPr/>
        <a:lstStyle/>
        <a:p>
          <a:endParaRPr lang="pt-BR"/>
        </a:p>
      </dgm:t>
    </dgm:pt>
    <dgm:pt modelId="{05C29930-DCA4-47D2-8F9D-D1F8B73BDC24}" type="parTrans" cxnId="{8CC35CB0-A234-4247-A746-9F1FDD0500DE}">
      <dgm:prSet/>
      <dgm:spPr/>
      <dgm:t>
        <a:bodyPr/>
        <a:lstStyle/>
        <a:p>
          <a:endParaRPr lang="pt-BR"/>
        </a:p>
      </dgm:t>
    </dgm:pt>
    <dgm:pt modelId="{5B9CC1F3-60FF-4ABF-8213-2DA0778BB206}" type="sibTrans" cxnId="{8CC35CB0-A234-4247-A746-9F1FDD0500DE}">
      <dgm:prSet/>
      <dgm:spPr/>
      <dgm:t>
        <a:bodyPr/>
        <a:lstStyle/>
        <a:p>
          <a:endParaRPr lang="pt-BR"/>
        </a:p>
      </dgm:t>
    </dgm:pt>
    <dgm:pt modelId="{40E3A9A0-3796-4A48-B2F5-5C63BFC42AC1}">
      <dgm:prSet phldrT="[Texto]"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Média RRT/PF Executado</a:t>
          </a:r>
        </a:p>
      </dgm:t>
    </dgm:pt>
    <dgm:pt modelId="{6F0AB90E-55A6-42AC-8FFD-DFE7D5C5A47D}" type="parTrans" cxnId="{B158E183-C506-4C34-BE65-E1F127A560D3}">
      <dgm:prSet/>
      <dgm:spPr/>
      <dgm:t>
        <a:bodyPr/>
        <a:lstStyle/>
        <a:p>
          <a:endParaRPr lang="pt-BR"/>
        </a:p>
      </dgm:t>
    </dgm:pt>
    <dgm:pt modelId="{DD04B6C1-B38B-4696-9D68-BC369D6BA502}" type="sibTrans" cxnId="{B158E183-C506-4C34-BE65-E1F127A560D3}">
      <dgm:prSet/>
      <dgm:spPr/>
      <dgm:t>
        <a:bodyPr/>
        <a:lstStyle/>
        <a:p>
          <a:endParaRPr lang="pt-BR"/>
        </a:p>
      </dgm:t>
    </dgm:pt>
    <dgm:pt modelId="{5F2F899A-5BAA-4B36-B786-C4FA5DB84DE2}">
      <dgm:prSet/>
      <dgm:spPr/>
      <dgm:t>
        <a:bodyPr/>
        <a:lstStyle/>
        <a:p>
          <a:endParaRPr lang="pt-BR"/>
        </a:p>
      </dgm:t>
    </dgm:pt>
    <dgm:pt modelId="{08AE95AC-558E-438C-A19E-A0A388B3DCB6}" type="parTrans" cxnId="{7704F592-3202-4006-8CAB-5C864EBD3C3D}">
      <dgm:prSet/>
      <dgm:spPr/>
      <dgm:t>
        <a:bodyPr/>
        <a:lstStyle/>
        <a:p>
          <a:endParaRPr lang="pt-BR"/>
        </a:p>
      </dgm:t>
    </dgm:pt>
    <dgm:pt modelId="{9C525CED-778E-45D1-BAA1-570F41FFF524}" type="sibTrans" cxnId="{7704F592-3202-4006-8CAB-5C864EBD3C3D}">
      <dgm:prSet/>
      <dgm:spPr/>
      <dgm:t>
        <a:bodyPr/>
        <a:lstStyle/>
        <a:p>
          <a:endParaRPr lang="pt-BR"/>
        </a:p>
      </dgm:t>
    </dgm:pt>
    <dgm:pt modelId="{F28F4473-498E-415A-A16F-A60D42C55427}">
      <dgm:prSet/>
      <dgm:spPr/>
      <dgm:t>
        <a:bodyPr/>
        <a:lstStyle/>
        <a:p>
          <a:endParaRPr lang="pt-BR"/>
        </a:p>
      </dgm:t>
    </dgm:pt>
    <dgm:pt modelId="{EFF14DEE-81FD-46C3-8621-993FA69A8BA3}" type="parTrans" cxnId="{7516ACED-4755-413E-B340-979CD643B5B2}">
      <dgm:prSet/>
      <dgm:spPr/>
      <dgm:t>
        <a:bodyPr/>
        <a:lstStyle/>
        <a:p>
          <a:endParaRPr lang="pt-BR"/>
        </a:p>
      </dgm:t>
    </dgm:pt>
    <dgm:pt modelId="{1022C6E1-7F5E-4A04-9CD4-F8CDCBFA9BE3}" type="sibTrans" cxnId="{7516ACED-4755-413E-B340-979CD643B5B2}">
      <dgm:prSet/>
      <dgm:spPr/>
      <dgm:t>
        <a:bodyPr/>
        <a:lstStyle/>
        <a:p>
          <a:endParaRPr lang="pt-BR"/>
        </a:p>
      </dgm:t>
    </dgm:pt>
    <dgm:pt modelId="{F6B446C0-6E43-4493-B573-1F94BA4F7210}">
      <dgm:prSet custT="1"/>
      <dgm:spPr>
        <a:solidFill>
          <a:srgbClr val="5E9AA6"/>
        </a:solidFill>
      </dgm:spPr>
      <dgm:t>
        <a:bodyPr/>
        <a:lstStyle/>
        <a:p>
          <a:r>
            <a:rPr lang="pt-BR" sz="24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Executado</a:t>
          </a:r>
          <a:br>
            <a:rPr lang="pt-BR" sz="24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20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Jan. a </a:t>
          </a:r>
          <a:r>
            <a:rPr lang="pt-BR" sz="20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Abr.</a:t>
          </a:r>
          <a:endParaRPr lang="pt-BR" sz="2000">
            <a:effectLst>
              <a:outerShdw blurRad="127000" algn="ctr" rotWithShape="0">
                <a:srgbClr val="000000">
                  <a:alpha val="85%"/>
                </a:srgbClr>
              </a:outerShdw>
            </a:effectLst>
          </a:endParaRPr>
        </a:p>
      </dgm:t>
    </dgm:pt>
    <dgm:pt modelId="{A5B8B45E-BFBE-4027-8547-12672DBE4560}" type="parTrans" cxnId="{79C41277-7F51-4EC5-ACB4-4126B0BEC41E}">
      <dgm:prSet/>
      <dgm:spPr/>
      <dgm:t>
        <a:bodyPr/>
        <a:lstStyle/>
        <a:p>
          <a:endParaRPr lang="pt-BR"/>
        </a:p>
      </dgm:t>
    </dgm:pt>
    <dgm:pt modelId="{7066175E-01F0-4FAF-BDE1-888990D25D74}" type="sibTrans" cxnId="{79C41277-7F51-4EC5-ACB4-4126B0BEC41E}">
      <dgm:prSet/>
      <dgm:spPr/>
      <dgm:t>
        <a:bodyPr/>
        <a:lstStyle/>
        <a:p>
          <a:endParaRPr lang="pt-BR"/>
        </a:p>
      </dgm:t>
    </dgm:pt>
    <dgm:pt modelId="{5AF3E079-3959-4CCD-A44E-0F873ADAD033}">
      <dgm:prSet phldrT="[Texto]"/>
      <dgm:spPr>
        <a:solidFill>
          <a:srgbClr val="5E9AA6"/>
        </a:solidFill>
      </dgm:spPr>
      <dgm:t>
        <a:bodyPr/>
        <a:lstStyle/>
        <a:p>
          <a:r>
            <a:rPr lang="pt-BR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Média RRT/PF Previsto</a:t>
          </a:r>
        </a:p>
      </dgm:t>
    </dgm:pt>
    <dgm:pt modelId="{384263FE-58EC-4D88-939D-1CB43D223098}" type="sibTrans" cxnId="{4DE81664-7605-4BC9-A127-C349A95161E8}">
      <dgm:prSet/>
      <dgm:spPr/>
      <dgm:t>
        <a:bodyPr/>
        <a:lstStyle/>
        <a:p>
          <a:endParaRPr lang="pt-BR"/>
        </a:p>
      </dgm:t>
    </dgm:pt>
    <dgm:pt modelId="{9FE727F0-10CB-477E-8549-5F86749F9D9D}" type="parTrans" cxnId="{4DE81664-7605-4BC9-A127-C349A95161E8}">
      <dgm:prSet/>
      <dgm:spPr/>
      <dgm:t>
        <a:bodyPr/>
        <a:lstStyle/>
        <a:p>
          <a:endParaRPr lang="pt-BR"/>
        </a:p>
      </dgm:t>
    </dgm:pt>
    <dgm:pt modelId="{F3AB4A35-E2EB-4DBF-86FB-E54EE2B1FE62}" type="pres">
      <dgm:prSet presAssocID="{0C5AA470-A2FC-4675-BBC5-FC07F000DB8B}" presName="diagram" presStyleCnt="0">
        <dgm:presLayoutVars>
          <dgm:dir/>
          <dgm:resizeHandles val="exact"/>
        </dgm:presLayoutVars>
      </dgm:prSet>
      <dgm:spPr/>
    </dgm:pt>
    <dgm:pt modelId="{BA9D2ED0-16C9-44FB-8D9E-22F9C339ED18}" type="pres">
      <dgm:prSet presAssocID="{F0D8276B-5F8E-47CD-83BA-660329F4549E}" presName="node" presStyleLbl="node1" presStyleIdx="0" presStyleCnt="8">
        <dgm:presLayoutVars>
          <dgm:bulletEnabled val="1"/>
        </dgm:presLayoutVars>
      </dgm:prSet>
      <dgm:spPr/>
    </dgm:pt>
    <dgm:pt modelId="{8745EF1C-A4C9-4E6A-99FD-78BF7B12622C}" type="pres">
      <dgm:prSet presAssocID="{0D73E574-52F2-49BF-9E46-4279B23441E7}" presName="sibTrans" presStyleCnt="0"/>
      <dgm:spPr/>
    </dgm:pt>
    <dgm:pt modelId="{CB133F5D-DBBA-4B12-9FEC-4E54C8197093}" type="pres">
      <dgm:prSet presAssocID="{F28F4473-498E-415A-A16F-A60D42C55427}" presName="node" presStyleLbl="node1" presStyleIdx="1" presStyleCnt="8">
        <dgm:presLayoutVars>
          <dgm:bulletEnabled val="1"/>
        </dgm:presLayoutVars>
      </dgm:prSet>
      <dgm:spPr/>
    </dgm:pt>
    <dgm:pt modelId="{701E9B6D-506A-4B8B-B1E6-AB2D8DB9BB03}" type="pres">
      <dgm:prSet presAssocID="{1022C6E1-7F5E-4A04-9CD4-F8CDCBFA9BE3}" presName="sibTrans" presStyleCnt="0"/>
      <dgm:spPr/>
    </dgm:pt>
    <dgm:pt modelId="{C221B9C3-A015-449B-9E50-6721626A9470}" type="pres">
      <dgm:prSet presAssocID="{F6B446C0-6E43-4493-B573-1F94BA4F7210}" presName="node" presStyleLbl="node1" presStyleIdx="2" presStyleCnt="8">
        <dgm:presLayoutVars>
          <dgm:bulletEnabled val="1"/>
        </dgm:presLayoutVars>
      </dgm:prSet>
      <dgm:spPr/>
    </dgm:pt>
    <dgm:pt modelId="{4A1C71E8-C584-4258-87C4-328020FE1131}" type="pres">
      <dgm:prSet presAssocID="{7066175E-01F0-4FAF-BDE1-888990D25D74}" presName="sibTrans" presStyleCnt="0"/>
      <dgm:spPr/>
    </dgm:pt>
    <dgm:pt modelId="{19166087-240F-4205-829D-E61CAF74B1F0}" type="pres">
      <dgm:prSet presAssocID="{4DF42217-B85D-4249-A568-5B509C0F84B5}" presName="node" presStyleLbl="node1" presStyleIdx="3" presStyleCnt="8">
        <dgm:presLayoutVars>
          <dgm:bulletEnabled val="1"/>
        </dgm:presLayoutVars>
      </dgm:prSet>
      <dgm:spPr/>
    </dgm:pt>
    <dgm:pt modelId="{C6553CB9-846E-4509-B6CB-620C145D0E09}" type="pres">
      <dgm:prSet presAssocID="{8484CB90-3EDF-4254-AC0E-CDBC59EB95EF}" presName="sibTrans" presStyleCnt="0"/>
      <dgm:spPr/>
    </dgm:pt>
    <dgm:pt modelId="{81E86E99-3676-4A87-9CCC-09470BFADE6D}" type="pres">
      <dgm:prSet presAssocID="{5AF3E079-3959-4CCD-A44E-0F873ADAD033}" presName="node" presStyleLbl="node1" presStyleIdx="4" presStyleCnt="8">
        <dgm:presLayoutVars>
          <dgm:bulletEnabled val="1"/>
        </dgm:presLayoutVars>
      </dgm:prSet>
      <dgm:spPr/>
    </dgm:pt>
    <dgm:pt modelId="{377F2A98-069B-4BD1-8E80-CF862BE0BD68}" type="pres">
      <dgm:prSet presAssocID="{384263FE-58EC-4D88-939D-1CB43D223098}" presName="sibTrans" presStyleCnt="0"/>
      <dgm:spPr/>
    </dgm:pt>
    <dgm:pt modelId="{0E296175-191A-4DDD-9AFD-C58180D0C5B1}" type="pres">
      <dgm:prSet presAssocID="{77745E09-BC33-4467-A7D0-00D63E26BF57}" presName="node" presStyleLbl="node1" presStyleIdx="5" presStyleCnt="8">
        <dgm:presLayoutVars>
          <dgm:bulletEnabled val="1"/>
        </dgm:presLayoutVars>
      </dgm:prSet>
      <dgm:spPr/>
    </dgm:pt>
    <dgm:pt modelId="{7714FE89-4579-418B-8464-0F4B85BAC6A5}" type="pres">
      <dgm:prSet presAssocID="{5B9CC1F3-60FF-4ABF-8213-2DA0778BB206}" presName="sibTrans" presStyleCnt="0"/>
      <dgm:spPr/>
    </dgm:pt>
    <dgm:pt modelId="{5800D369-D655-450A-A267-583A2F68A6F1}" type="pres">
      <dgm:prSet presAssocID="{40E3A9A0-3796-4A48-B2F5-5C63BFC42AC1}" presName="node" presStyleLbl="node1" presStyleIdx="6" presStyleCnt="8">
        <dgm:presLayoutVars>
          <dgm:bulletEnabled val="1"/>
        </dgm:presLayoutVars>
      </dgm:prSet>
      <dgm:spPr/>
    </dgm:pt>
    <dgm:pt modelId="{A3120A94-973F-4B44-8A46-565AD59DED29}" type="pres">
      <dgm:prSet presAssocID="{DD04B6C1-B38B-4696-9D68-BC369D6BA502}" presName="sibTrans" presStyleCnt="0"/>
      <dgm:spPr/>
    </dgm:pt>
    <dgm:pt modelId="{2069F93F-EC36-45CA-81FA-E28CCFC4EDD2}" type="pres">
      <dgm:prSet presAssocID="{5F2F899A-5BAA-4B36-B786-C4FA5DB84DE2}" presName="node" presStyleLbl="node1" presStyleIdx="7" presStyleCnt="8">
        <dgm:presLayoutVars>
          <dgm:bulletEnabled val="1"/>
        </dgm:presLayoutVars>
      </dgm:prSet>
      <dgm:spPr/>
    </dgm:pt>
  </dgm:ptLst>
  <dgm:cxnLst>
    <dgm:cxn modelId="{3F31C003-FD31-49B8-AEBB-3A8AAACB57D1}" type="presOf" srcId="{40E3A9A0-3796-4A48-B2F5-5C63BFC42AC1}" destId="{5800D369-D655-450A-A267-583A2F68A6F1}" srcOrd="0" destOrd="0" presId="urn:microsoft.com/office/officeart/2005/8/layout/default"/>
    <dgm:cxn modelId="{A556B304-B724-4FED-A2AD-0EC9D184BB57}" type="presOf" srcId="{F28F4473-498E-415A-A16F-A60D42C55427}" destId="{CB133F5D-DBBA-4B12-9FEC-4E54C8197093}" srcOrd="0" destOrd="0" presId="urn:microsoft.com/office/officeart/2005/8/layout/default"/>
    <dgm:cxn modelId="{F0C7970F-76D5-4400-8808-B675D10BF367}" type="presOf" srcId="{5AF3E079-3959-4CCD-A44E-0F873ADAD033}" destId="{81E86E99-3676-4A87-9CCC-09470BFADE6D}" srcOrd="0" destOrd="0" presId="urn:microsoft.com/office/officeart/2005/8/layout/default"/>
    <dgm:cxn modelId="{80C80326-96C1-4231-BF0E-FFE56435FADE}" type="presOf" srcId="{F6B446C0-6E43-4493-B573-1F94BA4F7210}" destId="{C221B9C3-A015-449B-9E50-6721626A9470}" srcOrd="0" destOrd="0" presId="urn:microsoft.com/office/officeart/2005/8/layout/default"/>
    <dgm:cxn modelId="{952E642F-B648-4332-A317-0550FE9F5AC5}" srcId="{0C5AA470-A2FC-4675-BBC5-FC07F000DB8B}" destId="{F0D8276B-5F8E-47CD-83BA-660329F4549E}" srcOrd="0" destOrd="0" parTransId="{674AD877-DEC4-4D43-9E7F-526CCBE9D227}" sibTransId="{0D73E574-52F2-49BF-9E46-4279B23441E7}"/>
    <dgm:cxn modelId="{4DE81664-7605-4BC9-A127-C349A95161E8}" srcId="{0C5AA470-A2FC-4675-BBC5-FC07F000DB8B}" destId="{5AF3E079-3959-4CCD-A44E-0F873ADAD033}" srcOrd="4" destOrd="0" parTransId="{9FE727F0-10CB-477E-8549-5F86749F9D9D}" sibTransId="{384263FE-58EC-4D88-939D-1CB43D223098}"/>
    <dgm:cxn modelId="{79C41277-7F51-4EC5-ACB4-4126B0BEC41E}" srcId="{0C5AA470-A2FC-4675-BBC5-FC07F000DB8B}" destId="{F6B446C0-6E43-4493-B573-1F94BA4F7210}" srcOrd="2" destOrd="0" parTransId="{A5B8B45E-BFBE-4027-8547-12672DBE4560}" sibTransId="{7066175E-01F0-4FAF-BDE1-888990D25D74}"/>
    <dgm:cxn modelId="{2C709978-1F9E-406C-A810-6F339D9FF16F}" type="presOf" srcId="{4DF42217-B85D-4249-A568-5B509C0F84B5}" destId="{19166087-240F-4205-829D-E61CAF74B1F0}" srcOrd="0" destOrd="0" presId="urn:microsoft.com/office/officeart/2005/8/layout/default"/>
    <dgm:cxn modelId="{1377B27A-D04F-4115-85A4-0B37682FA0BA}" type="presOf" srcId="{F0D8276B-5F8E-47CD-83BA-660329F4549E}" destId="{BA9D2ED0-16C9-44FB-8D9E-22F9C339ED18}" srcOrd="0" destOrd="0" presId="urn:microsoft.com/office/officeart/2005/8/layout/default"/>
    <dgm:cxn modelId="{4C293A83-50D5-4569-80F3-2177D656CD85}" srcId="{0C5AA470-A2FC-4675-BBC5-FC07F000DB8B}" destId="{4DF42217-B85D-4249-A568-5B509C0F84B5}" srcOrd="3" destOrd="0" parTransId="{F03263C3-845B-4682-A445-4708B9F52BA9}" sibTransId="{8484CB90-3EDF-4254-AC0E-CDBC59EB95EF}"/>
    <dgm:cxn modelId="{B158E183-C506-4C34-BE65-E1F127A560D3}" srcId="{0C5AA470-A2FC-4675-BBC5-FC07F000DB8B}" destId="{40E3A9A0-3796-4A48-B2F5-5C63BFC42AC1}" srcOrd="6" destOrd="0" parTransId="{6F0AB90E-55A6-42AC-8FFD-DFE7D5C5A47D}" sibTransId="{DD04B6C1-B38B-4696-9D68-BC369D6BA502}"/>
    <dgm:cxn modelId="{7704F592-3202-4006-8CAB-5C864EBD3C3D}" srcId="{0C5AA470-A2FC-4675-BBC5-FC07F000DB8B}" destId="{5F2F899A-5BAA-4B36-B786-C4FA5DB84DE2}" srcOrd="7" destOrd="0" parTransId="{08AE95AC-558E-438C-A19E-A0A388B3DCB6}" sibTransId="{9C525CED-778E-45D1-BAA1-570F41FFF524}"/>
    <dgm:cxn modelId="{8CC35CB0-A234-4247-A746-9F1FDD0500DE}" srcId="{0C5AA470-A2FC-4675-BBC5-FC07F000DB8B}" destId="{77745E09-BC33-4467-A7D0-00D63E26BF57}" srcOrd="5" destOrd="0" parTransId="{05C29930-DCA4-47D2-8F9D-D1F8B73BDC24}" sibTransId="{5B9CC1F3-60FF-4ABF-8213-2DA0778BB206}"/>
    <dgm:cxn modelId="{F16C7EB0-8756-4567-93A9-FBB77CCD5337}" type="presOf" srcId="{5F2F899A-5BAA-4B36-B786-C4FA5DB84DE2}" destId="{2069F93F-EC36-45CA-81FA-E28CCFC4EDD2}" srcOrd="0" destOrd="0" presId="urn:microsoft.com/office/officeart/2005/8/layout/default"/>
    <dgm:cxn modelId="{7516ACED-4755-413E-B340-979CD643B5B2}" srcId="{0C5AA470-A2FC-4675-BBC5-FC07F000DB8B}" destId="{F28F4473-498E-415A-A16F-A60D42C55427}" srcOrd="1" destOrd="0" parTransId="{EFF14DEE-81FD-46C3-8621-993FA69A8BA3}" sibTransId="{1022C6E1-7F5E-4A04-9CD4-F8CDCBFA9BE3}"/>
    <dgm:cxn modelId="{75EF2DEE-D84D-4951-B15C-CC6B3E453F8A}" type="presOf" srcId="{0C5AA470-A2FC-4675-BBC5-FC07F000DB8B}" destId="{F3AB4A35-E2EB-4DBF-86FB-E54EE2B1FE62}" srcOrd="0" destOrd="0" presId="urn:microsoft.com/office/officeart/2005/8/layout/default"/>
    <dgm:cxn modelId="{8380A8FC-46D5-4F90-9494-84CC433A47CF}" type="presOf" srcId="{77745E09-BC33-4467-A7D0-00D63E26BF57}" destId="{0E296175-191A-4DDD-9AFD-C58180D0C5B1}" srcOrd="0" destOrd="0" presId="urn:microsoft.com/office/officeart/2005/8/layout/default"/>
    <dgm:cxn modelId="{BAF3C633-EA03-4A8A-967C-CC83DEB93FAF}" type="presParOf" srcId="{F3AB4A35-E2EB-4DBF-86FB-E54EE2B1FE62}" destId="{BA9D2ED0-16C9-44FB-8D9E-22F9C339ED18}" srcOrd="0" destOrd="0" presId="urn:microsoft.com/office/officeart/2005/8/layout/default"/>
    <dgm:cxn modelId="{107BF67D-6F7A-4243-AFA1-DCCA4066CDF5}" type="presParOf" srcId="{F3AB4A35-E2EB-4DBF-86FB-E54EE2B1FE62}" destId="{8745EF1C-A4C9-4E6A-99FD-78BF7B12622C}" srcOrd="1" destOrd="0" presId="urn:microsoft.com/office/officeart/2005/8/layout/default"/>
    <dgm:cxn modelId="{82E4C046-A5A9-4775-B0E2-9C0B9224ED21}" type="presParOf" srcId="{F3AB4A35-E2EB-4DBF-86FB-E54EE2B1FE62}" destId="{CB133F5D-DBBA-4B12-9FEC-4E54C8197093}" srcOrd="2" destOrd="0" presId="urn:microsoft.com/office/officeart/2005/8/layout/default"/>
    <dgm:cxn modelId="{6525A5F0-8452-44A3-8AB8-E3063740BB6B}" type="presParOf" srcId="{F3AB4A35-E2EB-4DBF-86FB-E54EE2B1FE62}" destId="{701E9B6D-506A-4B8B-B1E6-AB2D8DB9BB03}" srcOrd="3" destOrd="0" presId="urn:microsoft.com/office/officeart/2005/8/layout/default"/>
    <dgm:cxn modelId="{0ED7858F-543C-4CDA-BA71-57E2BFA5A557}" type="presParOf" srcId="{F3AB4A35-E2EB-4DBF-86FB-E54EE2B1FE62}" destId="{C221B9C3-A015-449B-9E50-6721626A9470}" srcOrd="4" destOrd="0" presId="urn:microsoft.com/office/officeart/2005/8/layout/default"/>
    <dgm:cxn modelId="{220B833F-71FF-4CA6-B260-7209EBADDF97}" type="presParOf" srcId="{F3AB4A35-E2EB-4DBF-86FB-E54EE2B1FE62}" destId="{4A1C71E8-C584-4258-87C4-328020FE1131}" srcOrd="5" destOrd="0" presId="urn:microsoft.com/office/officeart/2005/8/layout/default"/>
    <dgm:cxn modelId="{79EF6EBC-4A41-4795-839A-2A9C29C700D2}" type="presParOf" srcId="{F3AB4A35-E2EB-4DBF-86FB-E54EE2B1FE62}" destId="{19166087-240F-4205-829D-E61CAF74B1F0}" srcOrd="6" destOrd="0" presId="urn:microsoft.com/office/officeart/2005/8/layout/default"/>
    <dgm:cxn modelId="{65A999FF-2FDF-487B-8B22-B38A40564565}" type="presParOf" srcId="{F3AB4A35-E2EB-4DBF-86FB-E54EE2B1FE62}" destId="{C6553CB9-846E-4509-B6CB-620C145D0E09}" srcOrd="7" destOrd="0" presId="urn:microsoft.com/office/officeart/2005/8/layout/default"/>
    <dgm:cxn modelId="{DC008AEC-7129-4171-9FD6-F837723F2A4F}" type="presParOf" srcId="{F3AB4A35-E2EB-4DBF-86FB-E54EE2B1FE62}" destId="{81E86E99-3676-4A87-9CCC-09470BFADE6D}" srcOrd="8" destOrd="0" presId="urn:microsoft.com/office/officeart/2005/8/layout/default"/>
    <dgm:cxn modelId="{44D572E8-F6B2-4071-9963-ED93080CA332}" type="presParOf" srcId="{F3AB4A35-E2EB-4DBF-86FB-E54EE2B1FE62}" destId="{377F2A98-069B-4BD1-8E80-CF862BE0BD68}" srcOrd="9" destOrd="0" presId="urn:microsoft.com/office/officeart/2005/8/layout/default"/>
    <dgm:cxn modelId="{5E8B86CC-2793-4CDC-A053-8137AEF4DB22}" type="presParOf" srcId="{F3AB4A35-E2EB-4DBF-86FB-E54EE2B1FE62}" destId="{0E296175-191A-4DDD-9AFD-C58180D0C5B1}" srcOrd="10" destOrd="0" presId="urn:microsoft.com/office/officeart/2005/8/layout/default"/>
    <dgm:cxn modelId="{A474C56A-0CB4-4C32-8592-804B4B15B3FF}" type="presParOf" srcId="{F3AB4A35-E2EB-4DBF-86FB-E54EE2B1FE62}" destId="{7714FE89-4579-418B-8464-0F4B85BAC6A5}" srcOrd="11" destOrd="0" presId="urn:microsoft.com/office/officeart/2005/8/layout/default"/>
    <dgm:cxn modelId="{948870FD-E8AB-44DF-97A0-D4F8BE80EA64}" type="presParOf" srcId="{F3AB4A35-E2EB-4DBF-86FB-E54EE2B1FE62}" destId="{5800D369-D655-450A-A267-583A2F68A6F1}" srcOrd="12" destOrd="0" presId="urn:microsoft.com/office/officeart/2005/8/layout/default"/>
    <dgm:cxn modelId="{4ED5ED8E-31CE-4551-AE86-91886080CB16}" type="presParOf" srcId="{F3AB4A35-E2EB-4DBF-86FB-E54EE2B1FE62}" destId="{A3120A94-973F-4B44-8A46-565AD59DED29}" srcOrd="13" destOrd="0" presId="urn:microsoft.com/office/officeart/2005/8/layout/default"/>
    <dgm:cxn modelId="{E721C9EC-D980-40F7-B60F-2B2D944A37B0}" type="presParOf" srcId="{F3AB4A35-E2EB-4DBF-86FB-E54EE2B1FE62}" destId="{2069F93F-EC36-45CA-81FA-E28CCFC4EDD2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rawing1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906464" y="1866"/>
          <a:ext cx="2067796" cy="124067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Ativos Previstos</a:t>
          </a:r>
          <a:b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Dez.</a:t>
          </a:r>
        </a:p>
      </dsp:txBody>
      <dsp:txXfrm>
        <a:off x="906464" y="1866"/>
        <a:ext cx="2067796" cy="1240677"/>
      </dsp:txXfrm>
    </dsp:sp>
    <dsp:sp modelId="{CB133F5D-DBBA-4B12-9FEC-4E54C8197093}">
      <dsp:nvSpPr>
        <dsp:cNvPr id="0" name=""/>
        <dsp:cNvSpPr/>
      </dsp:nvSpPr>
      <dsp:spPr>
        <a:xfrm>
          <a:off x="3181040" y="1866"/>
          <a:ext cx="2067796" cy="124067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17170" tIns="217170" rIns="217170" bIns="217170" numCol="1" spcCol="1270" anchor="ctr" anchorCtr="0">
          <a:noAutofit/>
        </a:bodyPr>
        <a:lstStyle/>
        <a:p>
          <a:pPr marL="0" lvl="0" indent="0" algn="ctr" defTabSz="25336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5700" kern="1200"/>
        </a:p>
      </dsp:txBody>
      <dsp:txXfrm>
        <a:off x="3181040" y="1866"/>
        <a:ext cx="2067796" cy="1240677"/>
      </dsp:txXfrm>
    </dsp:sp>
    <dsp:sp modelId="{C221B9C3-A015-449B-9E50-6721626A9470}">
      <dsp:nvSpPr>
        <dsp:cNvPr id="0" name=""/>
        <dsp:cNvSpPr/>
      </dsp:nvSpPr>
      <dsp:spPr>
        <a:xfrm>
          <a:off x="906464" y="1449323"/>
          <a:ext cx="2067796" cy="124067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Ativos Atuais</a:t>
          </a:r>
          <a:b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906464" y="1449323"/>
        <a:ext cx="2067796" cy="1240677"/>
      </dsp:txXfrm>
    </dsp:sp>
    <dsp:sp modelId="{19166087-240F-4205-829D-E61CAF74B1F0}">
      <dsp:nvSpPr>
        <dsp:cNvPr id="0" name=""/>
        <dsp:cNvSpPr/>
      </dsp:nvSpPr>
      <dsp:spPr>
        <a:xfrm>
          <a:off x="3181040" y="1449323"/>
          <a:ext cx="2067796" cy="124067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17170" tIns="217170" rIns="217170" bIns="217170" numCol="1" spcCol="1270" anchor="ctr" anchorCtr="0">
          <a:noAutofit/>
        </a:bodyPr>
        <a:lstStyle/>
        <a:p>
          <a:pPr marL="0" lvl="0" indent="0" algn="ctr" defTabSz="25336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5700" kern="1200"/>
        </a:p>
      </dsp:txBody>
      <dsp:txXfrm>
        <a:off x="3181040" y="1449323"/>
        <a:ext cx="2067796" cy="1240677"/>
      </dsp:txXfrm>
    </dsp:sp>
    <dsp:sp modelId="{81E86E99-3676-4A87-9CCC-09470BFADE6D}">
      <dsp:nvSpPr>
        <dsp:cNvPr id="0" name=""/>
        <dsp:cNvSpPr/>
      </dsp:nvSpPr>
      <dsp:spPr>
        <a:xfrm>
          <a:off x="906464" y="2896781"/>
          <a:ext cx="2067796" cy="124067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marL="0" lvl="0" indent="0" algn="ctr" defTabSz="14224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906464" y="2896781"/>
        <a:ext cx="2067796" cy="1240677"/>
      </dsp:txXfrm>
    </dsp:sp>
    <dsp:sp modelId="{0E296175-191A-4DDD-9AFD-C58180D0C5B1}">
      <dsp:nvSpPr>
        <dsp:cNvPr id="0" name=""/>
        <dsp:cNvSpPr/>
      </dsp:nvSpPr>
      <dsp:spPr>
        <a:xfrm>
          <a:off x="3181040" y="2896781"/>
          <a:ext cx="2067796" cy="124067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17170" tIns="217170" rIns="217170" bIns="217170" numCol="1" spcCol="1270" anchor="ctr" anchorCtr="0">
          <a:noAutofit/>
        </a:bodyPr>
        <a:lstStyle/>
        <a:p>
          <a:pPr marL="0" lvl="0" indent="0" algn="ctr" defTabSz="25336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5700" kern="1200"/>
        </a:p>
      </dsp:txBody>
      <dsp:txXfrm>
        <a:off x="3181040" y="2896781"/>
        <a:ext cx="2067796" cy="1240677"/>
      </dsp:txXfrm>
    </dsp:sp>
    <dsp:sp modelId="{5800D369-D655-450A-A267-583A2F68A6F1}">
      <dsp:nvSpPr>
        <dsp:cNvPr id="0" name=""/>
        <dsp:cNvSpPr/>
      </dsp:nvSpPr>
      <dsp:spPr>
        <a:xfrm>
          <a:off x="906464" y="4344238"/>
          <a:ext cx="2067796" cy="124067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Média de execução</a:t>
          </a:r>
          <a:b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906464" y="4344238"/>
        <a:ext cx="2067796" cy="1240677"/>
      </dsp:txXfrm>
    </dsp:sp>
    <dsp:sp modelId="{2069F93F-EC36-45CA-81FA-E28CCFC4EDD2}">
      <dsp:nvSpPr>
        <dsp:cNvPr id="0" name=""/>
        <dsp:cNvSpPr/>
      </dsp:nvSpPr>
      <dsp:spPr>
        <a:xfrm>
          <a:off x="3181040" y="4344238"/>
          <a:ext cx="2067796" cy="124067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17170" tIns="217170" rIns="217170" bIns="217170" numCol="1" spcCol="1270" anchor="ctr" anchorCtr="0">
          <a:noAutofit/>
        </a:bodyPr>
        <a:lstStyle/>
        <a:p>
          <a:pPr marL="0" lvl="0" indent="0" algn="ctr" defTabSz="25336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5700" kern="1200"/>
        </a:p>
      </dsp:txBody>
      <dsp:txXfrm>
        <a:off x="3181040" y="4344238"/>
        <a:ext cx="2067796" cy="1240677"/>
      </dsp:txXfrm>
    </dsp:sp>
  </dsp:spTree>
</dsp:drawing>
</file>

<file path=xl/diagrams/drawing10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428" y="758178"/>
          <a:ext cx="1669581" cy="1001748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marL="0" lvl="0" indent="0" algn="ctr" defTabSz="12446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 </a:t>
          </a:r>
          <a:r>
            <a:rPr lang="pt-BR" sz="20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2019</a:t>
          </a:r>
        </a:p>
      </dsp:txBody>
      <dsp:txXfrm>
        <a:off x="428" y="758178"/>
        <a:ext cx="1669581" cy="1001748"/>
      </dsp:txXfrm>
    </dsp:sp>
    <dsp:sp modelId="{CB133F5D-DBBA-4B12-9FEC-4E54C8197093}">
      <dsp:nvSpPr>
        <dsp:cNvPr id="0" name=""/>
        <dsp:cNvSpPr/>
      </dsp:nvSpPr>
      <dsp:spPr>
        <a:xfrm>
          <a:off x="1836967" y="758178"/>
          <a:ext cx="1669581" cy="1001748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83820" tIns="83820" rIns="83820" bIns="83820" numCol="1" spcCol="1270" anchor="ctr" anchorCtr="0">
          <a:noAutofit/>
        </a:bodyPr>
        <a:lstStyle/>
        <a:p>
          <a:pPr marL="0" lvl="0" indent="0" algn="ctr" defTabSz="9779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200" kern="1200"/>
        </a:p>
      </dsp:txBody>
      <dsp:txXfrm>
        <a:off x="1836967" y="758178"/>
        <a:ext cx="1669581" cy="1001748"/>
      </dsp:txXfrm>
    </dsp:sp>
    <dsp:sp modelId="{C221B9C3-A015-449B-9E50-6721626A9470}">
      <dsp:nvSpPr>
        <dsp:cNvPr id="0" name=""/>
        <dsp:cNvSpPr/>
      </dsp:nvSpPr>
      <dsp:spPr>
        <a:xfrm>
          <a:off x="428" y="1926885"/>
          <a:ext cx="1669581" cy="1001748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Executado</a:t>
          </a:r>
          <a:b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20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Jan. a </a:t>
          </a:r>
          <a:r>
            <a:rPr lang="pt-BR" sz="20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Abr.</a:t>
          </a:r>
          <a:endParaRPr lang="pt-BR" sz="2000" kern="1200">
            <a:effectLst>
              <a:outerShdw blurRad="127000" algn="ctr" rotWithShape="0">
                <a:srgbClr val="000000">
                  <a:alpha val="85%"/>
                </a:srgbClr>
              </a:outerShdw>
            </a:effectLst>
          </a:endParaRPr>
        </a:p>
      </dsp:txBody>
      <dsp:txXfrm>
        <a:off x="428" y="1926885"/>
        <a:ext cx="1669581" cy="1001748"/>
      </dsp:txXfrm>
    </dsp:sp>
    <dsp:sp modelId="{19166087-240F-4205-829D-E61CAF74B1F0}">
      <dsp:nvSpPr>
        <dsp:cNvPr id="0" name=""/>
        <dsp:cNvSpPr/>
      </dsp:nvSpPr>
      <dsp:spPr>
        <a:xfrm>
          <a:off x="1836967" y="1926885"/>
          <a:ext cx="1669581" cy="1001748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83820" tIns="83820" rIns="83820" bIns="83820" numCol="1" spcCol="1270" anchor="ctr" anchorCtr="0">
          <a:noAutofit/>
        </a:bodyPr>
        <a:lstStyle/>
        <a:p>
          <a:pPr marL="0" lvl="0" indent="0" algn="ctr" defTabSz="9779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200" kern="1200"/>
        </a:p>
      </dsp:txBody>
      <dsp:txXfrm>
        <a:off x="1836967" y="1926885"/>
        <a:ext cx="1669581" cy="1001748"/>
      </dsp:txXfrm>
    </dsp:sp>
    <dsp:sp modelId="{81E86E99-3676-4A87-9CCC-09470BFADE6D}">
      <dsp:nvSpPr>
        <dsp:cNvPr id="0" name=""/>
        <dsp:cNvSpPr/>
      </dsp:nvSpPr>
      <dsp:spPr>
        <a:xfrm>
          <a:off x="428" y="3095592"/>
          <a:ext cx="1669581" cy="1001748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marL="0" lvl="0" indent="0" algn="ctr" defTabSz="8890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0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Média de execução</a:t>
          </a:r>
        </a:p>
      </dsp:txBody>
      <dsp:txXfrm>
        <a:off x="428" y="3095592"/>
        <a:ext cx="1669581" cy="1001748"/>
      </dsp:txXfrm>
    </dsp:sp>
    <dsp:sp modelId="{DD02BDCA-9C99-421B-93CF-F0735B3A7AE9}">
      <dsp:nvSpPr>
        <dsp:cNvPr id="0" name=""/>
        <dsp:cNvSpPr/>
      </dsp:nvSpPr>
      <dsp:spPr>
        <a:xfrm>
          <a:off x="1836967" y="3095592"/>
          <a:ext cx="1669581" cy="1001748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83820" tIns="83820" rIns="83820" bIns="83820" numCol="1" spcCol="1270" anchor="ctr" anchorCtr="0">
          <a:noAutofit/>
        </a:bodyPr>
        <a:lstStyle/>
        <a:p>
          <a:pPr marL="0" lvl="0" indent="0" algn="ctr" defTabSz="9779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200" kern="1200"/>
        </a:p>
      </dsp:txBody>
      <dsp:txXfrm>
        <a:off x="1836967" y="3095592"/>
        <a:ext cx="1669581" cy="1001748"/>
      </dsp:txXfrm>
    </dsp:sp>
    <dsp:sp modelId="{1D6DFA5F-5421-43B3-A4F2-75C1834B1DE2}">
      <dsp:nvSpPr>
        <dsp:cNvPr id="0" name=""/>
        <dsp:cNvSpPr/>
      </dsp:nvSpPr>
      <dsp:spPr>
        <a:xfrm>
          <a:off x="428" y="4264299"/>
          <a:ext cx="1669581" cy="1001748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83820" tIns="83820" rIns="83820" bIns="83820" numCol="1" spcCol="1270" anchor="ctr" anchorCtr="0">
          <a:noAutofit/>
        </a:bodyPr>
        <a:lstStyle/>
        <a:p>
          <a:pPr marL="0" lvl="0" indent="0" algn="ctr" defTabSz="9779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200" kern="1200">
              <a:effectLst>
                <a:outerShdw blurRad="50800" algn="ctr" rotWithShape="0">
                  <a:srgbClr val="000000">
                    <a:alpha val="85%"/>
                  </a:srgbClr>
                </a:outerShdw>
              </a:effectLst>
            </a:rPr>
            <a:t>Comparativo</a:t>
          </a:r>
          <a:br>
            <a:rPr lang="pt-BR" sz="2200" kern="1200"/>
          </a:br>
          <a:r>
            <a:rPr lang="pt-BR" sz="2200" kern="1200">
              <a:effectLst>
                <a:outerShdw blurRad="50800" algn="ctr" rotWithShape="0">
                  <a:srgbClr val="000000">
                    <a:alpha val="85%"/>
                  </a:srgbClr>
                </a:outerShdw>
              </a:effectLst>
            </a:rPr>
            <a:t>YoY</a:t>
          </a:r>
        </a:p>
      </dsp:txBody>
      <dsp:txXfrm>
        <a:off x="428" y="4264299"/>
        <a:ext cx="1669581" cy="1001748"/>
      </dsp:txXfrm>
    </dsp:sp>
    <dsp:sp modelId="{0E296175-191A-4DDD-9AFD-C58180D0C5B1}">
      <dsp:nvSpPr>
        <dsp:cNvPr id="0" name=""/>
        <dsp:cNvSpPr/>
      </dsp:nvSpPr>
      <dsp:spPr>
        <a:xfrm>
          <a:off x="1836967" y="4264299"/>
          <a:ext cx="1669581" cy="1001748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83820" tIns="83820" rIns="83820" bIns="83820" numCol="1" spcCol="1270" anchor="ctr" anchorCtr="0">
          <a:noAutofit/>
        </a:bodyPr>
        <a:lstStyle/>
        <a:p>
          <a:pPr marL="0" lvl="0" indent="0" algn="ctr" defTabSz="9779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200" kern="1200"/>
        </a:p>
      </dsp:txBody>
      <dsp:txXfrm>
        <a:off x="1836967" y="4264299"/>
        <a:ext cx="1669581" cy="1001748"/>
      </dsp:txXfrm>
    </dsp:sp>
  </dsp:spTree>
</dsp:drawing>
</file>

<file path=xl/diagrams/drawing11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145917" y="1266"/>
          <a:ext cx="2792125" cy="167527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71450" tIns="171450" rIns="171450" bIns="171450" numCol="1" spcCol="1270" anchor="ctr" anchorCtr="0">
          <a:noAutofit/>
        </a:bodyPr>
        <a:lstStyle/>
        <a:p>
          <a:pPr marL="0" lvl="0" indent="0" algn="ctr" defTabSz="20002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45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 </a:t>
          </a:r>
          <a: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2019</a:t>
          </a:r>
        </a:p>
      </dsp:txBody>
      <dsp:txXfrm>
        <a:off x="145917" y="1266"/>
        <a:ext cx="2792125" cy="1675275"/>
      </dsp:txXfrm>
    </dsp:sp>
    <dsp:sp modelId="{CB133F5D-DBBA-4B12-9FEC-4E54C8197093}">
      <dsp:nvSpPr>
        <dsp:cNvPr id="0" name=""/>
        <dsp:cNvSpPr/>
      </dsp:nvSpPr>
      <dsp:spPr>
        <a:xfrm>
          <a:off x="3217255" y="1266"/>
          <a:ext cx="2792125" cy="1675275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marL="0" lvl="0" indent="0" algn="ctr" defTabSz="28892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6500" kern="1200"/>
        </a:p>
      </dsp:txBody>
      <dsp:txXfrm>
        <a:off x="3217255" y="1266"/>
        <a:ext cx="2792125" cy="1675275"/>
      </dsp:txXfrm>
    </dsp:sp>
    <dsp:sp modelId="{81E86E99-3676-4A87-9CCC-09470BFADE6D}">
      <dsp:nvSpPr>
        <dsp:cNvPr id="0" name=""/>
        <dsp:cNvSpPr/>
      </dsp:nvSpPr>
      <dsp:spPr>
        <a:xfrm>
          <a:off x="145917" y="1955753"/>
          <a:ext cx="2792125" cy="167527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63830" tIns="163830" rIns="163830" bIns="163830" numCol="1" spcCol="1270" anchor="ctr" anchorCtr="0">
          <a:noAutofit/>
        </a:bodyPr>
        <a:lstStyle/>
        <a:p>
          <a:pPr marL="0" lvl="0" indent="0" algn="ctr" defTabSz="19113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43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43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145917" y="1955753"/>
        <a:ext cx="2792125" cy="1675275"/>
      </dsp:txXfrm>
    </dsp:sp>
    <dsp:sp modelId="{0E296175-191A-4DDD-9AFD-C58180D0C5B1}">
      <dsp:nvSpPr>
        <dsp:cNvPr id="0" name=""/>
        <dsp:cNvSpPr/>
      </dsp:nvSpPr>
      <dsp:spPr>
        <a:xfrm>
          <a:off x="3217255" y="1955753"/>
          <a:ext cx="2792125" cy="1675275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marL="0" lvl="0" indent="0" algn="ctr" defTabSz="28892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6500" kern="1200"/>
        </a:p>
      </dsp:txBody>
      <dsp:txXfrm>
        <a:off x="3217255" y="1955753"/>
        <a:ext cx="2792125" cy="1675275"/>
      </dsp:txXfrm>
    </dsp:sp>
    <dsp:sp modelId="{5800D369-D655-450A-A267-583A2F68A6F1}">
      <dsp:nvSpPr>
        <dsp:cNvPr id="0" name=""/>
        <dsp:cNvSpPr/>
      </dsp:nvSpPr>
      <dsp:spPr>
        <a:xfrm>
          <a:off x="145917" y="3910241"/>
          <a:ext cx="2792125" cy="167527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marL="0" lvl="0" indent="0" algn="ctr" defTabSz="14224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Média de execução</a:t>
          </a:r>
        </a:p>
      </dsp:txBody>
      <dsp:txXfrm>
        <a:off x="145917" y="3910241"/>
        <a:ext cx="2792125" cy="1675275"/>
      </dsp:txXfrm>
    </dsp:sp>
    <dsp:sp modelId="{2069F93F-EC36-45CA-81FA-E28CCFC4EDD2}">
      <dsp:nvSpPr>
        <dsp:cNvPr id="0" name=""/>
        <dsp:cNvSpPr/>
      </dsp:nvSpPr>
      <dsp:spPr>
        <a:xfrm>
          <a:off x="3217255" y="3910241"/>
          <a:ext cx="2792125" cy="1675275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marL="0" lvl="0" indent="0" algn="ctr" defTabSz="28892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6500" kern="1200"/>
        </a:p>
      </dsp:txBody>
      <dsp:txXfrm>
        <a:off x="3217255" y="3910241"/>
        <a:ext cx="2792125" cy="1675275"/>
      </dsp:txXfrm>
    </dsp:sp>
  </dsp:spTree>
</dsp:drawing>
</file>

<file path=xl/diagrams/drawing12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59068" y="2135"/>
          <a:ext cx="1781197" cy="107614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marL="0" lvl="0" indent="0" algn="ctr" defTabSz="14224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</a:t>
          </a:r>
          <a:b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</a:t>
          </a:r>
        </a:p>
      </dsp:txBody>
      <dsp:txXfrm>
        <a:off x="59068" y="2135"/>
        <a:ext cx="1781197" cy="1076145"/>
      </dsp:txXfrm>
    </dsp:sp>
    <dsp:sp modelId="{CB133F5D-DBBA-4B12-9FEC-4E54C8197093}">
      <dsp:nvSpPr>
        <dsp:cNvPr id="0" name=""/>
        <dsp:cNvSpPr/>
      </dsp:nvSpPr>
      <dsp:spPr>
        <a:xfrm>
          <a:off x="2017857" y="7431"/>
          <a:ext cx="1775922" cy="1065553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400" kern="1200"/>
        </a:p>
      </dsp:txBody>
      <dsp:txXfrm>
        <a:off x="2017857" y="7431"/>
        <a:ext cx="1775922" cy="1065553"/>
      </dsp:txXfrm>
    </dsp:sp>
    <dsp:sp modelId="{C221B9C3-A015-449B-9E50-6721626A9470}">
      <dsp:nvSpPr>
        <dsp:cNvPr id="0" name=""/>
        <dsp:cNvSpPr/>
      </dsp:nvSpPr>
      <dsp:spPr>
        <a:xfrm>
          <a:off x="61705" y="1255873"/>
          <a:ext cx="1775922" cy="1065553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marL="0" lvl="0" indent="0" algn="ctr" defTabSz="12446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61705" y="1255873"/>
        <a:ext cx="1775922" cy="1065553"/>
      </dsp:txXfrm>
    </dsp:sp>
    <dsp:sp modelId="{19166087-240F-4205-829D-E61CAF74B1F0}">
      <dsp:nvSpPr>
        <dsp:cNvPr id="0" name=""/>
        <dsp:cNvSpPr/>
      </dsp:nvSpPr>
      <dsp:spPr>
        <a:xfrm>
          <a:off x="2015220" y="1255873"/>
          <a:ext cx="1775922" cy="1065553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400" kern="1200"/>
        </a:p>
      </dsp:txBody>
      <dsp:txXfrm>
        <a:off x="2015220" y="1255873"/>
        <a:ext cx="1775922" cy="1065553"/>
      </dsp:txXfrm>
    </dsp:sp>
    <dsp:sp modelId="{5800D369-D655-450A-A267-583A2F68A6F1}">
      <dsp:nvSpPr>
        <dsp:cNvPr id="0" name=""/>
        <dsp:cNvSpPr/>
      </dsp:nvSpPr>
      <dsp:spPr>
        <a:xfrm>
          <a:off x="61705" y="2499018"/>
          <a:ext cx="1775922" cy="1065553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marL="0" lvl="0" indent="0" algn="ctr" defTabSz="8890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0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% de execução</a:t>
          </a:r>
          <a:br>
            <a:rPr lang="pt-BR" sz="20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61705" y="2499018"/>
        <a:ext cx="1775922" cy="1065553"/>
      </dsp:txXfrm>
    </dsp:sp>
    <dsp:sp modelId="{D29654AC-8B1F-4715-B3EF-5B9D45DA3F9C}">
      <dsp:nvSpPr>
        <dsp:cNvPr id="0" name=""/>
        <dsp:cNvSpPr/>
      </dsp:nvSpPr>
      <dsp:spPr>
        <a:xfrm>
          <a:off x="2015220" y="2499018"/>
          <a:ext cx="1775922" cy="1065553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400" kern="1200"/>
        </a:p>
      </dsp:txBody>
      <dsp:txXfrm>
        <a:off x="2015220" y="2499018"/>
        <a:ext cx="1775922" cy="1065553"/>
      </dsp:txXfrm>
    </dsp:sp>
    <dsp:sp modelId="{2069F93F-EC36-45CA-81FA-E28CCFC4EDD2}">
      <dsp:nvSpPr>
        <dsp:cNvPr id="0" name=""/>
        <dsp:cNvSpPr/>
      </dsp:nvSpPr>
      <dsp:spPr>
        <a:xfrm>
          <a:off x="61705" y="3742164"/>
          <a:ext cx="1775922" cy="1065553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Comparativo</a:t>
          </a:r>
          <a:b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YoY</a:t>
          </a:r>
        </a:p>
      </dsp:txBody>
      <dsp:txXfrm>
        <a:off x="61705" y="3742164"/>
        <a:ext cx="1775922" cy="1065553"/>
      </dsp:txXfrm>
    </dsp:sp>
    <dsp:sp modelId="{1B25165C-4C00-4CD9-B7B8-A4C893AC4E13}">
      <dsp:nvSpPr>
        <dsp:cNvPr id="0" name=""/>
        <dsp:cNvSpPr/>
      </dsp:nvSpPr>
      <dsp:spPr>
        <a:xfrm>
          <a:off x="2015220" y="3742164"/>
          <a:ext cx="1775922" cy="1065553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400" kern="1200"/>
        </a:p>
      </dsp:txBody>
      <dsp:txXfrm>
        <a:off x="2015220" y="3742164"/>
        <a:ext cx="1775922" cy="1065553"/>
      </dsp:txXfrm>
    </dsp:sp>
  </dsp:spTree>
</dsp:drawing>
</file>

<file path=xl/diagrams/drawing13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0" y="868724"/>
          <a:ext cx="1636144" cy="93492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marL="0" lvl="0" indent="0" algn="ctr" defTabSz="14224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</a:t>
          </a:r>
          <a:br>
            <a:rPr lang="pt-BR" sz="20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Dez.</a:t>
          </a:r>
        </a:p>
      </dsp:txBody>
      <dsp:txXfrm>
        <a:off x="0" y="868724"/>
        <a:ext cx="1636144" cy="934927"/>
      </dsp:txXfrm>
    </dsp:sp>
    <dsp:sp modelId="{CB133F5D-DBBA-4B12-9FEC-4E54C8197093}">
      <dsp:nvSpPr>
        <dsp:cNvPr id="0" name=""/>
        <dsp:cNvSpPr/>
      </dsp:nvSpPr>
      <dsp:spPr>
        <a:xfrm>
          <a:off x="1778585" y="860214"/>
          <a:ext cx="1757406" cy="93492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63830" tIns="163830" rIns="163830" bIns="163830" numCol="1" spcCol="1270" anchor="ctr" anchorCtr="0">
          <a:noAutofit/>
        </a:bodyPr>
        <a:lstStyle/>
        <a:p>
          <a:pPr marL="0" lvl="0" indent="0" algn="ctr" defTabSz="19113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4300" kern="1200"/>
        </a:p>
      </dsp:txBody>
      <dsp:txXfrm>
        <a:off x="1778585" y="860214"/>
        <a:ext cx="1757406" cy="934927"/>
      </dsp:txXfrm>
    </dsp:sp>
    <dsp:sp modelId="{C221B9C3-A015-449B-9E50-6721626A9470}">
      <dsp:nvSpPr>
        <dsp:cNvPr id="0" name=""/>
        <dsp:cNvSpPr/>
      </dsp:nvSpPr>
      <dsp:spPr>
        <a:xfrm>
          <a:off x="331" y="1937251"/>
          <a:ext cx="1636144" cy="93492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331" y="1937251"/>
        <a:ext cx="1636144" cy="934927"/>
      </dsp:txXfrm>
    </dsp:sp>
    <dsp:sp modelId="{19166087-240F-4205-829D-E61CAF74B1F0}">
      <dsp:nvSpPr>
        <dsp:cNvPr id="0" name=""/>
        <dsp:cNvSpPr/>
      </dsp:nvSpPr>
      <dsp:spPr>
        <a:xfrm>
          <a:off x="1778585" y="1937251"/>
          <a:ext cx="1757406" cy="93492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63830" tIns="163830" rIns="163830" bIns="163830" numCol="1" spcCol="1270" anchor="ctr" anchorCtr="0">
          <a:noAutofit/>
        </a:bodyPr>
        <a:lstStyle/>
        <a:p>
          <a:pPr marL="0" lvl="0" indent="0" algn="ctr" defTabSz="19113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4300" kern="1200"/>
        </a:p>
      </dsp:txBody>
      <dsp:txXfrm>
        <a:off x="1778585" y="1937251"/>
        <a:ext cx="1757406" cy="934927"/>
      </dsp:txXfrm>
    </dsp:sp>
    <dsp:sp modelId="{5800D369-D655-450A-A267-583A2F68A6F1}">
      <dsp:nvSpPr>
        <dsp:cNvPr id="0" name=""/>
        <dsp:cNvSpPr/>
      </dsp:nvSpPr>
      <dsp:spPr>
        <a:xfrm>
          <a:off x="331" y="3014287"/>
          <a:ext cx="1636144" cy="93492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1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% de execução</a:t>
          </a:r>
          <a:br>
            <a:rPr lang="pt-BR" sz="1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331" y="3014287"/>
        <a:ext cx="1636144" cy="934927"/>
      </dsp:txXfrm>
    </dsp:sp>
    <dsp:sp modelId="{2069F93F-EC36-45CA-81FA-E28CCFC4EDD2}">
      <dsp:nvSpPr>
        <dsp:cNvPr id="0" name=""/>
        <dsp:cNvSpPr/>
      </dsp:nvSpPr>
      <dsp:spPr>
        <a:xfrm>
          <a:off x="1778585" y="3014287"/>
          <a:ext cx="1757406" cy="93492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63830" tIns="163830" rIns="163830" bIns="163830" numCol="1" spcCol="1270" anchor="ctr" anchorCtr="0">
          <a:noAutofit/>
        </a:bodyPr>
        <a:lstStyle/>
        <a:p>
          <a:pPr marL="0" lvl="0" indent="0" algn="ctr" defTabSz="19113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4300" kern="1200"/>
        </a:p>
      </dsp:txBody>
      <dsp:txXfrm>
        <a:off x="1778585" y="3014287"/>
        <a:ext cx="1757406" cy="934927"/>
      </dsp:txXfrm>
    </dsp:sp>
  </dsp:spTree>
</dsp:drawing>
</file>

<file path=xl/diagrams/drawing14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59068" y="2136"/>
          <a:ext cx="1781197" cy="107614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marL="0" lvl="0" indent="0" algn="ctr" defTabSz="14224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</a:t>
          </a:r>
          <a:b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</a:t>
          </a:r>
        </a:p>
      </dsp:txBody>
      <dsp:txXfrm>
        <a:off x="59068" y="2136"/>
        <a:ext cx="1781197" cy="1076145"/>
      </dsp:txXfrm>
    </dsp:sp>
    <dsp:sp modelId="{CB133F5D-DBBA-4B12-9FEC-4E54C8197093}">
      <dsp:nvSpPr>
        <dsp:cNvPr id="0" name=""/>
        <dsp:cNvSpPr/>
      </dsp:nvSpPr>
      <dsp:spPr>
        <a:xfrm>
          <a:off x="2017857" y="7432"/>
          <a:ext cx="1775922" cy="1065553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400" kern="1200"/>
        </a:p>
      </dsp:txBody>
      <dsp:txXfrm>
        <a:off x="2017857" y="7432"/>
        <a:ext cx="1775922" cy="1065553"/>
      </dsp:txXfrm>
    </dsp:sp>
    <dsp:sp modelId="{C221B9C3-A015-449B-9E50-6721626A9470}">
      <dsp:nvSpPr>
        <dsp:cNvPr id="0" name=""/>
        <dsp:cNvSpPr/>
      </dsp:nvSpPr>
      <dsp:spPr>
        <a:xfrm>
          <a:off x="61705" y="1255873"/>
          <a:ext cx="1775922" cy="1065553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marL="0" lvl="0" indent="0" algn="ctr" defTabSz="12446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61705" y="1255873"/>
        <a:ext cx="1775922" cy="1065553"/>
      </dsp:txXfrm>
    </dsp:sp>
    <dsp:sp modelId="{19166087-240F-4205-829D-E61CAF74B1F0}">
      <dsp:nvSpPr>
        <dsp:cNvPr id="0" name=""/>
        <dsp:cNvSpPr/>
      </dsp:nvSpPr>
      <dsp:spPr>
        <a:xfrm>
          <a:off x="2015220" y="1255873"/>
          <a:ext cx="1775922" cy="1065553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400" kern="1200"/>
        </a:p>
      </dsp:txBody>
      <dsp:txXfrm>
        <a:off x="2015220" y="1255873"/>
        <a:ext cx="1775922" cy="1065553"/>
      </dsp:txXfrm>
    </dsp:sp>
    <dsp:sp modelId="{5800D369-D655-450A-A267-583A2F68A6F1}">
      <dsp:nvSpPr>
        <dsp:cNvPr id="0" name=""/>
        <dsp:cNvSpPr/>
      </dsp:nvSpPr>
      <dsp:spPr>
        <a:xfrm>
          <a:off x="61705" y="2499019"/>
          <a:ext cx="1775922" cy="1065553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marL="0" lvl="0" indent="0" algn="ctr" defTabSz="8890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0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% de execução</a:t>
          </a:r>
          <a:br>
            <a:rPr lang="pt-BR" sz="20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61705" y="2499019"/>
        <a:ext cx="1775922" cy="1065553"/>
      </dsp:txXfrm>
    </dsp:sp>
    <dsp:sp modelId="{D29654AC-8B1F-4715-B3EF-5B9D45DA3F9C}">
      <dsp:nvSpPr>
        <dsp:cNvPr id="0" name=""/>
        <dsp:cNvSpPr/>
      </dsp:nvSpPr>
      <dsp:spPr>
        <a:xfrm>
          <a:off x="2015220" y="2499019"/>
          <a:ext cx="1775922" cy="1065553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400" kern="1200"/>
        </a:p>
      </dsp:txBody>
      <dsp:txXfrm>
        <a:off x="2015220" y="2499019"/>
        <a:ext cx="1775922" cy="1065553"/>
      </dsp:txXfrm>
    </dsp:sp>
    <dsp:sp modelId="{2069F93F-EC36-45CA-81FA-E28CCFC4EDD2}">
      <dsp:nvSpPr>
        <dsp:cNvPr id="0" name=""/>
        <dsp:cNvSpPr/>
      </dsp:nvSpPr>
      <dsp:spPr>
        <a:xfrm>
          <a:off x="61705" y="3742165"/>
          <a:ext cx="1775922" cy="1065553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Comparativo</a:t>
          </a:r>
          <a:b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YoY</a:t>
          </a:r>
        </a:p>
      </dsp:txBody>
      <dsp:txXfrm>
        <a:off x="61705" y="3742165"/>
        <a:ext cx="1775922" cy="1065553"/>
      </dsp:txXfrm>
    </dsp:sp>
    <dsp:sp modelId="{1B25165C-4C00-4CD9-B7B8-A4C893AC4E13}">
      <dsp:nvSpPr>
        <dsp:cNvPr id="0" name=""/>
        <dsp:cNvSpPr/>
      </dsp:nvSpPr>
      <dsp:spPr>
        <a:xfrm>
          <a:off x="2015220" y="3742165"/>
          <a:ext cx="1775922" cy="1065553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400" kern="1200"/>
        </a:p>
      </dsp:txBody>
      <dsp:txXfrm>
        <a:off x="2015220" y="3742165"/>
        <a:ext cx="1775922" cy="1065553"/>
      </dsp:txXfrm>
    </dsp:sp>
  </dsp:spTree>
</dsp:drawing>
</file>

<file path=xl/diagrams/drawing15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0" y="868638"/>
          <a:ext cx="1636236" cy="934979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marL="0" lvl="0" indent="0" algn="ctr" defTabSz="14224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</a:t>
          </a:r>
          <a:br>
            <a:rPr lang="pt-BR" sz="20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Dez.</a:t>
          </a:r>
        </a:p>
      </dsp:txBody>
      <dsp:txXfrm>
        <a:off x="0" y="868638"/>
        <a:ext cx="1636236" cy="934979"/>
      </dsp:txXfrm>
    </dsp:sp>
    <dsp:sp modelId="{CB133F5D-DBBA-4B12-9FEC-4E54C8197093}">
      <dsp:nvSpPr>
        <dsp:cNvPr id="0" name=""/>
        <dsp:cNvSpPr/>
      </dsp:nvSpPr>
      <dsp:spPr>
        <a:xfrm>
          <a:off x="1778684" y="860128"/>
          <a:ext cx="1757504" cy="934979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63830" tIns="163830" rIns="163830" bIns="163830" numCol="1" spcCol="1270" anchor="ctr" anchorCtr="0">
          <a:noAutofit/>
        </a:bodyPr>
        <a:lstStyle/>
        <a:p>
          <a:pPr marL="0" lvl="0" indent="0" algn="ctr" defTabSz="19113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4300" kern="1200"/>
        </a:p>
      </dsp:txBody>
      <dsp:txXfrm>
        <a:off x="1778684" y="860128"/>
        <a:ext cx="1757504" cy="934979"/>
      </dsp:txXfrm>
    </dsp:sp>
    <dsp:sp modelId="{C221B9C3-A015-449B-9E50-6721626A9470}">
      <dsp:nvSpPr>
        <dsp:cNvPr id="0" name=""/>
        <dsp:cNvSpPr/>
      </dsp:nvSpPr>
      <dsp:spPr>
        <a:xfrm>
          <a:off x="331" y="1937225"/>
          <a:ext cx="1636236" cy="934979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331" y="1937225"/>
        <a:ext cx="1636236" cy="934979"/>
      </dsp:txXfrm>
    </dsp:sp>
    <dsp:sp modelId="{19166087-240F-4205-829D-E61CAF74B1F0}">
      <dsp:nvSpPr>
        <dsp:cNvPr id="0" name=""/>
        <dsp:cNvSpPr/>
      </dsp:nvSpPr>
      <dsp:spPr>
        <a:xfrm>
          <a:off x="1778684" y="1937225"/>
          <a:ext cx="1757504" cy="934979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63830" tIns="163830" rIns="163830" bIns="163830" numCol="1" spcCol="1270" anchor="ctr" anchorCtr="0">
          <a:noAutofit/>
        </a:bodyPr>
        <a:lstStyle/>
        <a:p>
          <a:pPr marL="0" lvl="0" indent="0" algn="ctr" defTabSz="19113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4300" kern="1200"/>
        </a:p>
      </dsp:txBody>
      <dsp:txXfrm>
        <a:off x="1778684" y="1937225"/>
        <a:ext cx="1757504" cy="934979"/>
      </dsp:txXfrm>
    </dsp:sp>
    <dsp:sp modelId="{5800D369-D655-450A-A267-583A2F68A6F1}">
      <dsp:nvSpPr>
        <dsp:cNvPr id="0" name=""/>
        <dsp:cNvSpPr/>
      </dsp:nvSpPr>
      <dsp:spPr>
        <a:xfrm>
          <a:off x="331" y="3014321"/>
          <a:ext cx="1636236" cy="934979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1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% de execução</a:t>
          </a:r>
          <a:br>
            <a:rPr lang="pt-BR" sz="1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331" y="3014321"/>
        <a:ext cx="1636236" cy="934979"/>
      </dsp:txXfrm>
    </dsp:sp>
    <dsp:sp modelId="{2069F93F-EC36-45CA-81FA-E28CCFC4EDD2}">
      <dsp:nvSpPr>
        <dsp:cNvPr id="0" name=""/>
        <dsp:cNvSpPr/>
      </dsp:nvSpPr>
      <dsp:spPr>
        <a:xfrm>
          <a:off x="1778684" y="3014321"/>
          <a:ext cx="1757504" cy="934979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63830" tIns="163830" rIns="163830" bIns="163830" numCol="1" spcCol="1270" anchor="ctr" anchorCtr="0">
          <a:noAutofit/>
        </a:bodyPr>
        <a:lstStyle/>
        <a:p>
          <a:pPr marL="0" lvl="0" indent="0" algn="ctr" defTabSz="19113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4300" kern="1200"/>
        </a:p>
      </dsp:txBody>
      <dsp:txXfrm>
        <a:off x="1778684" y="3014321"/>
        <a:ext cx="1757504" cy="934979"/>
      </dsp:txXfrm>
    </dsp:sp>
  </dsp:spTree>
</dsp:drawing>
</file>

<file path=xl/diagrams/drawing16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2645" y="10643"/>
          <a:ext cx="2256160" cy="107233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37160" tIns="137160" rIns="137160" bIns="137160" numCol="1" spcCol="1270" anchor="ctr" anchorCtr="0">
          <a:noAutofit/>
        </a:bodyPr>
        <a:lstStyle/>
        <a:p>
          <a:pPr marL="0" lvl="0" indent="0" algn="ctr" defTabSz="16002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6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</a:t>
          </a:r>
          <a:br>
            <a:rPr lang="pt-BR" sz="36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6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Dez.</a:t>
          </a:r>
        </a:p>
      </dsp:txBody>
      <dsp:txXfrm>
        <a:off x="2645" y="10643"/>
        <a:ext cx="2256160" cy="1072335"/>
      </dsp:txXfrm>
    </dsp:sp>
    <dsp:sp modelId="{CB133F5D-DBBA-4B12-9FEC-4E54C8197093}">
      <dsp:nvSpPr>
        <dsp:cNvPr id="0" name=""/>
        <dsp:cNvSpPr/>
      </dsp:nvSpPr>
      <dsp:spPr>
        <a:xfrm>
          <a:off x="2435769" y="15920"/>
          <a:ext cx="2256160" cy="1061781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marL="0" lvl="0" indent="0" algn="ctr" defTabSz="12890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900" kern="1200"/>
        </a:p>
      </dsp:txBody>
      <dsp:txXfrm>
        <a:off x="2435769" y="15920"/>
        <a:ext cx="2256160" cy="1061781"/>
      </dsp:txXfrm>
    </dsp:sp>
    <dsp:sp modelId="{C221B9C3-A015-449B-9E50-6721626A9470}">
      <dsp:nvSpPr>
        <dsp:cNvPr id="0" name=""/>
        <dsp:cNvSpPr/>
      </dsp:nvSpPr>
      <dsp:spPr>
        <a:xfrm>
          <a:off x="2645" y="1259941"/>
          <a:ext cx="2256160" cy="1061781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marL="0" lvl="0" indent="0" algn="ctr" defTabSz="14224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6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2645" y="1259941"/>
        <a:ext cx="2256160" cy="1061781"/>
      </dsp:txXfrm>
    </dsp:sp>
    <dsp:sp modelId="{19166087-240F-4205-829D-E61CAF74B1F0}">
      <dsp:nvSpPr>
        <dsp:cNvPr id="0" name=""/>
        <dsp:cNvSpPr/>
      </dsp:nvSpPr>
      <dsp:spPr>
        <a:xfrm>
          <a:off x="2435769" y="1259941"/>
          <a:ext cx="2256160" cy="1061781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marL="0" lvl="0" indent="0" algn="ctr" defTabSz="12890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900" kern="1200"/>
        </a:p>
      </dsp:txBody>
      <dsp:txXfrm>
        <a:off x="2435769" y="1259941"/>
        <a:ext cx="2256160" cy="1061781"/>
      </dsp:txXfrm>
    </dsp:sp>
    <dsp:sp modelId="{5800D369-D655-450A-A267-583A2F68A6F1}">
      <dsp:nvSpPr>
        <dsp:cNvPr id="0" name=""/>
        <dsp:cNvSpPr/>
      </dsp:nvSpPr>
      <dsp:spPr>
        <a:xfrm>
          <a:off x="2645" y="2498686"/>
          <a:ext cx="2256160" cy="1061781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% de execução</a:t>
          </a:r>
          <a:b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6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2645" y="2498686"/>
        <a:ext cx="2256160" cy="1061781"/>
      </dsp:txXfrm>
    </dsp:sp>
    <dsp:sp modelId="{D29654AC-8B1F-4715-B3EF-5B9D45DA3F9C}">
      <dsp:nvSpPr>
        <dsp:cNvPr id="0" name=""/>
        <dsp:cNvSpPr/>
      </dsp:nvSpPr>
      <dsp:spPr>
        <a:xfrm>
          <a:off x="2435769" y="2498686"/>
          <a:ext cx="2256160" cy="1061781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marL="0" lvl="0" indent="0" algn="ctr" defTabSz="12890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900" kern="1200"/>
        </a:p>
      </dsp:txBody>
      <dsp:txXfrm>
        <a:off x="2435769" y="2498686"/>
        <a:ext cx="2256160" cy="1061781"/>
      </dsp:txXfrm>
    </dsp:sp>
    <dsp:sp modelId="{2069F93F-EC36-45CA-81FA-E28CCFC4EDD2}">
      <dsp:nvSpPr>
        <dsp:cNvPr id="0" name=""/>
        <dsp:cNvSpPr/>
      </dsp:nvSpPr>
      <dsp:spPr>
        <a:xfrm>
          <a:off x="2645" y="3737430"/>
          <a:ext cx="2256160" cy="1061781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marL="0" lvl="0" indent="0" algn="ctr" defTabSz="12890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9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Comparativo</a:t>
          </a:r>
          <a:br>
            <a:rPr lang="pt-BR" sz="29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29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YoY</a:t>
          </a:r>
        </a:p>
      </dsp:txBody>
      <dsp:txXfrm>
        <a:off x="2645" y="3737430"/>
        <a:ext cx="2256160" cy="1061781"/>
      </dsp:txXfrm>
    </dsp:sp>
    <dsp:sp modelId="{1B25165C-4C00-4CD9-B7B8-A4C893AC4E13}">
      <dsp:nvSpPr>
        <dsp:cNvPr id="0" name=""/>
        <dsp:cNvSpPr/>
      </dsp:nvSpPr>
      <dsp:spPr>
        <a:xfrm>
          <a:off x="2435769" y="3737430"/>
          <a:ext cx="2256160" cy="1061781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marL="0" lvl="0" indent="0" algn="ctr" defTabSz="12890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900" kern="1200"/>
        </a:p>
      </dsp:txBody>
      <dsp:txXfrm>
        <a:off x="2435769" y="3737430"/>
        <a:ext cx="2256160" cy="1061781"/>
      </dsp:txXfrm>
    </dsp:sp>
  </dsp:spTree>
</dsp:drawing>
</file>

<file path=xl/diagrams/drawing17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2645" y="10642"/>
          <a:ext cx="2256161" cy="107233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37160" tIns="137160" rIns="137160" bIns="137160" numCol="1" spcCol="1270" anchor="ctr" anchorCtr="0">
          <a:noAutofit/>
        </a:bodyPr>
        <a:lstStyle/>
        <a:p>
          <a:pPr marL="0" lvl="0" indent="0" algn="ctr" defTabSz="16002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6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</a:t>
          </a:r>
          <a:br>
            <a:rPr lang="pt-BR" sz="36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6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Dez.</a:t>
          </a:r>
        </a:p>
      </dsp:txBody>
      <dsp:txXfrm>
        <a:off x="2645" y="10642"/>
        <a:ext cx="2256161" cy="1072335"/>
      </dsp:txXfrm>
    </dsp:sp>
    <dsp:sp modelId="{CB133F5D-DBBA-4B12-9FEC-4E54C8197093}">
      <dsp:nvSpPr>
        <dsp:cNvPr id="0" name=""/>
        <dsp:cNvSpPr/>
      </dsp:nvSpPr>
      <dsp:spPr>
        <a:xfrm>
          <a:off x="2435770" y="15919"/>
          <a:ext cx="2256161" cy="1061781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marL="0" lvl="0" indent="0" algn="ctr" defTabSz="12890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900" kern="1200"/>
        </a:p>
      </dsp:txBody>
      <dsp:txXfrm>
        <a:off x="2435770" y="15919"/>
        <a:ext cx="2256161" cy="1061781"/>
      </dsp:txXfrm>
    </dsp:sp>
    <dsp:sp modelId="{C221B9C3-A015-449B-9E50-6721626A9470}">
      <dsp:nvSpPr>
        <dsp:cNvPr id="0" name=""/>
        <dsp:cNvSpPr/>
      </dsp:nvSpPr>
      <dsp:spPr>
        <a:xfrm>
          <a:off x="2645" y="1259941"/>
          <a:ext cx="2256161" cy="1061781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marL="0" lvl="0" indent="0" algn="ctr" defTabSz="14224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6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2645" y="1259941"/>
        <a:ext cx="2256161" cy="1061781"/>
      </dsp:txXfrm>
    </dsp:sp>
    <dsp:sp modelId="{19166087-240F-4205-829D-E61CAF74B1F0}">
      <dsp:nvSpPr>
        <dsp:cNvPr id="0" name=""/>
        <dsp:cNvSpPr/>
      </dsp:nvSpPr>
      <dsp:spPr>
        <a:xfrm>
          <a:off x="2435770" y="1259941"/>
          <a:ext cx="2256161" cy="1061781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marL="0" lvl="0" indent="0" algn="ctr" defTabSz="12890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900" kern="1200"/>
        </a:p>
      </dsp:txBody>
      <dsp:txXfrm>
        <a:off x="2435770" y="1259941"/>
        <a:ext cx="2256161" cy="1061781"/>
      </dsp:txXfrm>
    </dsp:sp>
    <dsp:sp modelId="{5800D369-D655-450A-A267-583A2F68A6F1}">
      <dsp:nvSpPr>
        <dsp:cNvPr id="0" name=""/>
        <dsp:cNvSpPr/>
      </dsp:nvSpPr>
      <dsp:spPr>
        <a:xfrm>
          <a:off x="2645" y="2498686"/>
          <a:ext cx="2256161" cy="1061781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% de execução</a:t>
          </a:r>
          <a:b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6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2645" y="2498686"/>
        <a:ext cx="2256161" cy="1061781"/>
      </dsp:txXfrm>
    </dsp:sp>
    <dsp:sp modelId="{D29654AC-8B1F-4715-B3EF-5B9D45DA3F9C}">
      <dsp:nvSpPr>
        <dsp:cNvPr id="0" name=""/>
        <dsp:cNvSpPr/>
      </dsp:nvSpPr>
      <dsp:spPr>
        <a:xfrm>
          <a:off x="2435770" y="2498686"/>
          <a:ext cx="2256161" cy="1061781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marL="0" lvl="0" indent="0" algn="ctr" defTabSz="12890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900" kern="1200"/>
        </a:p>
      </dsp:txBody>
      <dsp:txXfrm>
        <a:off x="2435770" y="2498686"/>
        <a:ext cx="2256161" cy="1061781"/>
      </dsp:txXfrm>
    </dsp:sp>
    <dsp:sp modelId="{2069F93F-EC36-45CA-81FA-E28CCFC4EDD2}">
      <dsp:nvSpPr>
        <dsp:cNvPr id="0" name=""/>
        <dsp:cNvSpPr/>
      </dsp:nvSpPr>
      <dsp:spPr>
        <a:xfrm>
          <a:off x="2645" y="3737431"/>
          <a:ext cx="2256161" cy="1061781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marL="0" lvl="0" indent="0" algn="ctr" defTabSz="12890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9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Comparativo</a:t>
          </a:r>
          <a:br>
            <a:rPr lang="pt-BR" sz="29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29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YoY</a:t>
          </a:r>
        </a:p>
      </dsp:txBody>
      <dsp:txXfrm>
        <a:off x="2645" y="3737431"/>
        <a:ext cx="2256161" cy="1061781"/>
      </dsp:txXfrm>
    </dsp:sp>
    <dsp:sp modelId="{1B25165C-4C00-4CD9-B7B8-A4C893AC4E13}">
      <dsp:nvSpPr>
        <dsp:cNvPr id="0" name=""/>
        <dsp:cNvSpPr/>
      </dsp:nvSpPr>
      <dsp:spPr>
        <a:xfrm>
          <a:off x="2435770" y="3737431"/>
          <a:ext cx="2256161" cy="1061781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10490" tIns="110490" rIns="110490" bIns="110490" numCol="1" spcCol="1270" anchor="ctr" anchorCtr="0">
          <a:noAutofit/>
        </a:bodyPr>
        <a:lstStyle/>
        <a:p>
          <a:pPr marL="0" lvl="0" indent="0" algn="ctr" defTabSz="12890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900" kern="1200"/>
        </a:p>
      </dsp:txBody>
      <dsp:txXfrm>
        <a:off x="2435770" y="3737431"/>
        <a:ext cx="2256161" cy="1061781"/>
      </dsp:txXfrm>
    </dsp:sp>
  </dsp:spTree>
</dsp:drawing>
</file>

<file path=xl/diagrams/drawing2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906464" y="1866"/>
          <a:ext cx="2067796" cy="124067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marL="0" lvl="0" indent="0" algn="ctr" defTabSz="14224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Entrantes </a:t>
          </a:r>
          <a:r>
            <a:rPr lang="pt-BR" sz="16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 - Jan. a Dez.</a:t>
          </a:r>
        </a:p>
      </dsp:txBody>
      <dsp:txXfrm>
        <a:off x="906464" y="1866"/>
        <a:ext cx="2067796" cy="1240677"/>
      </dsp:txXfrm>
    </dsp:sp>
    <dsp:sp modelId="{CB133F5D-DBBA-4B12-9FEC-4E54C8197093}">
      <dsp:nvSpPr>
        <dsp:cNvPr id="0" name=""/>
        <dsp:cNvSpPr/>
      </dsp:nvSpPr>
      <dsp:spPr>
        <a:xfrm>
          <a:off x="3181039" y="1866"/>
          <a:ext cx="2067796" cy="124067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17170" tIns="217170" rIns="217170" bIns="217170" numCol="1" spcCol="1270" anchor="ctr" anchorCtr="0">
          <a:noAutofit/>
        </a:bodyPr>
        <a:lstStyle/>
        <a:p>
          <a:pPr marL="0" lvl="0" indent="0" algn="ctr" defTabSz="25336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5700" kern="1200"/>
        </a:p>
      </dsp:txBody>
      <dsp:txXfrm>
        <a:off x="3181039" y="1866"/>
        <a:ext cx="2067796" cy="1240677"/>
      </dsp:txXfrm>
    </dsp:sp>
    <dsp:sp modelId="{C221B9C3-A015-449B-9E50-6721626A9470}">
      <dsp:nvSpPr>
        <dsp:cNvPr id="0" name=""/>
        <dsp:cNvSpPr/>
      </dsp:nvSpPr>
      <dsp:spPr>
        <a:xfrm>
          <a:off x="906464" y="1449324"/>
          <a:ext cx="2067796" cy="124067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72390" tIns="72390" rIns="72390" bIns="72390" numCol="1" spcCol="1270" anchor="ctr" anchorCtr="0">
          <a:noAutofit/>
        </a:bodyPr>
        <a:lstStyle/>
        <a:p>
          <a:pPr marL="0" lvl="0" indent="0" algn="ctr" defTabSz="8445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19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Entrantes</a:t>
          </a:r>
          <a:br>
            <a:rPr lang="pt-BR" sz="19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  <a:b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br>
            <a:rPr lang="pt-BR" sz="105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9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%</a:t>
          </a: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 </a:t>
          </a:r>
          <a:r>
            <a:rPr lang="pt-BR" sz="19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de Execução</a:t>
          </a:r>
          <a:endParaRPr lang="pt-BR" sz="1900" kern="1200">
            <a:effectLst>
              <a:outerShdw blurRad="127000" algn="ctr" rotWithShape="0">
                <a:srgbClr val="000000">
                  <a:alpha val="85%"/>
                </a:srgbClr>
              </a:outerShdw>
            </a:effectLst>
          </a:endParaRPr>
        </a:p>
      </dsp:txBody>
      <dsp:txXfrm>
        <a:off x="906464" y="1449324"/>
        <a:ext cx="2067796" cy="1240677"/>
      </dsp:txXfrm>
    </dsp:sp>
    <dsp:sp modelId="{19166087-240F-4205-829D-E61CAF74B1F0}">
      <dsp:nvSpPr>
        <dsp:cNvPr id="0" name=""/>
        <dsp:cNvSpPr/>
      </dsp:nvSpPr>
      <dsp:spPr>
        <a:xfrm>
          <a:off x="3181039" y="1449324"/>
          <a:ext cx="2067796" cy="124067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17170" tIns="217170" rIns="217170" bIns="217170" numCol="1" spcCol="1270" anchor="ctr" anchorCtr="0">
          <a:noAutofit/>
        </a:bodyPr>
        <a:lstStyle/>
        <a:p>
          <a:pPr marL="0" lvl="0" indent="0" algn="ctr" defTabSz="25336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5700" kern="1200"/>
        </a:p>
      </dsp:txBody>
      <dsp:txXfrm>
        <a:off x="3181039" y="1449324"/>
        <a:ext cx="2067796" cy="1240677"/>
      </dsp:txXfrm>
    </dsp:sp>
    <dsp:sp modelId="{81E86E99-3676-4A87-9CCC-09470BFADE6D}">
      <dsp:nvSpPr>
        <dsp:cNvPr id="0" name=""/>
        <dsp:cNvSpPr/>
      </dsp:nvSpPr>
      <dsp:spPr>
        <a:xfrm>
          <a:off x="906464" y="2896781"/>
          <a:ext cx="2067796" cy="124067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marL="0" lvl="0" indent="0" algn="ctr" defTabSz="8890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000" kern="1200">
              <a:solidFill>
                <a:schemeClr val="bg1"/>
              </a:solidFill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Adimplência PF</a:t>
          </a:r>
          <a:b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Previsto - Jan. a Dez.</a:t>
          </a:r>
        </a:p>
      </dsp:txBody>
      <dsp:txXfrm>
        <a:off x="906464" y="2896781"/>
        <a:ext cx="2067796" cy="1240677"/>
      </dsp:txXfrm>
    </dsp:sp>
    <dsp:sp modelId="{0E296175-191A-4DDD-9AFD-C58180D0C5B1}">
      <dsp:nvSpPr>
        <dsp:cNvPr id="0" name=""/>
        <dsp:cNvSpPr/>
      </dsp:nvSpPr>
      <dsp:spPr>
        <a:xfrm>
          <a:off x="3181039" y="2896781"/>
          <a:ext cx="2067796" cy="124067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17170" tIns="217170" rIns="217170" bIns="217170" numCol="1" spcCol="1270" anchor="ctr" anchorCtr="0">
          <a:noAutofit/>
        </a:bodyPr>
        <a:lstStyle/>
        <a:p>
          <a:pPr marL="0" lvl="0" indent="0" algn="ctr" defTabSz="25336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5700" kern="1200"/>
        </a:p>
      </dsp:txBody>
      <dsp:txXfrm>
        <a:off x="3181039" y="2896781"/>
        <a:ext cx="2067796" cy="1240677"/>
      </dsp:txXfrm>
    </dsp:sp>
    <dsp:sp modelId="{5800D369-D655-450A-A267-583A2F68A6F1}">
      <dsp:nvSpPr>
        <dsp:cNvPr id="0" name=""/>
        <dsp:cNvSpPr/>
      </dsp:nvSpPr>
      <dsp:spPr>
        <a:xfrm>
          <a:off x="906464" y="4344238"/>
          <a:ext cx="2067796" cy="124067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marL="0" lvl="0" indent="0" algn="ctr" defTabSz="8890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000" kern="1200">
              <a:solidFill>
                <a:schemeClr val="bg1"/>
              </a:solidFill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Adimplência</a:t>
          </a:r>
          <a:r>
            <a:rPr lang="pt-BR" sz="20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 PF</a:t>
          </a:r>
          <a:b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Jan. a </a:t>
          </a: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Abr.</a:t>
          </a:r>
          <a:endParaRPr lang="pt-BR" sz="1400" kern="1200">
            <a:effectLst>
              <a:outerShdw blurRad="127000" algn="ctr" rotWithShape="0">
                <a:srgbClr val="000000">
                  <a:alpha val="85%"/>
                </a:srgbClr>
              </a:outerShdw>
            </a:effectLst>
          </a:endParaRPr>
        </a:p>
      </dsp:txBody>
      <dsp:txXfrm>
        <a:off x="906464" y="4344238"/>
        <a:ext cx="2067796" cy="1240677"/>
      </dsp:txXfrm>
    </dsp:sp>
    <dsp:sp modelId="{2069F93F-EC36-45CA-81FA-E28CCFC4EDD2}">
      <dsp:nvSpPr>
        <dsp:cNvPr id="0" name=""/>
        <dsp:cNvSpPr/>
      </dsp:nvSpPr>
      <dsp:spPr>
        <a:xfrm>
          <a:off x="3181039" y="4344238"/>
          <a:ext cx="2067796" cy="124067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17170" tIns="217170" rIns="217170" bIns="217170" numCol="1" spcCol="1270" anchor="ctr" anchorCtr="0">
          <a:noAutofit/>
        </a:bodyPr>
        <a:lstStyle/>
        <a:p>
          <a:pPr marL="0" lvl="0" indent="0" algn="ctr" defTabSz="25336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5700" kern="1200"/>
        </a:p>
      </dsp:txBody>
      <dsp:txXfrm>
        <a:off x="3181039" y="4344238"/>
        <a:ext cx="2067796" cy="1240677"/>
      </dsp:txXfrm>
    </dsp:sp>
  </dsp:spTree>
</dsp:drawing>
</file>

<file path=xl/diagrams/drawing3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864083" y="1173"/>
          <a:ext cx="1780762" cy="106845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marL="0" lvl="0" indent="0" algn="ctr" defTabSz="14224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</a:t>
          </a:r>
          <a:b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</a:t>
          </a:r>
        </a:p>
      </dsp:txBody>
      <dsp:txXfrm>
        <a:off x="864083" y="1173"/>
        <a:ext cx="1780762" cy="1068457"/>
      </dsp:txXfrm>
    </dsp:sp>
    <dsp:sp modelId="{CB133F5D-DBBA-4B12-9FEC-4E54C8197093}">
      <dsp:nvSpPr>
        <dsp:cNvPr id="0" name=""/>
        <dsp:cNvSpPr/>
      </dsp:nvSpPr>
      <dsp:spPr>
        <a:xfrm>
          <a:off x="2822923" y="1173"/>
          <a:ext cx="1780762" cy="106845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400" kern="1200"/>
        </a:p>
      </dsp:txBody>
      <dsp:txXfrm>
        <a:off x="2822923" y="1173"/>
        <a:ext cx="1780762" cy="1068457"/>
      </dsp:txXfrm>
    </dsp:sp>
    <dsp:sp modelId="{C221B9C3-A015-449B-9E50-6721626A9470}">
      <dsp:nvSpPr>
        <dsp:cNvPr id="0" name=""/>
        <dsp:cNvSpPr/>
      </dsp:nvSpPr>
      <dsp:spPr>
        <a:xfrm>
          <a:off x="864083" y="1247707"/>
          <a:ext cx="1780762" cy="106845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marL="0" lvl="0" indent="0" algn="ctr" defTabSz="12446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864083" y="1247707"/>
        <a:ext cx="1780762" cy="1068457"/>
      </dsp:txXfrm>
    </dsp:sp>
    <dsp:sp modelId="{19166087-240F-4205-829D-E61CAF74B1F0}">
      <dsp:nvSpPr>
        <dsp:cNvPr id="0" name=""/>
        <dsp:cNvSpPr/>
      </dsp:nvSpPr>
      <dsp:spPr>
        <a:xfrm>
          <a:off x="2822923" y="1247707"/>
          <a:ext cx="1780762" cy="106845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400" kern="1200"/>
        </a:p>
      </dsp:txBody>
      <dsp:txXfrm>
        <a:off x="2822923" y="1247707"/>
        <a:ext cx="1780762" cy="1068457"/>
      </dsp:txXfrm>
    </dsp:sp>
    <dsp:sp modelId="{5800D369-D655-450A-A267-583A2F68A6F1}">
      <dsp:nvSpPr>
        <dsp:cNvPr id="0" name=""/>
        <dsp:cNvSpPr/>
      </dsp:nvSpPr>
      <dsp:spPr>
        <a:xfrm>
          <a:off x="864083" y="2494241"/>
          <a:ext cx="1780762" cy="106845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marL="0" lvl="0" indent="0" algn="ctr" defTabSz="8890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0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Média de execução</a:t>
          </a:r>
          <a:br>
            <a:rPr lang="pt-BR" sz="20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864083" y="2494241"/>
        <a:ext cx="1780762" cy="1068457"/>
      </dsp:txXfrm>
    </dsp:sp>
    <dsp:sp modelId="{D29654AC-8B1F-4715-B3EF-5B9D45DA3F9C}">
      <dsp:nvSpPr>
        <dsp:cNvPr id="0" name=""/>
        <dsp:cNvSpPr/>
      </dsp:nvSpPr>
      <dsp:spPr>
        <a:xfrm>
          <a:off x="2822923" y="2494241"/>
          <a:ext cx="1780762" cy="106845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400" kern="1200"/>
        </a:p>
      </dsp:txBody>
      <dsp:txXfrm>
        <a:off x="2822923" y="2494241"/>
        <a:ext cx="1780762" cy="1068457"/>
      </dsp:txXfrm>
    </dsp:sp>
    <dsp:sp modelId="{2069F93F-EC36-45CA-81FA-E28CCFC4EDD2}">
      <dsp:nvSpPr>
        <dsp:cNvPr id="0" name=""/>
        <dsp:cNvSpPr/>
      </dsp:nvSpPr>
      <dsp:spPr>
        <a:xfrm>
          <a:off x="864083" y="3740775"/>
          <a:ext cx="1780762" cy="106845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Comparativo</a:t>
          </a:r>
          <a:b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YoY</a:t>
          </a:r>
        </a:p>
      </dsp:txBody>
      <dsp:txXfrm>
        <a:off x="864083" y="3740775"/>
        <a:ext cx="1780762" cy="1068457"/>
      </dsp:txXfrm>
    </dsp:sp>
    <dsp:sp modelId="{1B25165C-4C00-4CD9-B7B8-A4C893AC4E13}">
      <dsp:nvSpPr>
        <dsp:cNvPr id="0" name=""/>
        <dsp:cNvSpPr/>
      </dsp:nvSpPr>
      <dsp:spPr>
        <a:xfrm>
          <a:off x="2822923" y="3740775"/>
          <a:ext cx="1780762" cy="106845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400" kern="1200"/>
        </a:p>
      </dsp:txBody>
      <dsp:txXfrm>
        <a:off x="2822923" y="3740775"/>
        <a:ext cx="1780762" cy="1068457"/>
      </dsp:txXfrm>
    </dsp:sp>
  </dsp:spTree>
</dsp:drawing>
</file>

<file path=xl/diagrams/drawing4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861752" y="1344"/>
          <a:ext cx="2403582" cy="1442149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44780" tIns="144780" rIns="144780" bIns="144780" numCol="1" spcCol="1270" anchor="ctr" anchorCtr="0">
          <a:noAutofit/>
        </a:bodyPr>
        <a:lstStyle/>
        <a:p>
          <a:pPr marL="0" lvl="0" indent="0" algn="ctr" defTabSz="16891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</a:t>
          </a:r>
          <a:b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Dez.</a:t>
          </a:r>
        </a:p>
      </dsp:txBody>
      <dsp:txXfrm>
        <a:off x="861752" y="1344"/>
        <a:ext cx="2403582" cy="1442149"/>
      </dsp:txXfrm>
    </dsp:sp>
    <dsp:sp modelId="{CB133F5D-DBBA-4B12-9FEC-4E54C8197093}">
      <dsp:nvSpPr>
        <dsp:cNvPr id="0" name=""/>
        <dsp:cNvSpPr/>
      </dsp:nvSpPr>
      <dsp:spPr>
        <a:xfrm>
          <a:off x="3505693" y="1344"/>
          <a:ext cx="2403582" cy="1442149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marL="0" lvl="0" indent="0" algn="ctr" defTabSz="28892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6500" kern="1200"/>
        </a:p>
      </dsp:txBody>
      <dsp:txXfrm>
        <a:off x="3505693" y="1344"/>
        <a:ext cx="2403582" cy="1442149"/>
      </dsp:txXfrm>
    </dsp:sp>
    <dsp:sp modelId="{C221B9C3-A015-449B-9E50-6721626A9470}">
      <dsp:nvSpPr>
        <dsp:cNvPr id="0" name=""/>
        <dsp:cNvSpPr/>
      </dsp:nvSpPr>
      <dsp:spPr>
        <a:xfrm>
          <a:off x="861752" y="1683852"/>
          <a:ext cx="2403582" cy="1442149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44780" tIns="144780" rIns="144780" bIns="144780" numCol="1" spcCol="1270" anchor="ctr" anchorCtr="0">
          <a:noAutofit/>
        </a:bodyPr>
        <a:lstStyle/>
        <a:p>
          <a:pPr marL="0" lvl="0" indent="0" algn="ctr" defTabSz="16891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3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861752" y="1683852"/>
        <a:ext cx="2403582" cy="1442149"/>
      </dsp:txXfrm>
    </dsp:sp>
    <dsp:sp modelId="{19166087-240F-4205-829D-E61CAF74B1F0}">
      <dsp:nvSpPr>
        <dsp:cNvPr id="0" name=""/>
        <dsp:cNvSpPr/>
      </dsp:nvSpPr>
      <dsp:spPr>
        <a:xfrm>
          <a:off x="3505693" y="1683852"/>
          <a:ext cx="2403582" cy="1442149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marL="0" lvl="0" indent="0" algn="ctr" defTabSz="28892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6500" kern="1200"/>
        </a:p>
      </dsp:txBody>
      <dsp:txXfrm>
        <a:off x="3505693" y="1683852"/>
        <a:ext cx="2403582" cy="1442149"/>
      </dsp:txXfrm>
    </dsp:sp>
    <dsp:sp modelId="{5800D369-D655-450A-A267-583A2F68A6F1}">
      <dsp:nvSpPr>
        <dsp:cNvPr id="0" name=""/>
        <dsp:cNvSpPr/>
      </dsp:nvSpPr>
      <dsp:spPr>
        <a:xfrm>
          <a:off x="861752" y="3366360"/>
          <a:ext cx="2403582" cy="1442149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marL="0" lvl="0" indent="0" algn="ctr" defTabSz="12446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% de execução</a:t>
          </a:r>
          <a:b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861752" y="3366360"/>
        <a:ext cx="2403582" cy="1442149"/>
      </dsp:txXfrm>
    </dsp:sp>
    <dsp:sp modelId="{2069F93F-EC36-45CA-81FA-E28CCFC4EDD2}">
      <dsp:nvSpPr>
        <dsp:cNvPr id="0" name=""/>
        <dsp:cNvSpPr/>
      </dsp:nvSpPr>
      <dsp:spPr>
        <a:xfrm>
          <a:off x="3505693" y="3366360"/>
          <a:ext cx="2403582" cy="1442149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marL="0" lvl="0" indent="0" algn="ctr" defTabSz="28892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6500" kern="1200"/>
        </a:p>
      </dsp:txBody>
      <dsp:txXfrm>
        <a:off x="3505693" y="3366360"/>
        <a:ext cx="2403582" cy="1442149"/>
      </dsp:txXfrm>
    </dsp:sp>
  </dsp:spTree>
</dsp:drawing>
</file>

<file path=xl/diagrams/drawing5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906464" y="1866"/>
          <a:ext cx="2067796" cy="124067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marL="0" lvl="0" indent="0" algn="ctr" defTabSz="12446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Empresas Previstas</a:t>
          </a:r>
          <a:br>
            <a:rPr lang="pt-BR" sz="36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Dez.</a:t>
          </a:r>
        </a:p>
      </dsp:txBody>
      <dsp:txXfrm>
        <a:off x="906464" y="1866"/>
        <a:ext cx="2067796" cy="1240677"/>
      </dsp:txXfrm>
    </dsp:sp>
    <dsp:sp modelId="{CB133F5D-DBBA-4B12-9FEC-4E54C8197093}">
      <dsp:nvSpPr>
        <dsp:cNvPr id="0" name=""/>
        <dsp:cNvSpPr/>
      </dsp:nvSpPr>
      <dsp:spPr>
        <a:xfrm>
          <a:off x="3181040" y="1866"/>
          <a:ext cx="2067796" cy="124067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17170" tIns="217170" rIns="217170" bIns="217170" numCol="1" spcCol="1270" anchor="ctr" anchorCtr="0">
          <a:noAutofit/>
        </a:bodyPr>
        <a:lstStyle/>
        <a:p>
          <a:pPr marL="0" lvl="0" indent="0" algn="ctr" defTabSz="25336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5700" kern="1200"/>
        </a:p>
      </dsp:txBody>
      <dsp:txXfrm>
        <a:off x="3181040" y="1866"/>
        <a:ext cx="2067796" cy="1240677"/>
      </dsp:txXfrm>
    </dsp:sp>
    <dsp:sp modelId="{C221B9C3-A015-449B-9E50-6721626A9470}">
      <dsp:nvSpPr>
        <dsp:cNvPr id="0" name=""/>
        <dsp:cNvSpPr/>
      </dsp:nvSpPr>
      <dsp:spPr>
        <a:xfrm>
          <a:off x="906464" y="1449323"/>
          <a:ext cx="2067796" cy="124067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Empresa Atuais</a:t>
          </a:r>
          <a:b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906464" y="1449323"/>
        <a:ext cx="2067796" cy="1240677"/>
      </dsp:txXfrm>
    </dsp:sp>
    <dsp:sp modelId="{19166087-240F-4205-829D-E61CAF74B1F0}">
      <dsp:nvSpPr>
        <dsp:cNvPr id="0" name=""/>
        <dsp:cNvSpPr/>
      </dsp:nvSpPr>
      <dsp:spPr>
        <a:xfrm>
          <a:off x="3181040" y="1449323"/>
          <a:ext cx="2067796" cy="124067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17170" tIns="217170" rIns="217170" bIns="217170" numCol="1" spcCol="1270" anchor="ctr" anchorCtr="0">
          <a:noAutofit/>
        </a:bodyPr>
        <a:lstStyle/>
        <a:p>
          <a:pPr marL="0" lvl="0" indent="0" algn="ctr" defTabSz="25336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5700" kern="1200"/>
        </a:p>
      </dsp:txBody>
      <dsp:txXfrm>
        <a:off x="3181040" y="1449323"/>
        <a:ext cx="2067796" cy="1240677"/>
      </dsp:txXfrm>
    </dsp:sp>
    <dsp:sp modelId="{81E86E99-3676-4A87-9CCC-09470BFADE6D}">
      <dsp:nvSpPr>
        <dsp:cNvPr id="0" name=""/>
        <dsp:cNvSpPr/>
      </dsp:nvSpPr>
      <dsp:spPr>
        <a:xfrm>
          <a:off x="906464" y="2896781"/>
          <a:ext cx="2067796" cy="124067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marL="0" lvl="0" indent="0" algn="ctr" defTabSz="14224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33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906464" y="2896781"/>
        <a:ext cx="2067796" cy="1240677"/>
      </dsp:txXfrm>
    </dsp:sp>
    <dsp:sp modelId="{0E296175-191A-4DDD-9AFD-C58180D0C5B1}">
      <dsp:nvSpPr>
        <dsp:cNvPr id="0" name=""/>
        <dsp:cNvSpPr/>
      </dsp:nvSpPr>
      <dsp:spPr>
        <a:xfrm>
          <a:off x="3181040" y="2896781"/>
          <a:ext cx="2067796" cy="124067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17170" tIns="217170" rIns="217170" bIns="217170" numCol="1" spcCol="1270" anchor="ctr" anchorCtr="0">
          <a:noAutofit/>
        </a:bodyPr>
        <a:lstStyle/>
        <a:p>
          <a:pPr marL="0" lvl="0" indent="0" algn="ctr" defTabSz="25336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5700" kern="1200"/>
        </a:p>
      </dsp:txBody>
      <dsp:txXfrm>
        <a:off x="3181040" y="2896781"/>
        <a:ext cx="2067796" cy="1240677"/>
      </dsp:txXfrm>
    </dsp:sp>
    <dsp:sp modelId="{5800D369-D655-450A-A267-583A2F68A6F1}">
      <dsp:nvSpPr>
        <dsp:cNvPr id="0" name=""/>
        <dsp:cNvSpPr/>
      </dsp:nvSpPr>
      <dsp:spPr>
        <a:xfrm>
          <a:off x="906464" y="4344238"/>
          <a:ext cx="2067796" cy="1240677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Média de execução</a:t>
          </a:r>
          <a:b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906464" y="4344238"/>
        <a:ext cx="2067796" cy="1240677"/>
      </dsp:txXfrm>
    </dsp:sp>
    <dsp:sp modelId="{2069F93F-EC36-45CA-81FA-E28CCFC4EDD2}">
      <dsp:nvSpPr>
        <dsp:cNvPr id="0" name=""/>
        <dsp:cNvSpPr/>
      </dsp:nvSpPr>
      <dsp:spPr>
        <a:xfrm>
          <a:off x="3181040" y="4344238"/>
          <a:ext cx="2067796" cy="1240677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17170" tIns="217170" rIns="217170" bIns="217170" numCol="1" spcCol="1270" anchor="ctr" anchorCtr="0">
          <a:noAutofit/>
        </a:bodyPr>
        <a:lstStyle/>
        <a:p>
          <a:pPr marL="0" lvl="0" indent="0" algn="ctr" defTabSz="25336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5700" kern="1200"/>
        </a:p>
      </dsp:txBody>
      <dsp:txXfrm>
        <a:off x="3181040" y="4344238"/>
        <a:ext cx="2067796" cy="1240677"/>
      </dsp:txXfrm>
    </dsp:sp>
  </dsp:spTree>
</dsp:drawing>
</file>

<file path=xl/diagrams/drawing6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81E86E99-3676-4A87-9CCC-09470BFADE6D}">
      <dsp:nvSpPr>
        <dsp:cNvPr id="0" name=""/>
        <dsp:cNvSpPr/>
      </dsp:nvSpPr>
      <dsp:spPr>
        <a:xfrm>
          <a:off x="563" y="1365775"/>
          <a:ext cx="2196330" cy="1317798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9060" tIns="99060" rIns="99060" bIns="99060" numCol="1" spcCol="1270" anchor="ctr" anchorCtr="0">
          <a:noAutofit/>
        </a:bodyPr>
        <a:lstStyle/>
        <a:p>
          <a:pPr marL="0" lvl="0" indent="0" algn="ctr" defTabSz="11557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600" kern="1200">
              <a:solidFill>
                <a:schemeClr val="bg1"/>
              </a:solidFill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Adimplência PJ</a:t>
          </a:r>
          <a:br>
            <a:rPr lang="pt-BR" sz="26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Previsto - Jan. a Dez.</a:t>
          </a:r>
        </a:p>
      </dsp:txBody>
      <dsp:txXfrm>
        <a:off x="563" y="1365775"/>
        <a:ext cx="2196330" cy="1317798"/>
      </dsp:txXfrm>
    </dsp:sp>
    <dsp:sp modelId="{0E296175-191A-4DDD-9AFD-C58180D0C5B1}">
      <dsp:nvSpPr>
        <dsp:cNvPr id="0" name=""/>
        <dsp:cNvSpPr/>
      </dsp:nvSpPr>
      <dsp:spPr>
        <a:xfrm>
          <a:off x="2416527" y="1365775"/>
          <a:ext cx="2196330" cy="1317798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32410" tIns="232410" rIns="232410" bIns="232410" numCol="1" spcCol="1270" anchor="ctr" anchorCtr="0">
          <a:noAutofit/>
        </a:bodyPr>
        <a:lstStyle/>
        <a:p>
          <a:pPr marL="0" lvl="0" indent="0" algn="ctr" defTabSz="27114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6100" kern="1200"/>
        </a:p>
      </dsp:txBody>
      <dsp:txXfrm>
        <a:off x="2416527" y="1365775"/>
        <a:ext cx="2196330" cy="1317798"/>
      </dsp:txXfrm>
    </dsp:sp>
    <dsp:sp modelId="{5800D369-D655-450A-A267-583A2F68A6F1}">
      <dsp:nvSpPr>
        <dsp:cNvPr id="0" name=""/>
        <dsp:cNvSpPr/>
      </dsp:nvSpPr>
      <dsp:spPr>
        <a:xfrm>
          <a:off x="563" y="2903207"/>
          <a:ext cx="2196330" cy="1317798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solidFill>
                <a:schemeClr val="bg1"/>
              </a:solidFill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Adimplência PJ</a:t>
          </a:r>
          <a:br>
            <a:rPr lang="pt-BR" sz="27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1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Jan. a </a:t>
          </a:r>
          <a:r>
            <a:rPr lang="pt-BR" sz="1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Abr.</a:t>
          </a:r>
          <a:endParaRPr lang="pt-BR" sz="1400" kern="1200">
            <a:effectLst>
              <a:outerShdw blurRad="127000" algn="ctr" rotWithShape="0">
                <a:srgbClr val="000000">
                  <a:alpha val="85%"/>
                </a:srgbClr>
              </a:outerShdw>
            </a:effectLst>
          </a:endParaRPr>
        </a:p>
      </dsp:txBody>
      <dsp:txXfrm>
        <a:off x="563" y="2903207"/>
        <a:ext cx="2196330" cy="1317798"/>
      </dsp:txXfrm>
    </dsp:sp>
    <dsp:sp modelId="{2069F93F-EC36-45CA-81FA-E28CCFC4EDD2}">
      <dsp:nvSpPr>
        <dsp:cNvPr id="0" name=""/>
        <dsp:cNvSpPr/>
      </dsp:nvSpPr>
      <dsp:spPr>
        <a:xfrm>
          <a:off x="2416527" y="2903207"/>
          <a:ext cx="2196330" cy="1317798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32410" tIns="232410" rIns="232410" bIns="232410" numCol="1" spcCol="1270" anchor="ctr" anchorCtr="0">
          <a:noAutofit/>
        </a:bodyPr>
        <a:lstStyle/>
        <a:p>
          <a:pPr marL="0" lvl="0" indent="0" algn="ctr" defTabSz="27114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6100" kern="1200"/>
        </a:p>
      </dsp:txBody>
      <dsp:txXfrm>
        <a:off x="2416527" y="2903207"/>
        <a:ext cx="2196330" cy="1317798"/>
      </dsp:txXfrm>
    </dsp:sp>
  </dsp:spTree>
</dsp:drawing>
</file>

<file path=xl/diagrams/drawing7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620569" y="1155"/>
          <a:ext cx="1778609" cy="106716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21920" tIns="121920" rIns="121920" bIns="121920" numCol="1" spcCol="1270" anchor="ctr" anchorCtr="0">
          <a:noAutofit/>
        </a:bodyPr>
        <a:lstStyle/>
        <a:p>
          <a:pPr marL="0" lvl="0" indent="0" algn="ctr" defTabSz="14224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2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 </a:t>
          </a:r>
          <a:r>
            <a:rPr lang="pt-BR" sz="20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2019</a:t>
          </a:r>
        </a:p>
      </dsp:txBody>
      <dsp:txXfrm>
        <a:off x="620569" y="1155"/>
        <a:ext cx="1778609" cy="1067165"/>
      </dsp:txXfrm>
    </dsp:sp>
    <dsp:sp modelId="{CB133F5D-DBBA-4B12-9FEC-4E54C8197093}">
      <dsp:nvSpPr>
        <dsp:cNvPr id="0" name=""/>
        <dsp:cNvSpPr/>
      </dsp:nvSpPr>
      <dsp:spPr>
        <a:xfrm>
          <a:off x="2577039" y="1155"/>
          <a:ext cx="1778609" cy="1067165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400" kern="1200"/>
        </a:p>
      </dsp:txBody>
      <dsp:txXfrm>
        <a:off x="2577039" y="1155"/>
        <a:ext cx="1778609" cy="1067165"/>
      </dsp:txXfrm>
    </dsp:sp>
    <dsp:sp modelId="{C221B9C3-A015-449B-9E50-6721626A9470}">
      <dsp:nvSpPr>
        <dsp:cNvPr id="0" name=""/>
        <dsp:cNvSpPr/>
      </dsp:nvSpPr>
      <dsp:spPr>
        <a:xfrm>
          <a:off x="620569" y="1246181"/>
          <a:ext cx="1778609" cy="106716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marL="0" lvl="0" indent="0" algn="ctr" defTabSz="12446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1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620569" y="1246181"/>
        <a:ext cx="1778609" cy="1067165"/>
      </dsp:txXfrm>
    </dsp:sp>
    <dsp:sp modelId="{19166087-240F-4205-829D-E61CAF74B1F0}">
      <dsp:nvSpPr>
        <dsp:cNvPr id="0" name=""/>
        <dsp:cNvSpPr/>
      </dsp:nvSpPr>
      <dsp:spPr>
        <a:xfrm>
          <a:off x="2577039" y="1246181"/>
          <a:ext cx="1778609" cy="1067165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400" kern="1200"/>
        </a:p>
      </dsp:txBody>
      <dsp:txXfrm>
        <a:off x="2577039" y="1246181"/>
        <a:ext cx="1778609" cy="1067165"/>
      </dsp:txXfrm>
    </dsp:sp>
    <dsp:sp modelId="{5800D369-D655-450A-A267-583A2F68A6F1}">
      <dsp:nvSpPr>
        <dsp:cNvPr id="0" name=""/>
        <dsp:cNvSpPr/>
      </dsp:nvSpPr>
      <dsp:spPr>
        <a:xfrm>
          <a:off x="620569" y="2491207"/>
          <a:ext cx="1778609" cy="106716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Média de execução</a:t>
          </a:r>
        </a:p>
      </dsp:txBody>
      <dsp:txXfrm>
        <a:off x="620569" y="2491207"/>
        <a:ext cx="1778609" cy="1067165"/>
      </dsp:txXfrm>
    </dsp:sp>
    <dsp:sp modelId="{1EDBA391-CE45-4122-A2BD-AC939FFB038A}">
      <dsp:nvSpPr>
        <dsp:cNvPr id="0" name=""/>
        <dsp:cNvSpPr/>
      </dsp:nvSpPr>
      <dsp:spPr>
        <a:xfrm>
          <a:off x="2577039" y="2491207"/>
          <a:ext cx="1778609" cy="1067165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400" kern="1200"/>
        </a:p>
      </dsp:txBody>
      <dsp:txXfrm>
        <a:off x="2577039" y="2491207"/>
        <a:ext cx="1778609" cy="1067165"/>
      </dsp:txXfrm>
    </dsp:sp>
    <dsp:sp modelId="{26C29F5A-5C9B-4D16-A9F5-DF7736AB47DF}">
      <dsp:nvSpPr>
        <dsp:cNvPr id="0" name=""/>
        <dsp:cNvSpPr/>
      </dsp:nvSpPr>
      <dsp:spPr>
        <a:xfrm>
          <a:off x="620569" y="3736234"/>
          <a:ext cx="1778609" cy="1067165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Comparativo</a:t>
          </a:r>
          <a:b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YoY</a:t>
          </a:r>
        </a:p>
      </dsp:txBody>
      <dsp:txXfrm>
        <a:off x="620569" y="3736234"/>
        <a:ext cx="1778609" cy="1067165"/>
      </dsp:txXfrm>
    </dsp:sp>
    <dsp:sp modelId="{2069F93F-EC36-45CA-81FA-E28CCFC4EDD2}">
      <dsp:nvSpPr>
        <dsp:cNvPr id="0" name=""/>
        <dsp:cNvSpPr/>
      </dsp:nvSpPr>
      <dsp:spPr>
        <a:xfrm>
          <a:off x="2577039" y="3736234"/>
          <a:ext cx="1778609" cy="1067165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400" kern="1200"/>
        </a:p>
      </dsp:txBody>
      <dsp:txXfrm>
        <a:off x="2577039" y="3736234"/>
        <a:ext cx="1778609" cy="1067165"/>
      </dsp:txXfrm>
    </dsp:sp>
  </dsp:spTree>
</dsp:drawing>
</file>

<file path=xl/diagrams/drawing8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553015" y="789"/>
          <a:ext cx="2404414" cy="1442648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48590" tIns="148590" rIns="148590" bIns="148590" numCol="1" spcCol="1270" anchor="ctr" anchorCtr="0">
          <a:noAutofit/>
        </a:bodyPr>
        <a:lstStyle/>
        <a:p>
          <a:pPr marL="0" lvl="0" indent="0" algn="ctr" defTabSz="17335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9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 </a:t>
          </a:r>
          <a: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2019</a:t>
          </a:r>
        </a:p>
      </dsp:txBody>
      <dsp:txXfrm>
        <a:off x="553015" y="789"/>
        <a:ext cx="2404414" cy="1442648"/>
      </dsp:txXfrm>
    </dsp:sp>
    <dsp:sp modelId="{CB133F5D-DBBA-4B12-9FEC-4E54C8197093}">
      <dsp:nvSpPr>
        <dsp:cNvPr id="0" name=""/>
        <dsp:cNvSpPr/>
      </dsp:nvSpPr>
      <dsp:spPr>
        <a:xfrm>
          <a:off x="3197870" y="789"/>
          <a:ext cx="2404414" cy="1442648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marL="0" lvl="0" indent="0" algn="ctr" defTabSz="28892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6500" kern="1200"/>
        </a:p>
      </dsp:txBody>
      <dsp:txXfrm>
        <a:off x="3197870" y="789"/>
        <a:ext cx="2404414" cy="1442648"/>
      </dsp:txXfrm>
    </dsp:sp>
    <dsp:sp modelId="{C221B9C3-A015-449B-9E50-6721626A9470}">
      <dsp:nvSpPr>
        <dsp:cNvPr id="0" name=""/>
        <dsp:cNvSpPr/>
      </dsp:nvSpPr>
      <dsp:spPr>
        <a:xfrm>
          <a:off x="553015" y="1683879"/>
          <a:ext cx="2404414" cy="1442648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40970" tIns="140970" rIns="140970" bIns="140970" numCol="1" spcCol="1270" anchor="ctr" anchorCtr="0">
          <a:noAutofit/>
        </a:bodyPr>
        <a:lstStyle/>
        <a:p>
          <a:pPr marL="0" lvl="0" indent="0" algn="ctr" defTabSz="16446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37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Executado</a:t>
          </a:r>
          <a:br>
            <a:rPr lang="pt-BR" sz="37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</a:br>
          <a: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Jan. a Abr.</a:t>
          </a:r>
        </a:p>
      </dsp:txBody>
      <dsp:txXfrm>
        <a:off x="553015" y="1683879"/>
        <a:ext cx="2404414" cy="1442648"/>
      </dsp:txXfrm>
    </dsp:sp>
    <dsp:sp modelId="{19166087-240F-4205-829D-E61CAF74B1F0}">
      <dsp:nvSpPr>
        <dsp:cNvPr id="0" name=""/>
        <dsp:cNvSpPr/>
      </dsp:nvSpPr>
      <dsp:spPr>
        <a:xfrm>
          <a:off x="3197870" y="1683879"/>
          <a:ext cx="2404414" cy="1442648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marL="0" lvl="0" indent="0" algn="ctr" defTabSz="28892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6500" kern="1200"/>
        </a:p>
      </dsp:txBody>
      <dsp:txXfrm>
        <a:off x="3197870" y="1683879"/>
        <a:ext cx="2404414" cy="1442648"/>
      </dsp:txXfrm>
    </dsp:sp>
    <dsp:sp modelId="{5800D369-D655-450A-A267-583A2F68A6F1}">
      <dsp:nvSpPr>
        <dsp:cNvPr id="0" name=""/>
        <dsp:cNvSpPr/>
      </dsp:nvSpPr>
      <dsp:spPr>
        <a:xfrm>
          <a:off x="553015" y="3366969"/>
          <a:ext cx="2404414" cy="1442648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Média de execução</a:t>
          </a:r>
        </a:p>
      </dsp:txBody>
      <dsp:txXfrm>
        <a:off x="553015" y="3366969"/>
        <a:ext cx="2404414" cy="1442648"/>
      </dsp:txXfrm>
    </dsp:sp>
    <dsp:sp modelId="{2069F93F-EC36-45CA-81FA-E28CCFC4EDD2}">
      <dsp:nvSpPr>
        <dsp:cNvPr id="0" name=""/>
        <dsp:cNvSpPr/>
      </dsp:nvSpPr>
      <dsp:spPr>
        <a:xfrm>
          <a:off x="3197870" y="3366969"/>
          <a:ext cx="2404414" cy="1442648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247650" tIns="247650" rIns="247650" bIns="247650" numCol="1" spcCol="1270" anchor="ctr" anchorCtr="0">
          <a:noAutofit/>
        </a:bodyPr>
        <a:lstStyle/>
        <a:p>
          <a:pPr marL="0" lvl="0" indent="0" algn="ctr" defTabSz="288925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6500" kern="1200"/>
        </a:p>
      </dsp:txBody>
      <dsp:txXfrm>
        <a:off x="3197870" y="3366969"/>
        <a:ext cx="2404414" cy="1442648"/>
      </dsp:txXfrm>
    </dsp:sp>
  </dsp:spTree>
</dsp:drawing>
</file>

<file path=xl/diagrams/drawing9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BA9D2ED0-16C9-44FB-8D9E-22F9C339ED18}">
      <dsp:nvSpPr>
        <dsp:cNvPr id="0" name=""/>
        <dsp:cNvSpPr/>
      </dsp:nvSpPr>
      <dsp:spPr>
        <a:xfrm>
          <a:off x="428" y="758291"/>
          <a:ext cx="1669497" cy="1001698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marL="0" lvl="0" indent="0" algn="ctr" defTabSz="12446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8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Previsto </a:t>
          </a:r>
          <a:r>
            <a:rPr lang="pt-BR" sz="20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2019</a:t>
          </a:r>
        </a:p>
      </dsp:txBody>
      <dsp:txXfrm>
        <a:off x="428" y="758291"/>
        <a:ext cx="1669497" cy="1001698"/>
      </dsp:txXfrm>
    </dsp:sp>
    <dsp:sp modelId="{CB133F5D-DBBA-4B12-9FEC-4E54C8197093}">
      <dsp:nvSpPr>
        <dsp:cNvPr id="0" name=""/>
        <dsp:cNvSpPr/>
      </dsp:nvSpPr>
      <dsp:spPr>
        <a:xfrm>
          <a:off x="1836874" y="758291"/>
          <a:ext cx="1669497" cy="1001698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marL="0" lvl="0" indent="0" algn="ctr" defTabSz="8890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000" kern="1200"/>
        </a:p>
      </dsp:txBody>
      <dsp:txXfrm>
        <a:off x="1836874" y="758291"/>
        <a:ext cx="1669497" cy="1001698"/>
      </dsp:txXfrm>
    </dsp:sp>
    <dsp:sp modelId="{C221B9C3-A015-449B-9E50-6721626A9470}">
      <dsp:nvSpPr>
        <dsp:cNvPr id="0" name=""/>
        <dsp:cNvSpPr/>
      </dsp:nvSpPr>
      <dsp:spPr>
        <a:xfrm>
          <a:off x="428" y="1926939"/>
          <a:ext cx="1669497" cy="1001698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ctr" defTabSz="10668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Executado</a:t>
          </a:r>
          <a:br>
            <a:rPr lang="pt-BR" sz="24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</a:br>
          <a:r>
            <a:rPr lang="pt-BR" sz="20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Jan. a </a:t>
          </a:r>
          <a:r>
            <a:rPr lang="pt-BR" sz="2000" kern="1200">
              <a:effectLst>
                <a:outerShdw blurRad="127000" algn="ctr" rotWithShape="0">
                  <a:prstClr val="black">
                    <a:alpha val="85%"/>
                  </a:prstClr>
                </a:outerShdw>
              </a:effectLst>
            </a:rPr>
            <a:t>Abr.</a:t>
          </a:r>
          <a:endParaRPr lang="pt-BR" sz="2000" kern="1200">
            <a:effectLst>
              <a:outerShdw blurRad="127000" algn="ctr" rotWithShape="0">
                <a:srgbClr val="000000">
                  <a:alpha val="85%"/>
                </a:srgbClr>
              </a:outerShdw>
            </a:effectLst>
          </a:endParaRPr>
        </a:p>
      </dsp:txBody>
      <dsp:txXfrm>
        <a:off x="428" y="1926939"/>
        <a:ext cx="1669497" cy="1001698"/>
      </dsp:txXfrm>
    </dsp:sp>
    <dsp:sp modelId="{19166087-240F-4205-829D-E61CAF74B1F0}">
      <dsp:nvSpPr>
        <dsp:cNvPr id="0" name=""/>
        <dsp:cNvSpPr/>
      </dsp:nvSpPr>
      <dsp:spPr>
        <a:xfrm>
          <a:off x="1836874" y="1926939"/>
          <a:ext cx="1669497" cy="1001698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marL="0" lvl="0" indent="0" algn="ctr" defTabSz="8890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000" kern="1200"/>
        </a:p>
      </dsp:txBody>
      <dsp:txXfrm>
        <a:off x="1836874" y="1926939"/>
        <a:ext cx="1669497" cy="1001698"/>
      </dsp:txXfrm>
    </dsp:sp>
    <dsp:sp modelId="{81E86E99-3676-4A87-9CCC-09470BFADE6D}">
      <dsp:nvSpPr>
        <dsp:cNvPr id="0" name=""/>
        <dsp:cNvSpPr/>
      </dsp:nvSpPr>
      <dsp:spPr>
        <a:xfrm>
          <a:off x="428" y="3095587"/>
          <a:ext cx="1669497" cy="1001698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marL="0" lvl="0" indent="0" algn="ctr" defTabSz="8890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0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Média RRT/PF Previsto</a:t>
          </a:r>
        </a:p>
      </dsp:txBody>
      <dsp:txXfrm>
        <a:off x="428" y="3095587"/>
        <a:ext cx="1669497" cy="1001698"/>
      </dsp:txXfrm>
    </dsp:sp>
    <dsp:sp modelId="{0E296175-191A-4DDD-9AFD-C58180D0C5B1}">
      <dsp:nvSpPr>
        <dsp:cNvPr id="0" name=""/>
        <dsp:cNvSpPr/>
      </dsp:nvSpPr>
      <dsp:spPr>
        <a:xfrm>
          <a:off x="1836874" y="3095587"/>
          <a:ext cx="1669497" cy="1001698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marL="0" lvl="0" indent="0" algn="ctr" defTabSz="8890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000" kern="1200"/>
        </a:p>
      </dsp:txBody>
      <dsp:txXfrm>
        <a:off x="1836874" y="3095587"/>
        <a:ext cx="1669497" cy="1001698"/>
      </dsp:txXfrm>
    </dsp:sp>
    <dsp:sp modelId="{5800D369-D655-450A-A267-583A2F68A6F1}">
      <dsp:nvSpPr>
        <dsp:cNvPr id="0" name=""/>
        <dsp:cNvSpPr/>
      </dsp:nvSpPr>
      <dsp:spPr>
        <a:xfrm>
          <a:off x="428" y="4264235"/>
          <a:ext cx="1669497" cy="1001698"/>
        </a:xfrm>
        <a:prstGeom prst="rect">
          <a:avLst/>
        </a:prstGeom>
        <a:solidFill>
          <a:srgbClr val="5E9AA6"/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marL="0" lvl="0" indent="0" algn="ctr" defTabSz="8890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r>
            <a:rPr lang="pt-BR" sz="2000" kern="1200">
              <a:effectLst>
                <a:outerShdw blurRad="127000" algn="ctr" rotWithShape="0">
                  <a:srgbClr val="000000">
                    <a:alpha val="85%"/>
                  </a:srgbClr>
                </a:outerShdw>
              </a:effectLst>
            </a:rPr>
            <a:t>Média RRT/PF Executado</a:t>
          </a:r>
        </a:p>
      </dsp:txBody>
      <dsp:txXfrm>
        <a:off x="428" y="4264235"/>
        <a:ext cx="1669497" cy="1001698"/>
      </dsp:txXfrm>
    </dsp:sp>
    <dsp:sp modelId="{2069F93F-EC36-45CA-81FA-E28CCFC4EDD2}">
      <dsp:nvSpPr>
        <dsp:cNvPr id="0" name=""/>
        <dsp:cNvSpPr/>
      </dsp:nvSpPr>
      <dsp:spPr>
        <a:xfrm>
          <a:off x="1836874" y="4264235"/>
          <a:ext cx="1669497" cy="1001698"/>
        </a:xfrm>
        <a:prstGeom prst="rect">
          <a:avLst/>
        </a:prstGeom>
        <a:solidFill>
          <a:schemeClr val="accent5">
            <a:hueOff val="0"/>
            <a:satOff val="0%"/>
            <a:lumOff val="0%"/>
            <a:alphaOff val="0%"/>
          </a:schemeClr>
        </a:solidFill>
        <a:ln w="38100" cap="flat" cmpd="sng" algn="ctr">
          <a:solidFill>
            <a:schemeClr val="lt1">
              <a:hueOff val="0"/>
              <a:satOff val="0%"/>
              <a:lumOff val="0%"/>
              <a:alphaOff val="0%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%"/>
            </a:srgbClr>
          </a:outerShdw>
        </a:effectLst>
      </dsp:spPr>
      <dsp:style>
        <a:lnRef idx="3">
          <a:scrgbClr r="0%" g="0%" b="0%"/>
        </a:lnRef>
        <a:fillRef idx="1">
          <a:scrgbClr r="0%" g="0%" b="0%"/>
        </a:fillRef>
        <a:effectRef idx="1">
          <a:scrgbClr r="0%" g="0%" b="0%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marL="0" lvl="0" indent="0" algn="ctr" defTabSz="889000">
            <a:lnSpc>
              <a:spcPct val="90%"/>
            </a:lnSpc>
            <a:spcBef>
              <a:spcPct val="0%"/>
            </a:spcBef>
            <a:spcAft>
              <a:spcPct val="35%"/>
            </a:spcAft>
            <a:buNone/>
          </a:pPr>
          <a:endParaRPr lang="pt-BR" sz="2000" kern="1200"/>
        </a:p>
      </dsp:txBody>
      <dsp:txXfrm>
        <a:off x="1836874" y="4264235"/>
        <a:ext cx="1669497" cy="1001698"/>
      </dsp:txXfrm>
    </dsp:sp>
  </dsp:spTree>
</dsp:drawing>
</file>

<file path=xl/diagrams/layout1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0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1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2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3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4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5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6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7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2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3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4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5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6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7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8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9.xml><?xml version="1.0" encoding="utf-8"?>
<dgm:layoutDef xmlns:dgm="http://purl.oclc.org/ooxml/drawingml/diagram" xmlns:a="http://purl.oclc.org/ooxml/drawingml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purl.oclc.org/ooxml/officeDocument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purl.oclc.org/ooxml/officeDocument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purl.oclc.org/ooxml/officeDocument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quickStyle1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iagrams/quickStyle10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iagrams/quickStyle11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iagrams/quickStyle12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iagrams/quickStyle13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iagrams/quickStyle14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iagrams/quickStyle15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iagrams/quickStyle16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iagrams/quickStyle17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iagrams/quickStyle2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iagrams/quickStyle3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iagrams/quickStyle4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iagrams/quickStyle5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iagrams/quickStyle6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iagrams/quickStyle7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iagrams/quickStyle8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iagrams/quickStyle9.xml><?xml version="1.0" encoding="utf-8"?>
<dgm:styleDef xmlns:dgm="http://purl.oclc.org/ooxml/drawingml/diagram" xmlns:a="http://purl.oclc.org/ooxml/drawingml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2" Type="http://purl.oclc.org/ooxml/officeDocument/relationships/chart" Target="../charts/chart2.xml"/><Relationship Id="rId1" Type="http://purl.oclc.org/ooxml/officeDocument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purl.oclc.org/ooxml/officeDocument/relationships/hyperlink" Target="#'RRT - Subgrupos'!A1"/><Relationship Id="rId3" Type="http://purl.oclc.org/ooxml/officeDocument/relationships/hyperlink" Target="#'PJ - Qntd'!A1"/><Relationship Id="rId7" Type="http://purl.oclc.org/ooxml/officeDocument/relationships/hyperlink" Target="#'PJ - Receita'!A1"/><Relationship Id="rId2" Type="http://purl.oclc.org/ooxml/officeDocument/relationships/hyperlink" Target="#'PF - Qntd'!A1"/><Relationship Id="rId1" Type="http://purl.oclc.org/ooxml/officeDocument/relationships/image" Target="../media/image1.png"/><Relationship Id="rId6" Type="http://purl.oclc.org/ooxml/officeDocument/relationships/hyperlink" Target="#'PF - Receita'!A1"/><Relationship Id="rId11" Type="http://purl.oclc.org/ooxml/officeDocument/relationships/hyperlink" Target="#'Gr&#225;ficos - Arrec. Total'!A1"/><Relationship Id="rId5" Type="http://purl.oclc.org/ooxml/officeDocument/relationships/hyperlink" Target="#'Taxas e Multas'!A1"/><Relationship Id="rId10" Type="http://purl.oclc.org/ooxml/officeDocument/relationships/hyperlink" Target="#'CAU BR - RRT e Taxas'!A1"/><Relationship Id="rId4" Type="http://purl.oclc.org/ooxml/officeDocument/relationships/hyperlink" Target="#'RRT - Qntd e Receita'!A1"/><Relationship Id="rId9" Type="http://purl.oclc.org/ooxml/officeDocument/relationships/hyperlink" Target="#'CAU BR - PF e PJ'!A1"/></Relationships>
</file>

<file path=xl/drawings/_rels/drawing11.xml.rels><?xml version="1.0" encoding="UTF-8" standalone="yes"?>
<Relationships xmlns="http://schemas.openxmlformats.org/package/2006/relationships"><Relationship Id="rId8" Type="http://purl.oclc.org/ooxml/officeDocument/relationships/diagramData" Target="../diagrams/data2.xml"/><Relationship Id="rId13" Type="http://purl.oclc.org/ooxml/officeDocument/relationships/hyperlink" Target="#&#205;ndice!A1"/><Relationship Id="rId3" Type="http://purl.oclc.org/ooxml/officeDocument/relationships/diagramData" Target="../diagrams/data1.xml"/><Relationship Id="rId7" Type="http://schemas.microsoft.com/office/2007/relationships/diagramDrawing" Target="../diagrams/drawing1.xml"/><Relationship Id="rId12" Type="http://schemas.microsoft.com/office/2007/relationships/diagramDrawing" Target="../diagrams/drawing2.xml"/><Relationship Id="rId2" Type="http://purl.oclc.org/ooxml/officeDocument/relationships/chart" Target="../charts/chart18.xml"/><Relationship Id="rId1" Type="http://purl.oclc.org/ooxml/officeDocument/relationships/image" Target="../media/image1.png"/><Relationship Id="rId6" Type="http://purl.oclc.org/ooxml/officeDocument/relationships/diagramColors" Target="../diagrams/colors1.xml"/><Relationship Id="rId11" Type="http://purl.oclc.org/ooxml/officeDocument/relationships/diagramColors" Target="../diagrams/colors2.xml"/><Relationship Id="rId5" Type="http://purl.oclc.org/ooxml/officeDocument/relationships/diagramQuickStyle" Target="../diagrams/quickStyle1.xml"/><Relationship Id="rId10" Type="http://purl.oclc.org/ooxml/officeDocument/relationships/diagramQuickStyle" Target="../diagrams/quickStyle2.xml"/><Relationship Id="rId4" Type="http://purl.oclc.org/ooxml/officeDocument/relationships/diagramLayout" Target="../diagrams/layout1.xml"/><Relationship Id="rId9" Type="http://purl.oclc.org/ooxml/officeDocument/relationships/diagramLayout" Target="../diagrams/layout2.xml"/></Relationships>
</file>

<file path=xl/drawings/_rels/drawing12.xml.rels><?xml version="1.0" encoding="UTF-8" standalone="yes"?>
<Relationships xmlns="http://schemas.openxmlformats.org/package/2006/relationships"><Relationship Id="rId8" Type="http://purl.oclc.org/ooxml/officeDocument/relationships/diagramLayout" Target="../diagrams/layout4.xml"/><Relationship Id="rId3" Type="http://purl.oclc.org/ooxml/officeDocument/relationships/diagramLayout" Target="../diagrams/layout3.xml"/><Relationship Id="rId7" Type="http://purl.oclc.org/ooxml/officeDocument/relationships/diagramData" Target="../diagrams/data4.xml"/><Relationship Id="rId12" Type="http://purl.oclc.org/ooxml/officeDocument/relationships/hyperlink" Target="#&#205;ndice!A1"/><Relationship Id="rId2" Type="http://purl.oclc.org/ooxml/officeDocument/relationships/diagramData" Target="../diagrams/data3.xml"/><Relationship Id="rId1" Type="http://purl.oclc.org/ooxml/officeDocument/relationships/image" Target="../media/image1.png"/><Relationship Id="rId6" Type="http://schemas.microsoft.com/office/2007/relationships/diagramDrawing" Target="../diagrams/drawing3.xml"/><Relationship Id="rId11" Type="http://schemas.microsoft.com/office/2007/relationships/diagramDrawing" Target="../diagrams/drawing4.xml"/><Relationship Id="rId5" Type="http://purl.oclc.org/ooxml/officeDocument/relationships/diagramColors" Target="../diagrams/colors3.xml"/><Relationship Id="rId10" Type="http://purl.oclc.org/ooxml/officeDocument/relationships/diagramColors" Target="../diagrams/colors4.xml"/><Relationship Id="rId4" Type="http://purl.oclc.org/ooxml/officeDocument/relationships/diagramQuickStyle" Target="../diagrams/quickStyle3.xml"/><Relationship Id="rId9" Type="http://purl.oclc.org/ooxml/officeDocument/relationships/diagramQuickStyle" Target="../diagrams/quickStyle4.xml"/></Relationships>
</file>

<file path=xl/drawings/_rels/drawing13.xml.rels><?xml version="1.0" encoding="UTF-8" standalone="yes"?>
<Relationships xmlns="http://schemas.openxmlformats.org/package/2006/relationships"><Relationship Id="rId8" Type="http://purl.oclc.org/ooxml/officeDocument/relationships/diagramLayout" Target="../diagrams/layout6.xml"/><Relationship Id="rId3" Type="http://purl.oclc.org/ooxml/officeDocument/relationships/diagramLayout" Target="../diagrams/layout5.xml"/><Relationship Id="rId7" Type="http://purl.oclc.org/ooxml/officeDocument/relationships/diagramData" Target="../diagrams/data6.xml"/><Relationship Id="rId12" Type="http://purl.oclc.org/ooxml/officeDocument/relationships/hyperlink" Target="#&#205;ndice!A1"/><Relationship Id="rId2" Type="http://purl.oclc.org/ooxml/officeDocument/relationships/diagramData" Target="../diagrams/data5.xml"/><Relationship Id="rId1" Type="http://purl.oclc.org/ooxml/officeDocument/relationships/image" Target="../media/image1.png"/><Relationship Id="rId6" Type="http://schemas.microsoft.com/office/2007/relationships/diagramDrawing" Target="../diagrams/drawing5.xml"/><Relationship Id="rId11" Type="http://schemas.microsoft.com/office/2007/relationships/diagramDrawing" Target="../diagrams/drawing6.xml"/><Relationship Id="rId5" Type="http://purl.oclc.org/ooxml/officeDocument/relationships/diagramColors" Target="../diagrams/colors5.xml"/><Relationship Id="rId10" Type="http://purl.oclc.org/ooxml/officeDocument/relationships/diagramColors" Target="../diagrams/colors6.xml"/><Relationship Id="rId4" Type="http://purl.oclc.org/ooxml/officeDocument/relationships/diagramQuickStyle" Target="../diagrams/quickStyle5.xml"/><Relationship Id="rId9" Type="http://purl.oclc.org/ooxml/officeDocument/relationships/diagramQuickStyle" Target="../diagrams/quickStyle6.xml"/></Relationships>
</file>

<file path=xl/drawings/_rels/drawing14.xml.rels><?xml version="1.0" encoding="UTF-8" standalone="yes"?>
<Relationships xmlns="http://schemas.openxmlformats.org/package/2006/relationships"><Relationship Id="rId8" Type="http://purl.oclc.org/ooxml/officeDocument/relationships/diagramLayout" Target="../diagrams/layout8.xml"/><Relationship Id="rId3" Type="http://purl.oclc.org/ooxml/officeDocument/relationships/diagramLayout" Target="../diagrams/layout7.xml"/><Relationship Id="rId7" Type="http://purl.oclc.org/ooxml/officeDocument/relationships/diagramData" Target="../diagrams/data8.xml"/><Relationship Id="rId12" Type="http://purl.oclc.org/ooxml/officeDocument/relationships/hyperlink" Target="#&#205;ndice!A1"/><Relationship Id="rId2" Type="http://purl.oclc.org/ooxml/officeDocument/relationships/diagramData" Target="../diagrams/data7.xml"/><Relationship Id="rId1" Type="http://purl.oclc.org/ooxml/officeDocument/relationships/image" Target="../media/image1.png"/><Relationship Id="rId6" Type="http://schemas.microsoft.com/office/2007/relationships/diagramDrawing" Target="../diagrams/drawing7.xml"/><Relationship Id="rId11" Type="http://schemas.microsoft.com/office/2007/relationships/diagramDrawing" Target="../diagrams/drawing8.xml"/><Relationship Id="rId5" Type="http://purl.oclc.org/ooxml/officeDocument/relationships/diagramColors" Target="../diagrams/colors7.xml"/><Relationship Id="rId10" Type="http://purl.oclc.org/ooxml/officeDocument/relationships/diagramColors" Target="../diagrams/colors8.xml"/><Relationship Id="rId4" Type="http://purl.oclc.org/ooxml/officeDocument/relationships/diagramQuickStyle" Target="../diagrams/quickStyle7.xml"/><Relationship Id="rId9" Type="http://purl.oclc.org/ooxml/officeDocument/relationships/diagramQuickStyle" Target="../diagrams/quickStyle8.xml"/></Relationships>
</file>

<file path=xl/drawings/_rels/drawing15.xml.rels><?xml version="1.0" encoding="UTF-8" standalone="yes"?>
<Relationships xmlns="http://schemas.openxmlformats.org/package/2006/relationships"><Relationship Id="rId8" Type="http://purl.oclc.org/ooxml/officeDocument/relationships/diagramLayout" Target="../diagrams/layout10.xml"/><Relationship Id="rId3" Type="http://purl.oclc.org/ooxml/officeDocument/relationships/diagramLayout" Target="../diagrams/layout9.xml"/><Relationship Id="rId7" Type="http://purl.oclc.org/ooxml/officeDocument/relationships/diagramData" Target="../diagrams/data10.xml"/><Relationship Id="rId12" Type="http://purl.oclc.org/ooxml/officeDocument/relationships/hyperlink" Target="#&#205;ndice!A1"/><Relationship Id="rId2" Type="http://purl.oclc.org/ooxml/officeDocument/relationships/diagramData" Target="../diagrams/data9.xml"/><Relationship Id="rId1" Type="http://purl.oclc.org/ooxml/officeDocument/relationships/image" Target="../media/image1.png"/><Relationship Id="rId6" Type="http://schemas.microsoft.com/office/2007/relationships/diagramDrawing" Target="../diagrams/drawing9.xml"/><Relationship Id="rId11" Type="http://schemas.microsoft.com/office/2007/relationships/diagramDrawing" Target="../diagrams/drawing10.xml"/><Relationship Id="rId5" Type="http://purl.oclc.org/ooxml/officeDocument/relationships/diagramColors" Target="../diagrams/colors9.xml"/><Relationship Id="rId10" Type="http://purl.oclc.org/ooxml/officeDocument/relationships/diagramColors" Target="../diagrams/colors10.xml"/><Relationship Id="rId4" Type="http://purl.oclc.org/ooxml/officeDocument/relationships/diagramQuickStyle" Target="../diagrams/quickStyle9.xml"/><Relationship Id="rId9" Type="http://purl.oclc.org/ooxml/officeDocument/relationships/diagramQuickStyle" Target="../diagrams/quickStyle10.xml"/></Relationships>
</file>

<file path=xl/drawings/_rels/drawing16.xml.rels><?xml version="1.0" encoding="UTF-8" standalone="yes"?>
<Relationships xmlns="http://schemas.openxmlformats.org/package/2006/relationships"><Relationship Id="rId3" Type="http://purl.oclc.org/ooxml/officeDocument/relationships/hyperlink" Target="#&#205;ndice!A1"/><Relationship Id="rId2" Type="http://purl.oclc.org/ooxml/officeDocument/relationships/chart" Target="../charts/chart19.xml"/><Relationship Id="rId1" Type="http://purl.oclc.org/ooxml/officeDocument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purl.oclc.org/ooxml/officeDocument/relationships/diagramLayout" Target="../diagrams/layout11.xml"/><Relationship Id="rId7" Type="http://purl.oclc.org/ooxml/officeDocument/relationships/hyperlink" Target="#&#205;ndice!A1"/><Relationship Id="rId2" Type="http://purl.oclc.org/ooxml/officeDocument/relationships/diagramData" Target="../diagrams/data11.xml"/><Relationship Id="rId1" Type="http://purl.oclc.org/ooxml/officeDocument/relationships/image" Target="../media/image1.png"/><Relationship Id="rId6" Type="http://schemas.microsoft.com/office/2007/relationships/diagramDrawing" Target="../diagrams/drawing11.xml"/><Relationship Id="rId5" Type="http://purl.oclc.org/ooxml/officeDocument/relationships/diagramColors" Target="../diagrams/colors11.xml"/><Relationship Id="rId4" Type="http://purl.oclc.org/ooxml/officeDocument/relationships/diagramQuickStyle" Target="../diagrams/quickStyle11.xml"/></Relationships>
</file>

<file path=xl/drawings/_rels/drawing18.xml.rels><?xml version="1.0" encoding="UTF-8" standalone="yes"?>
<Relationships xmlns="http://schemas.openxmlformats.org/package/2006/relationships"><Relationship Id="rId8" Type="http://purl.oclc.org/ooxml/officeDocument/relationships/diagramLayout" Target="../diagrams/layout13.xml"/><Relationship Id="rId13" Type="http://purl.oclc.org/ooxml/officeDocument/relationships/diagramLayout" Target="../diagrams/layout14.xml"/><Relationship Id="rId18" Type="http://purl.oclc.org/ooxml/officeDocument/relationships/diagramLayout" Target="../diagrams/layout15.xml"/><Relationship Id="rId3" Type="http://purl.oclc.org/ooxml/officeDocument/relationships/diagramLayout" Target="../diagrams/layout12.xml"/><Relationship Id="rId21" Type="http://schemas.microsoft.com/office/2007/relationships/diagramDrawing" Target="../diagrams/drawing15.xml"/><Relationship Id="rId7" Type="http://purl.oclc.org/ooxml/officeDocument/relationships/diagramData" Target="../diagrams/data13.xml"/><Relationship Id="rId12" Type="http://purl.oclc.org/ooxml/officeDocument/relationships/diagramData" Target="../diagrams/data14.xml"/><Relationship Id="rId17" Type="http://purl.oclc.org/ooxml/officeDocument/relationships/diagramData" Target="../diagrams/data15.xml"/><Relationship Id="rId2" Type="http://purl.oclc.org/ooxml/officeDocument/relationships/diagramData" Target="../diagrams/data12.xml"/><Relationship Id="rId16" Type="http://schemas.microsoft.com/office/2007/relationships/diagramDrawing" Target="../diagrams/drawing14.xml"/><Relationship Id="rId20" Type="http://purl.oclc.org/ooxml/officeDocument/relationships/diagramColors" Target="../diagrams/colors15.xml"/><Relationship Id="rId1" Type="http://purl.oclc.org/ooxml/officeDocument/relationships/image" Target="../media/image1.png"/><Relationship Id="rId6" Type="http://schemas.microsoft.com/office/2007/relationships/diagramDrawing" Target="../diagrams/drawing12.xml"/><Relationship Id="rId11" Type="http://schemas.microsoft.com/office/2007/relationships/diagramDrawing" Target="../diagrams/drawing13.xml"/><Relationship Id="rId5" Type="http://purl.oclc.org/ooxml/officeDocument/relationships/diagramColors" Target="../diagrams/colors12.xml"/><Relationship Id="rId15" Type="http://purl.oclc.org/ooxml/officeDocument/relationships/diagramColors" Target="../diagrams/colors14.xml"/><Relationship Id="rId10" Type="http://purl.oclc.org/ooxml/officeDocument/relationships/diagramColors" Target="../diagrams/colors13.xml"/><Relationship Id="rId19" Type="http://purl.oclc.org/ooxml/officeDocument/relationships/diagramQuickStyle" Target="../diagrams/quickStyle15.xml"/><Relationship Id="rId4" Type="http://purl.oclc.org/ooxml/officeDocument/relationships/diagramQuickStyle" Target="../diagrams/quickStyle12.xml"/><Relationship Id="rId9" Type="http://purl.oclc.org/ooxml/officeDocument/relationships/diagramQuickStyle" Target="../diagrams/quickStyle13.xml"/><Relationship Id="rId14" Type="http://purl.oclc.org/ooxml/officeDocument/relationships/diagramQuickStyle" Target="../diagrams/quickStyle14.xml"/><Relationship Id="rId22" Type="http://purl.oclc.org/ooxml/officeDocument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8" Type="http://purl.oclc.org/ooxml/officeDocument/relationships/diagramLayout" Target="../diagrams/layout17.xml"/><Relationship Id="rId3" Type="http://purl.oclc.org/ooxml/officeDocument/relationships/diagramLayout" Target="../diagrams/layout16.xml"/><Relationship Id="rId7" Type="http://purl.oclc.org/ooxml/officeDocument/relationships/diagramData" Target="../diagrams/data17.xml"/><Relationship Id="rId12" Type="http://purl.oclc.org/ooxml/officeDocument/relationships/hyperlink" Target="#&#205;ndice!A1"/><Relationship Id="rId2" Type="http://purl.oclc.org/ooxml/officeDocument/relationships/diagramData" Target="../diagrams/data16.xml"/><Relationship Id="rId1" Type="http://purl.oclc.org/ooxml/officeDocument/relationships/image" Target="../media/image1.png"/><Relationship Id="rId6" Type="http://schemas.microsoft.com/office/2007/relationships/diagramDrawing" Target="../diagrams/drawing16.xml"/><Relationship Id="rId11" Type="http://schemas.microsoft.com/office/2007/relationships/diagramDrawing" Target="../diagrams/drawing17.xml"/><Relationship Id="rId5" Type="http://purl.oclc.org/ooxml/officeDocument/relationships/diagramColors" Target="../diagrams/colors16.xml"/><Relationship Id="rId10" Type="http://purl.oclc.org/ooxml/officeDocument/relationships/diagramColors" Target="../diagrams/colors17.xml"/><Relationship Id="rId4" Type="http://purl.oclc.org/ooxml/officeDocument/relationships/diagramQuickStyle" Target="../diagrams/quickStyle16.xml"/><Relationship Id="rId9" Type="http://purl.oclc.org/ooxml/officeDocument/relationships/diagramQuickStyle" Target="../diagrams/quickStyle17.xml"/></Relationships>
</file>

<file path=xl/drawings/_rels/drawing2.xml.rels><?xml version="1.0" encoding="UTF-8" standalone="yes"?>
<Relationships xmlns="http://schemas.openxmlformats.org/package/2006/relationships"><Relationship Id="rId8" Type="http://purl.oclc.org/ooxml/officeDocument/relationships/chart" Target="../charts/chart10.xml"/><Relationship Id="rId13" Type="http://purl.oclc.org/ooxml/officeDocument/relationships/chart" Target="../charts/chart15.xml"/><Relationship Id="rId3" Type="http://purl.oclc.org/ooxml/officeDocument/relationships/chart" Target="../charts/chart5.xml"/><Relationship Id="rId7" Type="http://purl.oclc.org/ooxml/officeDocument/relationships/chart" Target="../charts/chart9.xml"/><Relationship Id="rId12" Type="http://purl.oclc.org/ooxml/officeDocument/relationships/chart" Target="../charts/chart14.xml"/><Relationship Id="rId2" Type="http://purl.oclc.org/ooxml/officeDocument/relationships/chart" Target="../charts/chart4.xml"/><Relationship Id="rId1" Type="http://purl.oclc.org/ooxml/officeDocument/relationships/chart" Target="../charts/chart3.xml"/><Relationship Id="rId6" Type="http://purl.oclc.org/ooxml/officeDocument/relationships/chart" Target="../charts/chart8.xml"/><Relationship Id="rId11" Type="http://purl.oclc.org/ooxml/officeDocument/relationships/chart" Target="../charts/chart13.xml"/><Relationship Id="rId5" Type="http://purl.oclc.org/ooxml/officeDocument/relationships/chart" Target="../charts/chart7.xml"/><Relationship Id="rId15" Type="http://purl.oclc.org/ooxml/officeDocument/relationships/chart" Target="../charts/chart17.xml"/><Relationship Id="rId10" Type="http://purl.oclc.org/ooxml/officeDocument/relationships/chart" Target="../charts/chart12.xml"/><Relationship Id="rId4" Type="http://purl.oclc.org/ooxml/officeDocument/relationships/chart" Target="../charts/chart6.xml"/><Relationship Id="rId9" Type="http://purl.oclc.org/ooxml/officeDocument/relationships/chart" Target="../charts/chart11.xml"/><Relationship Id="rId14" Type="http://purl.oclc.org/ooxml/officeDocument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8" Type="http://purl.oclc.org/ooxml/officeDocument/relationships/hyperlink" Target="#'Gr&#225;ficos - PJ - Ex. Ant.'!A1"/><Relationship Id="rId13" Type="http://purl.oclc.org/ooxml/officeDocument/relationships/chart" Target="../charts/chart25.xml"/><Relationship Id="rId3" Type="http://purl.oclc.org/ooxml/officeDocument/relationships/chart" Target="../charts/chart20.xml"/><Relationship Id="rId7" Type="http://purl.oclc.org/ooxml/officeDocument/relationships/chart" Target="../charts/chart22.xml"/><Relationship Id="rId12" Type="http://purl.oclc.org/ooxml/officeDocument/relationships/hyperlink" Target="#'Gr&#225;ficos - PF - Ex. Ant.'!A1"/><Relationship Id="rId2" Type="http://purl.oclc.org/ooxml/officeDocument/relationships/hyperlink" Target="#&#205;ndice!A1"/><Relationship Id="rId1" Type="http://purl.oclc.org/ooxml/officeDocument/relationships/image" Target="../media/image1.png"/><Relationship Id="rId6" Type="http://purl.oclc.org/ooxml/officeDocument/relationships/hyperlink" Target="#'Gr&#225;ficos - RRT'!A1"/><Relationship Id="rId11" Type="http://purl.oclc.org/ooxml/officeDocument/relationships/chart" Target="../charts/chart24.xml"/><Relationship Id="rId5" Type="http://purl.oclc.org/ooxml/officeDocument/relationships/chart" Target="../charts/chart21.xml"/><Relationship Id="rId15" Type="http://purl.oclc.org/ooxml/officeDocument/relationships/hyperlink" Target="#'Gr&#225;ficos - PF'!A1"/><Relationship Id="rId10" Type="http://purl.oclc.org/ooxml/officeDocument/relationships/hyperlink" Target="#'Gr&#225;ficos - PJ'!A1"/><Relationship Id="rId4" Type="http://purl.oclc.org/ooxml/officeDocument/relationships/hyperlink" Target="#'Gr&#225;ficos - Taxas'!A1"/><Relationship Id="rId9" Type="http://purl.oclc.org/ooxml/officeDocument/relationships/chart" Target="../charts/chart23.xml"/><Relationship Id="rId14" Type="http://purl.oclc.org/ooxml/officeDocument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8" Type="http://purl.oclc.org/ooxml/officeDocument/relationships/chart" Target="../charts/chart32.xml"/><Relationship Id="rId3" Type="http://purl.oclc.org/ooxml/officeDocument/relationships/chart" Target="../charts/chart27.xml"/><Relationship Id="rId7" Type="http://purl.oclc.org/ooxml/officeDocument/relationships/chart" Target="../charts/chart31.xml"/><Relationship Id="rId2" Type="http://purl.oclc.org/ooxml/officeDocument/relationships/hyperlink" Target="#'Gr&#225;ficos - Arrec. Total'!A1"/><Relationship Id="rId1" Type="http://purl.oclc.org/ooxml/officeDocument/relationships/image" Target="../media/image1.png"/><Relationship Id="rId6" Type="http://purl.oclc.org/ooxml/officeDocument/relationships/chart" Target="../charts/chart30.xml"/><Relationship Id="rId5" Type="http://purl.oclc.org/ooxml/officeDocument/relationships/chart" Target="../charts/chart29.xml"/><Relationship Id="rId4" Type="http://purl.oclc.org/ooxml/officeDocument/relationships/chart" Target="../charts/chart28.xml"/></Relationships>
</file>

<file path=xl/drawings/_rels/drawing22.xml.rels><?xml version="1.0" encoding="UTF-8" standalone="yes"?>
<Relationships xmlns="http://schemas.openxmlformats.org/package/2006/relationships"><Relationship Id="rId8" Type="http://purl.oclc.org/ooxml/officeDocument/relationships/chart" Target="../charts/chart38.xml"/><Relationship Id="rId3" Type="http://purl.oclc.org/ooxml/officeDocument/relationships/chart" Target="../charts/chart33.xml"/><Relationship Id="rId7" Type="http://purl.oclc.org/ooxml/officeDocument/relationships/chart" Target="../charts/chart37.xml"/><Relationship Id="rId2" Type="http://purl.oclc.org/ooxml/officeDocument/relationships/hyperlink" Target="#'Gr&#225;ficos - Arrec. Total'!A1"/><Relationship Id="rId1" Type="http://purl.oclc.org/ooxml/officeDocument/relationships/image" Target="../media/image1.png"/><Relationship Id="rId6" Type="http://purl.oclc.org/ooxml/officeDocument/relationships/chart" Target="../charts/chart36.xml"/><Relationship Id="rId5" Type="http://purl.oclc.org/ooxml/officeDocument/relationships/chart" Target="../charts/chart35.xml"/><Relationship Id="rId4" Type="http://purl.oclc.org/ooxml/officeDocument/relationships/chart" Target="../charts/chart34.xml"/></Relationships>
</file>

<file path=xl/drawings/_rels/drawing23.xml.rels><?xml version="1.0" encoding="UTF-8" standalone="yes"?>
<Relationships xmlns="http://schemas.openxmlformats.org/package/2006/relationships"><Relationship Id="rId8" Type="http://purl.oclc.org/ooxml/officeDocument/relationships/chart" Target="../charts/chart44.xml"/><Relationship Id="rId3" Type="http://purl.oclc.org/ooxml/officeDocument/relationships/chart" Target="../charts/chart39.xml"/><Relationship Id="rId7" Type="http://purl.oclc.org/ooxml/officeDocument/relationships/chart" Target="../charts/chart43.xml"/><Relationship Id="rId2" Type="http://purl.oclc.org/ooxml/officeDocument/relationships/hyperlink" Target="#'Gr&#225;ficos - Arrec. Total'!A1"/><Relationship Id="rId1" Type="http://purl.oclc.org/ooxml/officeDocument/relationships/image" Target="../media/image1.png"/><Relationship Id="rId6" Type="http://purl.oclc.org/ooxml/officeDocument/relationships/chart" Target="../charts/chart42.xml"/><Relationship Id="rId5" Type="http://purl.oclc.org/ooxml/officeDocument/relationships/chart" Target="../charts/chart41.xml"/><Relationship Id="rId4" Type="http://purl.oclc.org/ooxml/officeDocument/relationships/chart" Target="../charts/chart40.xml"/></Relationships>
</file>

<file path=xl/drawings/_rels/drawing24.xml.rels><?xml version="1.0" encoding="UTF-8" standalone="yes"?>
<Relationships xmlns="http://schemas.openxmlformats.org/package/2006/relationships"><Relationship Id="rId8" Type="http://purl.oclc.org/ooxml/officeDocument/relationships/chart" Target="../charts/chart50.xml"/><Relationship Id="rId3" Type="http://purl.oclc.org/ooxml/officeDocument/relationships/chart" Target="../charts/chart45.xml"/><Relationship Id="rId7" Type="http://purl.oclc.org/ooxml/officeDocument/relationships/chart" Target="../charts/chart49.xml"/><Relationship Id="rId2" Type="http://purl.oclc.org/ooxml/officeDocument/relationships/hyperlink" Target="#'Gr&#225;ficos - Arrec. Total'!A1"/><Relationship Id="rId1" Type="http://purl.oclc.org/ooxml/officeDocument/relationships/image" Target="../media/image1.png"/><Relationship Id="rId6" Type="http://purl.oclc.org/ooxml/officeDocument/relationships/chart" Target="../charts/chart48.xml"/><Relationship Id="rId5" Type="http://purl.oclc.org/ooxml/officeDocument/relationships/chart" Target="../charts/chart47.xml"/><Relationship Id="rId4" Type="http://purl.oclc.org/ooxml/officeDocument/relationships/chart" Target="../charts/chart46.xml"/></Relationships>
</file>

<file path=xl/drawings/_rels/drawing25.xml.rels><?xml version="1.0" encoding="UTF-8" standalone="yes"?>
<Relationships xmlns="http://schemas.openxmlformats.org/package/2006/relationships"><Relationship Id="rId8" Type="http://purl.oclc.org/ooxml/officeDocument/relationships/chart" Target="../charts/chart56.xml"/><Relationship Id="rId3" Type="http://purl.oclc.org/ooxml/officeDocument/relationships/chart" Target="../charts/chart51.xml"/><Relationship Id="rId7" Type="http://purl.oclc.org/ooxml/officeDocument/relationships/chart" Target="../charts/chart55.xml"/><Relationship Id="rId2" Type="http://purl.oclc.org/ooxml/officeDocument/relationships/hyperlink" Target="#'Gr&#225;ficos - Arrec. Total'!A1"/><Relationship Id="rId1" Type="http://purl.oclc.org/ooxml/officeDocument/relationships/image" Target="../media/image1.png"/><Relationship Id="rId6" Type="http://purl.oclc.org/ooxml/officeDocument/relationships/chart" Target="../charts/chart54.xml"/><Relationship Id="rId5" Type="http://purl.oclc.org/ooxml/officeDocument/relationships/chart" Target="../charts/chart53.xml"/><Relationship Id="rId4" Type="http://purl.oclc.org/ooxml/officeDocument/relationships/chart" Target="../charts/chart52.xml"/></Relationships>
</file>

<file path=xl/drawings/_rels/drawing26.xml.rels><?xml version="1.0" encoding="UTF-8" standalone="yes"?>
<Relationships xmlns="http://schemas.openxmlformats.org/package/2006/relationships"><Relationship Id="rId8" Type="http://purl.oclc.org/ooxml/officeDocument/relationships/chart" Target="../charts/chart62.xml"/><Relationship Id="rId3" Type="http://purl.oclc.org/ooxml/officeDocument/relationships/chart" Target="../charts/chart57.xml"/><Relationship Id="rId7" Type="http://purl.oclc.org/ooxml/officeDocument/relationships/chart" Target="../charts/chart61.xml"/><Relationship Id="rId2" Type="http://purl.oclc.org/ooxml/officeDocument/relationships/hyperlink" Target="#'Gr&#225;ficos - Arrec. Total'!A1"/><Relationship Id="rId1" Type="http://purl.oclc.org/ooxml/officeDocument/relationships/image" Target="../media/image1.png"/><Relationship Id="rId6" Type="http://purl.oclc.org/ooxml/officeDocument/relationships/chart" Target="../charts/chart60.xml"/><Relationship Id="rId5" Type="http://purl.oclc.org/ooxml/officeDocument/relationships/chart" Target="../charts/chart59.xml"/><Relationship Id="rId4" Type="http://purl.oclc.org/ooxml/officeDocument/relationships/chart" Target="../charts/chart58.xml"/></Relationships>
</file>

<file path=xl/drawings/drawing1.xml><?xml version="1.0" encoding="utf-8"?>
<xdr:wsDr xmlns:xdr="http://purl.oclc.org/ooxml/drawingml/spreadsheetDrawing" xmlns:a="http://purl.oclc.org/ooxml/drawingml/main">
  <xdr:twoCellAnchor>
    <xdr:from>
      <xdr:col>36</xdr:col>
      <xdr:colOff>500060</xdr:colOff>
      <xdr:row>1</xdr:row>
      <xdr:rowOff>75009</xdr:rowOff>
    </xdr:from>
    <xdr:to>
      <xdr:col>57</xdr:col>
      <xdr:colOff>284428</xdr:colOff>
      <xdr:row>26</xdr:row>
      <xdr:rowOff>127397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1"/>
        </a:graphicData>
      </a:graphic>
    </xdr:graphicFrame>
    <xdr:clientData/>
  </xdr:twoCellAnchor>
  <xdr:twoCellAnchor>
    <xdr:from>
      <xdr:col>36</xdr:col>
      <xdr:colOff>470958</xdr:colOff>
      <xdr:row>27</xdr:row>
      <xdr:rowOff>189177</xdr:rowOff>
    </xdr:from>
    <xdr:to>
      <xdr:col>57</xdr:col>
      <xdr:colOff>255326</xdr:colOff>
      <xdr:row>53</xdr:row>
      <xdr:rowOff>51065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2"/>
        </a:graphicData>
      </a:graphic>
    </xdr:graphicFrame>
    <xdr:clientData/>
  </xdr:twoCellAnchor>
</xdr:wsDr>
</file>

<file path=xl/drawings/drawing10.xml><?xml version="1.0" encoding="utf-8"?>
<xdr:wsDr xmlns:xdr="http://purl.oclc.org/ooxml/drawingml/spreadsheetDrawing" xmlns:a="http://purl.oclc.org/ooxml/drawingml/main">
  <xdr:oneCellAnchor>
    <xdr:from>
      <xdr:col>1</xdr:col>
      <xdr:colOff>590658</xdr:colOff>
      <xdr:row>0</xdr:row>
      <xdr:rowOff>0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794" y="0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392778</xdr:colOff>
      <xdr:row>0</xdr:row>
      <xdr:rowOff>0</xdr:rowOff>
    </xdr:from>
    <xdr:to>
      <xdr:col>28</xdr:col>
      <xdr:colOff>1207803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3436850" y="0"/>
          <a:ext cx="14807938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 (Janeiro a Abril)</a:t>
          </a:r>
        </a:p>
      </xdr:txBody>
    </xdr:sp>
    <xdr:clientData/>
  </xdr:twoCellAnchor>
  <xdr:oneCellAnchor>
    <xdr:from>
      <xdr:col>0</xdr:col>
      <xdr:colOff>0</xdr:colOff>
      <xdr:row>17</xdr:row>
      <xdr:rowOff>94269</xdr:rowOff>
    </xdr:from>
    <xdr:ext cx="0" cy="648092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0" y="3845351"/>
          <a:ext cx="0" cy="648092"/>
        </a:xfrm>
        <a:prstGeom prst="rect">
          <a:avLst/>
        </a:prstGeom>
        <a:solidFill>
          <a:srgbClr val="006871"/>
        </a:solidFill>
        <a:ln>
          <a:noFill/>
        </a:ln>
        <a:effectLst>
          <a:outerShdw blurRad="44450" dist="27940" dir="5400000" algn="ctr">
            <a:srgbClr val="000000">
              <a:alpha val="32%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800" b="1"/>
            <a:t>Receita</a:t>
          </a:r>
        </a:p>
      </xdr:txBody>
    </xdr:sp>
    <xdr:clientData/>
  </xdr:oneCellAnchor>
  <xdr:twoCellAnchor>
    <xdr:from>
      <xdr:col>2</xdr:col>
      <xdr:colOff>61674</xdr:colOff>
      <xdr:row>5</xdr:row>
      <xdr:rowOff>29139</xdr:rowOff>
    </xdr:from>
    <xdr:to>
      <xdr:col>27</xdr:col>
      <xdr:colOff>588077</xdr:colOff>
      <xdr:row>20</xdr:row>
      <xdr:rowOff>69493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pSpPr/>
      </xdr:nvGrpSpPr>
      <xdr:grpSpPr>
        <a:xfrm>
          <a:off x="1273947" y="1558912"/>
          <a:ext cx="15679812" cy="2936339"/>
          <a:chOff x="1286317" y="1078852"/>
          <a:chExt cx="15834439" cy="3354657"/>
        </a:xfrm>
      </xdr:grpSpPr>
      <xdr:grpSp>
        <xdr:nvGrpSpPr>
          <xdr:cNvPr id="69" name="Grupo 68">
            <a:extLst>
              <a:ext uri="{FF2B5EF4-FFF2-40B4-BE49-F238E27FC236}">
                <a16:creationId xmlns:a16="http://schemas.microsoft.com/office/drawing/2014/main" id="{00000000-0008-0000-1600-000045000000}"/>
              </a:ext>
            </a:extLst>
          </xdr:cNvPr>
          <xdr:cNvGrpSpPr/>
        </xdr:nvGrpSpPr>
        <xdr:grpSpPr>
          <a:xfrm>
            <a:off x="1286317" y="1760906"/>
            <a:ext cx="15834439" cy="2283836"/>
            <a:chOff x="1583311" y="1271833"/>
            <a:chExt cx="15743157" cy="2411692"/>
          </a:xfrm>
        </xdr:grpSpPr>
        <xdr:sp macro="" textlink="">
          <xdr:nvSpPr>
            <xdr:cNvPr id="42" name="CaixaDeTexto 41">
              <a:hlinkClick xmlns:r="http://purl.oclc.org/ooxml/officeDocument/relationships" r:id="rId2"/>
              <a:extLst>
                <a:ext uri="{FF2B5EF4-FFF2-40B4-BE49-F238E27FC236}">
                  <a16:creationId xmlns:a16="http://schemas.microsoft.com/office/drawing/2014/main" id="{00000000-0008-0000-1600-00002A000000}"/>
                </a:ext>
              </a:extLst>
            </xdr:cNvPr>
            <xdr:cNvSpPr txBox="1"/>
          </xdr:nvSpPr>
          <xdr:spPr>
            <a:xfrm>
              <a:off x="1645380" y="2052295"/>
              <a:ext cx="3395989" cy="648092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%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Quantidade</a:t>
              </a:r>
            </a:p>
          </xdr:txBody>
        </xdr:sp>
        <xdr:grpSp>
          <xdr:nvGrpSpPr>
            <xdr:cNvPr id="44" name="Grupo 43">
              <a:extLst>
                <a:ext uri="{FF2B5EF4-FFF2-40B4-BE49-F238E27FC236}">
                  <a16:creationId xmlns:a16="http://schemas.microsoft.com/office/drawing/2014/main" id="{00000000-0008-0000-1600-00002C000000}"/>
                </a:ext>
              </a:extLst>
            </xdr:cNvPr>
            <xdr:cNvGrpSpPr/>
          </xdr:nvGrpSpPr>
          <xdr:grpSpPr>
            <a:xfrm>
              <a:off x="1583311" y="1271833"/>
              <a:ext cx="3520127" cy="529891"/>
              <a:chOff x="7926917" y="1026747"/>
              <a:chExt cx="3174401" cy="539586"/>
            </a:xfrm>
          </xdr:grpSpPr>
          <xdr:sp macro="" textlink="">
            <xdr:nvSpPr>
              <xdr:cNvPr id="45" name="CaixaDeTexto 44">
                <a:extLst>
                  <a:ext uri="{FF2B5EF4-FFF2-40B4-BE49-F238E27FC236}">
                    <a16:creationId xmlns:a16="http://schemas.microsoft.com/office/drawing/2014/main" id="{00000000-0008-0000-1600-00002D000000}"/>
                  </a:ext>
                </a:extLst>
              </xdr:cNvPr>
              <xdr:cNvSpPr txBox="1"/>
            </xdr:nvSpPr>
            <xdr:spPr>
              <a:xfrm>
                <a:off x="8049658" y="1026747"/>
                <a:ext cx="2935173" cy="483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4000" cap="small" baseline="0%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Pessoa Física</a:t>
                </a:r>
              </a:p>
            </xdr:txBody>
          </xdr:sp>
          <xdr:cxnSp macro="">
            <xdr:nvCxnSpPr>
              <xdr:cNvPr id="46" name="Conector reto 45">
                <a:extLst>
                  <a:ext uri="{FF2B5EF4-FFF2-40B4-BE49-F238E27FC236}">
                    <a16:creationId xmlns:a16="http://schemas.microsoft.com/office/drawing/2014/main" id="{00000000-0008-0000-1600-00002E000000}"/>
                  </a:ext>
                </a:extLst>
              </xdr:cNvPr>
              <xdr:cNvCxnSpPr/>
            </xdr:nvCxnSpPr>
            <xdr:spPr>
              <a:xfrm>
                <a:off x="7926917" y="1566333"/>
                <a:ext cx="3174401" cy="0"/>
              </a:xfrm>
              <a:prstGeom prst="line">
                <a:avLst/>
              </a:prstGeom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47" name="Grupo 46">
              <a:extLst>
                <a:ext uri="{FF2B5EF4-FFF2-40B4-BE49-F238E27FC236}">
                  <a16:creationId xmlns:a16="http://schemas.microsoft.com/office/drawing/2014/main" id="{00000000-0008-0000-1600-00002F000000}"/>
                </a:ext>
              </a:extLst>
            </xdr:cNvPr>
            <xdr:cNvGrpSpPr/>
          </xdr:nvGrpSpPr>
          <xdr:grpSpPr>
            <a:xfrm>
              <a:off x="5657654" y="1271833"/>
              <a:ext cx="3520127" cy="529891"/>
              <a:chOff x="7926917" y="1026747"/>
              <a:chExt cx="3174401" cy="539586"/>
            </a:xfrm>
          </xdr:grpSpPr>
          <xdr:sp macro="" textlink="">
            <xdr:nvSpPr>
              <xdr:cNvPr id="48" name="CaixaDeTexto 47">
                <a:extLst>
                  <a:ext uri="{FF2B5EF4-FFF2-40B4-BE49-F238E27FC236}">
                    <a16:creationId xmlns:a16="http://schemas.microsoft.com/office/drawing/2014/main" id="{00000000-0008-0000-1600-000030000000}"/>
                  </a:ext>
                </a:extLst>
              </xdr:cNvPr>
              <xdr:cNvSpPr txBox="1"/>
            </xdr:nvSpPr>
            <xdr:spPr>
              <a:xfrm>
                <a:off x="8049658" y="1026747"/>
                <a:ext cx="2935173" cy="483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4000" cap="small" baseline="0%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Pessoa Jurídica</a:t>
                </a:r>
              </a:p>
            </xdr:txBody>
          </xdr:sp>
          <xdr:cxnSp macro="">
            <xdr:nvCxnSpPr>
              <xdr:cNvPr id="49" name="Conector reto 48">
                <a:extLst>
                  <a:ext uri="{FF2B5EF4-FFF2-40B4-BE49-F238E27FC236}">
                    <a16:creationId xmlns:a16="http://schemas.microsoft.com/office/drawing/2014/main" id="{00000000-0008-0000-1600-000031000000}"/>
                  </a:ext>
                </a:extLst>
              </xdr:cNvPr>
              <xdr:cNvCxnSpPr/>
            </xdr:nvCxnSpPr>
            <xdr:spPr>
              <a:xfrm>
                <a:off x="7926917" y="1566333"/>
                <a:ext cx="3174401" cy="0"/>
              </a:xfrm>
              <a:prstGeom prst="line">
                <a:avLst/>
              </a:prstGeom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50" name="Grupo 49">
              <a:extLst>
                <a:ext uri="{FF2B5EF4-FFF2-40B4-BE49-F238E27FC236}">
                  <a16:creationId xmlns:a16="http://schemas.microsoft.com/office/drawing/2014/main" id="{00000000-0008-0000-1600-000032000000}"/>
                </a:ext>
              </a:extLst>
            </xdr:cNvPr>
            <xdr:cNvGrpSpPr/>
          </xdr:nvGrpSpPr>
          <xdr:grpSpPr>
            <a:xfrm>
              <a:off x="9731997" y="1271833"/>
              <a:ext cx="3520127" cy="529891"/>
              <a:chOff x="7926917" y="1026747"/>
              <a:chExt cx="3174401" cy="539586"/>
            </a:xfrm>
          </xdr:grpSpPr>
          <xdr:sp macro="" textlink="">
            <xdr:nvSpPr>
              <xdr:cNvPr id="51" name="CaixaDeTexto 50">
                <a:extLst>
                  <a:ext uri="{FF2B5EF4-FFF2-40B4-BE49-F238E27FC236}">
                    <a16:creationId xmlns:a16="http://schemas.microsoft.com/office/drawing/2014/main" id="{00000000-0008-0000-1600-000033000000}"/>
                  </a:ext>
                </a:extLst>
              </xdr:cNvPr>
              <xdr:cNvSpPr txBox="1"/>
            </xdr:nvSpPr>
            <xdr:spPr>
              <a:xfrm>
                <a:off x="8049658" y="1026747"/>
                <a:ext cx="2935173" cy="483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4000" cap="small" baseline="0%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RRT</a:t>
                </a:r>
              </a:p>
            </xdr:txBody>
          </xdr:sp>
          <xdr:cxnSp macro="">
            <xdr:nvCxnSpPr>
              <xdr:cNvPr id="52" name="Conector reto 51">
                <a:extLst>
                  <a:ext uri="{FF2B5EF4-FFF2-40B4-BE49-F238E27FC236}">
                    <a16:creationId xmlns:a16="http://schemas.microsoft.com/office/drawing/2014/main" id="{00000000-0008-0000-1600-000034000000}"/>
                  </a:ext>
                </a:extLst>
              </xdr:cNvPr>
              <xdr:cNvCxnSpPr/>
            </xdr:nvCxnSpPr>
            <xdr:spPr>
              <a:xfrm>
                <a:off x="7926917" y="1566333"/>
                <a:ext cx="3174401" cy="0"/>
              </a:xfrm>
              <a:prstGeom prst="line">
                <a:avLst/>
              </a:prstGeom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53" name="Grupo 52">
              <a:extLst>
                <a:ext uri="{FF2B5EF4-FFF2-40B4-BE49-F238E27FC236}">
                  <a16:creationId xmlns:a16="http://schemas.microsoft.com/office/drawing/2014/main" id="{00000000-0008-0000-1600-000035000000}"/>
                </a:ext>
              </a:extLst>
            </xdr:cNvPr>
            <xdr:cNvGrpSpPr/>
          </xdr:nvGrpSpPr>
          <xdr:grpSpPr>
            <a:xfrm>
              <a:off x="13806341" y="1271833"/>
              <a:ext cx="3520127" cy="529891"/>
              <a:chOff x="7926917" y="1026747"/>
              <a:chExt cx="3174401" cy="539586"/>
            </a:xfrm>
          </xdr:grpSpPr>
          <xdr:sp macro="" textlink="">
            <xdr:nvSpPr>
              <xdr:cNvPr id="54" name="CaixaDeTexto 53">
                <a:extLst>
                  <a:ext uri="{FF2B5EF4-FFF2-40B4-BE49-F238E27FC236}">
                    <a16:creationId xmlns:a16="http://schemas.microsoft.com/office/drawing/2014/main" id="{00000000-0008-0000-1600-000036000000}"/>
                  </a:ext>
                </a:extLst>
              </xdr:cNvPr>
              <xdr:cNvSpPr txBox="1"/>
            </xdr:nvSpPr>
            <xdr:spPr>
              <a:xfrm>
                <a:off x="8049658" y="1026747"/>
                <a:ext cx="2935173" cy="483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4000" cap="small" baseline="0%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Taxas e Multas</a:t>
                </a:r>
              </a:p>
            </xdr:txBody>
          </xdr:sp>
          <xdr:cxnSp macro="">
            <xdr:nvCxnSpPr>
              <xdr:cNvPr id="55" name="Conector reto 54">
                <a:extLst>
                  <a:ext uri="{FF2B5EF4-FFF2-40B4-BE49-F238E27FC236}">
                    <a16:creationId xmlns:a16="http://schemas.microsoft.com/office/drawing/2014/main" id="{00000000-0008-0000-1600-000037000000}"/>
                  </a:ext>
                </a:extLst>
              </xdr:cNvPr>
              <xdr:cNvCxnSpPr/>
            </xdr:nvCxnSpPr>
            <xdr:spPr>
              <a:xfrm>
                <a:off x="7926917" y="1566333"/>
                <a:ext cx="3174401" cy="0"/>
              </a:xfrm>
              <a:prstGeom prst="line">
                <a:avLst/>
              </a:prstGeom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6" name="CaixaDeTexto 55">
              <a:hlinkClick xmlns:r="http://purl.oclc.org/ooxml/officeDocument/relationships" r:id="rId3"/>
              <a:extLst>
                <a:ext uri="{FF2B5EF4-FFF2-40B4-BE49-F238E27FC236}">
                  <a16:creationId xmlns:a16="http://schemas.microsoft.com/office/drawing/2014/main" id="{00000000-0008-0000-1600-000038000000}"/>
                </a:ext>
              </a:extLst>
            </xdr:cNvPr>
            <xdr:cNvSpPr txBox="1"/>
          </xdr:nvSpPr>
          <xdr:spPr>
            <a:xfrm>
              <a:off x="5719723" y="2116319"/>
              <a:ext cx="3395989" cy="648092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%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Quantidade</a:t>
              </a:r>
            </a:p>
          </xdr:txBody>
        </xdr:sp>
        <xdr:sp macro="" textlink="">
          <xdr:nvSpPr>
            <xdr:cNvPr id="57" name="CaixaDeTexto 56">
              <a:hlinkClick xmlns:r="http://purl.oclc.org/ooxml/officeDocument/relationships" r:id="rId4"/>
              <a:extLst>
                <a:ext uri="{FF2B5EF4-FFF2-40B4-BE49-F238E27FC236}">
                  <a16:creationId xmlns:a16="http://schemas.microsoft.com/office/drawing/2014/main" id="{00000000-0008-0000-1600-000039000000}"/>
                </a:ext>
              </a:extLst>
            </xdr:cNvPr>
            <xdr:cNvSpPr txBox="1"/>
          </xdr:nvSpPr>
          <xdr:spPr>
            <a:xfrm>
              <a:off x="9794066" y="2121425"/>
              <a:ext cx="3395989" cy="648092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%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Quantidade e Receita</a:t>
              </a:r>
            </a:p>
          </xdr:txBody>
        </xdr:sp>
        <xdr:sp macro="" textlink="">
          <xdr:nvSpPr>
            <xdr:cNvPr id="58" name="CaixaDeTexto 57">
              <a:hlinkClick xmlns:r="http://purl.oclc.org/ooxml/officeDocument/relationships" r:id="rId5"/>
              <a:extLst>
                <a:ext uri="{FF2B5EF4-FFF2-40B4-BE49-F238E27FC236}">
                  <a16:creationId xmlns:a16="http://schemas.microsoft.com/office/drawing/2014/main" id="{00000000-0008-0000-1600-00003A000000}"/>
                </a:ext>
              </a:extLst>
            </xdr:cNvPr>
            <xdr:cNvSpPr txBox="1"/>
          </xdr:nvSpPr>
          <xdr:spPr>
            <a:xfrm>
              <a:off x="13868410" y="2126531"/>
              <a:ext cx="3395989" cy="648092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%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Receita</a:t>
              </a:r>
            </a:p>
          </xdr:txBody>
        </xdr:sp>
        <xdr:sp macro="" textlink="">
          <xdr:nvSpPr>
            <xdr:cNvPr id="59" name="CaixaDeTexto 58">
              <a:hlinkClick xmlns:r="http://purl.oclc.org/ooxml/officeDocument/relationships" r:id="rId6"/>
              <a:extLst>
                <a:ext uri="{FF2B5EF4-FFF2-40B4-BE49-F238E27FC236}">
                  <a16:creationId xmlns:a16="http://schemas.microsoft.com/office/drawing/2014/main" id="{00000000-0008-0000-1600-00003B000000}"/>
                </a:ext>
              </a:extLst>
            </xdr:cNvPr>
            <xdr:cNvSpPr txBox="1"/>
          </xdr:nvSpPr>
          <xdr:spPr>
            <a:xfrm>
              <a:off x="1645380" y="3015400"/>
              <a:ext cx="3395989" cy="648092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%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Receita</a:t>
              </a:r>
            </a:p>
          </xdr:txBody>
        </xdr:sp>
        <xdr:sp macro="" textlink="">
          <xdr:nvSpPr>
            <xdr:cNvPr id="61" name="CaixaDeTexto 60">
              <a:hlinkClick xmlns:r="http://purl.oclc.org/ooxml/officeDocument/relationships" r:id="rId7"/>
              <a:extLst>
                <a:ext uri="{FF2B5EF4-FFF2-40B4-BE49-F238E27FC236}">
                  <a16:creationId xmlns:a16="http://schemas.microsoft.com/office/drawing/2014/main" id="{00000000-0008-0000-1600-00003D000000}"/>
                </a:ext>
              </a:extLst>
            </xdr:cNvPr>
            <xdr:cNvSpPr txBox="1"/>
          </xdr:nvSpPr>
          <xdr:spPr>
            <a:xfrm>
              <a:off x="5719723" y="3010687"/>
              <a:ext cx="3395989" cy="648092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%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Receita</a:t>
              </a:r>
            </a:p>
          </xdr:txBody>
        </xdr:sp>
        <xdr:sp macro="" textlink="">
          <xdr:nvSpPr>
            <xdr:cNvPr id="62" name="CaixaDeTexto 61">
              <a:hlinkClick xmlns:r="http://purl.oclc.org/ooxml/officeDocument/relationships" r:id="rId8"/>
              <a:extLst>
                <a:ext uri="{FF2B5EF4-FFF2-40B4-BE49-F238E27FC236}">
                  <a16:creationId xmlns:a16="http://schemas.microsoft.com/office/drawing/2014/main" id="{00000000-0008-0000-1600-00003E000000}"/>
                </a:ext>
              </a:extLst>
            </xdr:cNvPr>
            <xdr:cNvSpPr txBox="1"/>
          </xdr:nvSpPr>
          <xdr:spPr>
            <a:xfrm>
              <a:off x="9794066" y="3035433"/>
              <a:ext cx="3395989" cy="648092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%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Grupos</a:t>
              </a:r>
              <a:r>
                <a:rPr lang="pt-BR" sz="2800" b="1" baseline="0%"/>
                <a:t> de Atividades</a:t>
              </a:r>
              <a:endParaRPr lang="pt-BR" sz="2800" b="1"/>
            </a:p>
          </xdr:txBody>
        </xdr:sp>
      </xdr:grpSp>
      <xdr:grpSp>
        <xdr:nvGrpSpPr>
          <xdr:cNvPr id="74" name="Grupo 73">
            <a:extLst>
              <a:ext uri="{FF2B5EF4-FFF2-40B4-BE49-F238E27FC236}">
                <a16:creationId xmlns:a16="http://schemas.microsoft.com/office/drawing/2014/main" id="{00000000-0008-0000-1600-00004A000000}"/>
              </a:ext>
            </a:extLst>
          </xdr:cNvPr>
          <xdr:cNvGrpSpPr/>
        </xdr:nvGrpSpPr>
        <xdr:grpSpPr>
          <a:xfrm>
            <a:off x="7433268" y="1078852"/>
            <a:ext cx="3540536" cy="501799"/>
            <a:chOff x="0" y="765928"/>
            <a:chExt cx="3520126" cy="481719"/>
          </a:xfrm>
        </xdr:grpSpPr>
        <xdr:sp macro="" textlink="">
          <xdr:nvSpPr>
            <xdr:cNvPr id="72" name="CaixaDeTexto 71">
              <a:extLst>
                <a:ext uri="{FF2B5EF4-FFF2-40B4-BE49-F238E27FC236}">
                  <a16:creationId xmlns:a16="http://schemas.microsoft.com/office/drawing/2014/main" id="{00000000-0008-0000-1600-000048000000}"/>
                </a:ext>
              </a:extLst>
            </xdr:cNvPr>
            <xdr:cNvSpPr txBox="1"/>
          </xdr:nvSpPr>
          <xdr:spPr>
            <a:xfrm>
              <a:off x="136109" y="765928"/>
              <a:ext cx="3254845" cy="43153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4000" cap="small" baseline="0%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CAU / UF</a:t>
              </a:r>
            </a:p>
          </xdr:txBody>
        </xdr:sp>
        <xdr:cxnSp macro="">
          <xdr:nvCxnSpPr>
            <xdr:cNvPr id="73" name="Conector reto 72">
              <a:extLst>
                <a:ext uri="{FF2B5EF4-FFF2-40B4-BE49-F238E27FC236}">
                  <a16:creationId xmlns:a16="http://schemas.microsoft.com/office/drawing/2014/main" id="{00000000-0008-0000-1600-000049000000}"/>
                </a:ext>
              </a:extLst>
            </xdr:cNvPr>
            <xdr:cNvCxnSpPr/>
          </xdr:nvCxnSpPr>
          <xdr:spPr>
            <a:xfrm>
              <a:off x="0" y="1247647"/>
              <a:ext cx="3520126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3</xdr:col>
      <xdr:colOff>234044</xdr:colOff>
      <xdr:row>24</xdr:row>
      <xdr:rowOff>5949</xdr:rowOff>
    </xdr:from>
    <xdr:to>
      <xdr:col>26</xdr:col>
      <xdr:colOff>415708</xdr:colOff>
      <xdr:row>33</xdr:row>
      <xdr:rowOff>143777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pSpPr/>
      </xdr:nvGrpSpPr>
      <xdr:grpSpPr>
        <a:xfrm>
          <a:off x="2052453" y="5201404"/>
          <a:ext cx="14122800" cy="1869646"/>
          <a:chOff x="2325937" y="4758749"/>
          <a:chExt cx="14265057" cy="1887318"/>
        </a:xfrm>
      </xdr:grpSpPr>
      <xdr:grpSp>
        <xdr:nvGrpSpPr>
          <xdr:cNvPr id="68" name="Grupo 67">
            <a:extLst>
              <a:ext uri="{FF2B5EF4-FFF2-40B4-BE49-F238E27FC236}">
                <a16:creationId xmlns:a16="http://schemas.microsoft.com/office/drawing/2014/main" id="{00000000-0008-0000-1600-000044000000}"/>
              </a:ext>
            </a:extLst>
          </xdr:cNvPr>
          <xdr:cNvGrpSpPr/>
        </xdr:nvGrpSpPr>
        <xdr:grpSpPr>
          <a:xfrm>
            <a:off x="2325937" y="4758749"/>
            <a:ext cx="7865250" cy="1887318"/>
            <a:chOff x="5112488" y="4546862"/>
            <a:chExt cx="7819909" cy="1992976"/>
          </a:xfrm>
        </xdr:grpSpPr>
        <xdr:grpSp>
          <xdr:nvGrpSpPr>
            <xdr:cNvPr id="63" name="Grupo 62">
              <a:extLst>
                <a:ext uri="{FF2B5EF4-FFF2-40B4-BE49-F238E27FC236}">
                  <a16:creationId xmlns:a16="http://schemas.microsoft.com/office/drawing/2014/main" id="{00000000-0008-0000-1600-00003F000000}"/>
                </a:ext>
              </a:extLst>
            </xdr:cNvPr>
            <xdr:cNvGrpSpPr/>
          </xdr:nvGrpSpPr>
          <xdr:grpSpPr>
            <a:xfrm>
              <a:off x="7262380" y="4546862"/>
              <a:ext cx="3520127" cy="529891"/>
              <a:chOff x="7926917" y="1026747"/>
              <a:chExt cx="3174401" cy="539586"/>
            </a:xfrm>
          </xdr:grpSpPr>
          <xdr:sp macro="" textlink="">
            <xdr:nvSpPr>
              <xdr:cNvPr id="64" name="CaixaDeTexto 63">
                <a:extLst>
                  <a:ext uri="{FF2B5EF4-FFF2-40B4-BE49-F238E27FC236}">
                    <a16:creationId xmlns:a16="http://schemas.microsoft.com/office/drawing/2014/main" id="{00000000-0008-0000-1600-000040000000}"/>
                  </a:ext>
                </a:extLst>
              </xdr:cNvPr>
              <xdr:cNvSpPr txBox="1"/>
            </xdr:nvSpPr>
            <xdr:spPr>
              <a:xfrm>
                <a:off x="8049658" y="1026747"/>
                <a:ext cx="2935173" cy="483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4000" cap="small" baseline="0%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CAU / BR</a:t>
                </a:r>
              </a:p>
            </xdr:txBody>
          </xdr:sp>
          <xdr:cxnSp macro="">
            <xdr:nvCxnSpPr>
              <xdr:cNvPr id="65" name="Conector reto 64">
                <a:extLst>
                  <a:ext uri="{FF2B5EF4-FFF2-40B4-BE49-F238E27FC236}">
                    <a16:creationId xmlns:a16="http://schemas.microsoft.com/office/drawing/2014/main" id="{00000000-0008-0000-1600-000041000000}"/>
                  </a:ext>
                </a:extLst>
              </xdr:cNvPr>
              <xdr:cNvCxnSpPr/>
            </xdr:nvCxnSpPr>
            <xdr:spPr>
              <a:xfrm>
                <a:off x="7926917" y="1566333"/>
                <a:ext cx="3174401" cy="0"/>
              </a:xfrm>
              <a:prstGeom prst="line">
                <a:avLst/>
              </a:prstGeom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6" name="CaixaDeTexto 65">
              <a:hlinkClick xmlns:r="http://purl.oclc.org/ooxml/officeDocument/relationships" r:id="rId9"/>
              <a:extLst>
                <a:ext uri="{FF2B5EF4-FFF2-40B4-BE49-F238E27FC236}">
                  <a16:creationId xmlns:a16="http://schemas.microsoft.com/office/drawing/2014/main" id="{00000000-0008-0000-1600-000042000000}"/>
                </a:ext>
              </a:extLst>
            </xdr:cNvPr>
            <xdr:cNvSpPr txBox="1"/>
          </xdr:nvSpPr>
          <xdr:spPr>
            <a:xfrm>
              <a:off x="5112488" y="5411763"/>
              <a:ext cx="3395989" cy="1128075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%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Receita de Anuidades PF e PJ</a:t>
              </a:r>
            </a:p>
          </xdr:txBody>
        </xdr:sp>
        <xdr:sp macro="" textlink="">
          <xdr:nvSpPr>
            <xdr:cNvPr id="67" name="CaixaDeTexto 66">
              <a:hlinkClick xmlns:r="http://purl.oclc.org/ooxml/officeDocument/relationships" r:id="rId10"/>
              <a:extLst>
                <a:ext uri="{FF2B5EF4-FFF2-40B4-BE49-F238E27FC236}">
                  <a16:creationId xmlns:a16="http://schemas.microsoft.com/office/drawing/2014/main" id="{00000000-0008-0000-1600-000043000000}"/>
                </a:ext>
              </a:extLst>
            </xdr:cNvPr>
            <xdr:cNvSpPr txBox="1"/>
          </xdr:nvSpPr>
          <xdr:spPr>
            <a:xfrm>
              <a:off x="9536408" y="5411763"/>
              <a:ext cx="3395989" cy="1128075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%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Receita de RRT e Taxas e Multas</a:t>
              </a:r>
            </a:p>
          </xdr:txBody>
        </xdr:sp>
      </xdr:grpSp>
      <xdr:grpSp>
        <xdr:nvGrpSpPr>
          <xdr:cNvPr id="38" name="Grupo 37">
            <a:extLst>
              <a:ext uri="{FF2B5EF4-FFF2-40B4-BE49-F238E27FC236}">
                <a16:creationId xmlns:a16="http://schemas.microsoft.com/office/drawing/2014/main" id="{00000000-0008-0000-1600-000026000000}"/>
              </a:ext>
            </a:extLst>
          </xdr:cNvPr>
          <xdr:cNvGrpSpPr/>
        </xdr:nvGrpSpPr>
        <xdr:grpSpPr>
          <a:xfrm>
            <a:off x="11500253" y="4758749"/>
            <a:ext cx="5090741" cy="1887318"/>
            <a:chOff x="6187433" y="4546862"/>
            <a:chExt cx="3520127" cy="1992976"/>
          </a:xfrm>
        </xdr:grpSpPr>
        <xdr:grpSp>
          <xdr:nvGrpSpPr>
            <xdr:cNvPr id="39" name="Grupo 38">
              <a:extLst>
                <a:ext uri="{FF2B5EF4-FFF2-40B4-BE49-F238E27FC236}">
                  <a16:creationId xmlns:a16="http://schemas.microsoft.com/office/drawing/2014/main" id="{00000000-0008-0000-1600-000027000000}"/>
                </a:ext>
              </a:extLst>
            </xdr:cNvPr>
            <xdr:cNvGrpSpPr/>
          </xdr:nvGrpSpPr>
          <xdr:grpSpPr>
            <a:xfrm>
              <a:off x="6187433" y="4546862"/>
              <a:ext cx="3520127" cy="529891"/>
              <a:chOff x="6957545" y="1026747"/>
              <a:chExt cx="3174401" cy="539586"/>
            </a:xfrm>
          </xdr:grpSpPr>
          <xdr:sp macro="" textlink="">
            <xdr:nvSpPr>
              <xdr:cNvPr id="43" name="CaixaDeTexto 42">
                <a:extLst>
                  <a:ext uri="{FF2B5EF4-FFF2-40B4-BE49-F238E27FC236}">
                    <a16:creationId xmlns:a16="http://schemas.microsoft.com/office/drawing/2014/main" id="{00000000-0008-0000-1600-00002B000000}"/>
                  </a:ext>
                </a:extLst>
              </xdr:cNvPr>
              <xdr:cNvSpPr txBox="1"/>
            </xdr:nvSpPr>
            <xdr:spPr>
              <a:xfrm>
                <a:off x="7077160" y="1026747"/>
                <a:ext cx="2935173" cy="483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4000" cap="small" baseline="0%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CAU / BR e CAU / UF</a:t>
                </a:r>
              </a:p>
            </xdr:txBody>
          </xdr:sp>
          <xdr:cxnSp macro="">
            <xdr:nvCxnSpPr>
              <xdr:cNvPr id="70" name="Conector reto 69">
                <a:extLst>
                  <a:ext uri="{FF2B5EF4-FFF2-40B4-BE49-F238E27FC236}">
                    <a16:creationId xmlns:a16="http://schemas.microsoft.com/office/drawing/2014/main" id="{00000000-0008-0000-1600-000046000000}"/>
                  </a:ext>
                </a:extLst>
              </xdr:cNvPr>
              <xdr:cNvCxnSpPr/>
            </xdr:nvCxnSpPr>
            <xdr:spPr>
              <a:xfrm>
                <a:off x="6957545" y="1566333"/>
                <a:ext cx="3174401" cy="0"/>
              </a:xfrm>
              <a:prstGeom prst="line">
                <a:avLst/>
              </a:prstGeom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0" name="CaixaDeTexto 39">
              <a:hlinkClick xmlns:r="http://purl.oclc.org/ooxml/officeDocument/relationships" r:id="rId11"/>
              <a:extLst>
                <a:ext uri="{FF2B5EF4-FFF2-40B4-BE49-F238E27FC236}">
                  <a16:creationId xmlns:a16="http://schemas.microsoft.com/office/drawing/2014/main" id="{00000000-0008-0000-1600-000028000000}"/>
                </a:ext>
              </a:extLst>
            </xdr:cNvPr>
            <xdr:cNvSpPr txBox="1"/>
          </xdr:nvSpPr>
          <xdr:spPr>
            <a:xfrm>
              <a:off x="6249502" y="5411763"/>
              <a:ext cx="3395989" cy="1128075"/>
            </a:xfrm>
            <a:prstGeom prst="rect">
              <a:avLst/>
            </a:prstGeom>
            <a:solidFill>
              <a:srgbClr val="006871"/>
            </a:solidFill>
            <a:ln>
              <a:noFill/>
            </a:ln>
            <a:effectLst>
              <a:outerShdw blurRad="44450" dist="27940" dir="5400000" algn="ctr">
                <a:srgbClr val="000000">
                  <a:alpha val="32%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2800" b="1"/>
                <a:t>Gráficos de Arrecadação</a:t>
              </a:r>
              <a:br>
                <a:rPr lang="pt-BR" sz="2800" b="1"/>
              </a:br>
              <a:r>
                <a:rPr lang="pt-BR" sz="2000" b="1"/>
                <a:t>Potencial</a:t>
              </a:r>
              <a:r>
                <a:rPr lang="pt-BR" sz="2000" b="1" baseline="0%"/>
                <a:t> x Previsto x Realizado</a:t>
              </a:r>
              <a:endParaRPr lang="pt-BR" sz="2000" b="1"/>
            </a:p>
          </xdr:txBody>
        </xdr:sp>
      </xdr:grpSp>
    </xdr:grpSp>
    <xdr:clientData/>
  </xdr:twoCellAnchor>
</xdr:wsDr>
</file>

<file path=xl/drawings/drawing11.xml><?xml version="1.0" encoding="utf-8"?>
<xdr:wsDr xmlns:xdr="http://purl.oclc.org/ooxml/drawingml/spreadsheetDrawing" xmlns:a="http://purl.oclc.org/ooxml/drawingml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530258</xdr:colOff>
      <xdr:row>0</xdr:row>
      <xdr:rowOff>0</xdr:rowOff>
    </xdr:from>
    <xdr:to>
      <xdr:col>21</xdr:col>
      <xdr:colOff>579356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3574330" y="0"/>
          <a:ext cx="979012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>
    <xdr:from>
      <xdr:col>6</xdr:col>
      <xdr:colOff>137472</xdr:colOff>
      <xdr:row>2</xdr:row>
      <xdr:rowOff>15927</xdr:rowOff>
    </xdr:from>
    <xdr:to>
      <xdr:col>28</xdr:col>
      <xdr:colOff>1345282</xdr:colOff>
      <xdr:row>4</xdr:row>
      <xdr:rowOff>128415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pSpPr/>
      </xdr:nvGrpSpPr>
      <xdr:grpSpPr>
        <a:xfrm>
          <a:off x="3774290" y="968427"/>
          <a:ext cx="14533189" cy="497336"/>
          <a:chOff x="9043426" y="1068917"/>
          <a:chExt cx="4298272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SpPr txBox="1"/>
        </xdr:nvSpPr>
        <xdr:spPr>
          <a:xfrm>
            <a:off x="9043426" y="1068917"/>
            <a:ext cx="4298272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Quantitativo - Pessoa Física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1700-000006000000}"/>
              </a:ext>
            </a:extLst>
          </xdr:cNvPr>
          <xdr:cNvCxnSpPr/>
        </xdr:nvCxnSpPr>
        <xdr:spPr>
          <a:xfrm>
            <a:off x="9046319" y="1566333"/>
            <a:ext cx="428868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223599</xdr:colOff>
      <xdr:row>5</xdr:row>
      <xdr:rowOff>81342</xdr:rowOff>
    </xdr:from>
    <xdr:to>
      <xdr:col>4</xdr:col>
      <xdr:colOff>211667</xdr:colOff>
      <xdr:row>8</xdr:row>
      <xdr:rowOff>51516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pSpPr/>
      </xdr:nvGrpSpPr>
      <xdr:grpSpPr>
        <a:xfrm>
          <a:off x="223599" y="1611115"/>
          <a:ext cx="2412613" cy="547446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00000000-0008-0000-1700-000008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:a16="http://schemas.microsoft.com/office/drawing/2014/main" id="{00000000-0008-0000-1700-000009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23</xdr:col>
      <xdr:colOff>500799</xdr:colOff>
      <xdr:row>8</xdr:row>
      <xdr:rowOff>68738</xdr:rowOff>
    </xdr:from>
    <xdr:to>
      <xdr:col>28</xdr:col>
      <xdr:colOff>707010</xdr:colOff>
      <xdr:row>31</xdr:row>
      <xdr:rowOff>19641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GrpSpPr/>
      </xdr:nvGrpSpPr>
      <xdr:grpSpPr>
        <a:xfrm>
          <a:off x="14441935" y="2175783"/>
          <a:ext cx="3227272" cy="4386282"/>
          <a:chOff x="14483890" y="3223651"/>
          <a:chExt cx="3049142" cy="2754416"/>
        </a:xfrm>
      </xdr:grpSpPr>
      <xdr:graphicFrame macro="">
        <xdr:nvGraphicFramePr>
          <xdr:cNvPr id="51" name="Gráfico 50">
            <a:extLst>
              <a:ext uri="{FF2B5EF4-FFF2-40B4-BE49-F238E27FC236}">
                <a16:creationId xmlns:a16="http://schemas.microsoft.com/office/drawing/2014/main" id="{00000000-0008-0000-1700-000033000000}"/>
              </a:ext>
            </a:extLst>
          </xdr:cNvPr>
          <xdr:cNvGraphicFramePr>
            <a:graphicFrameLocks/>
          </xdr:cNvGraphicFramePr>
        </xdr:nvGraphicFramePr>
        <xdr:xfrm>
          <a:off x="14483890" y="3223651"/>
          <a:ext cx="3049142" cy="2754416"/>
        </xdr:xfrm>
        <a:graphic>
          <a:graphicData uri="http://purl.oclc.org/ooxml/drawingml/chart">
            <c:chart xmlns:c="http://purl.oclc.org/ooxml/drawingml/chart" xmlns:r="http://purl.oclc.org/ooxml/officeDocument/relationships" r:id="rId2"/>
          </a:graphicData>
        </a:graphic>
      </xdr:graphicFrame>
      <xdr:grpSp>
        <xdr:nvGrpSpPr>
          <xdr:cNvPr id="52" name="Grupo 51">
            <a:extLst>
              <a:ext uri="{FF2B5EF4-FFF2-40B4-BE49-F238E27FC236}">
                <a16:creationId xmlns:a16="http://schemas.microsoft.com/office/drawing/2014/main" id="{00000000-0008-0000-1700-000034000000}"/>
              </a:ext>
            </a:extLst>
          </xdr:cNvPr>
          <xdr:cNvGrpSpPr/>
        </xdr:nvGrpSpPr>
        <xdr:grpSpPr>
          <a:xfrm>
            <a:off x="15046542" y="4131280"/>
            <a:ext cx="2013157" cy="948415"/>
            <a:chOff x="6406970" y="5676190"/>
            <a:chExt cx="1517145" cy="741030"/>
          </a:xfrm>
        </xdr:grpSpPr>
        <xdr:grpSp>
          <xdr:nvGrpSpPr>
            <xdr:cNvPr id="53" name="Grupo 52">
              <a:extLst>
                <a:ext uri="{FF2B5EF4-FFF2-40B4-BE49-F238E27FC236}">
                  <a16:creationId xmlns:a16="http://schemas.microsoft.com/office/drawing/2014/main" id="{00000000-0008-0000-1700-000035000000}"/>
                </a:ext>
              </a:extLst>
            </xdr:cNvPr>
            <xdr:cNvGrpSpPr/>
          </xdr:nvGrpSpPr>
          <xdr:grpSpPr>
            <a:xfrm>
              <a:off x="6406970" y="5676190"/>
              <a:ext cx="699233" cy="741030"/>
              <a:chOff x="9883595" y="5997999"/>
              <a:chExt cx="699233" cy="741030"/>
            </a:xfrm>
          </xdr:grpSpPr>
          <xdr:sp macro="" textlink="'Dados - Receita e Qntd'!AR65">
            <xdr:nvSpPr>
              <xdr:cNvPr id="57" name="CaixaDeTexto 56">
                <a:extLst>
                  <a:ext uri="{FF2B5EF4-FFF2-40B4-BE49-F238E27FC236}">
                    <a16:creationId xmlns:a16="http://schemas.microsoft.com/office/drawing/2014/main" id="{00000000-0008-0000-1700-000039000000}"/>
                  </a:ext>
                </a:extLst>
              </xdr:cNvPr>
              <xdr:cNvSpPr txBox="1"/>
            </xdr:nvSpPr>
            <xdr:spPr>
              <a:xfrm>
                <a:off x="9883595" y="6452600"/>
                <a:ext cx="699233" cy="286429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marL="0" indent="0" algn="ctr"/>
                <a:fld id="{A19EAE22-EF23-43C4-B4B8-AA0D7217EABE}" type="TxLink">
                  <a:rPr lang="en-US" sz="2000" b="1" i="0" u="none" strike="noStrike">
                    <a:solidFill>
                      <a:schemeClr val="bg1"/>
                    </a:solidFill>
                    <a:latin typeface="Calibri"/>
                    <a:ea typeface="+mn-ea"/>
                    <a:cs typeface="Calibri"/>
                  </a:rPr>
                  <a:pPr marL="0" indent="0" algn="ctr"/>
                  <a:t> 107.785 </a:t>
                </a:fld>
                <a:endParaRPr lang="pt-BR" sz="3200" b="1" i="0" u="none" strike="noStrike">
                  <a:solidFill>
                    <a:schemeClr val="bg1"/>
                  </a:solidFill>
                  <a:latin typeface="Calibri"/>
                  <a:ea typeface="+mn-ea"/>
                  <a:cs typeface="Calibri"/>
                </a:endParaRPr>
              </a:p>
            </xdr:txBody>
          </xdr:sp>
          <xdr:sp macro="" textlink="">
            <xdr:nvSpPr>
              <xdr:cNvPr id="58" name="CaixaDeTexto 57">
                <a:extLst>
                  <a:ext uri="{FF2B5EF4-FFF2-40B4-BE49-F238E27FC236}">
                    <a16:creationId xmlns:a16="http://schemas.microsoft.com/office/drawing/2014/main" id="{00000000-0008-0000-1700-00003A000000}"/>
                  </a:ext>
                </a:extLst>
              </xdr:cNvPr>
              <xdr:cNvSpPr txBox="1"/>
            </xdr:nvSpPr>
            <xdr:spPr>
              <a:xfrm>
                <a:off x="10075406" y="5997999"/>
                <a:ext cx="315607" cy="427285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noAutofit/>
              </a:bodyPr>
              <a:lstStyle/>
              <a:p>
                <a:pPr algn="ctr"/>
                <a:r>
                  <a:rPr lang="pt-BR" sz="4400">
                    <a:solidFill>
                      <a:schemeClr val="bg1"/>
                    </a:solidFill>
                    <a:sym typeface="Webdings" panose="05030102010509060703" pitchFamily="18" charset="2"/>
                  </a:rPr>
                  <a:t></a:t>
                </a:r>
                <a:endParaRPr lang="pt-BR" sz="4400">
                  <a:solidFill>
                    <a:schemeClr val="bg1"/>
                  </a:solidFill>
                </a:endParaRPr>
              </a:p>
            </xdr:txBody>
          </xdr:sp>
        </xdr:grpSp>
        <xdr:grpSp>
          <xdr:nvGrpSpPr>
            <xdr:cNvPr id="54" name="Grupo 53">
              <a:extLst>
                <a:ext uri="{FF2B5EF4-FFF2-40B4-BE49-F238E27FC236}">
                  <a16:creationId xmlns:a16="http://schemas.microsoft.com/office/drawing/2014/main" id="{00000000-0008-0000-1700-000036000000}"/>
                </a:ext>
              </a:extLst>
            </xdr:cNvPr>
            <xdr:cNvGrpSpPr/>
          </xdr:nvGrpSpPr>
          <xdr:grpSpPr>
            <a:xfrm>
              <a:off x="7224882" y="5676190"/>
              <a:ext cx="699233" cy="741030"/>
              <a:chOff x="9170704" y="5999359"/>
              <a:chExt cx="699233" cy="741030"/>
            </a:xfrm>
          </xdr:grpSpPr>
          <xdr:sp macro="" textlink="'Dados - Receita e Qntd'!AR64">
            <xdr:nvSpPr>
              <xdr:cNvPr id="55" name="CaixaDeTexto 54">
                <a:extLst>
                  <a:ext uri="{FF2B5EF4-FFF2-40B4-BE49-F238E27FC236}">
                    <a16:creationId xmlns:a16="http://schemas.microsoft.com/office/drawing/2014/main" id="{00000000-0008-0000-1700-000037000000}"/>
                  </a:ext>
                </a:extLst>
              </xdr:cNvPr>
              <xdr:cNvSpPr txBox="1"/>
            </xdr:nvSpPr>
            <xdr:spPr>
              <a:xfrm>
                <a:off x="9170704" y="6453960"/>
                <a:ext cx="699233" cy="286429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marL="0" indent="0" algn="ctr"/>
                <a:fld id="{2AD35CE2-B1D4-4474-A75A-F6CF4709478C}" type="TxLink">
                  <a:rPr lang="en-US" sz="2000" b="1" i="0" u="none" strike="noStrike">
                    <a:solidFill>
                      <a:schemeClr val="bg1"/>
                    </a:solidFill>
                    <a:latin typeface="Calibri"/>
                    <a:ea typeface="+mn-ea"/>
                    <a:cs typeface="Calibri"/>
                  </a:rPr>
                  <a:pPr marL="0" indent="0" algn="ctr"/>
                  <a:t> 62.473 </a:t>
                </a:fld>
                <a:endParaRPr lang="pt-BR" sz="3200" b="1" i="0" u="none" strike="noStrike">
                  <a:solidFill>
                    <a:schemeClr val="bg1"/>
                  </a:solidFill>
                  <a:latin typeface="Calibri"/>
                  <a:ea typeface="+mn-ea"/>
                  <a:cs typeface="Calibri"/>
                </a:endParaRPr>
              </a:p>
            </xdr:txBody>
          </xdr:sp>
          <xdr:sp macro="" textlink="">
            <xdr:nvSpPr>
              <xdr:cNvPr id="56" name="CaixaDeTexto 55">
                <a:extLst>
                  <a:ext uri="{FF2B5EF4-FFF2-40B4-BE49-F238E27FC236}">
                    <a16:creationId xmlns:a16="http://schemas.microsoft.com/office/drawing/2014/main" id="{00000000-0008-0000-1700-000038000000}"/>
                  </a:ext>
                </a:extLst>
              </xdr:cNvPr>
              <xdr:cNvSpPr txBox="1"/>
            </xdr:nvSpPr>
            <xdr:spPr>
              <a:xfrm>
                <a:off x="9362515" y="5999359"/>
                <a:ext cx="315607" cy="427285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noAutofit/>
              </a:bodyPr>
              <a:lstStyle/>
              <a:p>
                <a:pPr algn="ctr"/>
                <a:r>
                  <a:rPr lang="pt-BR" sz="4400">
                    <a:solidFill>
                      <a:schemeClr val="bg1"/>
                    </a:solidFill>
                    <a:sym typeface="Webdings" panose="05030102010509060703" pitchFamily="18" charset="2"/>
                  </a:rPr>
                  <a:t></a:t>
                </a:r>
                <a:endParaRPr lang="pt-BR" sz="4400">
                  <a:solidFill>
                    <a:schemeClr val="bg1"/>
                  </a:solidFill>
                </a:endParaRPr>
              </a:p>
            </xdr:txBody>
          </xdr:sp>
        </xdr:grpSp>
      </xdr:grpSp>
    </xdr:grpSp>
    <xdr:clientData/>
  </xdr:twoCellAnchor>
  <xdr:twoCellAnchor>
    <xdr:from>
      <xdr:col>4</xdr:col>
      <xdr:colOff>394753</xdr:colOff>
      <xdr:row>6</xdr:row>
      <xdr:rowOff>71878</xdr:rowOff>
    </xdr:from>
    <xdr:to>
      <xdr:col>14</xdr:col>
      <xdr:colOff>488690</xdr:colOff>
      <xdr:row>35</xdr:row>
      <xdr:rowOff>68737</xdr:rowOff>
    </xdr:to>
    <xdr:grpSp>
      <xdr:nvGrpSpPr>
        <xdr:cNvPr id="73" name="Grupo 72">
          <a:extLst>
            <a:ext uri="{FF2B5EF4-FFF2-40B4-BE49-F238E27FC236}">
              <a16:creationId xmlns:a16="http://schemas.microsoft.com/office/drawing/2014/main" id="{00000000-0008-0000-1700-000049000000}"/>
            </a:ext>
          </a:extLst>
        </xdr:cNvPr>
        <xdr:cNvGrpSpPr/>
      </xdr:nvGrpSpPr>
      <xdr:grpSpPr>
        <a:xfrm>
          <a:off x="2819298" y="1794075"/>
          <a:ext cx="6155301" cy="5586783"/>
          <a:chOff x="9733175" y="4412137"/>
          <a:chExt cx="3130485" cy="2743200"/>
        </a:xfrm>
      </xdr:grpSpPr>
      <xdr:graphicFrame macro="">
        <xdr:nvGraphicFramePr>
          <xdr:cNvPr id="68" name="Diagrama 67">
            <a:extLst>
              <a:ext uri="{FF2B5EF4-FFF2-40B4-BE49-F238E27FC236}">
                <a16:creationId xmlns:a16="http://schemas.microsoft.com/office/drawing/2014/main" id="{00000000-0008-0000-1700-000044000000}"/>
              </a:ext>
            </a:extLst>
          </xdr:cNvPr>
          <xdr:cNvGraphicFramePr/>
        </xdr:nvGraphicFramePr>
        <xdr:xfrm>
          <a:off x="9733175" y="4412137"/>
          <a:ext cx="3130485" cy="2743200"/>
        </xdr:xfrm>
        <a:graphic>
          <a:graphicData uri="http://purl.oclc.org/ooxml/drawingml/diagram">
            <dgm:relIds xmlns:dgm="http://purl.oclc.org/ooxml/drawingml/diagram" xmlns:r="http://purl.oclc.org/ooxml/officeDocument/relationships" r:dm="rId3" r:lo="rId4" r:qs="rId5" r:cs="rId6"/>
          </a:graphicData>
        </a:graphic>
      </xdr:graphicFrame>
      <xdr:sp macro="" textlink="'Dados - Receita e Qntd'!AR50">
        <xdr:nvSpPr>
          <xdr:cNvPr id="69" name="CaixaDeTexto 68">
            <a:extLst>
              <a:ext uri="{FF2B5EF4-FFF2-40B4-BE49-F238E27FC236}">
                <a16:creationId xmlns:a16="http://schemas.microsoft.com/office/drawing/2014/main" id="{00000000-0008-0000-1700-000045000000}"/>
              </a:ext>
            </a:extLst>
          </xdr:cNvPr>
          <xdr:cNvSpPr txBox="1"/>
        </xdr:nvSpPr>
        <xdr:spPr>
          <a:xfrm>
            <a:off x="11388325" y="4443151"/>
            <a:ext cx="923041" cy="540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3A353535-2226-4669-BAEF-1D0D91F5A7C0}" type="TxLink">
              <a:rPr lang="en-US" sz="36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 176.941 </a:t>
            </a:fld>
            <a:endParaRPr lang="pt-BR" sz="88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R49">
        <xdr:nvSpPr>
          <xdr:cNvPr id="70" name="CaixaDeTexto 69">
            <a:extLst>
              <a:ext uri="{FF2B5EF4-FFF2-40B4-BE49-F238E27FC236}">
                <a16:creationId xmlns:a16="http://schemas.microsoft.com/office/drawing/2014/main" id="{00000000-0008-0000-1700-000046000000}"/>
              </a:ext>
            </a:extLst>
          </xdr:cNvPr>
          <xdr:cNvSpPr txBox="1"/>
        </xdr:nvSpPr>
        <xdr:spPr>
          <a:xfrm>
            <a:off x="11388325" y="5867385"/>
            <a:ext cx="923041" cy="540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B71B1CAC-FAE1-40D3-826D-961FDD43D4C8}" type="TxLink">
              <a:rPr lang="en-US" sz="36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 4.070 </a:t>
            </a:fld>
            <a:endParaRPr lang="pt-BR" sz="36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R48">
        <xdr:nvSpPr>
          <xdr:cNvPr id="71" name="CaixaDeTexto 70">
            <a:extLst>
              <a:ext uri="{FF2B5EF4-FFF2-40B4-BE49-F238E27FC236}">
                <a16:creationId xmlns:a16="http://schemas.microsoft.com/office/drawing/2014/main" id="{00000000-0008-0000-1700-000047000000}"/>
              </a:ext>
            </a:extLst>
          </xdr:cNvPr>
          <xdr:cNvSpPr txBox="1"/>
        </xdr:nvSpPr>
        <xdr:spPr>
          <a:xfrm>
            <a:off x="11388325" y="5155268"/>
            <a:ext cx="923041" cy="540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ED5AB5CA-A73A-47D3-950A-4FE0D08D4102}" type="TxLink">
              <a:rPr lang="en-US" sz="36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 170.258 </a:t>
            </a:fld>
            <a:endParaRPr lang="pt-BR" sz="88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R51">
        <xdr:nvSpPr>
          <xdr:cNvPr id="72" name="CaixaDeTexto 71">
            <a:extLst>
              <a:ext uri="{FF2B5EF4-FFF2-40B4-BE49-F238E27FC236}">
                <a16:creationId xmlns:a16="http://schemas.microsoft.com/office/drawing/2014/main" id="{00000000-0008-0000-1700-000048000000}"/>
              </a:ext>
            </a:extLst>
          </xdr:cNvPr>
          <xdr:cNvSpPr txBox="1"/>
        </xdr:nvSpPr>
        <xdr:spPr>
          <a:xfrm>
            <a:off x="11388325" y="6579502"/>
            <a:ext cx="923041" cy="540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3AE4A5B8-F1D0-45DD-80D5-2625A386BF33}" type="TxLink">
              <a:rPr lang="en-US" sz="36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95,3%</a:t>
            </a:fld>
            <a:endParaRPr lang="pt-BR" sz="36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</xdr:grpSp>
    <xdr:clientData/>
  </xdr:twoCellAnchor>
  <xdr:twoCellAnchor editAs="oneCell">
    <xdr:from>
      <xdr:col>0</xdr:col>
      <xdr:colOff>245489</xdr:colOff>
      <xdr:row>8</xdr:row>
      <xdr:rowOff>166931</xdr:rowOff>
    </xdr:from>
    <xdr:to>
      <xdr:col>4</xdr:col>
      <xdr:colOff>216031</xdr:colOff>
      <xdr:row>34</xdr:row>
      <xdr:rowOff>166931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7" name="UF">
              <a:extLst>
                <a:ext uri="{FF2B5EF4-FFF2-40B4-BE49-F238E27FC236}">
                  <a16:creationId xmlns:a16="http://schemas.microsoft.com/office/drawing/2014/main" id="{00000000-0008-0000-1700-00004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"/>
            </a:graphicData>
          </a:graphic>
        </xdr:graphicFrame>
      </mc:Choice>
      <mc:Fallback xmlns="" xmlns:a="http://schemas.openxmlformats.org/drawingml/2006/main" xmlns:xdr="http://schemas.openxmlformats.org/drawingml/2006/spreadsheetDrawing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489" y="2238864"/>
              <a:ext cx="2405800" cy="48606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13</xdr:col>
      <xdr:colOff>75813</xdr:colOff>
      <xdr:row>6</xdr:row>
      <xdr:rowOff>71878</xdr:rowOff>
    </xdr:from>
    <xdr:to>
      <xdr:col>23</xdr:col>
      <xdr:colOff>169750</xdr:colOff>
      <xdr:row>35</xdr:row>
      <xdr:rowOff>68737</xdr:rowOff>
    </xdr:to>
    <xdr:grpSp>
      <xdr:nvGrpSpPr>
        <xdr:cNvPr id="18" name="Grupo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GrpSpPr/>
      </xdr:nvGrpSpPr>
      <xdr:grpSpPr>
        <a:xfrm>
          <a:off x="7955586" y="1794075"/>
          <a:ext cx="6155300" cy="5586783"/>
          <a:chOff x="7990401" y="1770667"/>
          <a:chExt cx="6182081" cy="5417271"/>
        </a:xfrm>
      </xdr:grpSpPr>
      <xdr:grpSp>
        <xdr:nvGrpSpPr>
          <xdr:cNvPr id="74" name="Grupo 73">
            <a:extLst>
              <a:ext uri="{FF2B5EF4-FFF2-40B4-BE49-F238E27FC236}">
                <a16:creationId xmlns:a16="http://schemas.microsoft.com/office/drawing/2014/main" id="{00000000-0008-0000-1700-00004A000000}"/>
              </a:ext>
            </a:extLst>
          </xdr:cNvPr>
          <xdr:cNvGrpSpPr/>
        </xdr:nvGrpSpPr>
        <xdr:grpSpPr>
          <a:xfrm>
            <a:off x="7990401" y="1770667"/>
            <a:ext cx="6182081" cy="5417271"/>
            <a:chOff x="9733175" y="4412137"/>
            <a:chExt cx="3130485" cy="2743200"/>
          </a:xfrm>
        </xdr:grpSpPr>
        <xdr:graphicFrame macro="">
          <xdr:nvGraphicFramePr>
            <xdr:cNvPr id="75" name="Diagrama 74">
              <a:extLst>
                <a:ext uri="{FF2B5EF4-FFF2-40B4-BE49-F238E27FC236}">
                  <a16:creationId xmlns:a16="http://schemas.microsoft.com/office/drawing/2014/main" id="{00000000-0008-0000-1700-00004B000000}"/>
                </a:ext>
              </a:extLst>
            </xdr:cNvPr>
            <xdr:cNvGraphicFramePr/>
          </xdr:nvGraphicFramePr>
          <xdr:xfrm>
            <a:off x="9733175" y="4412137"/>
            <a:ext cx="3130485" cy="2743200"/>
          </xdr:xfrm>
          <a:graphic>
            <a:graphicData uri="http://purl.oclc.org/ooxml/drawingml/diagram">
              <dgm:relIds xmlns:dgm="http://purl.oclc.org/ooxml/drawingml/diagram" xmlns:r="http://purl.oclc.org/ooxml/officeDocument/relationships" r:dm="rId8" r:lo="rId9" r:qs="rId10" r:cs="rId11"/>
            </a:graphicData>
          </a:graphic>
        </xdr:graphicFrame>
        <xdr:sp macro="" textlink="'Dados - Receita e Qntd'!AR66">
          <xdr:nvSpPr>
            <xdr:cNvPr id="76" name="CaixaDeTexto 75">
              <a:extLst>
                <a:ext uri="{FF2B5EF4-FFF2-40B4-BE49-F238E27FC236}">
                  <a16:creationId xmlns:a16="http://schemas.microsoft.com/office/drawing/2014/main" id="{00000000-0008-0000-1700-00004C000000}"/>
                </a:ext>
              </a:extLst>
            </xdr:cNvPr>
            <xdr:cNvSpPr txBox="1"/>
          </xdr:nvSpPr>
          <xdr:spPr>
            <a:xfrm>
              <a:off x="11458167" y="5139570"/>
              <a:ext cx="828630" cy="28038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027F63B9-AE41-4704-8F78-2901DC853D87}" type="TxLink">
                <a:rPr lang="en-US" sz="32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cs typeface="Calibri"/>
                </a:rPr>
                <a:pPr algn="ctr"/>
                <a:t> 4.368 </a:t>
              </a:fld>
              <a:endParaRPr lang="pt-BR" sz="13800" b="1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</a:endParaRPr>
            </a:p>
          </xdr:txBody>
        </xdr:sp>
        <xdr:sp macro="" textlink="'Dados - Receita e Qntd'!AR68">
          <xdr:nvSpPr>
            <xdr:cNvPr id="80" name="CaixaDeTexto 79">
              <a:extLst>
                <a:ext uri="{FF2B5EF4-FFF2-40B4-BE49-F238E27FC236}">
                  <a16:creationId xmlns:a16="http://schemas.microsoft.com/office/drawing/2014/main" id="{00000000-0008-0000-1700-000050000000}"/>
                </a:ext>
              </a:extLst>
            </xdr:cNvPr>
            <xdr:cNvSpPr txBox="1"/>
          </xdr:nvSpPr>
          <xdr:spPr>
            <a:xfrm>
              <a:off x="11410961" y="5420610"/>
              <a:ext cx="923041" cy="28038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31CEDF8F-6415-43F7-A38A-9BB87F7A96F0}" type="TxLink">
                <a:rPr lang="en-US" sz="32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cs typeface="Calibri"/>
                </a:rPr>
                <a:pPr algn="ctr"/>
                <a:t>35,8%</a:t>
              </a:fld>
              <a:endParaRPr lang="pt-BR" sz="49600" b="1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</a:endParaRPr>
            </a:p>
          </xdr:txBody>
        </xdr:sp>
        <xdr:sp macro="" textlink="'Dados - Receita e Qntd'!AR67">
          <xdr:nvSpPr>
            <xdr:cNvPr id="77" name="CaixaDeTexto 76">
              <a:extLst>
                <a:ext uri="{FF2B5EF4-FFF2-40B4-BE49-F238E27FC236}">
                  <a16:creationId xmlns:a16="http://schemas.microsoft.com/office/drawing/2014/main" id="{00000000-0008-0000-1700-00004D000000}"/>
                </a:ext>
              </a:extLst>
            </xdr:cNvPr>
            <xdr:cNvSpPr txBox="1"/>
          </xdr:nvSpPr>
          <xdr:spPr>
            <a:xfrm>
              <a:off x="11377725" y="4425464"/>
              <a:ext cx="989515" cy="5867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DE749746-BD07-43D3-9D41-27D97FBB78E9}" type="TxLink">
                <a:rPr lang="en-US" sz="36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cs typeface="Calibri"/>
                </a:rPr>
                <a:pPr algn="ctr"/>
                <a:t> 13.444 </a:t>
              </a:fld>
              <a:endParaRPr lang="pt-BR" sz="16600" b="1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</a:endParaRPr>
            </a:p>
          </xdr:txBody>
        </xdr:sp>
        <xdr:sp macro="" textlink="'Dados - Receita e Qntd'!AR60">
          <xdr:nvSpPr>
            <xdr:cNvPr id="78" name="CaixaDeTexto 77">
              <a:extLst>
                <a:ext uri="{FF2B5EF4-FFF2-40B4-BE49-F238E27FC236}">
                  <a16:creationId xmlns:a16="http://schemas.microsoft.com/office/drawing/2014/main" id="{00000000-0008-0000-1700-00004E000000}"/>
                </a:ext>
              </a:extLst>
            </xdr:cNvPr>
            <xdr:cNvSpPr txBox="1"/>
          </xdr:nvSpPr>
          <xdr:spPr>
            <a:xfrm>
              <a:off x="11376122" y="6553858"/>
              <a:ext cx="992720" cy="59153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AA4BB0C8-B43E-45AC-9602-D39F6EE49A88}" type="TxLink">
                <a:rPr lang="en-US" sz="36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cs typeface="Calibri"/>
                </a:rPr>
                <a:pPr algn="ctr"/>
                <a:t>49,8%</a:t>
              </a:fld>
              <a:endParaRPr lang="pt-BR" sz="16600" b="1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</a:endParaRPr>
            </a:p>
          </xdr:txBody>
        </xdr:sp>
        <xdr:sp macro="" textlink="'Dados - Receita e Qntd'!AR61">
          <xdr:nvSpPr>
            <xdr:cNvPr id="79" name="CaixaDeTexto 78">
              <a:extLst>
                <a:ext uri="{FF2B5EF4-FFF2-40B4-BE49-F238E27FC236}">
                  <a16:creationId xmlns:a16="http://schemas.microsoft.com/office/drawing/2014/main" id="{00000000-0008-0000-1700-00004F000000}"/>
                </a:ext>
              </a:extLst>
            </xdr:cNvPr>
            <xdr:cNvSpPr txBox="1"/>
          </xdr:nvSpPr>
          <xdr:spPr>
            <a:xfrm>
              <a:off x="11381094" y="5843855"/>
              <a:ext cx="982776" cy="5904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373C8806-8C38-402A-82BA-9F632C50E9DC}" type="TxLink">
                <a:rPr lang="en-US" sz="36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cs typeface="Calibri"/>
                </a:rPr>
                <a:pPr algn="ctr"/>
                <a:t>83,4%</a:t>
              </a:fld>
              <a:endParaRPr lang="pt-BR" sz="16600" b="1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</a:endParaRPr>
            </a:p>
          </xdr:txBody>
        </xdr:sp>
      </xdr:grpSp>
      <xdr:grpSp>
        <xdr:nvGrpSpPr>
          <xdr:cNvPr id="17" name="Grupo 16">
            <a:extLst>
              <a:ext uri="{FF2B5EF4-FFF2-40B4-BE49-F238E27FC236}">
                <a16:creationId xmlns:a16="http://schemas.microsoft.com/office/drawing/2014/main" id="{00000000-0008-0000-1700-000011000000}"/>
              </a:ext>
            </a:extLst>
          </xdr:cNvPr>
          <xdr:cNvGrpSpPr/>
        </xdr:nvGrpSpPr>
        <xdr:grpSpPr>
          <a:xfrm>
            <a:off x="9161675" y="3783094"/>
            <a:ext cx="3815105" cy="39278"/>
            <a:chOff x="9161675" y="3783094"/>
            <a:chExt cx="3815105" cy="39278"/>
          </a:xfrm>
        </xdr:grpSpPr>
        <xdr:cxnSp macro="">
          <xdr:nvCxnSpPr>
            <xdr:cNvPr id="16" name="Conector reto 15">
              <a:extLst>
                <a:ext uri="{FF2B5EF4-FFF2-40B4-BE49-F238E27FC236}">
                  <a16:creationId xmlns:a16="http://schemas.microsoft.com/office/drawing/2014/main" id="{00000000-0008-0000-1700-000010000000}"/>
                </a:ext>
              </a:extLst>
            </xdr:cNvPr>
            <xdr:cNvCxnSpPr/>
          </xdr:nvCxnSpPr>
          <xdr:spPr>
            <a:xfrm>
              <a:off x="9161675" y="3822372"/>
              <a:ext cx="1580954" cy="0"/>
            </a:xfrm>
            <a:prstGeom prst="line">
              <a:avLst/>
            </a:prstGeom>
            <a:ln w="28575" cmpd="tri">
              <a:solidFill>
                <a:schemeClr val="bg1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1" name="Conector reto 80">
              <a:extLst>
                <a:ext uri="{FF2B5EF4-FFF2-40B4-BE49-F238E27FC236}">
                  <a16:creationId xmlns:a16="http://schemas.microsoft.com/office/drawing/2014/main" id="{00000000-0008-0000-1700-000051000000}"/>
                </a:ext>
              </a:extLst>
            </xdr:cNvPr>
            <xdr:cNvCxnSpPr/>
          </xdr:nvCxnSpPr>
          <xdr:spPr>
            <a:xfrm>
              <a:off x="11395826" y="3783094"/>
              <a:ext cx="1580954" cy="0"/>
            </a:xfrm>
            <a:prstGeom prst="line">
              <a:avLst/>
            </a:prstGeom>
            <a:ln w="28575" cmpd="tri">
              <a:solidFill>
                <a:schemeClr val="bg1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oneCellAnchor>
    <xdr:from>
      <xdr:col>28</xdr:col>
      <xdr:colOff>284768</xdr:colOff>
      <xdr:row>0</xdr:row>
      <xdr:rowOff>73452</xdr:rowOff>
    </xdr:from>
    <xdr:ext cx="1001595" cy="638510"/>
    <xdr:sp macro="" textlink="">
      <xdr:nvSpPr>
        <xdr:cNvPr id="86" name="CaixaDeTexto 85">
          <a:hlinkClick xmlns:r="http://purl.oclc.org/ooxml/officeDocument/relationships" r:id="rId13"/>
          <a:extLst>
            <a:ext uri="{FF2B5EF4-FFF2-40B4-BE49-F238E27FC236}">
              <a16:creationId xmlns:a16="http://schemas.microsoft.com/office/drawing/2014/main" id="{00000000-0008-0000-1700-000056000000}"/>
            </a:ext>
          </a:extLst>
        </xdr:cNvPr>
        <xdr:cNvSpPr txBox="1"/>
      </xdr:nvSpPr>
      <xdr:spPr>
        <a:xfrm>
          <a:off x="17321753" y="73452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%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</xdr:wsDr>
</file>

<file path=xl/drawings/drawing12.xml><?xml version="1.0" encoding="utf-8"?>
<xdr:wsDr xmlns:xdr="http://purl.oclc.org/ooxml/drawingml/spreadsheetDrawing" xmlns:a="http://purl.oclc.org/ooxml/drawingml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21</xdr:col>
      <xdr:colOff>589176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3574331" y="0"/>
          <a:ext cx="9799948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>
    <xdr:from>
      <xdr:col>5</xdr:col>
      <xdr:colOff>292880</xdr:colOff>
      <xdr:row>2</xdr:row>
      <xdr:rowOff>15927</xdr:rowOff>
    </xdr:from>
    <xdr:to>
      <xdr:col>28</xdr:col>
      <xdr:colOff>618632</xdr:colOff>
      <xdr:row>4</xdr:row>
      <xdr:rowOff>128415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pSpPr/>
      </xdr:nvGrpSpPr>
      <xdr:grpSpPr>
        <a:xfrm>
          <a:off x="3323562" y="968427"/>
          <a:ext cx="14257267" cy="497336"/>
          <a:chOff x="9123914" y="1068917"/>
          <a:chExt cx="4217784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SpPr txBox="1"/>
        </xdr:nvSpPr>
        <xdr:spPr>
          <a:xfrm>
            <a:off x="9127309" y="1068917"/>
            <a:ext cx="4214389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de Arrecadação - Pessoa Física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1800-000006000000}"/>
              </a:ext>
            </a:extLst>
          </xdr:cNvPr>
          <xdr:cNvCxnSpPr/>
        </xdr:nvCxnSpPr>
        <xdr:spPr>
          <a:xfrm>
            <a:off x="9123914" y="1566333"/>
            <a:ext cx="4211086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223599</xdr:colOff>
      <xdr:row>5</xdr:row>
      <xdr:rowOff>81342</xdr:rowOff>
    </xdr:from>
    <xdr:to>
      <xdr:col>4</xdr:col>
      <xdr:colOff>211667</xdr:colOff>
      <xdr:row>8</xdr:row>
      <xdr:rowOff>51516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pSpPr/>
      </xdr:nvGrpSpPr>
      <xdr:grpSpPr>
        <a:xfrm>
          <a:off x="223599" y="1611115"/>
          <a:ext cx="2412613" cy="547446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00000000-0008-0000-1800-000008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:a16="http://schemas.microsoft.com/office/drawing/2014/main" id="{00000000-0008-0000-1800-000009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245489</xdr:colOff>
      <xdr:row>8</xdr:row>
      <xdr:rowOff>166931</xdr:rowOff>
    </xdr:from>
    <xdr:to>
      <xdr:col>4</xdr:col>
      <xdr:colOff>216031</xdr:colOff>
      <xdr:row>34</xdr:row>
      <xdr:rowOff>166931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UF 2">
              <a:extLst>
                <a:ext uri="{FF2B5EF4-FFF2-40B4-BE49-F238E27FC236}">
                  <a16:creationId xmlns:a16="http://schemas.microsoft.com/office/drawing/2014/main" id="{00000000-0008-0000-1800-00001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2"/>
            </a:graphicData>
          </a:graphic>
        </xdr:graphicFrame>
      </mc:Choice>
      <mc:Fallback xmlns="" xmlns:a="http://schemas.openxmlformats.org/drawingml/2006/main" xmlns:xdr="http://schemas.openxmlformats.org/drawingml/2006/spreadsheetDrawing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489" y="2238864"/>
              <a:ext cx="2405800" cy="48606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5</xdr:col>
      <xdr:colOff>576637</xdr:colOff>
      <xdr:row>9</xdr:row>
      <xdr:rowOff>186571</xdr:rowOff>
    </xdr:from>
    <xdr:to>
      <xdr:col>14</xdr:col>
      <xdr:colOff>589180</xdr:colOff>
      <xdr:row>34</xdr:row>
      <xdr:rowOff>176751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GrpSpPr/>
      </xdr:nvGrpSpPr>
      <xdr:grpSpPr>
        <a:xfrm>
          <a:off x="3607319" y="2486041"/>
          <a:ext cx="5467770" cy="4810407"/>
          <a:chOff x="9733175" y="4412137"/>
          <a:chExt cx="3130485" cy="2743200"/>
        </a:xfrm>
      </xdr:grpSpPr>
      <xdr:graphicFrame macro="">
        <xdr:nvGraphicFramePr>
          <xdr:cNvPr id="25" name="Diagrama 24">
            <a:extLst>
              <a:ext uri="{FF2B5EF4-FFF2-40B4-BE49-F238E27FC236}">
                <a16:creationId xmlns:a16="http://schemas.microsoft.com/office/drawing/2014/main" id="{00000000-0008-0000-1800-000019000000}"/>
              </a:ext>
            </a:extLst>
          </xdr:cNvPr>
          <xdr:cNvGraphicFramePr/>
        </xdr:nvGraphicFramePr>
        <xdr:xfrm>
          <a:off x="9733175" y="4412137"/>
          <a:ext cx="3130485" cy="2743200"/>
        </xdr:xfrm>
        <a:graphic>
          <a:graphicData uri="http://purl.oclc.org/ooxml/drawingml/diagram">
            <dgm:relIds xmlns:dgm="http://purl.oclc.org/ooxml/drawingml/diagram" xmlns:r="http://purl.oclc.org/ooxml/officeDocument/relationships" r:dm="rId2" r:lo="rId3" r:qs="rId4" r:cs="rId5"/>
          </a:graphicData>
        </a:graphic>
      </xdr:graphicFrame>
      <xdr:sp macro="" textlink="'Dados - Receita e Qntd'!AR34">
        <xdr:nvSpPr>
          <xdr:cNvPr id="26" name="CaixaDeTexto 25">
            <a:extLst>
              <a:ext uri="{FF2B5EF4-FFF2-40B4-BE49-F238E27FC236}">
                <a16:creationId xmlns:a16="http://schemas.microsoft.com/office/drawing/2014/main" id="{00000000-0008-0000-1800-00001A000000}"/>
              </a:ext>
            </a:extLst>
          </xdr:cNvPr>
          <xdr:cNvSpPr txBox="1"/>
        </xdr:nvSpPr>
        <xdr:spPr>
          <a:xfrm>
            <a:off x="11371682" y="5134039"/>
            <a:ext cx="992794" cy="5890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8DEFB839-C594-4A8E-BF28-0B6409D979C2}" type="TxLink">
              <a:rPr lang="en-US" sz="20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R$ 25.349.868</a:t>
            </a:fld>
            <a:endParaRPr lang="pt-BR" sz="60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R35">
        <xdr:nvSpPr>
          <xdr:cNvPr id="27" name="CaixaDeTexto 26">
            <a:extLst>
              <a:ext uri="{FF2B5EF4-FFF2-40B4-BE49-F238E27FC236}">
                <a16:creationId xmlns:a16="http://schemas.microsoft.com/office/drawing/2014/main" id="{00000000-0008-0000-1800-00001B000000}"/>
              </a:ext>
            </a:extLst>
          </xdr:cNvPr>
          <xdr:cNvSpPr txBox="1"/>
        </xdr:nvSpPr>
        <xdr:spPr>
          <a:xfrm>
            <a:off x="11339175" y="4423626"/>
            <a:ext cx="981540" cy="5891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D109AC68-D666-4754-AC3C-B619E90B928D}" type="TxLink">
              <a:rPr lang="en-US" sz="20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R$ 46.276.682</a:t>
            </a:fld>
            <a:endParaRPr lang="pt-BR" sz="60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R36">
        <xdr:nvSpPr>
          <xdr:cNvPr id="29" name="CaixaDeTexto 28">
            <a:extLst>
              <a:ext uri="{FF2B5EF4-FFF2-40B4-BE49-F238E27FC236}">
                <a16:creationId xmlns:a16="http://schemas.microsoft.com/office/drawing/2014/main" id="{00000000-0008-0000-1800-00001D000000}"/>
              </a:ext>
            </a:extLst>
          </xdr:cNvPr>
          <xdr:cNvSpPr txBox="1"/>
        </xdr:nvSpPr>
        <xdr:spPr>
          <a:xfrm>
            <a:off x="11362512" y="5850026"/>
            <a:ext cx="958203" cy="58341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93F66289-ACC3-4C28-B7ED-F2222141B8B4}" type="TxLink">
              <a:rPr lang="en-US" sz="28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47,4%</a:t>
            </a:fld>
            <a:endParaRPr lang="pt-BR" sz="72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R69">
        <xdr:nvSpPr>
          <xdr:cNvPr id="37" name="CaixaDeTexto 36">
            <a:extLst>
              <a:ext uri="{FF2B5EF4-FFF2-40B4-BE49-F238E27FC236}">
                <a16:creationId xmlns:a16="http://schemas.microsoft.com/office/drawing/2014/main" id="{00000000-0008-0000-1800-000025000000}"/>
              </a:ext>
            </a:extLst>
          </xdr:cNvPr>
          <xdr:cNvSpPr txBox="1"/>
        </xdr:nvSpPr>
        <xdr:spPr>
          <a:xfrm>
            <a:off x="11359825" y="6557597"/>
            <a:ext cx="958203" cy="58341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24CBA5B3-DD29-49D6-8C12-5AA558BA98CD}" type="TxLink">
              <a:rPr lang="en-US" sz="28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7,3%</a:t>
            </a:fld>
            <a:endParaRPr lang="pt-BR" sz="28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</xdr:grpSp>
    <xdr:clientData/>
  </xdr:twoCellAnchor>
  <xdr:twoCellAnchor>
    <xdr:from>
      <xdr:col>7</xdr:col>
      <xdr:colOff>178229</xdr:colOff>
      <xdr:row>5</xdr:row>
      <xdr:rowOff>165004</xdr:rowOff>
    </xdr:from>
    <xdr:to>
      <xdr:col>13</xdr:col>
      <xdr:colOff>337409</xdr:colOff>
      <xdr:row>8</xdr:row>
      <xdr:rowOff>135178</xdr:rowOff>
    </xdr:to>
    <xdr:grpSp>
      <xdr:nvGrpSpPr>
        <xdr:cNvPr id="42" name="Grupo 41">
          <a:extLst>
            <a:ext uri="{FF2B5EF4-FFF2-40B4-BE49-F238E27FC236}">
              <a16:creationId xmlns:a16="http://schemas.microsoft.com/office/drawing/2014/main" id="{00000000-0008-0000-1800-00002A000000}"/>
            </a:ext>
          </a:extLst>
        </xdr:cNvPr>
        <xdr:cNvGrpSpPr/>
      </xdr:nvGrpSpPr>
      <xdr:grpSpPr>
        <a:xfrm>
          <a:off x="4421184" y="1694777"/>
          <a:ext cx="3795998" cy="547446"/>
          <a:chOff x="7926917" y="1026747"/>
          <a:chExt cx="3174401" cy="539586"/>
        </a:xfrm>
      </xdr:grpSpPr>
      <xdr:sp macro="" textlink="">
        <xdr:nvSpPr>
          <xdr:cNvPr id="43" name="CaixaDeTexto 42">
            <a:extLst>
              <a:ext uri="{FF2B5EF4-FFF2-40B4-BE49-F238E27FC236}">
                <a16:creationId xmlns:a16="http://schemas.microsoft.com/office/drawing/2014/main" id="{00000000-0008-0000-1800-00002B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Exercício 2019</a:t>
            </a:r>
          </a:p>
        </xdr:txBody>
      </xdr:sp>
      <xdr:cxnSp macro="">
        <xdr:nvCxnSpPr>
          <xdr:cNvPr id="44" name="Conector reto 43">
            <a:extLst>
              <a:ext uri="{FF2B5EF4-FFF2-40B4-BE49-F238E27FC236}">
                <a16:creationId xmlns:a16="http://schemas.microsoft.com/office/drawing/2014/main" id="{00000000-0008-0000-1800-00002C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17</xdr:col>
      <xdr:colOff>395171</xdr:colOff>
      <xdr:row>5</xdr:row>
      <xdr:rowOff>165004</xdr:rowOff>
    </xdr:from>
    <xdr:to>
      <xdr:col>28</xdr:col>
      <xdr:colOff>508320</xdr:colOff>
      <xdr:row>34</xdr:row>
      <xdr:rowOff>176751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pSpPr/>
      </xdr:nvGrpSpPr>
      <xdr:grpSpPr>
        <a:xfrm>
          <a:off x="10699489" y="1694777"/>
          <a:ext cx="6771028" cy="5601671"/>
          <a:chOff x="10342405" y="1701965"/>
          <a:chExt cx="6800289" cy="5432160"/>
        </a:xfrm>
      </xdr:grpSpPr>
      <xdr:grpSp>
        <xdr:nvGrpSpPr>
          <xdr:cNvPr id="45" name="Grupo 44">
            <a:extLst>
              <a:ext uri="{FF2B5EF4-FFF2-40B4-BE49-F238E27FC236}">
                <a16:creationId xmlns:a16="http://schemas.microsoft.com/office/drawing/2014/main" id="{00000000-0008-0000-1800-00002D000000}"/>
              </a:ext>
            </a:extLst>
          </xdr:cNvPr>
          <xdr:cNvGrpSpPr/>
        </xdr:nvGrpSpPr>
        <xdr:grpSpPr>
          <a:xfrm>
            <a:off x="10342405" y="2469821"/>
            <a:ext cx="6800289" cy="4664304"/>
            <a:chOff x="9733175" y="4412137"/>
            <a:chExt cx="3130485" cy="2743200"/>
          </a:xfrm>
        </xdr:grpSpPr>
        <xdr:graphicFrame macro="">
          <xdr:nvGraphicFramePr>
            <xdr:cNvPr id="46" name="Diagrama 45">
              <a:extLst>
                <a:ext uri="{FF2B5EF4-FFF2-40B4-BE49-F238E27FC236}">
                  <a16:creationId xmlns:a16="http://schemas.microsoft.com/office/drawing/2014/main" id="{00000000-0008-0000-1800-00002E000000}"/>
                </a:ext>
              </a:extLst>
            </xdr:cNvPr>
            <xdr:cNvGraphicFramePr/>
          </xdr:nvGraphicFramePr>
          <xdr:xfrm>
            <a:off x="9733175" y="4412137"/>
            <a:ext cx="3130485" cy="2743200"/>
          </xdr:xfrm>
          <a:graphic>
            <a:graphicData uri="http://purl.oclc.org/ooxml/drawingml/diagram">
              <dgm:relIds xmlns:dgm="http://purl.oclc.org/ooxml/drawingml/diagram" xmlns:r="http://purl.oclc.org/ooxml/officeDocument/relationships" r:dm="rId7" r:lo="rId8" r:qs="rId9" r:cs="rId10"/>
            </a:graphicData>
          </a:graphic>
        </xdr:graphicFrame>
        <xdr:sp macro="" textlink="'Dados - Receita e Qntd'!AU34">
          <xdr:nvSpPr>
            <xdr:cNvPr id="47" name="CaixaDeTexto 46">
              <a:extLst>
                <a:ext uri="{FF2B5EF4-FFF2-40B4-BE49-F238E27FC236}">
                  <a16:creationId xmlns:a16="http://schemas.microsoft.com/office/drawing/2014/main" id="{00000000-0008-0000-1800-00002F000000}"/>
                </a:ext>
              </a:extLst>
            </xdr:cNvPr>
            <xdr:cNvSpPr txBox="1"/>
          </xdr:nvSpPr>
          <xdr:spPr>
            <a:xfrm>
              <a:off x="11368110" y="4423688"/>
              <a:ext cx="1049091" cy="80274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D01143D2-43E9-495E-8C06-A22ED627C612}" type="TxLink">
                <a:rPr lang="en-US" sz="28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sem previsão</a:t>
              </a:fld>
              <a:endParaRPr lang="pt-BR" sz="28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R37">
          <xdr:nvSpPr>
            <xdr:cNvPr id="48" name="CaixaDeTexto 47">
              <a:extLst>
                <a:ext uri="{FF2B5EF4-FFF2-40B4-BE49-F238E27FC236}">
                  <a16:creationId xmlns:a16="http://schemas.microsoft.com/office/drawing/2014/main" id="{00000000-0008-0000-1800-000030000000}"/>
                </a:ext>
              </a:extLst>
            </xdr:cNvPr>
            <xdr:cNvSpPr txBox="1"/>
          </xdr:nvSpPr>
          <xdr:spPr>
            <a:xfrm>
              <a:off x="11368110" y="5382302"/>
              <a:ext cx="1049091" cy="80274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B295AA25-095E-49A7-8A08-081792BF6835}" type="TxLink">
                <a:rPr lang="en-US" sz="28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R$ 3.802.474</a:t>
              </a:fld>
              <a:endParaRPr lang="pt-BR" sz="714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U34">
          <xdr:nvSpPr>
            <xdr:cNvPr id="49" name="CaixaDeTexto 48">
              <a:extLst>
                <a:ext uri="{FF2B5EF4-FFF2-40B4-BE49-F238E27FC236}">
                  <a16:creationId xmlns:a16="http://schemas.microsoft.com/office/drawing/2014/main" id="{00000000-0008-0000-1800-000031000000}"/>
                </a:ext>
              </a:extLst>
            </xdr:cNvPr>
            <xdr:cNvSpPr txBox="1"/>
          </xdr:nvSpPr>
          <xdr:spPr>
            <a:xfrm>
              <a:off x="11368110" y="6340916"/>
              <a:ext cx="1049091" cy="80274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369BB9DA-ED00-4D3F-AD2F-ACF4130CFE09}" type="TxLink">
                <a:rPr lang="en-US" sz="28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sem previsão</a:t>
              </a:fld>
              <a:endParaRPr lang="pt-BR" sz="199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  <xdr:grpSp>
        <xdr:nvGrpSpPr>
          <xdr:cNvPr id="50" name="Grupo 49">
            <a:extLst>
              <a:ext uri="{FF2B5EF4-FFF2-40B4-BE49-F238E27FC236}">
                <a16:creationId xmlns:a16="http://schemas.microsoft.com/office/drawing/2014/main" id="{00000000-0008-0000-1800-000032000000}"/>
              </a:ext>
            </a:extLst>
          </xdr:cNvPr>
          <xdr:cNvGrpSpPr/>
        </xdr:nvGrpSpPr>
        <xdr:grpSpPr>
          <a:xfrm>
            <a:off x="11367842" y="1701965"/>
            <a:ext cx="4720276" cy="529891"/>
            <a:chOff x="7926917" y="1026747"/>
            <a:chExt cx="3174401" cy="539586"/>
          </a:xfrm>
        </xdr:grpSpPr>
        <xdr:sp macro="" textlink="">
          <xdr:nvSpPr>
            <xdr:cNvPr id="51" name="CaixaDeTexto 50">
              <a:extLst>
                <a:ext uri="{FF2B5EF4-FFF2-40B4-BE49-F238E27FC236}">
                  <a16:creationId xmlns:a16="http://schemas.microsoft.com/office/drawing/2014/main" id="{00000000-0008-0000-1800-000033000000}"/>
                </a:ext>
              </a:extLst>
            </xdr:cNvPr>
            <xdr:cNvSpPr txBox="1"/>
          </xdr:nvSpPr>
          <xdr:spPr>
            <a:xfrm>
              <a:off x="8049658" y="1026747"/>
              <a:ext cx="2935173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3200" cap="small" baseline="0%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Exercícios Anteriores</a:t>
              </a:r>
            </a:p>
          </xdr:txBody>
        </xdr:sp>
        <xdr:cxnSp macro="">
          <xdr:nvCxnSpPr>
            <xdr:cNvPr id="52" name="Conector reto 51">
              <a:extLst>
                <a:ext uri="{FF2B5EF4-FFF2-40B4-BE49-F238E27FC236}">
                  <a16:creationId xmlns:a16="http://schemas.microsoft.com/office/drawing/2014/main" id="{00000000-0008-0000-1800-000034000000}"/>
                </a:ext>
              </a:extLst>
            </xdr:cNvPr>
            <xdr:cNvCxnSpPr/>
          </xdr:nvCxnSpPr>
          <xdr:spPr>
            <a:xfrm>
              <a:off x="7926917" y="1566333"/>
              <a:ext cx="3174401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27</xdr:col>
      <xdr:colOff>245490</xdr:colOff>
      <xdr:row>1</xdr:row>
      <xdr:rowOff>78557</xdr:rowOff>
    </xdr:from>
    <xdr:to>
      <xdr:col>28</xdr:col>
      <xdr:colOff>579356</xdr:colOff>
      <xdr:row>4</xdr:row>
      <xdr:rowOff>68737</xdr:rowOff>
    </xdr:to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1800-00003D000000}"/>
            </a:ext>
          </a:extLst>
        </xdr:cNvPr>
        <xdr:cNvSpPr txBox="1"/>
      </xdr:nvSpPr>
      <xdr:spPr>
        <a:xfrm>
          <a:off x="16683480" y="844485"/>
          <a:ext cx="932861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80%</a:t>
          </a:r>
        </a:p>
      </xdr:txBody>
    </xdr:sp>
    <xdr:clientData/>
  </xdr:twoCellAnchor>
  <xdr:oneCellAnchor>
    <xdr:from>
      <xdr:col>28</xdr:col>
      <xdr:colOff>274948</xdr:colOff>
      <xdr:row>0</xdr:row>
      <xdr:rowOff>58918</xdr:rowOff>
    </xdr:from>
    <xdr:ext cx="1001595" cy="638510"/>
    <xdr:sp macro="" textlink="">
      <xdr:nvSpPr>
        <xdr:cNvPr id="40" name="CaixaDeTexto 39">
          <a:hlinkClick xmlns:r="http://purl.oclc.org/ooxml/officeDocument/relationships" r:id="rId12"/>
          <a:extLst>
            <a:ext uri="{FF2B5EF4-FFF2-40B4-BE49-F238E27FC236}">
              <a16:creationId xmlns:a16="http://schemas.microsoft.com/office/drawing/2014/main" id="{00000000-0008-0000-1800-000028000000}"/>
            </a:ext>
          </a:extLst>
        </xdr:cNvPr>
        <xdr:cNvSpPr txBox="1"/>
      </xdr:nvSpPr>
      <xdr:spPr>
        <a:xfrm>
          <a:off x="17311933" y="58918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%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</xdr:wsDr>
</file>

<file path=xl/drawings/drawing13.xml><?xml version="1.0" encoding="utf-8"?>
<xdr:wsDr xmlns:xdr="http://purl.oclc.org/ooxml/drawingml/spreadsheetDrawing" xmlns:a="http://purl.oclc.org/ooxml/drawingml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22</xdr:col>
      <xdr:colOff>1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3574331" y="0"/>
          <a:ext cx="9819588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>
    <xdr:from>
      <xdr:col>5</xdr:col>
      <xdr:colOff>254203</xdr:colOff>
      <xdr:row>2</xdr:row>
      <xdr:rowOff>15927</xdr:rowOff>
    </xdr:from>
    <xdr:to>
      <xdr:col>28</xdr:col>
      <xdr:colOff>707010</xdr:colOff>
      <xdr:row>4</xdr:row>
      <xdr:rowOff>128415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pSpPr/>
      </xdr:nvGrpSpPr>
      <xdr:grpSpPr>
        <a:xfrm>
          <a:off x="3284885" y="968427"/>
          <a:ext cx="14384322" cy="497336"/>
          <a:chOff x="8898475" y="1068917"/>
          <a:chExt cx="4255210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8901693" y="1068917"/>
            <a:ext cx="4251992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Quantitativo - Pessoa Jurídica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1900-000006000000}"/>
              </a:ext>
            </a:extLst>
          </xdr:cNvPr>
          <xdr:cNvCxnSpPr/>
        </xdr:nvCxnSpPr>
        <xdr:spPr>
          <a:xfrm>
            <a:off x="8898475" y="1566333"/>
            <a:ext cx="424866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223599</xdr:colOff>
      <xdr:row>5</xdr:row>
      <xdr:rowOff>81342</xdr:rowOff>
    </xdr:from>
    <xdr:to>
      <xdr:col>4</xdr:col>
      <xdr:colOff>211667</xdr:colOff>
      <xdr:row>8</xdr:row>
      <xdr:rowOff>51516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pSpPr/>
      </xdr:nvGrpSpPr>
      <xdr:grpSpPr>
        <a:xfrm>
          <a:off x="223599" y="1611115"/>
          <a:ext cx="2412613" cy="547446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:a16="http://schemas.microsoft.com/office/drawing/2014/main" id="{00000000-0008-0000-1900-000009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139448</xdr:colOff>
      <xdr:row>6</xdr:row>
      <xdr:rowOff>71878</xdr:rowOff>
    </xdr:from>
    <xdr:to>
      <xdr:col>16</xdr:col>
      <xdr:colOff>233385</xdr:colOff>
      <xdr:row>35</xdr:row>
      <xdr:rowOff>68737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GrpSpPr/>
      </xdr:nvGrpSpPr>
      <xdr:grpSpPr>
        <a:xfrm>
          <a:off x="3776266" y="1794075"/>
          <a:ext cx="6155301" cy="5586783"/>
          <a:chOff x="9733175" y="4412137"/>
          <a:chExt cx="3130485" cy="2743200"/>
        </a:xfrm>
      </xdr:grpSpPr>
      <xdr:graphicFrame macro="">
        <xdr:nvGraphicFramePr>
          <xdr:cNvPr id="25" name="Diagrama 24">
            <a:extLst>
              <a:ext uri="{FF2B5EF4-FFF2-40B4-BE49-F238E27FC236}">
                <a16:creationId xmlns:a16="http://schemas.microsoft.com/office/drawing/2014/main" id="{00000000-0008-0000-1900-000019000000}"/>
              </a:ext>
            </a:extLst>
          </xdr:cNvPr>
          <xdr:cNvGraphicFramePr/>
        </xdr:nvGraphicFramePr>
        <xdr:xfrm>
          <a:off x="9733175" y="4412137"/>
          <a:ext cx="3130485" cy="2743200"/>
        </xdr:xfrm>
        <a:graphic>
          <a:graphicData uri="http://purl.oclc.org/ooxml/drawingml/diagram">
            <dgm:relIds xmlns:dgm="http://purl.oclc.org/ooxml/drawingml/diagram" xmlns:r="http://purl.oclc.org/ooxml/officeDocument/relationships" r:dm="rId2" r:lo="rId3" r:qs="rId4" r:cs="rId5"/>
          </a:graphicData>
        </a:graphic>
      </xdr:graphicFrame>
      <xdr:sp macro="" textlink="'Dados - Receita e Qntd'!AR52">
        <xdr:nvSpPr>
          <xdr:cNvPr id="26" name="CaixaDeTexto 25">
            <a:extLst>
              <a:ext uri="{FF2B5EF4-FFF2-40B4-BE49-F238E27FC236}">
                <a16:creationId xmlns:a16="http://schemas.microsoft.com/office/drawing/2014/main" id="{00000000-0008-0000-1900-00001A000000}"/>
              </a:ext>
            </a:extLst>
          </xdr:cNvPr>
          <xdr:cNvSpPr txBox="1"/>
        </xdr:nvSpPr>
        <xdr:spPr>
          <a:xfrm>
            <a:off x="11393349" y="5154488"/>
            <a:ext cx="923041" cy="540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E1586E8C-312D-4969-A27A-482D94C209D4}" type="TxLink">
              <a:rPr lang="en-US" sz="40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 27.500 </a:t>
            </a:fld>
            <a:endParaRPr lang="pt-BR" sz="96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R53">
        <xdr:nvSpPr>
          <xdr:cNvPr id="27" name="CaixaDeTexto 26">
            <a:extLst>
              <a:ext uri="{FF2B5EF4-FFF2-40B4-BE49-F238E27FC236}">
                <a16:creationId xmlns:a16="http://schemas.microsoft.com/office/drawing/2014/main" id="{00000000-0008-0000-1900-00001B000000}"/>
              </a:ext>
            </a:extLst>
          </xdr:cNvPr>
          <xdr:cNvSpPr txBox="1"/>
        </xdr:nvSpPr>
        <xdr:spPr>
          <a:xfrm>
            <a:off x="11388375" y="5871578"/>
            <a:ext cx="923041" cy="540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02D9DCE2-2054-45A9-A937-6B811B6849B5}" type="TxLink">
              <a:rPr lang="en-US" sz="40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 851 </a:t>
            </a:fld>
            <a:endParaRPr lang="pt-BR" sz="96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R54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1900-00001C000000}"/>
              </a:ext>
            </a:extLst>
          </xdr:cNvPr>
          <xdr:cNvSpPr txBox="1"/>
        </xdr:nvSpPr>
        <xdr:spPr>
          <a:xfrm>
            <a:off x="11388377" y="4445541"/>
            <a:ext cx="923041" cy="540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83566491-FDEB-4B72-9211-F609CC55C5A3}" type="TxLink">
              <a:rPr lang="en-US" sz="40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 31.847 </a:t>
            </a:fld>
            <a:endParaRPr lang="pt-BR" sz="96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R55">
        <xdr:nvSpPr>
          <xdr:cNvPr id="29" name="CaixaDeTexto 28">
            <a:extLst>
              <a:ext uri="{FF2B5EF4-FFF2-40B4-BE49-F238E27FC236}">
                <a16:creationId xmlns:a16="http://schemas.microsoft.com/office/drawing/2014/main" id="{00000000-0008-0000-1900-00001D000000}"/>
              </a:ext>
            </a:extLst>
          </xdr:cNvPr>
          <xdr:cNvSpPr txBox="1"/>
        </xdr:nvSpPr>
        <xdr:spPr>
          <a:xfrm>
            <a:off x="11388375" y="6584750"/>
            <a:ext cx="923041" cy="540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15772CAB-2E58-4487-B90A-2541A9C20B3E}" type="TxLink">
              <a:rPr lang="en-US" sz="40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86,3%</a:t>
            </a:fld>
            <a:endParaRPr lang="pt-BR" sz="96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</xdr:grpSp>
    <xdr:clientData/>
  </xdr:twoCellAnchor>
  <xdr:twoCellAnchor editAs="oneCell">
    <xdr:from>
      <xdr:col>0</xdr:col>
      <xdr:colOff>245489</xdr:colOff>
      <xdr:row>8</xdr:row>
      <xdr:rowOff>166931</xdr:rowOff>
    </xdr:from>
    <xdr:to>
      <xdr:col>4</xdr:col>
      <xdr:colOff>216031</xdr:colOff>
      <xdr:row>34</xdr:row>
      <xdr:rowOff>166931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UF 1">
              <a:extLst>
                <a:ext uri="{FF2B5EF4-FFF2-40B4-BE49-F238E27FC236}">
                  <a16:creationId xmlns:a16="http://schemas.microsoft.com/office/drawing/2014/main" id="{00000000-0008-0000-1900-00001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1"/>
            </a:graphicData>
          </a:graphic>
        </xdr:graphicFrame>
      </mc:Choice>
      <mc:Fallback xmlns="" xmlns:a="http://schemas.openxmlformats.org/drawingml/2006/main" xmlns:xdr="http://schemas.openxmlformats.org/drawingml/2006/spreadsheetDrawing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489" y="2238864"/>
              <a:ext cx="2405800" cy="48606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17</xdr:col>
      <xdr:colOff>569536</xdr:colOff>
      <xdr:row>5</xdr:row>
      <xdr:rowOff>111158</xdr:rowOff>
    </xdr:from>
    <xdr:to>
      <xdr:col>25</xdr:col>
      <xdr:colOff>333866</xdr:colOff>
      <xdr:row>34</xdr:row>
      <xdr:rowOff>108016</xdr:rowOff>
    </xdr:to>
    <xdr:grpSp>
      <xdr:nvGrpSpPr>
        <xdr:cNvPr id="31" name="Grupo 30"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GrpSpPr/>
      </xdr:nvGrpSpPr>
      <xdr:grpSpPr>
        <a:xfrm>
          <a:off x="10873854" y="1640931"/>
          <a:ext cx="4613421" cy="5586782"/>
          <a:chOff x="9733175" y="4412137"/>
          <a:chExt cx="3130485" cy="2743200"/>
        </a:xfrm>
      </xdr:grpSpPr>
      <xdr:graphicFrame macro="">
        <xdr:nvGraphicFramePr>
          <xdr:cNvPr id="32" name="Diagrama 31">
            <a:extLst>
              <a:ext uri="{FF2B5EF4-FFF2-40B4-BE49-F238E27FC236}">
                <a16:creationId xmlns:a16="http://schemas.microsoft.com/office/drawing/2014/main" id="{00000000-0008-0000-1900-000020000000}"/>
              </a:ext>
            </a:extLst>
          </xdr:cNvPr>
          <xdr:cNvGraphicFramePr/>
        </xdr:nvGraphicFramePr>
        <xdr:xfrm>
          <a:off x="9733175" y="4412137"/>
          <a:ext cx="3130485" cy="2743200"/>
        </xdr:xfrm>
        <a:graphic>
          <a:graphicData uri="http://purl.oclc.org/ooxml/drawingml/diagram">
            <dgm:relIds xmlns:dgm="http://purl.oclc.org/ooxml/drawingml/diagram" xmlns:r="http://purl.oclc.org/ooxml/officeDocument/relationships" r:dm="rId7" r:lo="rId8" r:qs="rId9" r:cs="rId10"/>
          </a:graphicData>
        </a:graphic>
      </xdr:graphicFrame>
      <xdr:sp macro="" textlink="'Dados - Receita e Qntd'!AR62">
        <xdr:nvSpPr>
          <xdr:cNvPr id="35" name="CaixaDeTexto 34">
            <a:extLst>
              <a:ext uri="{FF2B5EF4-FFF2-40B4-BE49-F238E27FC236}">
                <a16:creationId xmlns:a16="http://schemas.microsoft.com/office/drawing/2014/main" id="{00000000-0008-0000-1900-000023000000}"/>
              </a:ext>
            </a:extLst>
          </xdr:cNvPr>
          <xdr:cNvSpPr txBox="1"/>
        </xdr:nvSpPr>
        <xdr:spPr>
          <a:xfrm>
            <a:off x="11384638" y="5847584"/>
            <a:ext cx="1459124" cy="6513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EB30817F-777D-45B5-8CD2-B5F07AAAAD86}" type="TxLink">
              <a:rPr lang="en-US" sz="36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cs typeface="Calibri"/>
              </a:rPr>
              <a:pPr algn="ctr"/>
              <a:t>28,5%</a:t>
            </a:fld>
            <a:endParaRPr lang="pt-BR" sz="85700" b="1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</a:endParaRPr>
          </a:p>
        </xdr:txBody>
      </xdr:sp>
      <xdr:sp macro="" textlink="'Dados - Receita e Qntd'!AR63">
        <xdr:nvSpPr>
          <xdr:cNvPr id="36" name="CaixaDeTexto 35">
            <a:extLst>
              <a:ext uri="{FF2B5EF4-FFF2-40B4-BE49-F238E27FC236}">
                <a16:creationId xmlns:a16="http://schemas.microsoft.com/office/drawing/2014/main" id="{00000000-0008-0000-1900-000024000000}"/>
              </a:ext>
            </a:extLst>
          </xdr:cNvPr>
          <xdr:cNvSpPr txBox="1"/>
        </xdr:nvSpPr>
        <xdr:spPr>
          <a:xfrm>
            <a:off x="11391271" y="5071881"/>
            <a:ext cx="1452492" cy="6364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39B1964-C516-495D-97C6-84522601E94E}" type="TxLink">
              <a:rPr lang="en-US" sz="36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cs typeface="Calibri"/>
              </a:rPr>
              <a:pPr algn="ctr"/>
              <a:t>66,5%</a:t>
            </a:fld>
            <a:endParaRPr lang="pt-BR" sz="85700" b="1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</a:endParaRPr>
          </a:p>
        </xdr:txBody>
      </xdr:sp>
    </xdr:grpSp>
    <xdr:clientData/>
  </xdr:twoCellAnchor>
  <xdr:oneCellAnchor>
    <xdr:from>
      <xdr:col>28</xdr:col>
      <xdr:colOff>265128</xdr:colOff>
      <xdr:row>0</xdr:row>
      <xdr:rowOff>68738</xdr:rowOff>
    </xdr:from>
    <xdr:ext cx="1001595" cy="638510"/>
    <xdr:sp macro="" textlink="">
      <xdr:nvSpPr>
        <xdr:cNvPr id="33" name="CaixaDeTexto 32">
          <a:hlinkClick xmlns:r="http://purl.oclc.org/ooxml/officeDocument/relationships" r:id="rId12"/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SpPr txBox="1"/>
      </xdr:nvSpPr>
      <xdr:spPr>
        <a:xfrm>
          <a:off x="17302113" y="68738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%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</xdr:wsDr>
</file>

<file path=xl/drawings/drawing14.xml><?xml version="1.0" encoding="utf-8"?>
<xdr:wsDr xmlns:xdr="http://purl.oclc.org/ooxml/drawingml/spreadsheetDrawing" xmlns:a="http://purl.oclc.org/ooxml/drawingml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21</xdr:col>
      <xdr:colOff>589176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3574331" y="0"/>
          <a:ext cx="9799948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>
    <xdr:from>
      <xdr:col>5</xdr:col>
      <xdr:colOff>165897</xdr:colOff>
      <xdr:row>2</xdr:row>
      <xdr:rowOff>15927</xdr:rowOff>
    </xdr:from>
    <xdr:to>
      <xdr:col>28</xdr:col>
      <xdr:colOff>569537</xdr:colOff>
      <xdr:row>4</xdr:row>
      <xdr:rowOff>128415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pSpPr/>
      </xdr:nvGrpSpPr>
      <xdr:grpSpPr>
        <a:xfrm>
          <a:off x="3196579" y="968427"/>
          <a:ext cx="14335155" cy="497336"/>
          <a:chOff x="8872463" y="1068917"/>
          <a:chExt cx="4240727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A00-000005000000}"/>
              </a:ext>
            </a:extLst>
          </xdr:cNvPr>
          <xdr:cNvSpPr txBox="1"/>
        </xdr:nvSpPr>
        <xdr:spPr>
          <a:xfrm>
            <a:off x="8875661" y="1068917"/>
            <a:ext cx="4237529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de Arrecadação - Pessoa Jurídica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1A00-000006000000}"/>
              </a:ext>
            </a:extLst>
          </xdr:cNvPr>
          <xdr:cNvCxnSpPr/>
        </xdr:nvCxnSpPr>
        <xdr:spPr>
          <a:xfrm>
            <a:off x="8872463" y="1566333"/>
            <a:ext cx="4234208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223599</xdr:colOff>
      <xdr:row>5</xdr:row>
      <xdr:rowOff>81342</xdr:rowOff>
    </xdr:from>
    <xdr:to>
      <xdr:col>4</xdr:col>
      <xdr:colOff>211667</xdr:colOff>
      <xdr:row>8</xdr:row>
      <xdr:rowOff>51516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pSpPr/>
      </xdr:nvGrpSpPr>
      <xdr:grpSpPr>
        <a:xfrm>
          <a:off x="223599" y="1611115"/>
          <a:ext cx="2412613" cy="547446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00000000-0008-0000-1A00-000008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:a16="http://schemas.microsoft.com/office/drawing/2014/main" id="{00000000-0008-0000-1A00-000009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113160</xdr:colOff>
      <xdr:row>10</xdr:row>
      <xdr:rowOff>0</xdr:rowOff>
    </xdr:from>
    <xdr:to>
      <xdr:col>15</xdr:col>
      <xdr:colOff>240288</xdr:colOff>
      <xdr:row>34</xdr:row>
      <xdr:rowOff>176752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GrpSpPr/>
      </xdr:nvGrpSpPr>
      <xdr:grpSpPr>
        <a:xfrm>
          <a:off x="4356115" y="2491894"/>
          <a:ext cx="4976218" cy="4804555"/>
          <a:chOff x="9872403" y="4412137"/>
          <a:chExt cx="2783573" cy="2743200"/>
        </a:xfrm>
      </xdr:grpSpPr>
      <xdr:graphicFrame macro="">
        <xdr:nvGraphicFramePr>
          <xdr:cNvPr id="16" name="Diagrama 15">
            <a:extLst>
              <a:ext uri="{FF2B5EF4-FFF2-40B4-BE49-F238E27FC236}">
                <a16:creationId xmlns:a16="http://schemas.microsoft.com/office/drawing/2014/main" id="{00000000-0008-0000-1A00-000010000000}"/>
              </a:ext>
            </a:extLst>
          </xdr:cNvPr>
          <xdr:cNvGraphicFramePr/>
        </xdr:nvGraphicFramePr>
        <xdr:xfrm>
          <a:off x="9872403" y="4412137"/>
          <a:ext cx="2783573" cy="2743200"/>
        </xdr:xfrm>
        <a:graphic>
          <a:graphicData uri="http://purl.oclc.org/ooxml/drawingml/diagram">
            <dgm:relIds xmlns:dgm="http://purl.oclc.org/ooxml/drawingml/diagram" xmlns:r="http://purl.oclc.org/ooxml/officeDocument/relationships" r:dm="rId2" r:lo="rId3" r:qs="rId4" r:cs="rId5"/>
          </a:graphicData>
        </a:graphic>
      </xdr:graphicFrame>
      <xdr:sp macro="" textlink="'Dados - Receita e Qntd'!AR38">
        <xdr:nvSpPr>
          <xdr:cNvPr id="17" name="CaixaDeTexto 16">
            <a:extLst>
              <a:ext uri="{FF2B5EF4-FFF2-40B4-BE49-F238E27FC236}">
                <a16:creationId xmlns:a16="http://schemas.microsoft.com/office/drawing/2014/main" id="{00000000-0008-0000-1A00-000011000000}"/>
              </a:ext>
            </a:extLst>
          </xdr:cNvPr>
          <xdr:cNvSpPr txBox="1"/>
        </xdr:nvSpPr>
        <xdr:spPr>
          <a:xfrm>
            <a:off x="11323354" y="5134030"/>
            <a:ext cx="934818" cy="5891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767BC2AF-6FBF-45D0-B540-A8839581F9DC}" type="TxLink">
              <a:rPr lang="en-US" sz="20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R$ 3.193.548</a:t>
            </a:fld>
            <a:endParaRPr lang="pt-BR" sz="20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R39">
        <xdr:nvSpPr>
          <xdr:cNvPr id="18" name="CaixaDeTexto 17">
            <a:extLst>
              <a:ext uri="{FF2B5EF4-FFF2-40B4-BE49-F238E27FC236}">
                <a16:creationId xmlns:a16="http://schemas.microsoft.com/office/drawing/2014/main" id="{00000000-0008-0000-1A00-000012000000}"/>
              </a:ext>
            </a:extLst>
          </xdr:cNvPr>
          <xdr:cNvSpPr txBox="1"/>
        </xdr:nvSpPr>
        <xdr:spPr>
          <a:xfrm>
            <a:off x="11318382" y="4423625"/>
            <a:ext cx="934042" cy="5891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4BBE9143-31D9-4986-B70D-E758A08A5FC1}" type="TxLink">
              <a:rPr lang="en-US" sz="20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R$ 8.151.171</a:t>
            </a:fld>
            <a:endParaRPr lang="pt-BR" sz="20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R40">
        <xdr:nvSpPr>
          <xdr:cNvPr id="19" name="CaixaDeTexto 18">
            <a:extLst>
              <a:ext uri="{FF2B5EF4-FFF2-40B4-BE49-F238E27FC236}">
                <a16:creationId xmlns:a16="http://schemas.microsoft.com/office/drawing/2014/main" id="{00000000-0008-0000-1A00-000013000000}"/>
              </a:ext>
            </a:extLst>
          </xdr:cNvPr>
          <xdr:cNvSpPr txBox="1"/>
        </xdr:nvSpPr>
        <xdr:spPr>
          <a:xfrm>
            <a:off x="11318382" y="5844240"/>
            <a:ext cx="934042" cy="5891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590BED12-FDE7-4203-AD7D-7E3F0487FCFD}" type="TxLink">
              <a:rPr lang="en-US" sz="28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30,7%</a:t>
            </a:fld>
            <a:endParaRPr lang="pt-BR" sz="28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R70">
        <xdr:nvSpPr>
          <xdr:cNvPr id="40" name="CaixaDeTexto 39">
            <a:extLst>
              <a:ext uri="{FF2B5EF4-FFF2-40B4-BE49-F238E27FC236}">
                <a16:creationId xmlns:a16="http://schemas.microsoft.com/office/drawing/2014/main" id="{00000000-0008-0000-1A00-000028000000}"/>
              </a:ext>
            </a:extLst>
          </xdr:cNvPr>
          <xdr:cNvSpPr txBox="1"/>
        </xdr:nvSpPr>
        <xdr:spPr>
          <a:xfrm>
            <a:off x="11315988" y="6551819"/>
            <a:ext cx="936436" cy="5891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70B34DD6-EE60-4211-8FAB-1D1997A24771}" type="TxLink">
              <a:rPr lang="en-US" sz="28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15,8%</a:t>
            </a:fld>
            <a:endParaRPr lang="pt-BR" sz="60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</xdr:grpSp>
    <xdr:clientData/>
  </xdr:twoCellAnchor>
  <xdr:twoCellAnchor editAs="oneCell">
    <xdr:from>
      <xdr:col>0</xdr:col>
      <xdr:colOff>245489</xdr:colOff>
      <xdr:row>8</xdr:row>
      <xdr:rowOff>166931</xdr:rowOff>
    </xdr:from>
    <xdr:to>
      <xdr:col>4</xdr:col>
      <xdr:colOff>216031</xdr:colOff>
      <xdr:row>34</xdr:row>
      <xdr:rowOff>166931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0" name="UF 3">
              <a:extLst>
                <a:ext uri="{FF2B5EF4-FFF2-40B4-BE49-F238E27FC236}">
                  <a16:creationId xmlns:a16="http://schemas.microsoft.com/office/drawing/2014/main" id="{00000000-0008-0000-1A00-00001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3"/>
            </a:graphicData>
          </a:graphic>
        </xdr:graphicFrame>
      </mc:Choice>
      <mc:Fallback xmlns="" xmlns:a="http://schemas.openxmlformats.org/drawingml/2006/main" xmlns:xdr="http://schemas.openxmlformats.org/drawingml/2006/spreadsheetDrawing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489" y="2238864"/>
              <a:ext cx="2405800" cy="48606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7</xdr:col>
      <xdr:colOff>520437</xdr:colOff>
      <xdr:row>5</xdr:row>
      <xdr:rowOff>165005</xdr:rowOff>
    </xdr:from>
    <xdr:to>
      <xdr:col>14</xdr:col>
      <xdr:colOff>549896</xdr:colOff>
      <xdr:row>8</xdr:row>
      <xdr:rowOff>135179</xdr:rowOff>
    </xdr:to>
    <xdr:grpSp>
      <xdr:nvGrpSpPr>
        <xdr:cNvPr id="21" name="Grupo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GrpSpPr/>
      </xdr:nvGrpSpPr>
      <xdr:grpSpPr>
        <a:xfrm>
          <a:off x="4763392" y="1694778"/>
          <a:ext cx="4272413" cy="547446"/>
          <a:chOff x="7926917" y="1026747"/>
          <a:chExt cx="3174401" cy="539586"/>
        </a:xfrm>
      </xdr:grpSpPr>
      <xdr:sp macro="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1A00-000016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Exercício 2019</a:t>
            </a:r>
          </a:p>
        </xdr:txBody>
      </xdr:sp>
      <xdr:cxnSp macro="">
        <xdr:nvCxnSpPr>
          <xdr:cNvPr id="23" name="Conector reto 22">
            <a:extLst>
              <a:ext uri="{FF2B5EF4-FFF2-40B4-BE49-F238E27FC236}">
                <a16:creationId xmlns:a16="http://schemas.microsoft.com/office/drawing/2014/main" id="{00000000-0008-0000-1A00-000017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17</xdr:col>
      <xdr:colOff>272204</xdr:colOff>
      <xdr:row>10</xdr:row>
      <xdr:rowOff>24745</xdr:rowOff>
    </xdr:from>
    <xdr:to>
      <xdr:col>27</xdr:col>
      <xdr:colOff>366140</xdr:colOff>
      <xdr:row>35</xdr:row>
      <xdr:rowOff>14925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GrpSpPr/>
      </xdr:nvGrpSpPr>
      <xdr:grpSpPr>
        <a:xfrm>
          <a:off x="10576522" y="2516639"/>
          <a:ext cx="6155300" cy="4810407"/>
          <a:chOff x="9733175" y="4412137"/>
          <a:chExt cx="3130485" cy="2743200"/>
        </a:xfrm>
      </xdr:grpSpPr>
      <xdr:graphicFrame macro="">
        <xdr:nvGraphicFramePr>
          <xdr:cNvPr id="25" name="Diagrama 24">
            <a:extLst>
              <a:ext uri="{FF2B5EF4-FFF2-40B4-BE49-F238E27FC236}">
                <a16:creationId xmlns:a16="http://schemas.microsoft.com/office/drawing/2014/main" id="{00000000-0008-0000-1A00-000019000000}"/>
              </a:ext>
            </a:extLst>
          </xdr:cNvPr>
          <xdr:cNvGraphicFramePr/>
        </xdr:nvGraphicFramePr>
        <xdr:xfrm>
          <a:off x="9733175" y="4412137"/>
          <a:ext cx="3130485" cy="2743200"/>
        </xdr:xfrm>
        <a:graphic>
          <a:graphicData uri="http://purl.oclc.org/ooxml/drawingml/diagram">
            <dgm:relIds xmlns:dgm="http://purl.oclc.org/ooxml/drawingml/diagram" xmlns:r="http://purl.oclc.org/ooxml/officeDocument/relationships" r:dm="rId7" r:lo="rId8" r:qs="rId9" r:cs="rId10"/>
          </a:graphicData>
        </a:graphic>
      </xdr:graphicFrame>
      <xdr:sp macro="" textlink="'Dados - Receita e Qntd'!AU34">
        <xdr:nvSpPr>
          <xdr:cNvPr id="26" name="CaixaDeTexto 25">
            <a:extLst>
              <a:ext uri="{FF2B5EF4-FFF2-40B4-BE49-F238E27FC236}">
                <a16:creationId xmlns:a16="http://schemas.microsoft.com/office/drawing/2014/main" id="{00000000-0008-0000-1A00-00001A000000}"/>
              </a:ext>
            </a:extLst>
          </xdr:cNvPr>
          <xdr:cNvSpPr txBox="1"/>
        </xdr:nvSpPr>
        <xdr:spPr>
          <a:xfrm>
            <a:off x="11368110" y="4423688"/>
            <a:ext cx="1158580" cy="8027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8B16BAAC-CD47-498E-B478-EE9722D699C0}" type="TxLink">
              <a:rPr lang="en-US" sz="28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sem previsão</a:t>
            </a:fld>
            <a:endParaRPr lang="pt-BR" sz="28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R41">
        <xdr:nvSpPr>
          <xdr:cNvPr id="27" name="CaixaDeTexto 26">
            <a:extLst>
              <a:ext uri="{FF2B5EF4-FFF2-40B4-BE49-F238E27FC236}">
                <a16:creationId xmlns:a16="http://schemas.microsoft.com/office/drawing/2014/main" id="{00000000-0008-0000-1A00-00001B000000}"/>
              </a:ext>
            </a:extLst>
          </xdr:cNvPr>
          <xdr:cNvSpPr txBox="1"/>
        </xdr:nvSpPr>
        <xdr:spPr>
          <a:xfrm>
            <a:off x="11368110" y="5382302"/>
            <a:ext cx="1158580" cy="8027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11DFA504-E3CD-401F-9F78-54E33703DB2D}" type="TxLink">
              <a:rPr lang="en-US" sz="28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R$ 617.758</a:t>
            </a:fld>
            <a:endParaRPr lang="pt-BR" sz="28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U34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1A00-00001C000000}"/>
              </a:ext>
            </a:extLst>
          </xdr:cNvPr>
          <xdr:cNvSpPr txBox="1"/>
        </xdr:nvSpPr>
        <xdr:spPr>
          <a:xfrm>
            <a:off x="11368110" y="6340916"/>
            <a:ext cx="1158580" cy="8027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369BB9DA-ED00-4D3F-AD2F-ACF4130CFE09}" type="TxLink">
              <a:rPr lang="en-US" sz="28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sem previsão</a:t>
            </a:fld>
            <a:endParaRPr lang="pt-BR" sz="199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</xdr:grpSp>
    <xdr:clientData/>
  </xdr:twoCellAnchor>
  <xdr:twoCellAnchor>
    <xdr:from>
      <xdr:col>18</xdr:col>
      <xdr:colOff>594280</xdr:colOff>
      <xdr:row>6</xdr:row>
      <xdr:rowOff>3177</xdr:rowOff>
    </xdr:from>
    <xdr:to>
      <xdr:col>26</xdr:col>
      <xdr:colOff>14925</xdr:colOff>
      <xdr:row>8</xdr:row>
      <xdr:rowOff>159924</xdr:rowOff>
    </xdr:to>
    <xdr:grpSp>
      <xdr:nvGrpSpPr>
        <xdr:cNvPr id="29" name="Grupo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GrpSpPr/>
      </xdr:nvGrpSpPr>
      <xdr:grpSpPr>
        <a:xfrm>
          <a:off x="11504735" y="1725374"/>
          <a:ext cx="4269735" cy="541595"/>
          <a:chOff x="7926917" y="1026747"/>
          <a:chExt cx="3174401" cy="539586"/>
        </a:xfrm>
      </xdr:grpSpPr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1A00-00001E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Exercícios Anteriores</a:t>
            </a:r>
          </a:p>
        </xdr:txBody>
      </xdr:sp>
      <xdr:cxnSp macro="">
        <xdr:nvCxnSpPr>
          <xdr:cNvPr id="31" name="Conector reto 30">
            <a:extLst>
              <a:ext uri="{FF2B5EF4-FFF2-40B4-BE49-F238E27FC236}">
                <a16:creationId xmlns:a16="http://schemas.microsoft.com/office/drawing/2014/main" id="{00000000-0008-0000-1A00-00001F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27</xdr:col>
      <xdr:colOff>196392</xdr:colOff>
      <xdr:row>1</xdr:row>
      <xdr:rowOff>68737</xdr:rowOff>
    </xdr:from>
    <xdr:to>
      <xdr:col>28</xdr:col>
      <xdr:colOff>530258</xdr:colOff>
      <xdr:row>4</xdr:row>
      <xdr:rowOff>58917</xdr:rowOff>
    </xdr:to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1A00-000027000000}"/>
            </a:ext>
          </a:extLst>
        </xdr:cNvPr>
        <xdr:cNvSpPr txBox="1"/>
      </xdr:nvSpPr>
      <xdr:spPr>
        <a:xfrm>
          <a:off x="16634382" y="834665"/>
          <a:ext cx="932861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80%</a:t>
          </a:r>
        </a:p>
      </xdr:txBody>
    </xdr:sp>
    <xdr:clientData/>
  </xdr:twoCellAnchor>
  <xdr:oneCellAnchor>
    <xdr:from>
      <xdr:col>28</xdr:col>
      <xdr:colOff>274948</xdr:colOff>
      <xdr:row>0</xdr:row>
      <xdr:rowOff>78556</xdr:rowOff>
    </xdr:from>
    <xdr:ext cx="1001595" cy="638510"/>
    <xdr:sp macro="" textlink="">
      <xdr:nvSpPr>
        <xdr:cNvPr id="41" name="CaixaDeTexto 40">
          <a:hlinkClick xmlns:r="http://purl.oclc.org/ooxml/officeDocument/relationships" r:id="rId12"/>
          <a:extLst>
            <a:ext uri="{FF2B5EF4-FFF2-40B4-BE49-F238E27FC236}">
              <a16:creationId xmlns:a16="http://schemas.microsoft.com/office/drawing/2014/main" id="{00000000-0008-0000-1A00-000029000000}"/>
            </a:ext>
          </a:extLst>
        </xdr:cNvPr>
        <xdr:cNvSpPr txBox="1"/>
      </xdr:nvSpPr>
      <xdr:spPr>
        <a:xfrm>
          <a:off x="17311933" y="78556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%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</xdr:wsDr>
</file>

<file path=xl/drawings/drawing15.xml><?xml version="1.0" encoding="utf-8"?>
<xdr:wsDr xmlns:xdr="http://purl.oclc.org/ooxml/drawingml/spreadsheetDrawing" xmlns:a="http://purl.oclc.org/ooxml/drawingml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21</xdr:col>
      <xdr:colOff>559718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/>
      </xdr:nvSpPr>
      <xdr:spPr>
        <a:xfrm>
          <a:off x="3574331" y="0"/>
          <a:ext cx="9770490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>
    <xdr:from>
      <xdr:col>5</xdr:col>
      <xdr:colOff>402603</xdr:colOff>
      <xdr:row>2</xdr:row>
      <xdr:rowOff>74084</xdr:rowOff>
    </xdr:from>
    <xdr:to>
      <xdr:col>28</xdr:col>
      <xdr:colOff>451701</xdr:colOff>
      <xdr:row>5</xdr:row>
      <xdr:rowOff>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pSpPr/>
      </xdr:nvGrpSpPr>
      <xdr:grpSpPr>
        <a:xfrm>
          <a:off x="3433285" y="1026584"/>
          <a:ext cx="13980613" cy="503189"/>
          <a:chOff x="8832273" y="1068917"/>
          <a:chExt cx="1605344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B00-000005000000}"/>
              </a:ext>
            </a:extLst>
          </xdr:cNvPr>
          <xdr:cNvSpPr txBox="1"/>
        </xdr:nvSpPr>
        <xdr:spPr>
          <a:xfrm>
            <a:off x="8832273" y="1068917"/>
            <a:ext cx="1605344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RRT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1B00-000006000000}"/>
              </a:ext>
            </a:extLst>
          </xdr:cNvPr>
          <xdr:cNvCxnSpPr/>
        </xdr:nvCxnSpPr>
        <xdr:spPr>
          <a:xfrm>
            <a:off x="8939295" y="1566333"/>
            <a:ext cx="1391299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95939</xdr:colOff>
      <xdr:row>5</xdr:row>
      <xdr:rowOff>81342</xdr:rowOff>
    </xdr:from>
    <xdr:to>
      <xdr:col>4</xdr:col>
      <xdr:colOff>84007</xdr:colOff>
      <xdr:row>8</xdr:row>
      <xdr:rowOff>51516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pSpPr/>
      </xdr:nvGrpSpPr>
      <xdr:grpSpPr>
        <a:xfrm>
          <a:off x="95939" y="1611115"/>
          <a:ext cx="2412613" cy="547446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00000000-0008-0000-1B00-000008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:a16="http://schemas.microsoft.com/office/drawing/2014/main" id="{00000000-0008-0000-1B00-000009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117829</xdr:colOff>
      <xdr:row>8</xdr:row>
      <xdr:rowOff>166931</xdr:rowOff>
    </xdr:from>
    <xdr:to>
      <xdr:col>4</xdr:col>
      <xdr:colOff>88371</xdr:colOff>
      <xdr:row>34</xdr:row>
      <xdr:rowOff>166931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UF 4">
              <a:extLst>
                <a:ext uri="{FF2B5EF4-FFF2-40B4-BE49-F238E27FC236}">
                  <a16:creationId xmlns:a16="http://schemas.microsoft.com/office/drawing/2014/main" id="{00000000-0008-0000-1B00-00001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4"/>
            </a:graphicData>
          </a:graphic>
        </xdr:graphicFrame>
      </mc:Choice>
      <mc:Fallback xmlns="" xmlns:a="http://schemas.openxmlformats.org/drawingml/2006/main" xmlns:xdr="http://schemas.openxmlformats.org/drawingml/2006/spreadsheetDrawing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7829" y="2262431"/>
              <a:ext cx="2403080" cy="49603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25</xdr:col>
      <xdr:colOff>373144</xdr:colOff>
      <xdr:row>1</xdr:row>
      <xdr:rowOff>127654</xdr:rowOff>
    </xdr:from>
    <xdr:to>
      <xdr:col>27</xdr:col>
      <xdr:colOff>88376</xdr:colOff>
      <xdr:row>4</xdr:row>
      <xdr:rowOff>117834</xdr:rowOff>
    </xdr:to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1B00-000032000000}"/>
            </a:ext>
          </a:extLst>
        </xdr:cNvPr>
        <xdr:cNvSpPr txBox="1"/>
      </xdr:nvSpPr>
      <xdr:spPr>
        <a:xfrm>
          <a:off x="15593505" y="893582"/>
          <a:ext cx="932861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80%</a:t>
          </a:r>
        </a:p>
      </xdr:txBody>
    </xdr:sp>
    <xdr:clientData/>
  </xdr:twoCellAnchor>
  <xdr:twoCellAnchor>
    <xdr:from>
      <xdr:col>9</xdr:col>
      <xdr:colOff>579361</xdr:colOff>
      <xdr:row>6</xdr:row>
      <xdr:rowOff>137474</xdr:rowOff>
    </xdr:from>
    <xdr:to>
      <xdr:col>15</xdr:col>
      <xdr:colOff>481166</xdr:colOff>
      <xdr:row>37</xdr:row>
      <xdr:rowOff>0</xdr:rowOff>
    </xdr:to>
    <xdr:grpSp>
      <xdr:nvGrpSpPr>
        <xdr:cNvPr id="21" name="Grupo 20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GrpSpPr/>
      </xdr:nvGrpSpPr>
      <xdr:grpSpPr>
        <a:xfrm>
          <a:off x="6034588" y="1859671"/>
          <a:ext cx="3538623" cy="6337602"/>
          <a:chOff x="5469510" y="1763813"/>
          <a:chExt cx="3554691" cy="5699074"/>
        </a:xfrm>
      </xdr:grpSpPr>
      <xdr:grpSp>
        <xdr:nvGrpSpPr>
          <xdr:cNvPr id="54" name="Grupo 53">
            <a:extLst>
              <a:ext uri="{FF2B5EF4-FFF2-40B4-BE49-F238E27FC236}">
                <a16:creationId xmlns:a16="http://schemas.microsoft.com/office/drawing/2014/main" id="{00000000-0008-0000-1B00-000036000000}"/>
              </a:ext>
            </a:extLst>
          </xdr:cNvPr>
          <xdr:cNvGrpSpPr/>
        </xdr:nvGrpSpPr>
        <xdr:grpSpPr>
          <a:xfrm>
            <a:off x="5469510" y="1763813"/>
            <a:ext cx="3554691" cy="485632"/>
            <a:chOff x="8832273" y="1068917"/>
            <a:chExt cx="4509425" cy="497416"/>
          </a:xfrm>
        </xdr:grpSpPr>
        <xdr:sp macro="" textlink="">
          <xdr:nvSpPr>
            <xdr:cNvPr id="55" name="CaixaDeTexto 54">
              <a:extLst>
                <a:ext uri="{FF2B5EF4-FFF2-40B4-BE49-F238E27FC236}">
                  <a16:creationId xmlns:a16="http://schemas.microsoft.com/office/drawing/2014/main" id="{00000000-0008-0000-1B00-000037000000}"/>
                </a:ext>
              </a:extLst>
            </xdr:cNvPr>
            <xdr:cNvSpPr txBox="1"/>
          </xdr:nvSpPr>
          <xdr:spPr>
            <a:xfrm>
              <a:off x="8832273" y="1068917"/>
              <a:ext cx="4509425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800" cap="small" baseline="0%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Quantitativo</a:t>
              </a:r>
              <a:endParaRPr lang="pt-BR" sz="36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endParaRPr>
            </a:p>
          </xdr:txBody>
        </xdr:sp>
        <xdr:cxnSp macro="">
          <xdr:nvCxnSpPr>
            <xdr:cNvPr id="56" name="Conector reto 55">
              <a:extLst>
                <a:ext uri="{FF2B5EF4-FFF2-40B4-BE49-F238E27FC236}">
                  <a16:creationId xmlns:a16="http://schemas.microsoft.com/office/drawing/2014/main" id="{00000000-0008-0000-1B00-000038000000}"/>
                </a:ext>
              </a:extLst>
            </xdr:cNvPr>
            <xdr:cNvCxnSpPr/>
          </xdr:nvCxnSpPr>
          <xdr:spPr>
            <a:xfrm>
              <a:off x="8832273" y="1566333"/>
              <a:ext cx="4502727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9" name="Grupo 18">
            <a:extLst>
              <a:ext uri="{FF2B5EF4-FFF2-40B4-BE49-F238E27FC236}">
                <a16:creationId xmlns:a16="http://schemas.microsoft.com/office/drawing/2014/main" id="{00000000-0008-0000-1B00-000013000000}"/>
              </a:ext>
            </a:extLst>
          </xdr:cNvPr>
          <xdr:cNvGrpSpPr/>
        </xdr:nvGrpSpPr>
        <xdr:grpSpPr>
          <a:xfrm>
            <a:off x="5486395" y="2045616"/>
            <a:ext cx="3522723" cy="5417271"/>
            <a:chOff x="2589617" y="1873971"/>
            <a:chExt cx="3522723" cy="5417271"/>
          </a:xfrm>
        </xdr:grpSpPr>
        <xdr:graphicFrame macro="">
          <xdr:nvGraphicFramePr>
            <xdr:cNvPr id="36" name="Diagrama 35">
              <a:extLst>
                <a:ext uri="{FF2B5EF4-FFF2-40B4-BE49-F238E27FC236}">
                  <a16:creationId xmlns:a16="http://schemas.microsoft.com/office/drawing/2014/main" id="{00000000-0008-0000-1B00-000024000000}"/>
                </a:ext>
              </a:extLst>
            </xdr:cNvPr>
            <xdr:cNvGraphicFramePr/>
          </xdr:nvGraphicFramePr>
          <xdr:xfrm>
            <a:off x="2589617" y="1873971"/>
            <a:ext cx="3522723" cy="5417271"/>
          </xdr:xfrm>
          <a:graphic>
            <a:graphicData uri="http://purl.oclc.org/ooxml/drawingml/diagram">
              <dgm:relIds xmlns:dgm="http://purl.oclc.org/ooxml/drawingml/diagram" xmlns:r="http://purl.oclc.org/ooxml/officeDocument/relationships" r:dm="rId2" r:lo="rId3" r:qs="rId4" r:cs="rId5"/>
            </a:graphicData>
          </a:graphic>
        </xdr:graphicFrame>
        <xdr:grpSp>
          <xdr:nvGrpSpPr>
            <xdr:cNvPr id="18" name="Grupo 17">
              <a:extLst>
                <a:ext uri="{FF2B5EF4-FFF2-40B4-BE49-F238E27FC236}">
                  <a16:creationId xmlns:a16="http://schemas.microsoft.com/office/drawing/2014/main" id="{00000000-0008-0000-1B00-000012000000}"/>
                </a:ext>
              </a:extLst>
            </xdr:cNvPr>
            <xdr:cNvGrpSpPr/>
          </xdr:nvGrpSpPr>
          <xdr:grpSpPr>
            <a:xfrm>
              <a:off x="4453372" y="2531932"/>
              <a:ext cx="1628616" cy="4136431"/>
              <a:chOff x="4453372" y="2531932"/>
              <a:chExt cx="1628616" cy="4136431"/>
            </a:xfrm>
          </xdr:grpSpPr>
          <xdr:sp macro="" textlink="'Dados - Receita e Qntd'!AR57">
            <xdr:nvSpPr>
              <xdr:cNvPr id="15" name="CaixaDeTexto 14">
                <a:extLst>
                  <a:ext uri="{FF2B5EF4-FFF2-40B4-BE49-F238E27FC236}">
                    <a16:creationId xmlns:a16="http://schemas.microsoft.com/office/drawing/2014/main" id="{00000000-0008-0000-1B00-00000F000000}"/>
                  </a:ext>
                </a:extLst>
              </xdr:cNvPr>
              <xdr:cNvSpPr txBox="1"/>
            </xdr:nvSpPr>
            <xdr:spPr>
              <a:xfrm>
                <a:off x="4453372" y="2531932"/>
                <a:ext cx="1628616" cy="85912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2E57F7A4-EC57-4BB7-982B-5C36220DB629}" type="TxLink">
                  <a:rPr lang="en-US" sz="2800" b="1" i="0" u="none" strike="noStrike">
                    <a:solidFill>
                      <a:schemeClr val="bg1"/>
                    </a:solidFill>
                    <a:effectLst>
                      <a:outerShdw blurRad="203200" sx="95%" sy="95%" algn="ctr" rotWithShape="0">
                        <a:srgbClr val="000000"/>
                      </a:outerShdw>
                    </a:effectLst>
                    <a:latin typeface="Calibri"/>
                    <a:ea typeface="+mn-ea"/>
                    <a:cs typeface="Calibri"/>
                  </a:rPr>
                  <a:pPr marL="0" indent="0" algn="ctr"/>
                  <a:t> 898.768 </a:t>
                </a:fld>
                <a:endParaRPr lang="pt-BR" sz="28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endParaRPr>
              </a:p>
            </xdr:txBody>
          </xdr:sp>
          <xdr:sp macro="" textlink="'Dados - Receita e Qntd'!AR56">
            <xdr:nvSpPr>
              <xdr:cNvPr id="33" name="CaixaDeTexto 32">
                <a:extLst>
                  <a:ext uri="{FF2B5EF4-FFF2-40B4-BE49-F238E27FC236}">
                    <a16:creationId xmlns:a16="http://schemas.microsoft.com/office/drawing/2014/main" id="{00000000-0008-0000-1B00-000021000000}"/>
                  </a:ext>
                </a:extLst>
              </xdr:cNvPr>
              <xdr:cNvSpPr txBox="1"/>
            </xdr:nvSpPr>
            <xdr:spPr>
              <a:xfrm>
                <a:off x="4453712" y="3591052"/>
                <a:ext cx="1627936" cy="863694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0F5FA1D2-0656-4AD3-9615-C76C9490532A}" type="TxLink">
                  <a:rPr lang="en-US" sz="2800" b="1" i="0" u="none" strike="noStrike">
                    <a:solidFill>
                      <a:schemeClr val="bg1"/>
                    </a:solidFill>
                    <a:effectLst>
                      <a:outerShdw blurRad="203200" sx="95%" sy="95%" algn="ctr" rotWithShape="0">
                        <a:srgbClr val="000000"/>
                      </a:outerShdw>
                    </a:effectLst>
                    <a:latin typeface="Calibri"/>
                    <a:ea typeface="+mn-ea"/>
                    <a:cs typeface="Calibri"/>
                  </a:rPr>
                  <a:pPr marL="0" indent="0" algn="ctr"/>
                  <a:t> 282.931 </a:t>
                </a:fld>
                <a:endParaRPr lang="pt-BR" sz="28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endParaRPr>
              </a:p>
            </xdr:txBody>
          </xdr:sp>
          <xdr:sp macro="" textlink="'Dados - Receita e Qntd'!AR59">
            <xdr:nvSpPr>
              <xdr:cNvPr id="34" name="CaixaDeTexto 33">
                <a:extLst>
                  <a:ext uri="{FF2B5EF4-FFF2-40B4-BE49-F238E27FC236}">
                    <a16:creationId xmlns:a16="http://schemas.microsoft.com/office/drawing/2014/main" id="{00000000-0008-0000-1B00-000022000000}"/>
                  </a:ext>
                </a:extLst>
              </xdr:cNvPr>
              <xdr:cNvSpPr txBox="1"/>
            </xdr:nvSpPr>
            <xdr:spPr>
              <a:xfrm>
                <a:off x="4453712" y="4633501"/>
                <a:ext cx="1627936" cy="923262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A1C7EAFC-04E4-4AE1-A97A-0B37BB599231}" type="TxLink">
                  <a:rPr lang="en-US" sz="2800" b="1" i="0" u="none" strike="noStrike">
                    <a:solidFill>
                      <a:schemeClr val="bg1"/>
                    </a:solidFill>
                    <a:effectLst>
                      <a:outerShdw blurRad="203200" sx="95%" sy="95%" algn="ctr" rotWithShape="0">
                        <a:srgbClr val="000000"/>
                      </a:outerShdw>
                    </a:effectLst>
                    <a:latin typeface="Calibri"/>
                    <a:ea typeface="+mn-ea"/>
                    <a:cs typeface="Calibri"/>
                  </a:rPr>
                  <a:pPr marL="0" indent="0" algn="ctr"/>
                  <a:t> 5,5 </a:t>
                </a:fld>
                <a:endParaRPr lang="pt-BR" sz="28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endParaRPr>
              </a:p>
            </xdr:txBody>
          </xdr:sp>
          <xdr:sp macro="" textlink="'Dados - Receita e Qntd'!AR58">
            <xdr:nvSpPr>
              <xdr:cNvPr id="35" name="CaixaDeTexto 34">
                <a:extLst>
                  <a:ext uri="{FF2B5EF4-FFF2-40B4-BE49-F238E27FC236}">
                    <a16:creationId xmlns:a16="http://schemas.microsoft.com/office/drawing/2014/main" id="{00000000-0008-0000-1B00-000023000000}"/>
                  </a:ext>
                </a:extLst>
              </xdr:cNvPr>
              <xdr:cNvSpPr txBox="1"/>
            </xdr:nvSpPr>
            <xdr:spPr>
              <a:xfrm>
                <a:off x="4453372" y="5758001"/>
                <a:ext cx="1628616" cy="910362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D14D8AF1-08DC-4B76-8FC5-704B7C387587}" type="TxLink">
                  <a:rPr lang="en-US" sz="2800" b="1" i="0" u="none" strike="noStrike">
                    <a:solidFill>
                      <a:schemeClr val="bg1"/>
                    </a:solidFill>
                    <a:effectLst>
                      <a:outerShdw blurRad="203200" sx="95%" sy="95%" algn="ctr" rotWithShape="0">
                        <a:srgbClr val="000000"/>
                      </a:outerShdw>
                    </a:effectLst>
                    <a:latin typeface="Calibri"/>
                    <a:ea typeface="+mn-ea"/>
                    <a:cs typeface="Calibri"/>
                  </a:rPr>
                  <a:pPr marL="0" indent="0" algn="ctr"/>
                  <a:t> 1,7 </a:t>
                </a:fld>
                <a:endParaRPr lang="pt-BR" sz="28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endParaRPr>
              </a:p>
            </xdr:txBody>
          </xdr:sp>
        </xdr:grpSp>
      </xdr:grpSp>
    </xdr:grpSp>
    <xdr:clientData/>
  </xdr:twoCellAnchor>
  <xdr:twoCellAnchor>
    <xdr:from>
      <xdr:col>18</xdr:col>
      <xdr:colOff>476454</xdr:colOff>
      <xdr:row>6</xdr:row>
      <xdr:rowOff>137474</xdr:rowOff>
    </xdr:from>
    <xdr:to>
      <xdr:col>24</xdr:col>
      <xdr:colOff>382971</xdr:colOff>
      <xdr:row>37</xdr:row>
      <xdr:rowOff>0</xdr:rowOff>
    </xdr:to>
    <xdr:grpSp>
      <xdr:nvGrpSpPr>
        <xdr:cNvPr id="22" name="Grupo 21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GrpSpPr/>
      </xdr:nvGrpSpPr>
      <xdr:grpSpPr>
        <a:xfrm>
          <a:off x="11386909" y="1859671"/>
          <a:ext cx="3543335" cy="6337602"/>
          <a:chOff x="9186423" y="1763813"/>
          <a:chExt cx="3559403" cy="5699074"/>
        </a:xfrm>
      </xdr:grpSpPr>
      <xdr:grpSp>
        <xdr:nvGrpSpPr>
          <xdr:cNvPr id="57" name="Grupo 56">
            <a:extLst>
              <a:ext uri="{FF2B5EF4-FFF2-40B4-BE49-F238E27FC236}">
                <a16:creationId xmlns:a16="http://schemas.microsoft.com/office/drawing/2014/main" id="{00000000-0008-0000-1B00-000039000000}"/>
              </a:ext>
            </a:extLst>
          </xdr:cNvPr>
          <xdr:cNvGrpSpPr/>
        </xdr:nvGrpSpPr>
        <xdr:grpSpPr>
          <a:xfrm>
            <a:off x="9186423" y="1763813"/>
            <a:ext cx="3554691" cy="485632"/>
            <a:chOff x="8832273" y="1068917"/>
            <a:chExt cx="4509425" cy="497416"/>
          </a:xfrm>
        </xdr:grpSpPr>
        <xdr:sp macro="" textlink="">
          <xdr:nvSpPr>
            <xdr:cNvPr id="58" name="CaixaDeTexto 57">
              <a:extLst>
                <a:ext uri="{FF2B5EF4-FFF2-40B4-BE49-F238E27FC236}">
                  <a16:creationId xmlns:a16="http://schemas.microsoft.com/office/drawing/2014/main" id="{00000000-0008-0000-1B00-00003A000000}"/>
                </a:ext>
              </a:extLst>
            </xdr:cNvPr>
            <xdr:cNvSpPr txBox="1"/>
          </xdr:nvSpPr>
          <xdr:spPr>
            <a:xfrm>
              <a:off x="8832273" y="1068917"/>
              <a:ext cx="4509425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800" cap="small" baseline="0%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Receita de Arrecadação</a:t>
              </a:r>
            </a:p>
          </xdr:txBody>
        </xdr:sp>
        <xdr:cxnSp macro="">
          <xdr:nvCxnSpPr>
            <xdr:cNvPr id="59" name="Conector reto 58">
              <a:extLst>
                <a:ext uri="{FF2B5EF4-FFF2-40B4-BE49-F238E27FC236}">
                  <a16:creationId xmlns:a16="http://schemas.microsoft.com/office/drawing/2014/main" id="{00000000-0008-0000-1B00-00003B000000}"/>
                </a:ext>
              </a:extLst>
            </xdr:cNvPr>
            <xdr:cNvCxnSpPr/>
          </xdr:nvCxnSpPr>
          <xdr:spPr>
            <a:xfrm>
              <a:off x="8832273" y="1566333"/>
              <a:ext cx="4502727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00000000-0008-0000-1B00-000010000000}"/>
              </a:ext>
            </a:extLst>
          </xdr:cNvPr>
          <xdr:cNvGrpSpPr/>
        </xdr:nvGrpSpPr>
        <xdr:grpSpPr>
          <a:xfrm>
            <a:off x="9203306" y="2045616"/>
            <a:ext cx="3542520" cy="5417271"/>
            <a:chOff x="6257428" y="1913249"/>
            <a:chExt cx="3542520" cy="5417271"/>
          </a:xfrm>
        </xdr:grpSpPr>
        <xdr:graphicFrame macro="">
          <xdr:nvGraphicFramePr>
            <xdr:cNvPr id="39" name="Diagrama 38">
              <a:extLst>
                <a:ext uri="{FF2B5EF4-FFF2-40B4-BE49-F238E27FC236}">
                  <a16:creationId xmlns:a16="http://schemas.microsoft.com/office/drawing/2014/main" id="{00000000-0008-0000-1B00-000027000000}"/>
                </a:ext>
              </a:extLst>
            </xdr:cNvPr>
            <xdr:cNvGraphicFramePr/>
          </xdr:nvGraphicFramePr>
          <xdr:xfrm>
            <a:off x="6257428" y="1913249"/>
            <a:ext cx="3522880" cy="5417271"/>
          </xdr:xfrm>
          <a:graphic>
            <a:graphicData uri="http://purl.oclc.org/ooxml/drawingml/diagram">
              <dgm:relIds xmlns:dgm="http://purl.oclc.org/ooxml/drawingml/diagram" xmlns:r="http://purl.oclc.org/ooxml/officeDocument/relationships" r:dm="rId7" r:lo="rId8" r:qs="rId9" r:cs="rId10"/>
            </a:graphicData>
          </a:graphic>
        </xdr:graphicFrame>
        <xdr:sp macro="" textlink="'Dados - Receita e Qntd'!AR43">
          <xdr:nvSpPr>
            <xdr:cNvPr id="37" name="CaixaDeTexto 36">
              <a:extLst>
                <a:ext uri="{FF2B5EF4-FFF2-40B4-BE49-F238E27FC236}">
                  <a16:creationId xmlns:a16="http://schemas.microsoft.com/office/drawing/2014/main" id="{00000000-0008-0000-1B00-000025000000}"/>
                </a:ext>
              </a:extLst>
            </xdr:cNvPr>
            <xdr:cNvSpPr txBox="1"/>
          </xdr:nvSpPr>
          <xdr:spPr>
            <a:xfrm>
              <a:off x="8107897" y="2529560"/>
              <a:ext cx="1687141" cy="90077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05298786-D170-45B4-98A8-C2F5BABBE0FD}" type="TxLink">
                <a:rPr lang="en-US" sz="20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R$ 67.954.326</a:t>
              </a:fld>
              <a:endParaRPr lang="pt-BR" sz="20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R42">
          <xdr:nvSpPr>
            <xdr:cNvPr id="38" name="CaixaDeTexto 37">
              <a:extLst>
                <a:ext uri="{FF2B5EF4-FFF2-40B4-BE49-F238E27FC236}">
                  <a16:creationId xmlns:a16="http://schemas.microsoft.com/office/drawing/2014/main" id="{00000000-0008-0000-1B00-000026000000}"/>
                </a:ext>
              </a:extLst>
            </xdr:cNvPr>
            <xdr:cNvSpPr txBox="1"/>
          </xdr:nvSpPr>
          <xdr:spPr>
            <a:xfrm>
              <a:off x="8071700" y="3606185"/>
              <a:ext cx="1728248" cy="90700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E232BF54-F048-4723-84CF-DCFB839C16A5}" type="TxLink">
                <a:rPr lang="en-US" sz="20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R$ 21.247.314</a:t>
              </a:fld>
              <a:endParaRPr lang="pt-BR" sz="20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R44">
          <xdr:nvSpPr>
            <xdr:cNvPr id="40" name="CaixaDeTexto 39">
              <a:extLst>
                <a:ext uri="{FF2B5EF4-FFF2-40B4-BE49-F238E27FC236}">
                  <a16:creationId xmlns:a16="http://schemas.microsoft.com/office/drawing/2014/main" id="{00000000-0008-0000-1B00-000028000000}"/>
                </a:ext>
              </a:extLst>
            </xdr:cNvPr>
            <xdr:cNvSpPr txBox="1"/>
          </xdr:nvSpPr>
          <xdr:spPr>
            <a:xfrm>
              <a:off x="8121515" y="4714427"/>
              <a:ext cx="1628616" cy="92698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809539EC-4170-4A6D-AEC1-6D75CF55F735}" type="TxLink">
                <a:rPr lang="en-US" sz="28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30,1%</a:t>
              </a:fld>
              <a:endParaRPr lang="pt-BR" sz="28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R71">
          <xdr:nvSpPr>
            <xdr:cNvPr id="41" name="CaixaDeTexto 40">
              <a:extLst>
                <a:ext uri="{FF2B5EF4-FFF2-40B4-BE49-F238E27FC236}">
                  <a16:creationId xmlns:a16="http://schemas.microsoft.com/office/drawing/2014/main" id="{00000000-0008-0000-1B00-000029000000}"/>
                </a:ext>
              </a:extLst>
            </xdr:cNvPr>
            <xdr:cNvSpPr txBox="1"/>
          </xdr:nvSpPr>
          <xdr:spPr>
            <a:xfrm>
              <a:off x="8121515" y="5797278"/>
              <a:ext cx="1628616" cy="91036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0EBA0677-49FF-4D3A-8CA8-A4314AC06324}" type="TxLink">
                <a:rPr lang="en-US" sz="28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9,6%</a:t>
              </a:fld>
              <a:endParaRPr lang="pt-BR" sz="60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</xdr:grpSp>
    <xdr:clientData/>
  </xdr:twoCellAnchor>
  <xdr:oneCellAnchor>
    <xdr:from>
      <xdr:col>28</xdr:col>
      <xdr:colOff>274948</xdr:colOff>
      <xdr:row>0</xdr:row>
      <xdr:rowOff>68737</xdr:rowOff>
    </xdr:from>
    <xdr:ext cx="1001595" cy="638510"/>
    <xdr:sp macro="" textlink="">
      <xdr:nvSpPr>
        <xdr:cNvPr id="49" name="CaixaDeTexto 48">
          <a:hlinkClick xmlns:r="http://purl.oclc.org/ooxml/officeDocument/relationships" r:id="rId12"/>
          <a:extLst>
            <a:ext uri="{FF2B5EF4-FFF2-40B4-BE49-F238E27FC236}">
              <a16:creationId xmlns:a16="http://schemas.microsoft.com/office/drawing/2014/main" id="{00000000-0008-0000-1B00-000031000000}"/>
            </a:ext>
          </a:extLst>
        </xdr:cNvPr>
        <xdr:cNvSpPr txBox="1"/>
      </xdr:nvSpPr>
      <xdr:spPr>
        <a:xfrm>
          <a:off x="1731193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%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</xdr:wsDr>
</file>

<file path=xl/drawings/drawing16.xml><?xml version="1.0" encoding="utf-8"?>
<xdr:wsDr xmlns:xdr="http://purl.oclc.org/ooxml/drawingml/spreadsheetDrawing" xmlns:a="http://purl.oclc.org/ooxml/drawingml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21</xdr:col>
      <xdr:colOff>559718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/>
      </xdr:nvSpPr>
      <xdr:spPr>
        <a:xfrm>
          <a:off x="3578259" y="0"/>
          <a:ext cx="978305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 editAs="oneCell">
    <xdr:from>
      <xdr:col>0</xdr:col>
      <xdr:colOff>133654</xdr:colOff>
      <xdr:row>5</xdr:row>
      <xdr:rowOff>157106</xdr:rowOff>
    </xdr:from>
    <xdr:to>
      <xdr:col>28</xdr:col>
      <xdr:colOff>1217638</xdr:colOff>
      <xdr:row>9</xdr:row>
      <xdr:rowOff>98189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Grupo 1">
              <a:extLst>
                <a:ext uri="{FF2B5EF4-FFF2-40B4-BE49-F238E27FC236}">
                  <a16:creationId xmlns:a16="http://schemas.microsoft.com/office/drawing/2014/main" id="{00000000-0008-0000-1C00-000010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rupo 1"/>
            </a:graphicData>
          </a:graphic>
        </xdr:graphicFrame>
      </mc:Choice>
      <mc:Fallback xmlns="" xmlns:a="http://schemas.openxmlformats.org/drawingml/2006/main" xmlns:xdr="http://schemas.openxmlformats.org/drawingml/2006/spreadsheetDrawing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654" y="1669322"/>
              <a:ext cx="18120969" cy="6873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0</xdr:col>
      <xdr:colOff>137474</xdr:colOff>
      <xdr:row>9</xdr:row>
      <xdr:rowOff>147294</xdr:rowOff>
    </xdr:from>
    <xdr:to>
      <xdr:col>28</xdr:col>
      <xdr:colOff>1207818</xdr:colOff>
      <xdr:row>35</xdr:row>
      <xdr:rowOff>119799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2"/>
        </a:graphicData>
      </a:graphic>
    </xdr:graphicFrame>
    <xdr:clientData/>
  </xdr:twoCellAnchor>
  <xdr:twoCellAnchor>
    <xdr:from>
      <xdr:col>1</xdr:col>
      <xdr:colOff>58918</xdr:colOff>
      <xdr:row>2</xdr:row>
      <xdr:rowOff>74084</xdr:rowOff>
    </xdr:from>
    <xdr:to>
      <xdr:col>28</xdr:col>
      <xdr:colOff>667732</xdr:colOff>
      <xdr:row>5</xdr:row>
      <xdr:rowOff>0</xdr:rowOff>
    </xdr:to>
    <xdr:grpSp>
      <xdr:nvGrpSpPr>
        <xdr:cNvPr id="29" name="Grupo 28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GrpSpPr/>
      </xdr:nvGrpSpPr>
      <xdr:grpSpPr>
        <a:xfrm>
          <a:off x="665054" y="1026584"/>
          <a:ext cx="16964875" cy="503189"/>
          <a:chOff x="8832273" y="1068917"/>
          <a:chExt cx="1605344" cy="497416"/>
        </a:xfrm>
      </xdr:grpSpPr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1C00-00001E000000}"/>
              </a:ext>
            </a:extLst>
          </xdr:cNvPr>
          <xdr:cNvSpPr txBox="1"/>
        </xdr:nvSpPr>
        <xdr:spPr>
          <a:xfrm>
            <a:off x="8832273" y="1068917"/>
            <a:ext cx="1605344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Quantitativo de RRTs Pagas - Grupo de Atividade x Gênero</a:t>
            </a:r>
          </a:p>
        </xdr:txBody>
      </xdr:sp>
      <xdr:cxnSp macro="">
        <xdr:nvCxnSpPr>
          <xdr:cNvPr id="31" name="Conector reto 30">
            <a:extLst>
              <a:ext uri="{FF2B5EF4-FFF2-40B4-BE49-F238E27FC236}">
                <a16:creationId xmlns:a16="http://schemas.microsoft.com/office/drawing/2014/main" id="{00000000-0008-0000-1C00-00001F000000}"/>
              </a:ext>
            </a:extLst>
          </xdr:cNvPr>
          <xdr:cNvCxnSpPr/>
        </xdr:nvCxnSpPr>
        <xdr:spPr>
          <a:xfrm>
            <a:off x="8939295" y="1566333"/>
            <a:ext cx="1391299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284767</xdr:colOff>
      <xdr:row>0</xdr:row>
      <xdr:rowOff>68737</xdr:rowOff>
    </xdr:from>
    <xdr:ext cx="1001595" cy="638510"/>
    <xdr:sp macro="" textlink="">
      <xdr:nvSpPr>
        <xdr:cNvPr id="39" name="CaixaDeTexto 38">
          <a:hlinkClick xmlns:r="http://purl.oclc.org/ooxml/officeDocument/relationships" r:id="rId3"/>
          <a:extLst>
            <a:ext uri="{FF2B5EF4-FFF2-40B4-BE49-F238E27FC236}">
              <a16:creationId xmlns:a16="http://schemas.microsoft.com/office/drawing/2014/main" id="{00000000-0008-0000-1C00-000027000000}"/>
            </a:ext>
          </a:extLst>
        </xdr:cNvPr>
        <xdr:cNvSpPr txBox="1"/>
      </xdr:nvSpPr>
      <xdr:spPr>
        <a:xfrm>
          <a:off x="17321752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%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</xdr:wsDr>
</file>

<file path=xl/drawings/drawing17.xml><?xml version="1.0" encoding="utf-8"?>
<xdr:wsDr xmlns:xdr="http://purl.oclc.org/ooxml/drawingml/spreadsheetDrawing" xmlns:a="http://purl.oclc.org/ooxml/drawingml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21</xdr:col>
      <xdr:colOff>589176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/>
      </xdr:nvSpPr>
      <xdr:spPr>
        <a:xfrm>
          <a:off x="3574331" y="0"/>
          <a:ext cx="9799948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>
    <xdr:from>
      <xdr:col>0</xdr:col>
      <xdr:colOff>8337</xdr:colOff>
      <xdr:row>2</xdr:row>
      <xdr:rowOff>15927</xdr:rowOff>
    </xdr:from>
    <xdr:to>
      <xdr:col>28</xdr:col>
      <xdr:colOff>1345282</xdr:colOff>
      <xdr:row>4</xdr:row>
      <xdr:rowOff>128415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pSpPr/>
      </xdr:nvGrpSpPr>
      <xdr:grpSpPr>
        <a:xfrm>
          <a:off x="8337" y="968427"/>
          <a:ext cx="18299142" cy="497336"/>
          <a:chOff x="7929373" y="1068917"/>
          <a:chExt cx="5412325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D00-000005000000}"/>
              </a:ext>
            </a:extLst>
          </xdr:cNvPr>
          <xdr:cNvSpPr txBox="1"/>
        </xdr:nvSpPr>
        <xdr:spPr>
          <a:xfrm>
            <a:off x="7929373" y="1068917"/>
            <a:ext cx="5412325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de Arrecadação - Taxas e Multas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1D00-000006000000}"/>
              </a:ext>
            </a:extLst>
          </xdr:cNvPr>
          <xdr:cNvCxnSpPr/>
        </xdr:nvCxnSpPr>
        <xdr:spPr>
          <a:xfrm>
            <a:off x="9098384" y="1566333"/>
            <a:ext cx="3199118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223599</xdr:colOff>
      <xdr:row>5</xdr:row>
      <xdr:rowOff>81342</xdr:rowOff>
    </xdr:from>
    <xdr:to>
      <xdr:col>4</xdr:col>
      <xdr:colOff>211667</xdr:colOff>
      <xdr:row>8</xdr:row>
      <xdr:rowOff>51516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GrpSpPr/>
      </xdr:nvGrpSpPr>
      <xdr:grpSpPr>
        <a:xfrm>
          <a:off x="223599" y="1611115"/>
          <a:ext cx="2412613" cy="547446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00000000-0008-0000-1D00-000008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:a16="http://schemas.microsoft.com/office/drawing/2014/main" id="{00000000-0008-0000-1D00-000009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16118</xdr:colOff>
      <xdr:row>6</xdr:row>
      <xdr:rowOff>71878</xdr:rowOff>
    </xdr:from>
    <xdr:to>
      <xdr:col>20</xdr:col>
      <xdr:colOff>110054</xdr:colOff>
      <xdr:row>35</xdr:row>
      <xdr:rowOff>68737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GrpSpPr/>
      </xdr:nvGrpSpPr>
      <xdr:grpSpPr>
        <a:xfrm>
          <a:off x="6077482" y="1794075"/>
          <a:ext cx="6155299" cy="5586783"/>
          <a:chOff x="9733175" y="4412137"/>
          <a:chExt cx="3130485" cy="2743200"/>
        </a:xfrm>
      </xdr:grpSpPr>
      <xdr:graphicFrame macro="">
        <xdr:nvGraphicFramePr>
          <xdr:cNvPr id="25" name="Diagrama 24">
            <a:extLst>
              <a:ext uri="{FF2B5EF4-FFF2-40B4-BE49-F238E27FC236}">
                <a16:creationId xmlns:a16="http://schemas.microsoft.com/office/drawing/2014/main" id="{00000000-0008-0000-1D00-000019000000}"/>
              </a:ext>
            </a:extLst>
          </xdr:cNvPr>
          <xdr:cNvGraphicFramePr/>
        </xdr:nvGraphicFramePr>
        <xdr:xfrm>
          <a:off x="9733175" y="4412137"/>
          <a:ext cx="3130485" cy="2743200"/>
        </xdr:xfrm>
        <a:graphic>
          <a:graphicData uri="http://purl.oclc.org/ooxml/drawingml/diagram">
            <dgm:relIds xmlns:dgm="http://purl.oclc.org/ooxml/drawingml/diagram" xmlns:r="http://purl.oclc.org/ooxml/officeDocument/relationships" r:dm="rId2" r:lo="rId3" r:qs="rId4" r:cs="rId5"/>
          </a:graphicData>
        </a:graphic>
      </xdr:graphicFrame>
      <xdr:sp macro="" textlink="'Dados - Receita e Qntd'!AR46">
        <xdr:nvSpPr>
          <xdr:cNvPr id="26" name="CaixaDeTexto 25">
            <a:extLst>
              <a:ext uri="{FF2B5EF4-FFF2-40B4-BE49-F238E27FC236}">
                <a16:creationId xmlns:a16="http://schemas.microsoft.com/office/drawing/2014/main" id="{00000000-0008-0000-1D00-00001A000000}"/>
              </a:ext>
            </a:extLst>
          </xdr:cNvPr>
          <xdr:cNvSpPr txBox="1"/>
        </xdr:nvSpPr>
        <xdr:spPr>
          <a:xfrm>
            <a:off x="11378059" y="4425464"/>
            <a:ext cx="1352506" cy="795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22390437-4CD2-4BAB-8993-06EE719FF794}" type="TxLink">
              <a:rPr lang="en-US" sz="36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R$ 5.328.769</a:t>
            </a:fld>
            <a:endParaRPr lang="pt-BR" sz="344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R45">
        <xdr:nvSpPr>
          <xdr:cNvPr id="42" name="CaixaDeTexto 41">
            <a:extLst>
              <a:ext uri="{FF2B5EF4-FFF2-40B4-BE49-F238E27FC236}">
                <a16:creationId xmlns:a16="http://schemas.microsoft.com/office/drawing/2014/main" id="{00000000-0008-0000-1D00-00002A000000}"/>
              </a:ext>
            </a:extLst>
          </xdr:cNvPr>
          <xdr:cNvSpPr txBox="1"/>
        </xdr:nvSpPr>
        <xdr:spPr>
          <a:xfrm>
            <a:off x="11375677" y="5382762"/>
            <a:ext cx="1352506" cy="795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0AE1E611-C091-4A46-A89F-4418515D66B8}" type="TxLink">
              <a:rPr lang="en-US" sz="36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R$ 1.838.101</a:t>
            </a:fld>
            <a:endParaRPr lang="pt-BR" sz="344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sp macro="" textlink="'Dados - Receita e Qntd'!AR47">
        <xdr:nvSpPr>
          <xdr:cNvPr id="43" name="CaixaDeTexto 42">
            <a:extLst>
              <a:ext uri="{FF2B5EF4-FFF2-40B4-BE49-F238E27FC236}">
                <a16:creationId xmlns:a16="http://schemas.microsoft.com/office/drawing/2014/main" id="{00000000-0008-0000-1D00-00002B000000}"/>
              </a:ext>
            </a:extLst>
          </xdr:cNvPr>
          <xdr:cNvSpPr txBox="1"/>
        </xdr:nvSpPr>
        <xdr:spPr>
          <a:xfrm>
            <a:off x="11378260" y="6345029"/>
            <a:ext cx="1352506" cy="795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23BC34A6-C3EE-478C-96F1-DB5AC86BBFBD}" type="TxLink">
              <a:rPr lang="en-US" sz="40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rPr>
              <a:pPr marL="0" indent="0" algn="ctr"/>
              <a:t>38,3%</a:t>
            </a:fld>
            <a:endParaRPr lang="pt-BR" sz="9600" b="1" i="0" u="none" strike="noStrike">
              <a:solidFill>
                <a:schemeClr val="bg1"/>
              </a:solidFill>
              <a:effectLst>
                <a:outerShdw blurRad="203200" sx="95%" sy="95%" algn="ctr" rotWithShape="0">
                  <a:srgbClr val="000000"/>
                </a:outerShdw>
              </a:effectLst>
              <a:latin typeface="Calibri"/>
              <a:ea typeface="+mn-ea"/>
              <a:cs typeface="Calibri"/>
            </a:endParaRPr>
          </a:p>
        </xdr:txBody>
      </xdr:sp>
    </xdr:grpSp>
    <xdr:clientData/>
  </xdr:twoCellAnchor>
  <xdr:twoCellAnchor editAs="oneCell">
    <xdr:from>
      <xdr:col>0</xdr:col>
      <xdr:colOff>245489</xdr:colOff>
      <xdr:row>8</xdr:row>
      <xdr:rowOff>166931</xdr:rowOff>
    </xdr:from>
    <xdr:to>
      <xdr:col>4</xdr:col>
      <xdr:colOff>216031</xdr:colOff>
      <xdr:row>34</xdr:row>
      <xdr:rowOff>166931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UF 5">
              <a:extLst>
                <a:ext uri="{FF2B5EF4-FFF2-40B4-BE49-F238E27FC236}">
                  <a16:creationId xmlns:a16="http://schemas.microsoft.com/office/drawing/2014/main" id="{00000000-0008-0000-1D00-00001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5"/>
            </a:graphicData>
          </a:graphic>
        </xdr:graphicFrame>
      </mc:Choice>
      <mc:Fallback xmlns="" xmlns:a="http://schemas.openxmlformats.org/drawingml/2006/main" xmlns:xdr="http://schemas.openxmlformats.org/drawingml/2006/spreadsheetDrawing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489" y="2238864"/>
              <a:ext cx="2405800" cy="48606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22</xdr:col>
      <xdr:colOff>500800</xdr:colOff>
      <xdr:row>1</xdr:row>
      <xdr:rowOff>98196</xdr:rowOff>
    </xdr:from>
    <xdr:to>
      <xdr:col>24</xdr:col>
      <xdr:colOff>216033</xdr:colOff>
      <xdr:row>4</xdr:row>
      <xdr:rowOff>88376</xdr:rowOff>
    </xdr:to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1D00-000033000000}"/>
            </a:ext>
          </a:extLst>
        </xdr:cNvPr>
        <xdr:cNvSpPr txBox="1"/>
      </xdr:nvSpPr>
      <xdr:spPr>
        <a:xfrm>
          <a:off x="13894718" y="864124"/>
          <a:ext cx="932861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80%</a:t>
          </a:r>
        </a:p>
      </xdr:txBody>
    </xdr:sp>
    <xdr:clientData/>
  </xdr:twoCellAnchor>
  <xdr:oneCellAnchor>
    <xdr:from>
      <xdr:col>28</xdr:col>
      <xdr:colOff>284768</xdr:colOff>
      <xdr:row>0</xdr:row>
      <xdr:rowOff>58918</xdr:rowOff>
    </xdr:from>
    <xdr:ext cx="1001595" cy="638510"/>
    <xdr:sp macro="" textlink="">
      <xdr:nvSpPr>
        <xdr:cNvPr id="27" name="CaixaDeTexto 26">
          <a:hlinkClick xmlns:r="http://purl.oclc.org/ooxml/officeDocument/relationships" r:id="rId7"/>
          <a:extLst>
            <a:ext uri="{FF2B5EF4-FFF2-40B4-BE49-F238E27FC236}">
              <a16:creationId xmlns:a16="http://schemas.microsoft.com/office/drawing/2014/main" id="{00000000-0008-0000-1D00-00001B000000}"/>
            </a:ext>
          </a:extLst>
        </xdr:cNvPr>
        <xdr:cNvSpPr txBox="1"/>
      </xdr:nvSpPr>
      <xdr:spPr>
        <a:xfrm>
          <a:off x="17321753" y="58918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%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</xdr:wsDr>
</file>

<file path=xl/drawings/drawing18.xml><?xml version="1.0" encoding="utf-8"?>
<xdr:wsDr xmlns:xdr="http://purl.oclc.org/ooxml/drawingml/spreadsheetDrawing" xmlns:a="http://purl.oclc.org/ooxml/drawingml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21</xdr:col>
      <xdr:colOff>589176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/>
      </xdr:nvSpPr>
      <xdr:spPr>
        <a:xfrm>
          <a:off x="3574331" y="0"/>
          <a:ext cx="9799948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>
    <xdr:from>
      <xdr:col>3</xdr:col>
      <xdr:colOff>114675</xdr:colOff>
      <xdr:row>2</xdr:row>
      <xdr:rowOff>15927</xdr:rowOff>
    </xdr:from>
    <xdr:to>
      <xdr:col>27</xdr:col>
      <xdr:colOff>79542</xdr:colOff>
      <xdr:row>4</xdr:row>
      <xdr:rowOff>128415</xdr:rowOff>
    </xdr:to>
    <xdr:grpSp>
      <xdr:nvGrpSpPr>
        <xdr:cNvPr id="49" name="Grupo 48">
          <a:extLst>
            <a:ext uri="{FF2B5EF4-FFF2-40B4-BE49-F238E27FC236}">
              <a16:creationId xmlns:a16="http://schemas.microsoft.com/office/drawing/2014/main" id="{00000000-0008-0000-1E00-000031000000}"/>
            </a:ext>
          </a:extLst>
        </xdr:cNvPr>
        <xdr:cNvGrpSpPr/>
      </xdr:nvGrpSpPr>
      <xdr:grpSpPr>
        <a:xfrm>
          <a:off x="1933084" y="968427"/>
          <a:ext cx="14512140" cy="497336"/>
          <a:chOff x="1941118" y="968427"/>
          <a:chExt cx="1457641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E00-000005000000}"/>
              </a:ext>
            </a:extLst>
          </xdr:cNvPr>
          <xdr:cNvSpPr txBox="1"/>
        </xdr:nvSpPr>
        <xdr:spPr>
          <a:xfrm>
            <a:off x="194111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de Arrecadação - Anuidades PF e PJ - CAU/BR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1E00-000006000000}"/>
              </a:ext>
            </a:extLst>
          </xdr:cNvPr>
          <xdr:cNvCxnSpPr/>
        </xdr:nvCxnSpPr>
        <xdr:spPr>
          <a:xfrm>
            <a:off x="2443325" y="1454059"/>
            <a:ext cx="1357200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24</xdr:col>
      <xdr:colOff>441882</xdr:colOff>
      <xdr:row>1</xdr:row>
      <xdr:rowOff>88377</xdr:rowOff>
    </xdr:from>
    <xdr:to>
      <xdr:col>26</xdr:col>
      <xdr:colOff>157114</xdr:colOff>
      <xdr:row>4</xdr:row>
      <xdr:rowOff>78557</xdr:rowOff>
    </xdr:to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 txBox="1"/>
      </xdr:nvSpPr>
      <xdr:spPr>
        <a:xfrm>
          <a:off x="15053428" y="854305"/>
          <a:ext cx="932861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20%</a:t>
          </a:r>
        </a:p>
      </xdr:txBody>
    </xdr:sp>
    <xdr:clientData/>
  </xdr:twoCellAnchor>
  <xdr:twoCellAnchor>
    <xdr:from>
      <xdr:col>0</xdr:col>
      <xdr:colOff>98200</xdr:colOff>
      <xdr:row>5</xdr:row>
      <xdr:rowOff>166933</xdr:rowOff>
    </xdr:from>
    <xdr:to>
      <xdr:col>6</xdr:col>
      <xdr:colOff>314231</xdr:colOff>
      <xdr:row>34</xdr:row>
      <xdr:rowOff>178680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1E00-000032000000}"/>
            </a:ext>
          </a:extLst>
        </xdr:cNvPr>
        <xdr:cNvGrpSpPr/>
      </xdr:nvGrpSpPr>
      <xdr:grpSpPr>
        <a:xfrm>
          <a:off x="98200" y="1696706"/>
          <a:ext cx="3852849" cy="5601671"/>
          <a:chOff x="0" y="1679149"/>
          <a:chExt cx="3868918" cy="5432160"/>
        </a:xfrm>
      </xdr:grpSpPr>
      <xdr:grpSp>
        <xdr:nvGrpSpPr>
          <xdr:cNvPr id="31" name="Grupo 30">
            <a:extLst>
              <a:ext uri="{FF2B5EF4-FFF2-40B4-BE49-F238E27FC236}">
                <a16:creationId xmlns:a16="http://schemas.microsoft.com/office/drawing/2014/main" id="{00000000-0008-0000-1E00-00001F000000}"/>
              </a:ext>
            </a:extLst>
          </xdr:cNvPr>
          <xdr:cNvGrpSpPr/>
        </xdr:nvGrpSpPr>
        <xdr:grpSpPr>
          <a:xfrm>
            <a:off x="0" y="2447005"/>
            <a:ext cx="3868918" cy="4664304"/>
            <a:chOff x="9733175" y="4412137"/>
            <a:chExt cx="3130485" cy="2743200"/>
          </a:xfrm>
        </xdr:grpSpPr>
        <xdr:graphicFrame macro="">
          <xdr:nvGraphicFramePr>
            <xdr:cNvPr id="32" name="Diagrama 31">
              <a:extLst>
                <a:ext uri="{FF2B5EF4-FFF2-40B4-BE49-F238E27FC236}">
                  <a16:creationId xmlns:a16="http://schemas.microsoft.com/office/drawing/2014/main" id="{00000000-0008-0000-1E00-000020000000}"/>
                </a:ext>
              </a:extLst>
            </xdr:cNvPr>
            <xdr:cNvGraphicFramePr/>
          </xdr:nvGraphicFramePr>
          <xdr:xfrm>
            <a:off x="9733175" y="4412137"/>
            <a:ext cx="3130485" cy="2743200"/>
          </xdr:xfrm>
          <a:graphic>
            <a:graphicData uri="http://purl.oclc.org/ooxml/drawingml/diagram">
              <dgm:relIds xmlns:dgm="http://purl.oclc.org/ooxml/drawingml/diagram" xmlns:r="http://purl.oclc.org/ooxml/officeDocument/relationships" r:dm="rId2" r:lo="rId3" r:qs="rId4" r:cs="rId5"/>
            </a:graphicData>
          </a:graphic>
        </xdr:graphicFrame>
        <xdr:sp macro="" textlink="'Dados - Receita e Qntd'!D31">
          <xdr:nvSpPr>
            <xdr:cNvPr id="33" name="CaixaDeTexto 32">
              <a:extLst>
                <a:ext uri="{FF2B5EF4-FFF2-40B4-BE49-F238E27FC236}">
                  <a16:creationId xmlns:a16="http://schemas.microsoft.com/office/drawing/2014/main" id="{00000000-0008-0000-1E00-000021000000}"/>
                </a:ext>
              </a:extLst>
            </xdr:cNvPr>
            <xdr:cNvSpPr txBox="1"/>
          </xdr:nvSpPr>
          <xdr:spPr>
            <a:xfrm>
              <a:off x="11396658" y="5138799"/>
              <a:ext cx="1339931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FBCAAF94-CDE8-4B83-943B-B7650F8A1C33}" type="TxLink">
                <a:rPr lang="en-US" sz="20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R$ 6.337.467</a:t>
              </a:fld>
              <a:endParaRPr lang="pt-BR" sz="20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E31">
          <xdr:nvSpPr>
            <xdr:cNvPr id="34" name="CaixaDeTexto 33">
              <a:extLst>
                <a:ext uri="{FF2B5EF4-FFF2-40B4-BE49-F238E27FC236}">
                  <a16:creationId xmlns:a16="http://schemas.microsoft.com/office/drawing/2014/main" id="{00000000-0008-0000-1E00-000022000000}"/>
                </a:ext>
              </a:extLst>
            </xdr:cNvPr>
            <xdr:cNvSpPr txBox="1"/>
          </xdr:nvSpPr>
          <xdr:spPr>
            <a:xfrm>
              <a:off x="11396658" y="4429400"/>
              <a:ext cx="1339931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DD30D172-FDB1-468C-83D1-21025087AE63}" type="TxLink">
                <a:rPr lang="en-US" sz="20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R$ 11.569.170</a:t>
              </a:fld>
              <a:endParaRPr lang="pt-BR" sz="96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F31">
          <xdr:nvSpPr>
            <xdr:cNvPr id="35" name="CaixaDeTexto 34">
              <a:extLst>
                <a:ext uri="{FF2B5EF4-FFF2-40B4-BE49-F238E27FC236}">
                  <a16:creationId xmlns:a16="http://schemas.microsoft.com/office/drawing/2014/main" id="{00000000-0008-0000-1E00-000023000000}"/>
                </a:ext>
              </a:extLst>
            </xdr:cNvPr>
            <xdr:cNvSpPr txBox="1"/>
          </xdr:nvSpPr>
          <xdr:spPr>
            <a:xfrm>
              <a:off x="11396658" y="5848199"/>
              <a:ext cx="1339931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50E153EC-BE9E-4262-8B1A-B940775B2CAA}" type="TxLink">
                <a:rPr lang="en-US" sz="20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54,8%</a:t>
              </a:fld>
              <a:endParaRPr lang="pt-BR" sz="20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M31">
          <xdr:nvSpPr>
            <xdr:cNvPr id="36" name="CaixaDeTexto 35">
              <a:extLst>
                <a:ext uri="{FF2B5EF4-FFF2-40B4-BE49-F238E27FC236}">
                  <a16:creationId xmlns:a16="http://schemas.microsoft.com/office/drawing/2014/main" id="{00000000-0008-0000-1E00-000024000000}"/>
                </a:ext>
              </a:extLst>
            </xdr:cNvPr>
            <xdr:cNvSpPr txBox="1"/>
          </xdr:nvSpPr>
          <xdr:spPr>
            <a:xfrm>
              <a:off x="11396658" y="6557597"/>
              <a:ext cx="1339931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AA0B899A-A878-497E-BF3F-B5F184BBEB7B}" type="TxLink">
                <a:rPr lang="en-US" sz="20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1,7%</a:t>
              </a:fld>
              <a:endParaRPr lang="pt-BR" sz="20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  <xdr:grpSp>
        <xdr:nvGrpSpPr>
          <xdr:cNvPr id="37" name="Grupo 36">
            <a:extLst>
              <a:ext uri="{FF2B5EF4-FFF2-40B4-BE49-F238E27FC236}">
                <a16:creationId xmlns:a16="http://schemas.microsoft.com/office/drawing/2014/main" id="{00000000-0008-0000-1E00-000025000000}"/>
              </a:ext>
            </a:extLst>
          </xdr:cNvPr>
          <xdr:cNvGrpSpPr/>
        </xdr:nvGrpSpPr>
        <xdr:grpSpPr>
          <a:xfrm>
            <a:off x="591696" y="1679149"/>
            <a:ext cx="2685527" cy="529891"/>
            <a:chOff x="7926917" y="1026747"/>
            <a:chExt cx="3174401" cy="539586"/>
          </a:xfrm>
        </xdr:grpSpPr>
        <xdr:sp macro="" textlink="">
          <xdr:nvSpPr>
            <xdr:cNvPr id="38" name="CaixaDeTexto 37">
              <a:extLst>
                <a:ext uri="{FF2B5EF4-FFF2-40B4-BE49-F238E27FC236}">
                  <a16:creationId xmlns:a16="http://schemas.microsoft.com/office/drawing/2014/main" id="{00000000-0008-0000-1E00-000026000000}"/>
                </a:ext>
              </a:extLst>
            </xdr:cNvPr>
            <xdr:cNvSpPr txBox="1"/>
          </xdr:nvSpPr>
          <xdr:spPr>
            <a:xfrm>
              <a:off x="8049658" y="1026747"/>
              <a:ext cx="2935173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400" cap="small" baseline="0%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Exercício 2019 - PF</a:t>
              </a:r>
            </a:p>
          </xdr:txBody>
        </xdr:sp>
        <xdr:cxnSp macro="">
          <xdr:nvCxnSpPr>
            <xdr:cNvPr id="39" name="Conector reto 38">
              <a:extLst>
                <a:ext uri="{FF2B5EF4-FFF2-40B4-BE49-F238E27FC236}">
                  <a16:creationId xmlns:a16="http://schemas.microsoft.com/office/drawing/2014/main" id="{00000000-0008-0000-1E00-000027000000}"/>
                </a:ext>
              </a:extLst>
            </xdr:cNvPr>
            <xdr:cNvCxnSpPr/>
          </xdr:nvCxnSpPr>
          <xdr:spPr>
            <a:xfrm>
              <a:off x="7926917" y="1566333"/>
              <a:ext cx="3174401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7</xdr:col>
      <xdr:colOff>39278</xdr:colOff>
      <xdr:row>9</xdr:row>
      <xdr:rowOff>98192</xdr:rowOff>
    </xdr:from>
    <xdr:to>
      <xdr:col>12</xdr:col>
      <xdr:colOff>579355</xdr:colOff>
      <xdr:row>34</xdr:row>
      <xdr:rowOff>119759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1E00-000033000000}"/>
            </a:ext>
          </a:extLst>
        </xdr:cNvPr>
        <xdr:cNvGrpSpPr/>
      </xdr:nvGrpSpPr>
      <xdr:grpSpPr>
        <a:xfrm>
          <a:off x="4282233" y="2397662"/>
          <a:ext cx="3570758" cy="4841794"/>
          <a:chOff x="4202779" y="2454897"/>
          <a:chExt cx="3584149" cy="4695691"/>
        </a:xfrm>
      </xdr:grpSpPr>
      <xdr:grpSp>
        <xdr:nvGrpSpPr>
          <xdr:cNvPr id="41" name="Grupo 40">
            <a:extLst>
              <a:ext uri="{FF2B5EF4-FFF2-40B4-BE49-F238E27FC236}">
                <a16:creationId xmlns:a16="http://schemas.microsoft.com/office/drawing/2014/main" id="{00000000-0008-0000-1E00-000029000000}"/>
              </a:ext>
            </a:extLst>
          </xdr:cNvPr>
          <xdr:cNvGrpSpPr/>
        </xdr:nvGrpSpPr>
        <xdr:grpSpPr>
          <a:xfrm>
            <a:off x="4232244" y="2486284"/>
            <a:ext cx="3549586" cy="4664304"/>
            <a:chOff x="9733175" y="4412137"/>
            <a:chExt cx="3130485" cy="2743200"/>
          </a:xfrm>
        </xdr:grpSpPr>
        <xdr:graphicFrame macro="">
          <xdr:nvGraphicFramePr>
            <xdr:cNvPr id="45" name="Diagrama 44">
              <a:extLst>
                <a:ext uri="{FF2B5EF4-FFF2-40B4-BE49-F238E27FC236}">
                  <a16:creationId xmlns:a16="http://schemas.microsoft.com/office/drawing/2014/main" id="{00000000-0008-0000-1E00-00002D000000}"/>
                </a:ext>
              </a:extLst>
            </xdr:cNvPr>
            <xdr:cNvGraphicFramePr/>
          </xdr:nvGraphicFramePr>
          <xdr:xfrm>
            <a:off x="9733175" y="4412137"/>
            <a:ext cx="3130485" cy="2743200"/>
          </xdr:xfrm>
          <a:graphic>
            <a:graphicData uri="http://purl.oclc.org/ooxml/drawingml/diagram">
              <dgm:relIds xmlns:dgm="http://purl.oclc.org/ooxml/drawingml/diagram" xmlns:r="http://purl.oclc.org/ooxml/officeDocument/relationships" r:dm="rId7" r:lo="rId8" r:qs="rId9" r:cs="rId10"/>
            </a:graphicData>
          </a:graphic>
        </xdr:graphicFrame>
        <xdr:sp macro="" textlink="'Dados - Receita e Qntd'!AU34">
          <xdr:nvSpPr>
            <xdr:cNvPr id="46" name="CaixaDeTexto 45">
              <a:extLst>
                <a:ext uri="{FF2B5EF4-FFF2-40B4-BE49-F238E27FC236}">
                  <a16:creationId xmlns:a16="http://schemas.microsoft.com/office/drawing/2014/main" id="{00000000-0008-0000-1E00-00002E000000}"/>
                </a:ext>
              </a:extLst>
            </xdr:cNvPr>
            <xdr:cNvSpPr txBox="1"/>
          </xdr:nvSpPr>
          <xdr:spPr>
            <a:xfrm>
              <a:off x="11327892" y="4902170"/>
              <a:ext cx="1514450" cy="5271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93F211E7-2F8B-4C1D-A29C-E720D39430FB}" type="TxLink">
                <a:rPr lang="en-US" sz="18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sem previsão</a:t>
              </a:fld>
              <a:endParaRPr lang="pt-BR" sz="18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G31">
          <xdr:nvSpPr>
            <xdr:cNvPr id="47" name="CaixaDeTexto 46">
              <a:extLst>
                <a:ext uri="{FF2B5EF4-FFF2-40B4-BE49-F238E27FC236}">
                  <a16:creationId xmlns:a16="http://schemas.microsoft.com/office/drawing/2014/main" id="{00000000-0008-0000-1E00-00002F000000}"/>
                </a:ext>
              </a:extLst>
            </xdr:cNvPr>
            <xdr:cNvSpPr txBox="1"/>
          </xdr:nvSpPr>
          <xdr:spPr>
            <a:xfrm>
              <a:off x="11327892" y="5520909"/>
              <a:ext cx="1514450" cy="5271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D1217123-2736-4377-B64F-0EB9994DC743}" type="TxLink">
                <a:rPr lang="en-US" sz="18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R$ 949.044</a:t>
              </a:fld>
              <a:endParaRPr lang="pt-BR" sz="18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U34">
          <xdr:nvSpPr>
            <xdr:cNvPr id="48" name="CaixaDeTexto 47">
              <a:extLst>
                <a:ext uri="{FF2B5EF4-FFF2-40B4-BE49-F238E27FC236}">
                  <a16:creationId xmlns:a16="http://schemas.microsoft.com/office/drawing/2014/main" id="{00000000-0008-0000-1E00-000030000000}"/>
                </a:ext>
              </a:extLst>
            </xdr:cNvPr>
            <xdr:cNvSpPr txBox="1"/>
          </xdr:nvSpPr>
          <xdr:spPr>
            <a:xfrm>
              <a:off x="11336553" y="6155101"/>
              <a:ext cx="1514449" cy="5271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369BB9DA-ED00-4D3F-AD2F-ACF4130CFE09}" type="TxLink">
                <a:rPr lang="en-US" sz="18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sem previsão</a:t>
              </a:fld>
              <a:endParaRPr lang="pt-BR" sz="18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  <xdr:grpSp>
        <xdr:nvGrpSpPr>
          <xdr:cNvPr id="42" name="Grupo 41">
            <a:extLst>
              <a:ext uri="{FF2B5EF4-FFF2-40B4-BE49-F238E27FC236}">
                <a16:creationId xmlns:a16="http://schemas.microsoft.com/office/drawing/2014/main" id="{00000000-0008-0000-1E00-00002A000000}"/>
              </a:ext>
            </a:extLst>
          </xdr:cNvPr>
          <xdr:cNvGrpSpPr/>
        </xdr:nvGrpSpPr>
        <xdr:grpSpPr>
          <a:xfrm>
            <a:off x="4202779" y="2454897"/>
            <a:ext cx="3584149" cy="529891"/>
            <a:chOff x="7196124" y="1026747"/>
            <a:chExt cx="4617748" cy="539586"/>
          </a:xfrm>
        </xdr:grpSpPr>
        <xdr:sp macro="" textlink="">
          <xdr:nvSpPr>
            <xdr:cNvPr id="43" name="CaixaDeTexto 42">
              <a:extLst>
                <a:ext uri="{FF2B5EF4-FFF2-40B4-BE49-F238E27FC236}">
                  <a16:creationId xmlns:a16="http://schemas.microsoft.com/office/drawing/2014/main" id="{00000000-0008-0000-1E00-00002B000000}"/>
                </a:ext>
              </a:extLst>
            </xdr:cNvPr>
            <xdr:cNvSpPr txBox="1"/>
          </xdr:nvSpPr>
          <xdr:spPr>
            <a:xfrm>
              <a:off x="7196124" y="1026747"/>
              <a:ext cx="4617748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400" cap="small" baseline="0%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Exercícios Anteriores - PF</a:t>
              </a:r>
            </a:p>
          </xdr:txBody>
        </xdr:sp>
        <xdr:cxnSp macro="">
          <xdr:nvCxnSpPr>
            <xdr:cNvPr id="44" name="Conector reto 43">
              <a:extLst>
                <a:ext uri="{FF2B5EF4-FFF2-40B4-BE49-F238E27FC236}">
                  <a16:creationId xmlns:a16="http://schemas.microsoft.com/office/drawing/2014/main" id="{00000000-0008-0000-1E00-00002C000000}"/>
                </a:ext>
              </a:extLst>
            </xdr:cNvPr>
            <xdr:cNvCxnSpPr/>
          </xdr:nvCxnSpPr>
          <xdr:spPr>
            <a:xfrm>
              <a:off x="7572662" y="1566333"/>
              <a:ext cx="3896064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16</xdr:col>
      <xdr:colOff>240780</xdr:colOff>
      <xdr:row>6</xdr:row>
      <xdr:rowOff>14925</xdr:rowOff>
    </xdr:from>
    <xdr:to>
      <xdr:col>22</xdr:col>
      <xdr:colOff>456811</xdr:colOff>
      <xdr:row>35</xdr:row>
      <xdr:rowOff>26673</xdr:rowOff>
    </xdr:to>
    <xdr:grpSp>
      <xdr:nvGrpSpPr>
        <xdr:cNvPr id="71" name="Grupo 70">
          <a:extLst>
            <a:ext uri="{FF2B5EF4-FFF2-40B4-BE49-F238E27FC236}">
              <a16:creationId xmlns:a16="http://schemas.microsoft.com/office/drawing/2014/main" id="{00000000-0008-0000-1E00-000047000000}"/>
            </a:ext>
          </a:extLst>
        </xdr:cNvPr>
        <xdr:cNvGrpSpPr/>
      </xdr:nvGrpSpPr>
      <xdr:grpSpPr>
        <a:xfrm>
          <a:off x="9938962" y="1737122"/>
          <a:ext cx="3852849" cy="5601672"/>
          <a:chOff x="0" y="1679149"/>
          <a:chExt cx="3868918" cy="5432160"/>
        </a:xfrm>
      </xdr:grpSpPr>
      <xdr:grpSp>
        <xdr:nvGrpSpPr>
          <xdr:cNvPr id="72" name="Grupo 71">
            <a:extLst>
              <a:ext uri="{FF2B5EF4-FFF2-40B4-BE49-F238E27FC236}">
                <a16:creationId xmlns:a16="http://schemas.microsoft.com/office/drawing/2014/main" id="{00000000-0008-0000-1E00-000048000000}"/>
              </a:ext>
            </a:extLst>
          </xdr:cNvPr>
          <xdr:cNvGrpSpPr/>
        </xdr:nvGrpSpPr>
        <xdr:grpSpPr>
          <a:xfrm>
            <a:off x="0" y="2447005"/>
            <a:ext cx="3868918" cy="4664304"/>
            <a:chOff x="9733175" y="4412137"/>
            <a:chExt cx="3130485" cy="2743200"/>
          </a:xfrm>
        </xdr:grpSpPr>
        <xdr:graphicFrame macro="">
          <xdr:nvGraphicFramePr>
            <xdr:cNvPr id="76" name="Diagrama 75">
              <a:extLst>
                <a:ext uri="{FF2B5EF4-FFF2-40B4-BE49-F238E27FC236}">
                  <a16:creationId xmlns:a16="http://schemas.microsoft.com/office/drawing/2014/main" id="{00000000-0008-0000-1E00-00004C000000}"/>
                </a:ext>
              </a:extLst>
            </xdr:cNvPr>
            <xdr:cNvGraphicFramePr/>
          </xdr:nvGraphicFramePr>
          <xdr:xfrm>
            <a:off x="9733175" y="4412137"/>
            <a:ext cx="3130485" cy="2743200"/>
          </xdr:xfrm>
          <a:graphic>
            <a:graphicData uri="http://purl.oclc.org/ooxml/drawingml/diagram">
              <dgm:relIds xmlns:dgm="http://purl.oclc.org/ooxml/drawingml/diagram" xmlns:r="http://purl.oclc.org/ooxml/officeDocument/relationships" r:dm="rId12" r:lo="rId13" r:qs="rId14" r:cs="rId15"/>
            </a:graphicData>
          </a:graphic>
        </xdr:graphicFrame>
        <xdr:sp macro="" textlink="'Dados - Receita e Qntd'!H31">
          <xdr:nvSpPr>
            <xdr:cNvPr id="77" name="CaixaDeTexto 76">
              <a:extLst>
                <a:ext uri="{FF2B5EF4-FFF2-40B4-BE49-F238E27FC236}">
                  <a16:creationId xmlns:a16="http://schemas.microsoft.com/office/drawing/2014/main" id="{00000000-0008-0000-1E00-00004D000000}"/>
                </a:ext>
              </a:extLst>
            </xdr:cNvPr>
            <xdr:cNvSpPr txBox="1"/>
          </xdr:nvSpPr>
          <xdr:spPr>
            <a:xfrm>
              <a:off x="11420123" y="5138799"/>
              <a:ext cx="1339931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A19322B7-C530-4B72-A681-5F9F54F49A48}" type="TxLink">
                <a:rPr lang="en-US" sz="20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R$ 798.387</a:t>
              </a:fld>
              <a:endParaRPr lang="pt-BR" sz="20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I31">
          <xdr:nvSpPr>
            <xdr:cNvPr id="78" name="CaixaDeTexto 77">
              <a:extLst>
                <a:ext uri="{FF2B5EF4-FFF2-40B4-BE49-F238E27FC236}">
                  <a16:creationId xmlns:a16="http://schemas.microsoft.com/office/drawing/2014/main" id="{00000000-0008-0000-1E00-00004E000000}"/>
                </a:ext>
              </a:extLst>
            </xdr:cNvPr>
            <xdr:cNvSpPr txBox="1"/>
          </xdr:nvSpPr>
          <xdr:spPr>
            <a:xfrm>
              <a:off x="11420123" y="4429400"/>
              <a:ext cx="1339931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67A7A9E7-22A5-44CC-88D2-F68758895E35}" type="TxLink">
                <a:rPr lang="en-US" sz="20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R$ 2.037.793</a:t>
              </a:fld>
              <a:endParaRPr lang="pt-BR" sz="96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J31">
          <xdr:nvSpPr>
            <xdr:cNvPr id="79" name="CaixaDeTexto 78">
              <a:extLst>
                <a:ext uri="{FF2B5EF4-FFF2-40B4-BE49-F238E27FC236}">
                  <a16:creationId xmlns:a16="http://schemas.microsoft.com/office/drawing/2014/main" id="{00000000-0008-0000-1E00-00004F000000}"/>
                </a:ext>
              </a:extLst>
            </xdr:cNvPr>
            <xdr:cNvSpPr txBox="1"/>
          </xdr:nvSpPr>
          <xdr:spPr>
            <a:xfrm>
              <a:off x="11420123" y="5848199"/>
              <a:ext cx="1339931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C9E8AEEC-0A60-4C5E-9090-E51CF5848F68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39,2%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N31">
          <xdr:nvSpPr>
            <xdr:cNvPr id="80" name="CaixaDeTexto 79">
              <a:extLst>
                <a:ext uri="{FF2B5EF4-FFF2-40B4-BE49-F238E27FC236}">
                  <a16:creationId xmlns:a16="http://schemas.microsoft.com/office/drawing/2014/main" id="{00000000-0008-0000-1E00-000050000000}"/>
                </a:ext>
              </a:extLst>
            </xdr:cNvPr>
            <xdr:cNvSpPr txBox="1"/>
          </xdr:nvSpPr>
          <xdr:spPr>
            <a:xfrm>
              <a:off x="11420123" y="6557597"/>
              <a:ext cx="1339931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2B53658C-E5FE-4CE3-B2CB-CC574065B4C6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9,8%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  <xdr:grpSp>
        <xdr:nvGrpSpPr>
          <xdr:cNvPr id="73" name="Grupo 72">
            <a:extLst>
              <a:ext uri="{FF2B5EF4-FFF2-40B4-BE49-F238E27FC236}">
                <a16:creationId xmlns:a16="http://schemas.microsoft.com/office/drawing/2014/main" id="{00000000-0008-0000-1E00-000049000000}"/>
              </a:ext>
            </a:extLst>
          </xdr:cNvPr>
          <xdr:cNvGrpSpPr/>
        </xdr:nvGrpSpPr>
        <xdr:grpSpPr>
          <a:xfrm>
            <a:off x="591696" y="1679149"/>
            <a:ext cx="2685527" cy="529891"/>
            <a:chOff x="7926917" y="1026747"/>
            <a:chExt cx="3174401" cy="539586"/>
          </a:xfrm>
        </xdr:grpSpPr>
        <xdr:sp macro="" textlink="">
          <xdr:nvSpPr>
            <xdr:cNvPr id="74" name="CaixaDeTexto 73">
              <a:extLst>
                <a:ext uri="{FF2B5EF4-FFF2-40B4-BE49-F238E27FC236}">
                  <a16:creationId xmlns:a16="http://schemas.microsoft.com/office/drawing/2014/main" id="{00000000-0008-0000-1E00-00004A000000}"/>
                </a:ext>
              </a:extLst>
            </xdr:cNvPr>
            <xdr:cNvSpPr txBox="1"/>
          </xdr:nvSpPr>
          <xdr:spPr>
            <a:xfrm>
              <a:off x="8049658" y="1026747"/>
              <a:ext cx="2935173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400" cap="small" baseline="0%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Exercício 2019 - PJ</a:t>
              </a:r>
            </a:p>
          </xdr:txBody>
        </xdr:sp>
        <xdr:cxnSp macro="">
          <xdr:nvCxnSpPr>
            <xdr:cNvPr id="75" name="Conector reto 74">
              <a:extLst>
                <a:ext uri="{FF2B5EF4-FFF2-40B4-BE49-F238E27FC236}">
                  <a16:creationId xmlns:a16="http://schemas.microsoft.com/office/drawing/2014/main" id="{00000000-0008-0000-1E00-00004B000000}"/>
                </a:ext>
              </a:extLst>
            </xdr:cNvPr>
            <xdr:cNvCxnSpPr/>
          </xdr:nvCxnSpPr>
          <xdr:spPr>
            <a:xfrm>
              <a:off x="7926917" y="1566333"/>
              <a:ext cx="3174401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23</xdr:col>
      <xdr:colOff>176754</xdr:colOff>
      <xdr:row>9</xdr:row>
      <xdr:rowOff>132757</xdr:rowOff>
    </xdr:from>
    <xdr:to>
      <xdr:col>28</xdr:col>
      <xdr:colOff>726656</xdr:colOff>
      <xdr:row>34</xdr:row>
      <xdr:rowOff>154324</xdr:rowOff>
    </xdr:to>
    <xdr:grpSp>
      <xdr:nvGrpSpPr>
        <xdr:cNvPr id="81" name="Grupo 80">
          <a:extLst>
            <a:ext uri="{FF2B5EF4-FFF2-40B4-BE49-F238E27FC236}">
              <a16:creationId xmlns:a16="http://schemas.microsoft.com/office/drawing/2014/main" id="{00000000-0008-0000-1E00-000051000000}"/>
            </a:ext>
          </a:extLst>
        </xdr:cNvPr>
        <xdr:cNvGrpSpPr/>
      </xdr:nvGrpSpPr>
      <xdr:grpSpPr>
        <a:xfrm>
          <a:off x="14117890" y="2432227"/>
          <a:ext cx="3570963" cy="4841794"/>
          <a:chOff x="4197675" y="2454897"/>
          <a:chExt cx="3584155" cy="4695691"/>
        </a:xfrm>
      </xdr:grpSpPr>
      <xdr:grpSp>
        <xdr:nvGrpSpPr>
          <xdr:cNvPr id="82" name="Grupo 81">
            <a:extLst>
              <a:ext uri="{FF2B5EF4-FFF2-40B4-BE49-F238E27FC236}">
                <a16:creationId xmlns:a16="http://schemas.microsoft.com/office/drawing/2014/main" id="{00000000-0008-0000-1E00-000052000000}"/>
              </a:ext>
            </a:extLst>
          </xdr:cNvPr>
          <xdr:cNvGrpSpPr/>
        </xdr:nvGrpSpPr>
        <xdr:grpSpPr>
          <a:xfrm>
            <a:off x="4232244" y="2486284"/>
            <a:ext cx="3549586" cy="4664304"/>
            <a:chOff x="9733175" y="4412137"/>
            <a:chExt cx="3130485" cy="2743200"/>
          </a:xfrm>
        </xdr:grpSpPr>
        <xdr:graphicFrame macro="">
          <xdr:nvGraphicFramePr>
            <xdr:cNvPr id="86" name="Diagrama 85">
              <a:extLst>
                <a:ext uri="{FF2B5EF4-FFF2-40B4-BE49-F238E27FC236}">
                  <a16:creationId xmlns:a16="http://schemas.microsoft.com/office/drawing/2014/main" id="{00000000-0008-0000-1E00-000056000000}"/>
                </a:ext>
              </a:extLst>
            </xdr:cNvPr>
            <xdr:cNvGraphicFramePr/>
          </xdr:nvGraphicFramePr>
          <xdr:xfrm>
            <a:off x="9733175" y="4412137"/>
            <a:ext cx="3130485" cy="2743200"/>
          </xdr:xfrm>
          <a:graphic>
            <a:graphicData uri="http://purl.oclc.org/ooxml/drawingml/diagram">
              <dgm:relIds xmlns:dgm="http://purl.oclc.org/ooxml/drawingml/diagram" xmlns:r="http://purl.oclc.org/ooxml/officeDocument/relationships" r:dm="rId17" r:lo="rId18" r:qs="rId19" r:cs="rId20"/>
            </a:graphicData>
          </a:graphic>
        </xdr:graphicFrame>
        <xdr:sp macro="" textlink="'Dados - Receita e Qntd'!AU34">
          <xdr:nvSpPr>
            <xdr:cNvPr id="87" name="CaixaDeTexto 86">
              <a:extLst>
                <a:ext uri="{FF2B5EF4-FFF2-40B4-BE49-F238E27FC236}">
                  <a16:creationId xmlns:a16="http://schemas.microsoft.com/office/drawing/2014/main" id="{00000000-0008-0000-1E00-000057000000}"/>
                </a:ext>
              </a:extLst>
            </xdr:cNvPr>
            <xdr:cNvSpPr txBox="1"/>
          </xdr:nvSpPr>
          <xdr:spPr>
            <a:xfrm>
              <a:off x="11327892" y="4907658"/>
              <a:ext cx="1514450" cy="5271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772EB641-BFD2-4AFD-8070-7DCFA6418029}" type="TxLink">
                <a:rPr lang="en-US" sz="18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sem previsão</a:t>
              </a:fld>
              <a:endParaRPr lang="pt-BR" sz="18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K31">
          <xdr:nvSpPr>
            <xdr:cNvPr id="88" name="CaixaDeTexto 87">
              <a:extLst>
                <a:ext uri="{FF2B5EF4-FFF2-40B4-BE49-F238E27FC236}">
                  <a16:creationId xmlns:a16="http://schemas.microsoft.com/office/drawing/2014/main" id="{00000000-0008-0000-1E00-000058000000}"/>
                </a:ext>
              </a:extLst>
            </xdr:cNvPr>
            <xdr:cNvSpPr txBox="1"/>
          </xdr:nvSpPr>
          <xdr:spPr>
            <a:xfrm>
              <a:off x="11327892" y="5520909"/>
              <a:ext cx="1514450" cy="5271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3F298BD0-178D-4223-AA02-746FCA768406}" type="TxLink">
                <a:rPr lang="en-US" sz="18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R$ 154.165</a:t>
              </a:fld>
              <a:endParaRPr lang="pt-BR" sz="18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U34">
          <xdr:nvSpPr>
            <xdr:cNvPr id="89" name="CaixaDeTexto 88">
              <a:extLst>
                <a:ext uri="{FF2B5EF4-FFF2-40B4-BE49-F238E27FC236}">
                  <a16:creationId xmlns:a16="http://schemas.microsoft.com/office/drawing/2014/main" id="{00000000-0008-0000-1E00-000059000000}"/>
                </a:ext>
              </a:extLst>
            </xdr:cNvPr>
            <xdr:cNvSpPr txBox="1"/>
          </xdr:nvSpPr>
          <xdr:spPr>
            <a:xfrm>
              <a:off x="11336553" y="6155101"/>
              <a:ext cx="1514449" cy="5271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369BB9DA-ED00-4D3F-AD2F-ACF4130CFE09}" type="TxLink">
                <a:rPr lang="en-US" sz="18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sem previsão</a:t>
              </a:fld>
              <a:endParaRPr lang="pt-BR" sz="18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  <xdr:grpSp>
        <xdr:nvGrpSpPr>
          <xdr:cNvPr id="83" name="Grupo 82">
            <a:extLst>
              <a:ext uri="{FF2B5EF4-FFF2-40B4-BE49-F238E27FC236}">
                <a16:creationId xmlns:a16="http://schemas.microsoft.com/office/drawing/2014/main" id="{00000000-0008-0000-1E00-000053000000}"/>
              </a:ext>
            </a:extLst>
          </xdr:cNvPr>
          <xdr:cNvGrpSpPr/>
        </xdr:nvGrpSpPr>
        <xdr:grpSpPr>
          <a:xfrm>
            <a:off x="4197675" y="2454897"/>
            <a:ext cx="3584147" cy="529891"/>
            <a:chOff x="7189546" y="1026747"/>
            <a:chExt cx="4617745" cy="539586"/>
          </a:xfrm>
        </xdr:grpSpPr>
        <xdr:sp macro="" textlink="">
          <xdr:nvSpPr>
            <xdr:cNvPr id="84" name="CaixaDeTexto 83">
              <a:extLst>
                <a:ext uri="{FF2B5EF4-FFF2-40B4-BE49-F238E27FC236}">
                  <a16:creationId xmlns:a16="http://schemas.microsoft.com/office/drawing/2014/main" id="{00000000-0008-0000-1E00-000054000000}"/>
                </a:ext>
              </a:extLst>
            </xdr:cNvPr>
            <xdr:cNvSpPr txBox="1"/>
          </xdr:nvSpPr>
          <xdr:spPr>
            <a:xfrm>
              <a:off x="7189546" y="1026747"/>
              <a:ext cx="4617745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400" cap="small" baseline="0%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Exercícios Anteriores - PJ</a:t>
              </a:r>
            </a:p>
          </xdr:txBody>
        </xdr:sp>
        <xdr:cxnSp macro="">
          <xdr:nvCxnSpPr>
            <xdr:cNvPr id="85" name="Conector reto 84">
              <a:extLst>
                <a:ext uri="{FF2B5EF4-FFF2-40B4-BE49-F238E27FC236}">
                  <a16:creationId xmlns:a16="http://schemas.microsoft.com/office/drawing/2014/main" id="{00000000-0008-0000-1E00-000055000000}"/>
                </a:ext>
              </a:extLst>
            </xdr:cNvPr>
            <xdr:cNvCxnSpPr/>
          </xdr:nvCxnSpPr>
          <xdr:spPr>
            <a:xfrm>
              <a:off x="7572662" y="1566333"/>
              <a:ext cx="3896064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oneCellAnchor>
    <xdr:from>
      <xdr:col>28</xdr:col>
      <xdr:colOff>284767</xdr:colOff>
      <xdr:row>0</xdr:row>
      <xdr:rowOff>68737</xdr:rowOff>
    </xdr:from>
    <xdr:ext cx="1001595" cy="638510"/>
    <xdr:sp macro="" textlink="">
      <xdr:nvSpPr>
        <xdr:cNvPr id="90" name="CaixaDeTexto 89">
          <a:hlinkClick xmlns:r="http://purl.oclc.org/ooxml/officeDocument/relationships" r:id="rId22"/>
          <a:extLst>
            <a:ext uri="{FF2B5EF4-FFF2-40B4-BE49-F238E27FC236}">
              <a16:creationId xmlns:a16="http://schemas.microsoft.com/office/drawing/2014/main" id="{00000000-0008-0000-1E00-00005A000000}"/>
            </a:ext>
          </a:extLst>
        </xdr:cNvPr>
        <xdr:cNvSpPr txBox="1"/>
      </xdr:nvSpPr>
      <xdr:spPr>
        <a:xfrm>
          <a:off x="17321752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%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</xdr:wsDr>
</file>

<file path=xl/drawings/drawing19.xml><?xml version="1.0" encoding="utf-8"?>
<xdr:wsDr xmlns:xdr="http://purl.oclc.org/ooxml/drawingml/spreadsheetDrawing" xmlns:a="http://purl.oclc.org/ooxml/drawingml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21</xdr:col>
      <xdr:colOff>589176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3578259" y="0"/>
          <a:ext cx="9812517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</a:t>
          </a:r>
        </a:p>
      </xdr:txBody>
    </xdr:sp>
    <xdr:clientData/>
  </xdr:twoCellAnchor>
  <xdr:twoCellAnchor>
    <xdr:from>
      <xdr:col>3</xdr:col>
      <xdr:colOff>114675</xdr:colOff>
      <xdr:row>2</xdr:row>
      <xdr:rowOff>15927</xdr:rowOff>
    </xdr:from>
    <xdr:to>
      <xdr:col>27</xdr:col>
      <xdr:colOff>79542</xdr:colOff>
      <xdr:row>4</xdr:row>
      <xdr:rowOff>128415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pSpPr/>
      </xdr:nvGrpSpPr>
      <xdr:grpSpPr>
        <a:xfrm>
          <a:off x="1933084" y="968427"/>
          <a:ext cx="14512140" cy="497336"/>
          <a:chOff x="1941118" y="968427"/>
          <a:chExt cx="1457641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F00-000005000000}"/>
              </a:ext>
            </a:extLst>
          </xdr:cNvPr>
          <xdr:cNvSpPr txBox="1"/>
        </xdr:nvSpPr>
        <xdr:spPr>
          <a:xfrm>
            <a:off x="194111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de Arrecadação - RRT e Taxas e Multas - CAU/BR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CxnSpPr/>
        </xdr:nvCxnSpPr>
        <xdr:spPr>
          <a:xfrm>
            <a:off x="2443325" y="1454059"/>
            <a:ext cx="1357200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24</xdr:col>
      <xdr:colOff>441882</xdr:colOff>
      <xdr:row>1</xdr:row>
      <xdr:rowOff>88377</xdr:rowOff>
    </xdr:from>
    <xdr:to>
      <xdr:col>26</xdr:col>
      <xdr:colOff>157114</xdr:colOff>
      <xdr:row>4</xdr:row>
      <xdr:rowOff>78557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SpPr txBox="1"/>
      </xdr:nvSpPr>
      <xdr:spPr>
        <a:xfrm>
          <a:off x="15072282" y="850377"/>
          <a:ext cx="934432" cy="561680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20%</a:t>
          </a:r>
        </a:p>
      </xdr:txBody>
    </xdr:sp>
    <xdr:clientData/>
  </xdr:twoCellAnchor>
  <xdr:twoCellAnchor>
    <xdr:from>
      <xdr:col>5</xdr:col>
      <xdr:colOff>559711</xdr:colOff>
      <xdr:row>5</xdr:row>
      <xdr:rowOff>162220</xdr:rowOff>
    </xdr:from>
    <xdr:to>
      <xdr:col>13</xdr:col>
      <xdr:colOff>405196</xdr:colOff>
      <xdr:row>34</xdr:row>
      <xdr:rowOff>173970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GrpSpPr/>
      </xdr:nvGrpSpPr>
      <xdr:grpSpPr>
        <a:xfrm>
          <a:off x="3590393" y="1691993"/>
          <a:ext cx="4694576" cy="5601674"/>
          <a:chOff x="-7" y="1679149"/>
          <a:chExt cx="4716001" cy="5432163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00000000-0008-0000-1F00-000010000000}"/>
              </a:ext>
            </a:extLst>
          </xdr:cNvPr>
          <xdr:cNvGrpSpPr/>
        </xdr:nvGrpSpPr>
        <xdr:grpSpPr>
          <a:xfrm>
            <a:off x="-7" y="2447007"/>
            <a:ext cx="4716001" cy="4664305"/>
            <a:chOff x="9733170" y="4412137"/>
            <a:chExt cx="3815892" cy="2743200"/>
          </a:xfrm>
        </xdr:grpSpPr>
        <xdr:graphicFrame macro="">
          <xdr:nvGraphicFramePr>
            <xdr:cNvPr id="20" name="Diagrama 19">
              <a:extLst>
                <a:ext uri="{FF2B5EF4-FFF2-40B4-BE49-F238E27FC236}">
                  <a16:creationId xmlns:a16="http://schemas.microsoft.com/office/drawing/2014/main" id="{00000000-0008-0000-1F00-000014000000}"/>
                </a:ext>
              </a:extLst>
            </xdr:cNvPr>
            <xdr:cNvGraphicFramePr/>
          </xdr:nvGraphicFramePr>
          <xdr:xfrm>
            <a:off x="9733170" y="4412137"/>
            <a:ext cx="3815892" cy="2743200"/>
          </xdr:xfrm>
          <a:graphic>
            <a:graphicData uri="http://purl.oclc.org/ooxml/drawingml/diagram">
              <dgm:relIds xmlns:dgm="http://purl.oclc.org/ooxml/drawingml/diagram" xmlns:r="http://purl.oclc.org/ooxml/officeDocument/relationships" r:dm="rId2" r:lo="rId3" r:qs="rId4" r:cs="rId5"/>
            </a:graphicData>
          </a:graphic>
        </xdr:graphicFrame>
        <xdr:sp macro="" textlink="'Dados - Receita e Qntd'!L31">
          <xdr:nvSpPr>
            <xdr:cNvPr id="21" name="CaixaDeTexto 20">
              <a:extLst>
                <a:ext uri="{FF2B5EF4-FFF2-40B4-BE49-F238E27FC236}">
                  <a16:creationId xmlns:a16="http://schemas.microsoft.com/office/drawing/2014/main" id="{00000000-0008-0000-1F00-000015000000}"/>
                </a:ext>
              </a:extLst>
            </xdr:cNvPr>
            <xdr:cNvSpPr txBox="1"/>
          </xdr:nvSpPr>
          <xdr:spPr>
            <a:xfrm>
              <a:off x="11719521" y="5138802"/>
              <a:ext cx="175598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9232720F-2795-49C6-A654-7FACBE78CD18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R$ 5.312.807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M31">
          <xdr:nvSpPr>
            <xdr:cNvPr id="22" name="CaixaDeTexto 21">
              <a:extLst>
                <a:ext uri="{FF2B5EF4-FFF2-40B4-BE49-F238E27FC236}">
                  <a16:creationId xmlns:a16="http://schemas.microsoft.com/office/drawing/2014/main" id="{00000000-0008-0000-1F00-000016000000}"/>
                </a:ext>
              </a:extLst>
            </xdr:cNvPr>
            <xdr:cNvSpPr txBox="1"/>
          </xdr:nvSpPr>
          <xdr:spPr>
            <a:xfrm>
              <a:off x="11719521" y="4429400"/>
              <a:ext cx="175598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2F0174AE-F5BC-45EA-ACDB-FD1C7B05A438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R$ 16.988.581</a:t>
              </a:fld>
              <a:endParaRPr lang="pt-BR" sz="344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N31">
          <xdr:nvSpPr>
            <xdr:cNvPr id="23" name="CaixaDeTexto 22">
              <a:extLst>
                <a:ext uri="{FF2B5EF4-FFF2-40B4-BE49-F238E27FC236}">
                  <a16:creationId xmlns:a16="http://schemas.microsoft.com/office/drawing/2014/main" id="{00000000-0008-0000-1F00-000017000000}"/>
                </a:ext>
              </a:extLst>
            </xdr:cNvPr>
            <xdr:cNvSpPr txBox="1"/>
          </xdr:nvSpPr>
          <xdr:spPr>
            <a:xfrm>
              <a:off x="11719521" y="5848201"/>
              <a:ext cx="175598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128C5A8D-19E6-4F1B-A820-F104DBF57C78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31,3%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O31">
          <xdr:nvSpPr>
            <xdr:cNvPr id="24" name="CaixaDeTexto 23">
              <a:extLst>
                <a:ext uri="{FF2B5EF4-FFF2-40B4-BE49-F238E27FC236}">
                  <a16:creationId xmlns:a16="http://schemas.microsoft.com/office/drawing/2014/main" id="{00000000-0008-0000-1F00-000018000000}"/>
                </a:ext>
              </a:extLst>
            </xdr:cNvPr>
            <xdr:cNvSpPr txBox="1"/>
          </xdr:nvSpPr>
          <xdr:spPr>
            <a:xfrm>
              <a:off x="11719521" y="6557600"/>
              <a:ext cx="175598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66A465BE-7590-436A-A920-F5A580D2A4AB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8,5%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  <xdr:grpSp>
        <xdr:nvGrpSpPr>
          <xdr:cNvPr id="17" name="Grupo 16">
            <a:extLst>
              <a:ext uri="{FF2B5EF4-FFF2-40B4-BE49-F238E27FC236}">
                <a16:creationId xmlns:a16="http://schemas.microsoft.com/office/drawing/2014/main" id="{00000000-0008-0000-1F00-000011000000}"/>
              </a:ext>
            </a:extLst>
          </xdr:cNvPr>
          <xdr:cNvGrpSpPr/>
        </xdr:nvGrpSpPr>
        <xdr:grpSpPr>
          <a:xfrm>
            <a:off x="1015230" y="1679149"/>
            <a:ext cx="2685527" cy="529891"/>
            <a:chOff x="8427551" y="1026747"/>
            <a:chExt cx="3174401" cy="539586"/>
          </a:xfrm>
        </xdr:grpSpPr>
        <xdr:sp macro="" textlink="">
          <xdr:nvSpPr>
            <xdr:cNvPr id="18" name="CaixaDeTexto 17">
              <a:extLst>
                <a:ext uri="{FF2B5EF4-FFF2-40B4-BE49-F238E27FC236}">
                  <a16:creationId xmlns:a16="http://schemas.microsoft.com/office/drawing/2014/main" id="{00000000-0008-0000-1F00-000012000000}"/>
                </a:ext>
              </a:extLst>
            </xdr:cNvPr>
            <xdr:cNvSpPr txBox="1"/>
          </xdr:nvSpPr>
          <xdr:spPr>
            <a:xfrm>
              <a:off x="8547165" y="1026747"/>
              <a:ext cx="2935173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400" cap="small" baseline="0%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RRT</a:t>
              </a:r>
            </a:p>
          </xdr:txBody>
        </xdr:sp>
        <xdr:cxnSp macro="">
          <xdr:nvCxnSpPr>
            <xdr:cNvPr id="19" name="Conector reto 18">
              <a:extLst>
                <a:ext uri="{FF2B5EF4-FFF2-40B4-BE49-F238E27FC236}">
                  <a16:creationId xmlns:a16="http://schemas.microsoft.com/office/drawing/2014/main" id="{00000000-0008-0000-1F00-000013000000}"/>
                </a:ext>
              </a:extLst>
            </xdr:cNvPr>
            <xdr:cNvCxnSpPr/>
          </xdr:nvCxnSpPr>
          <xdr:spPr>
            <a:xfrm>
              <a:off x="8427551" y="1566333"/>
              <a:ext cx="3174401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16</xdr:col>
      <xdr:colOff>486260</xdr:colOff>
      <xdr:row>5</xdr:row>
      <xdr:rowOff>162220</xdr:rowOff>
    </xdr:from>
    <xdr:to>
      <xdr:col>24</xdr:col>
      <xdr:colOff>331746</xdr:colOff>
      <xdr:row>34</xdr:row>
      <xdr:rowOff>173970</xdr:rowOff>
    </xdr:to>
    <xdr:grpSp>
      <xdr:nvGrpSpPr>
        <xdr:cNvPr id="54" name="Grupo 53">
          <a:extLst>
            <a:ext uri="{FF2B5EF4-FFF2-40B4-BE49-F238E27FC236}">
              <a16:creationId xmlns:a16="http://schemas.microsoft.com/office/drawing/2014/main" id="{00000000-0008-0000-1F00-000036000000}"/>
            </a:ext>
          </a:extLst>
        </xdr:cNvPr>
        <xdr:cNvGrpSpPr/>
      </xdr:nvGrpSpPr>
      <xdr:grpSpPr>
        <a:xfrm>
          <a:off x="10184442" y="1691993"/>
          <a:ext cx="4694577" cy="5601674"/>
          <a:chOff x="-7" y="1679149"/>
          <a:chExt cx="4716001" cy="5432163"/>
        </a:xfrm>
      </xdr:grpSpPr>
      <xdr:grpSp>
        <xdr:nvGrpSpPr>
          <xdr:cNvPr id="55" name="Grupo 54">
            <a:extLst>
              <a:ext uri="{FF2B5EF4-FFF2-40B4-BE49-F238E27FC236}">
                <a16:creationId xmlns:a16="http://schemas.microsoft.com/office/drawing/2014/main" id="{00000000-0008-0000-1F00-000037000000}"/>
              </a:ext>
            </a:extLst>
          </xdr:cNvPr>
          <xdr:cNvGrpSpPr/>
        </xdr:nvGrpSpPr>
        <xdr:grpSpPr>
          <a:xfrm>
            <a:off x="-7" y="2447007"/>
            <a:ext cx="4716001" cy="4664305"/>
            <a:chOff x="9733170" y="4412137"/>
            <a:chExt cx="3815892" cy="2743200"/>
          </a:xfrm>
        </xdr:grpSpPr>
        <xdr:graphicFrame macro="">
          <xdr:nvGraphicFramePr>
            <xdr:cNvPr id="59" name="Diagrama 58">
              <a:extLst>
                <a:ext uri="{FF2B5EF4-FFF2-40B4-BE49-F238E27FC236}">
                  <a16:creationId xmlns:a16="http://schemas.microsoft.com/office/drawing/2014/main" id="{00000000-0008-0000-1F00-00003B000000}"/>
                </a:ext>
              </a:extLst>
            </xdr:cNvPr>
            <xdr:cNvGraphicFramePr/>
          </xdr:nvGraphicFramePr>
          <xdr:xfrm>
            <a:off x="9733170" y="4412137"/>
            <a:ext cx="3815892" cy="2743200"/>
          </xdr:xfrm>
          <a:graphic>
            <a:graphicData uri="http://purl.oclc.org/ooxml/drawingml/diagram">
              <dgm:relIds xmlns:dgm="http://purl.oclc.org/ooxml/drawingml/diagram" xmlns:r="http://purl.oclc.org/ooxml/officeDocument/relationships" r:dm="rId7" r:lo="rId8" r:qs="rId9" r:cs="rId10"/>
            </a:graphicData>
          </a:graphic>
        </xdr:graphicFrame>
        <xdr:sp macro="" textlink="'Dados - Receita e Qntd'!O31">
          <xdr:nvSpPr>
            <xdr:cNvPr id="60" name="CaixaDeTexto 59">
              <a:extLst>
                <a:ext uri="{FF2B5EF4-FFF2-40B4-BE49-F238E27FC236}">
                  <a16:creationId xmlns:a16="http://schemas.microsoft.com/office/drawing/2014/main" id="{00000000-0008-0000-1F00-00003C000000}"/>
                </a:ext>
              </a:extLst>
            </xdr:cNvPr>
            <xdr:cNvSpPr txBox="1"/>
          </xdr:nvSpPr>
          <xdr:spPr>
            <a:xfrm>
              <a:off x="11719521" y="5138802"/>
              <a:ext cx="175598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94E922AF-4A8E-43B5-9F2F-C0D07E9D8894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R$ 454.147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P31">
          <xdr:nvSpPr>
            <xdr:cNvPr id="61" name="CaixaDeTexto 60">
              <a:extLst>
                <a:ext uri="{FF2B5EF4-FFF2-40B4-BE49-F238E27FC236}">
                  <a16:creationId xmlns:a16="http://schemas.microsoft.com/office/drawing/2014/main" id="{00000000-0008-0000-1F00-00003D000000}"/>
                </a:ext>
              </a:extLst>
            </xdr:cNvPr>
            <xdr:cNvSpPr txBox="1"/>
          </xdr:nvSpPr>
          <xdr:spPr>
            <a:xfrm>
              <a:off x="11719521" y="4429400"/>
              <a:ext cx="175598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B1A01DA0-B14B-47C6-AB3B-48A45CE35D9E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R$ 1.332.192</a:t>
              </a:fld>
              <a:endParaRPr lang="pt-BR" sz="344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Q31">
          <xdr:nvSpPr>
            <xdr:cNvPr id="62" name="CaixaDeTexto 61">
              <a:extLst>
                <a:ext uri="{FF2B5EF4-FFF2-40B4-BE49-F238E27FC236}">
                  <a16:creationId xmlns:a16="http://schemas.microsoft.com/office/drawing/2014/main" id="{00000000-0008-0000-1F00-00003E000000}"/>
                </a:ext>
              </a:extLst>
            </xdr:cNvPr>
            <xdr:cNvSpPr txBox="1"/>
          </xdr:nvSpPr>
          <xdr:spPr>
            <a:xfrm>
              <a:off x="11719521" y="5848201"/>
              <a:ext cx="175598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9F2F296E-67F9-42D9-8A17-FEFC5E8F0C7F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34,1%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AP31">
          <xdr:nvSpPr>
            <xdr:cNvPr id="63" name="CaixaDeTexto 62">
              <a:extLst>
                <a:ext uri="{FF2B5EF4-FFF2-40B4-BE49-F238E27FC236}">
                  <a16:creationId xmlns:a16="http://schemas.microsoft.com/office/drawing/2014/main" id="{00000000-0008-0000-1F00-00003F000000}"/>
                </a:ext>
              </a:extLst>
            </xdr:cNvPr>
            <xdr:cNvSpPr txBox="1"/>
          </xdr:nvSpPr>
          <xdr:spPr>
            <a:xfrm>
              <a:off x="11719521" y="6557600"/>
              <a:ext cx="1755986" cy="5716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EA6A3273-8ECE-46CC-A25C-B608C963EE3F}" type="TxLink">
                <a:rPr lang="en-US" sz="2400" b="1" i="0" u="none" strike="noStrike">
                  <a:solidFill>
                    <a:schemeClr val="bg1"/>
                  </a:solidFill>
                  <a:effectLst>
                    <a:outerShdw blurRad="203200" sx="95%" sy="95%" algn="ctr" rotWithShape="0">
                      <a:srgbClr val="000000"/>
                    </a:outerShdw>
                  </a:effectLst>
                  <a:latin typeface="Calibri"/>
                  <a:ea typeface="+mn-ea"/>
                  <a:cs typeface="Calibri"/>
                </a:rPr>
                <a:pPr marL="0" indent="0" algn="ctr"/>
                <a:t>-16,9%</a:t>
              </a:fld>
              <a:endParaRPr lang="pt-BR" sz="2400" b="1" i="0" u="none" strike="noStrike">
                <a:solidFill>
                  <a:schemeClr val="bg1"/>
                </a:solidFill>
                <a:effectLst>
                  <a:outerShdw blurRad="203200" sx="95%" sy="95%" algn="ctr" rotWithShape="0">
                    <a:srgbClr val="000000"/>
                  </a:outerShdw>
                </a:effectLst>
                <a:latin typeface="Calibri"/>
                <a:ea typeface="+mn-ea"/>
                <a:cs typeface="Calibri"/>
              </a:endParaRPr>
            </a:p>
          </xdr:txBody>
        </xdr:sp>
      </xdr:grpSp>
      <xdr:grpSp>
        <xdr:nvGrpSpPr>
          <xdr:cNvPr id="56" name="Grupo 55">
            <a:extLst>
              <a:ext uri="{FF2B5EF4-FFF2-40B4-BE49-F238E27FC236}">
                <a16:creationId xmlns:a16="http://schemas.microsoft.com/office/drawing/2014/main" id="{00000000-0008-0000-1F00-000038000000}"/>
              </a:ext>
            </a:extLst>
          </xdr:cNvPr>
          <xdr:cNvGrpSpPr/>
        </xdr:nvGrpSpPr>
        <xdr:grpSpPr>
          <a:xfrm>
            <a:off x="1015230" y="1679149"/>
            <a:ext cx="2685527" cy="529891"/>
            <a:chOff x="8427551" y="1026747"/>
            <a:chExt cx="3174401" cy="539586"/>
          </a:xfrm>
        </xdr:grpSpPr>
        <xdr:sp macro="" textlink="">
          <xdr:nvSpPr>
            <xdr:cNvPr id="57" name="CaixaDeTexto 56">
              <a:extLst>
                <a:ext uri="{FF2B5EF4-FFF2-40B4-BE49-F238E27FC236}">
                  <a16:creationId xmlns:a16="http://schemas.microsoft.com/office/drawing/2014/main" id="{00000000-0008-0000-1F00-000039000000}"/>
                </a:ext>
              </a:extLst>
            </xdr:cNvPr>
            <xdr:cNvSpPr txBox="1"/>
          </xdr:nvSpPr>
          <xdr:spPr>
            <a:xfrm>
              <a:off x="8547165" y="1026747"/>
              <a:ext cx="2935173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400" cap="small" baseline="0%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Taxas e Multas</a:t>
              </a:r>
            </a:p>
          </xdr:txBody>
        </xdr:sp>
        <xdr:cxnSp macro="">
          <xdr:nvCxnSpPr>
            <xdr:cNvPr id="58" name="Conector reto 57">
              <a:extLst>
                <a:ext uri="{FF2B5EF4-FFF2-40B4-BE49-F238E27FC236}">
                  <a16:creationId xmlns:a16="http://schemas.microsoft.com/office/drawing/2014/main" id="{00000000-0008-0000-1F00-00003A000000}"/>
                </a:ext>
              </a:extLst>
            </xdr:cNvPr>
            <xdr:cNvCxnSpPr/>
          </xdr:nvCxnSpPr>
          <xdr:spPr>
            <a:xfrm>
              <a:off x="8427551" y="1566333"/>
              <a:ext cx="3174401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64" name="CaixaDeTexto 63">
          <a:hlinkClick xmlns:r="http://purl.oclc.org/ooxml/officeDocument/relationships" r:id="rId12"/>
          <a:extLst>
            <a:ext uri="{FF2B5EF4-FFF2-40B4-BE49-F238E27FC236}">
              <a16:creationId xmlns:a16="http://schemas.microsoft.com/office/drawing/2014/main" id="{00000000-0008-0000-1F00-000040000000}"/>
            </a:ext>
          </a:extLst>
        </xdr:cNvPr>
        <xdr:cNvSpPr txBox="1"/>
      </xdr:nvSpPr>
      <xdr:spPr>
        <a:xfrm>
          <a:off x="1732175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%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</xdr:wsDr>
</file>

<file path=xl/drawings/drawing2.xml><?xml version="1.0" encoding="utf-8"?>
<xdr:wsDr xmlns:xdr="http://purl.oclc.org/ooxml/drawingml/spreadsheetDrawing" xmlns:a="http://purl.oclc.org/ooxml/drawingml/main">
  <xdr:twoCellAnchor>
    <xdr:from>
      <xdr:col>14</xdr:col>
      <xdr:colOff>438150</xdr:colOff>
      <xdr:row>116</xdr:row>
      <xdr:rowOff>55563</xdr:rowOff>
    </xdr:from>
    <xdr:to>
      <xdr:col>20</xdr:col>
      <xdr:colOff>507207</xdr:colOff>
      <xdr:row>150</xdr:row>
      <xdr:rowOff>153683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1"/>
        </a:graphicData>
      </a:graphic>
    </xdr:graphicFrame>
    <xdr:clientData/>
  </xdr:twoCellAnchor>
  <xdr:twoCellAnchor>
    <xdr:from>
      <xdr:col>18</xdr:col>
      <xdr:colOff>569119</xdr:colOff>
      <xdr:row>114</xdr:row>
      <xdr:rowOff>122464</xdr:rowOff>
    </xdr:from>
    <xdr:to>
      <xdr:col>23</xdr:col>
      <xdr:colOff>150018</xdr:colOff>
      <xdr:row>126</xdr:row>
      <xdr:rowOff>173830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2"/>
        </a:graphicData>
      </a:graphic>
    </xdr:graphicFrame>
    <xdr:clientData/>
  </xdr:twoCellAnchor>
  <xdr:twoCellAnchor>
    <xdr:from>
      <xdr:col>23</xdr:col>
      <xdr:colOff>314325</xdr:colOff>
      <xdr:row>113</xdr:row>
      <xdr:rowOff>27214</xdr:rowOff>
    </xdr:from>
    <xdr:to>
      <xdr:col>28</xdr:col>
      <xdr:colOff>180975</xdr:colOff>
      <xdr:row>126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3"/>
        </a:graphicData>
      </a:graphic>
    </xdr:graphicFrame>
    <xdr:clientData/>
  </xdr:twoCellAnchor>
  <xdr:twoCellAnchor>
    <xdr:from>
      <xdr:col>20</xdr:col>
      <xdr:colOff>361950</xdr:colOff>
      <xdr:row>124</xdr:row>
      <xdr:rowOff>133350</xdr:rowOff>
    </xdr:from>
    <xdr:to>
      <xdr:col>25</xdr:col>
      <xdr:colOff>228600</xdr:colOff>
      <xdr:row>139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4"/>
        </a:graphicData>
      </a:graphic>
    </xdr:graphicFrame>
    <xdr:clientData/>
  </xdr:twoCellAnchor>
  <xdr:twoCellAnchor>
    <xdr:from>
      <xdr:col>24</xdr:col>
      <xdr:colOff>400050</xdr:colOff>
      <xdr:row>124</xdr:row>
      <xdr:rowOff>152400</xdr:rowOff>
    </xdr:from>
    <xdr:to>
      <xdr:col>29</xdr:col>
      <xdr:colOff>266700</xdr:colOff>
      <xdr:row>139</xdr:row>
      <xdr:rowOff>38100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5"/>
        </a:graphicData>
      </a:graphic>
    </xdr:graphicFrame>
    <xdr:clientData/>
  </xdr:twoCellAnchor>
  <xdr:twoCellAnchor>
    <xdr:from>
      <xdr:col>22</xdr:col>
      <xdr:colOff>466725</xdr:colOff>
      <xdr:row>136</xdr:row>
      <xdr:rowOff>76200</xdr:rowOff>
    </xdr:from>
    <xdr:to>
      <xdr:col>27</xdr:col>
      <xdr:colOff>333375</xdr:colOff>
      <xdr:row>150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6"/>
        </a:graphicData>
      </a:graphic>
    </xdr:graphicFrame>
    <xdr:clientData/>
  </xdr:twoCellAnchor>
  <xdr:twoCellAnchor>
    <xdr:from>
      <xdr:col>39</xdr:col>
      <xdr:colOff>62252</xdr:colOff>
      <xdr:row>15</xdr:row>
      <xdr:rowOff>138392</xdr:rowOff>
    </xdr:from>
    <xdr:to>
      <xdr:col>47</xdr:col>
      <xdr:colOff>336708</xdr:colOff>
      <xdr:row>28</xdr:row>
      <xdr:rowOff>132535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7"/>
        </a:graphicData>
      </a:graphic>
    </xdr:graphicFrame>
    <xdr:clientData/>
  </xdr:twoCellAnchor>
  <xdr:twoCellAnchor>
    <xdr:from>
      <xdr:col>39</xdr:col>
      <xdr:colOff>289484</xdr:colOff>
      <xdr:row>1</xdr:row>
      <xdr:rowOff>73024</xdr:rowOff>
    </xdr:from>
    <xdr:to>
      <xdr:col>46</xdr:col>
      <xdr:colOff>587241</xdr:colOff>
      <xdr:row>13</xdr:row>
      <xdr:rowOff>244474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8"/>
        </a:graphicData>
      </a:graphic>
    </xdr:graphicFrame>
    <xdr:clientData/>
  </xdr:twoCellAnchor>
  <xdr:twoCellAnchor>
    <xdr:from>
      <xdr:col>28</xdr:col>
      <xdr:colOff>130855</xdr:colOff>
      <xdr:row>3</xdr:row>
      <xdr:rowOff>2381</xdr:rowOff>
    </xdr:from>
    <xdr:to>
      <xdr:col>33</xdr:col>
      <xdr:colOff>542395</xdr:colOff>
      <xdr:row>16</xdr:row>
      <xdr:rowOff>125864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9"/>
        </a:graphicData>
      </a:graphic>
    </xdr:graphicFrame>
    <xdr:clientData/>
  </xdr:twoCellAnchor>
  <xdr:twoCellAnchor>
    <xdr:from>
      <xdr:col>28</xdr:col>
      <xdr:colOff>129493</xdr:colOff>
      <xdr:row>18</xdr:row>
      <xdr:rowOff>243795</xdr:rowOff>
    </xdr:from>
    <xdr:to>
      <xdr:col>34</xdr:col>
      <xdr:colOff>471183</xdr:colOff>
      <xdr:row>32</xdr:row>
      <xdr:rowOff>77937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10"/>
        </a:graphicData>
      </a:graphic>
    </xdr:graphicFrame>
    <xdr:clientData/>
  </xdr:twoCellAnchor>
  <xdr:twoCellAnchor>
    <xdr:from>
      <xdr:col>27</xdr:col>
      <xdr:colOff>234044</xdr:colOff>
      <xdr:row>34</xdr:row>
      <xdr:rowOff>196850</xdr:rowOff>
    </xdr:from>
    <xdr:to>
      <xdr:col>33</xdr:col>
      <xdr:colOff>71438</xdr:colOff>
      <xdr:row>48</xdr:row>
      <xdr:rowOff>70302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11"/>
        </a:graphicData>
      </a:graphic>
    </xdr:graphicFrame>
    <xdr:clientData/>
  </xdr:twoCellAnchor>
  <xdr:twoCellAnchor>
    <xdr:from>
      <xdr:col>28</xdr:col>
      <xdr:colOff>92757</xdr:colOff>
      <xdr:row>50</xdr:row>
      <xdr:rowOff>234949</xdr:rowOff>
    </xdr:from>
    <xdr:to>
      <xdr:col>34</xdr:col>
      <xdr:colOff>423863</xdr:colOff>
      <xdr:row>64</xdr:row>
      <xdr:rowOff>106814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12"/>
        </a:graphicData>
      </a:graphic>
    </xdr:graphicFrame>
    <xdr:clientData/>
  </xdr:twoCellAnchor>
  <xdr:twoCellAnchor>
    <xdr:from>
      <xdr:col>27</xdr:col>
      <xdr:colOff>138794</xdr:colOff>
      <xdr:row>66</xdr:row>
      <xdr:rowOff>180975</xdr:rowOff>
    </xdr:from>
    <xdr:to>
      <xdr:col>33</xdr:col>
      <xdr:colOff>476250</xdr:colOff>
      <xdr:row>80</xdr:row>
      <xdr:rowOff>54427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13"/>
        </a:graphicData>
      </a:graphic>
    </xdr:graphicFrame>
    <xdr:clientData/>
  </xdr:twoCellAnchor>
  <xdr:twoCellAnchor>
    <xdr:from>
      <xdr:col>27</xdr:col>
      <xdr:colOff>405494</xdr:colOff>
      <xdr:row>82</xdr:row>
      <xdr:rowOff>123825</xdr:rowOff>
    </xdr:from>
    <xdr:to>
      <xdr:col>33</xdr:col>
      <xdr:colOff>742950</xdr:colOff>
      <xdr:row>95</xdr:row>
      <xdr:rowOff>244927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14"/>
        </a:graphicData>
      </a:graphic>
    </xdr:graphicFrame>
    <xdr:clientData/>
  </xdr:twoCellAnchor>
  <xdr:twoCellAnchor>
    <xdr:from>
      <xdr:col>28</xdr:col>
      <xdr:colOff>35606</xdr:colOff>
      <xdr:row>98</xdr:row>
      <xdr:rowOff>185737</xdr:rowOff>
    </xdr:from>
    <xdr:to>
      <xdr:col>35</xdr:col>
      <xdr:colOff>7937</xdr:colOff>
      <xdr:row>112</xdr:row>
      <xdr:rowOff>59189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15"/>
        </a:graphicData>
      </a:graphic>
    </xdr:graphicFrame>
    <xdr:clientData/>
  </xdr:twoCellAnchor>
</xdr:wsDr>
</file>

<file path=xl/drawings/drawing20.xml><?xml version="1.0" encoding="utf-8"?>
<xdr:wsDr xmlns:xdr="http://purl.oclc.org/ooxml/drawingml/spreadsheetDrawing" xmlns:a="http://purl.oclc.org/ooxml/drawingml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Log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Títul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/>
      </xdr:nvSpPr>
      <xdr:spPr>
        <a:xfrm>
          <a:off x="3591866" y="0"/>
          <a:ext cx="13805838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- 2019 - Janeiro a Abril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Subtítulo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pSpPr/>
      </xdr:nvGrpSpPr>
      <xdr:grpSpPr>
        <a:xfrm>
          <a:off x="831173" y="931515"/>
          <a:ext cx="16109946" cy="495372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000-000005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CAU/UF  e  CAU/BR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000-000006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28" name="VOLTAR">
          <a:hlinkClick xmlns:r="http://purl.oclc.org/ooxml/officeDocument/relationships" r:id="rId2"/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%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36" name="100%">
          <a:extLst>
            <a:ext uri="{FF2B5EF4-FFF2-40B4-BE49-F238E27FC236}">
              <a16:creationId xmlns:a16="http://schemas.microsoft.com/office/drawing/2014/main" id="{00000000-0008-0000-2000-000024000000}"/>
            </a:ext>
          </a:extLst>
        </xdr:cNvPr>
        <xdr:cNvSpPr txBox="1"/>
      </xdr:nvSpPr>
      <xdr:spPr>
        <a:xfrm>
          <a:off x="15987033" y="801838"/>
          <a:ext cx="1122520" cy="561560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20</xdr:col>
      <xdr:colOff>276639</xdr:colOff>
      <xdr:row>22</xdr:row>
      <xdr:rowOff>58703</xdr:rowOff>
    </xdr:from>
    <xdr:to>
      <xdr:col>28</xdr:col>
      <xdr:colOff>1208432</xdr:colOff>
      <xdr:row>36</xdr:row>
      <xdr:rowOff>566530</xdr:rowOff>
    </xdr:to>
    <xdr:grpSp>
      <xdr:nvGrpSpPr>
        <xdr:cNvPr id="17" name="Taxas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GrpSpPr/>
      </xdr:nvGrpSpPr>
      <xdr:grpSpPr>
        <a:xfrm>
          <a:off x="12399366" y="4869309"/>
          <a:ext cx="5771263" cy="3201766"/>
          <a:chOff x="12421014" y="4833109"/>
          <a:chExt cx="5777637" cy="3174827"/>
        </a:xfrm>
        <a:noFill/>
      </xdr:grpSpPr>
      <xdr:grpSp>
        <xdr:nvGrpSpPr>
          <xdr:cNvPr id="125" name="Grupo 124">
            <a:extLst>
              <a:ext uri="{FF2B5EF4-FFF2-40B4-BE49-F238E27FC236}">
                <a16:creationId xmlns:a16="http://schemas.microsoft.com/office/drawing/2014/main" id="{00000000-0008-0000-2000-00007D000000}"/>
              </a:ext>
            </a:extLst>
          </xdr:cNvPr>
          <xdr:cNvGrpSpPr/>
        </xdr:nvGrpSpPr>
        <xdr:grpSpPr>
          <a:xfrm>
            <a:off x="12449272" y="4833109"/>
            <a:ext cx="5716992" cy="3161182"/>
            <a:chOff x="12521745" y="4748730"/>
            <a:chExt cx="5747534" cy="3103204"/>
          </a:xfrm>
          <a:grpFill/>
        </xdr:grpSpPr>
        <xdr:grpSp>
          <xdr:nvGrpSpPr>
            <xdr:cNvPr id="50" name="Grupo 49">
              <a:extLst>
                <a:ext uri="{FF2B5EF4-FFF2-40B4-BE49-F238E27FC236}">
                  <a16:creationId xmlns:a16="http://schemas.microsoft.com/office/drawing/2014/main" id="{00000000-0008-0000-2000-000032000000}"/>
                </a:ext>
              </a:extLst>
            </xdr:cNvPr>
            <xdr:cNvGrpSpPr/>
          </xdr:nvGrpSpPr>
          <xdr:grpSpPr>
            <a:xfrm>
              <a:off x="12682146" y="4748730"/>
              <a:ext cx="5432011" cy="293273"/>
              <a:chOff x="833715" y="968427"/>
              <a:chExt cx="16179074" cy="485632"/>
            </a:xfrm>
            <a:grpFill/>
          </xdr:grpSpPr>
          <xdr:sp macro="" textlink="">
            <xdr:nvSpPr>
              <xdr:cNvPr id="51" name="CaixaDeTexto 50">
                <a:extLst>
                  <a:ext uri="{FF2B5EF4-FFF2-40B4-BE49-F238E27FC236}">
                    <a16:creationId xmlns:a16="http://schemas.microsoft.com/office/drawing/2014/main" id="{00000000-0008-0000-2000-000033000000}"/>
                  </a:ext>
                </a:extLst>
              </xdr:cNvPr>
              <xdr:cNvSpPr txBox="1"/>
            </xdr:nvSpPr>
            <xdr:spPr>
              <a:xfrm>
                <a:off x="1635058" y="968427"/>
                <a:ext cx="14576414" cy="471704"/>
              </a:xfrm>
              <a:prstGeom prst="rect">
                <a:avLst/>
              </a:prstGeom>
              <a:grpFill/>
              <a:ln w="9525" cmpd="sng"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1400" cap="small" baseline="0%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Taxas e Multas</a:t>
                </a:r>
              </a:p>
            </xdr:txBody>
          </xdr:sp>
          <xdr:cxnSp macro="">
            <xdr:nvCxnSpPr>
              <xdr:cNvPr id="52" name="Conector reto 51">
                <a:extLst>
                  <a:ext uri="{FF2B5EF4-FFF2-40B4-BE49-F238E27FC236}">
                    <a16:creationId xmlns:a16="http://schemas.microsoft.com/office/drawing/2014/main" id="{00000000-0008-0000-2000-000034000000}"/>
                  </a:ext>
                </a:extLst>
              </xdr:cNvPr>
              <xdr:cNvCxnSpPr/>
            </xdr:nvCxnSpPr>
            <xdr:spPr>
              <a:xfrm>
                <a:off x="833715" y="1454059"/>
                <a:ext cx="16179074" cy="0"/>
              </a:xfrm>
              <a:prstGeom prst="line">
                <a:avLst/>
              </a:prstGeom>
              <a:grpFill/>
              <a:ln>
                <a:noFill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58" name="Grupo 57">
              <a:extLst>
                <a:ext uri="{FF2B5EF4-FFF2-40B4-BE49-F238E27FC236}">
                  <a16:creationId xmlns:a16="http://schemas.microsoft.com/office/drawing/2014/main" id="{00000000-0008-0000-2000-00003A000000}"/>
                </a:ext>
              </a:extLst>
            </xdr:cNvPr>
            <xdr:cNvGrpSpPr/>
          </xdr:nvGrpSpPr>
          <xdr:grpSpPr>
            <a:xfrm>
              <a:off x="12521745" y="5068283"/>
              <a:ext cx="5747534" cy="2783651"/>
              <a:chOff x="12521745" y="5068283"/>
              <a:chExt cx="5747534" cy="2783651"/>
            </a:xfrm>
            <a:grpFill/>
          </xdr:grpSpPr>
          <xdr:graphicFrame macro="">
            <xdr:nvGraphicFramePr>
              <xdr:cNvPr id="43" name="Gráfico 42">
                <a:extLst>
                  <a:ext uri="{FF2B5EF4-FFF2-40B4-BE49-F238E27FC236}">
                    <a16:creationId xmlns:a16="http://schemas.microsoft.com/office/drawing/2014/main" id="{00000000-0008-0000-2000-00002B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2521745" y="5068283"/>
              <a:ext cx="5747534" cy="2783651"/>
            </xdr:xfrm>
            <a:graphic>
              <a:graphicData uri="http://purl.oclc.org/ooxml/drawingml/chart">
                <c:chart xmlns:c="http://purl.oclc.org/ooxml/drawingml/chart" xmlns:r="http://purl.oclc.org/ooxml/officeDocument/relationships" r:id="rId3"/>
              </a:graphicData>
            </a:graphic>
          </xdr:graphicFrame>
          <xdr:grpSp>
            <xdr:nvGrpSpPr>
              <xdr:cNvPr id="110" name="Grupo 109">
                <a:extLst>
                  <a:ext uri="{FF2B5EF4-FFF2-40B4-BE49-F238E27FC236}">
                    <a16:creationId xmlns:a16="http://schemas.microsoft.com/office/drawing/2014/main" id="{00000000-0008-0000-2000-00006E000000}"/>
                  </a:ext>
                </a:extLst>
              </xdr:cNvPr>
              <xdr:cNvGrpSpPr/>
            </xdr:nvGrpSpPr>
            <xdr:grpSpPr>
              <a:xfrm>
                <a:off x="13438533" y="5133844"/>
                <a:ext cx="1347477" cy="1039862"/>
                <a:chOff x="1369948" y="1810484"/>
                <a:chExt cx="1484763" cy="1231746"/>
              </a:xfrm>
              <a:grpFill/>
            </xdr:grpSpPr>
            <xdr:sp macro="" textlink="Lançamentos!U7">
              <xdr:nvSpPr>
                <xdr:cNvPr id="111" name="CaixaDeTexto 110">
                  <a:extLst>
                    <a:ext uri="{FF2B5EF4-FFF2-40B4-BE49-F238E27FC236}">
                      <a16:creationId xmlns:a16="http://schemas.microsoft.com/office/drawing/2014/main" id="{00000000-0008-0000-2000-00006F000000}"/>
                    </a:ext>
                  </a:extLst>
                </xdr:cNvPr>
                <xdr:cNvSpPr txBox="1"/>
              </xdr:nvSpPr>
              <xdr:spPr>
                <a:xfrm>
                  <a:off x="1756899" y="2098799"/>
                  <a:ext cx="657356" cy="368525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ctr"/>
                  <a:fld id="{BE117BAA-472D-46AD-8F07-C0F95580CFD6}" type="TxLink">
                    <a:rPr lang="en-US" sz="1400" b="1" i="0" u="none" strike="noStrike">
                      <a:solidFill>
                        <a:schemeClr val="accent3">
                          <a:lumMod val="50%"/>
                        </a:schemeClr>
                      </a:solidFill>
                      <a:latin typeface="Calibri"/>
                      <a:cs typeface="Calibri"/>
                    </a:rPr>
                    <a:pPr algn="ctr"/>
                    <a:t>4,0%</a:t>
                  </a:fld>
                  <a:endParaRPr lang="pt-BR" sz="1400" b="1">
                    <a:solidFill>
                      <a:schemeClr val="accent3">
                        <a:lumMod val="50%"/>
                      </a:schemeClr>
                    </a:solidFill>
                  </a:endParaRPr>
                </a:p>
              </xdr:txBody>
            </xdr:sp>
            <xdr:sp macro="" textlink="">
              <xdr:nvSpPr>
                <xdr:cNvPr id="112" name="CaixaDeTexto 111">
                  <a:extLst>
                    <a:ext uri="{FF2B5EF4-FFF2-40B4-BE49-F238E27FC236}">
                      <a16:creationId xmlns:a16="http://schemas.microsoft.com/office/drawing/2014/main" id="{00000000-0008-0000-2000-000070000000}"/>
                    </a:ext>
                  </a:extLst>
                </xdr:cNvPr>
                <xdr:cNvSpPr txBox="1"/>
              </xdr:nvSpPr>
              <xdr:spPr>
                <a:xfrm>
                  <a:off x="1369948" y="1810484"/>
                  <a:ext cx="1484101" cy="288315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style>
                <a:lnRef idx="0">
                  <a:scrgbClr r="0%" g="0%" b="0%"/>
                </a:lnRef>
                <a:fillRef idx="0">
                  <a:scrgbClr r="0%" g="0%" b="0%"/>
                </a:fillRef>
                <a:effectRef idx="0">
                  <a:scrgbClr r="0%" g="0%" b="0%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pt-BR" sz="1000" b="1"/>
                    <a:t>Executado x Previsto</a:t>
                  </a:r>
                </a:p>
              </xdr:txBody>
            </xdr:sp>
            <xdr:sp macro="" textlink="Lançamentos!W7">
              <xdr:nvSpPr>
                <xdr:cNvPr id="113" name="CaixaDeTexto 112">
                  <a:extLst>
                    <a:ext uri="{FF2B5EF4-FFF2-40B4-BE49-F238E27FC236}">
                      <a16:creationId xmlns:a16="http://schemas.microsoft.com/office/drawing/2014/main" id="{00000000-0008-0000-2000-000071000000}"/>
                    </a:ext>
                  </a:extLst>
                </xdr:cNvPr>
                <xdr:cNvSpPr txBox="1"/>
              </xdr:nvSpPr>
              <xdr:spPr>
                <a:xfrm>
                  <a:off x="1756901" y="2683069"/>
                  <a:ext cx="664014" cy="359161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style>
                <a:lnRef idx="2">
                  <a:schemeClr val="accent2"/>
                </a:lnRef>
                <a:fillRef idx="1">
                  <a:schemeClr val="lt1"/>
                </a:fillRef>
                <a:effectRef idx="0">
                  <a:schemeClr val="accent2"/>
                </a:effectRef>
                <a:fontRef idx="minor">
                  <a:schemeClr val="dk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fld id="{2C32D37B-0196-4F75-AA5E-540073AFBB37}" type="TxLink">
                    <a:rPr lang="en-US" sz="1400" b="1" i="0" u="none" strike="noStrike">
                      <a:solidFill>
                        <a:srgbClr val="FF0000"/>
                      </a:solidFill>
                      <a:latin typeface="Calibri"/>
                      <a:cs typeface="Calibri"/>
                    </a:rPr>
                    <a:pPr/>
                    <a:t>-8,0%</a:t>
                  </a:fld>
                  <a:endParaRPr lang="pt-BR" sz="1400" b="1">
                    <a:solidFill>
                      <a:srgbClr val="FF0000"/>
                    </a:solidFill>
                  </a:endParaRPr>
                </a:p>
              </xdr:txBody>
            </xdr:sp>
            <xdr:sp macro="" textlink="">
              <xdr:nvSpPr>
                <xdr:cNvPr id="114" name="CaixaDeTexto 113">
                  <a:extLst>
                    <a:ext uri="{FF2B5EF4-FFF2-40B4-BE49-F238E27FC236}">
                      <a16:creationId xmlns:a16="http://schemas.microsoft.com/office/drawing/2014/main" id="{00000000-0008-0000-2000-000072000000}"/>
                    </a:ext>
                  </a:extLst>
                </xdr:cNvPr>
                <xdr:cNvSpPr txBox="1"/>
              </xdr:nvSpPr>
              <xdr:spPr>
                <a:xfrm>
                  <a:off x="1369948" y="2428419"/>
                  <a:ext cx="1484763" cy="288315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style>
                <a:lnRef idx="0">
                  <a:scrgbClr r="0%" g="0%" b="0%"/>
                </a:lnRef>
                <a:fillRef idx="0">
                  <a:scrgbClr r="0%" g="0%" b="0%"/>
                </a:fillRef>
                <a:effectRef idx="0">
                  <a:scrgbClr r="0%" g="0%" b="0%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pt-BR" sz="1000" b="1"/>
                    <a:t>Executado x Potencial</a:t>
                  </a:r>
                </a:p>
              </xdr:txBody>
            </xdr:sp>
          </xdr:grpSp>
        </xdr:grpSp>
      </xdr:grpSp>
      <xdr:sp macro="" textlink="">
        <xdr:nvSpPr>
          <xdr:cNvPr id="93" name="Retângulo 92">
            <a:hlinkClick xmlns:r="http://purl.oclc.org/ooxml/officeDocument/relationships" r:id="rId4"/>
            <a:extLst>
              <a:ext uri="{FF2B5EF4-FFF2-40B4-BE49-F238E27FC236}">
                <a16:creationId xmlns:a16="http://schemas.microsoft.com/office/drawing/2014/main" id="{00000000-0008-0000-2000-00005D000000}"/>
              </a:ext>
            </a:extLst>
          </xdr:cNvPr>
          <xdr:cNvSpPr/>
        </xdr:nvSpPr>
        <xdr:spPr>
          <a:xfrm>
            <a:off x="12421014" y="5138012"/>
            <a:ext cx="5777637" cy="286992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%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20</xdr:col>
      <xdr:colOff>284091</xdr:colOff>
      <xdr:row>5</xdr:row>
      <xdr:rowOff>13216</xdr:rowOff>
    </xdr:from>
    <xdr:to>
      <xdr:col>28</xdr:col>
      <xdr:colOff>1215884</xdr:colOff>
      <xdr:row>21</xdr:row>
      <xdr:rowOff>149501</xdr:rowOff>
    </xdr:to>
    <xdr:grpSp>
      <xdr:nvGrpSpPr>
        <xdr:cNvPr id="16" name="RRT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GrpSpPr/>
      </xdr:nvGrpSpPr>
      <xdr:grpSpPr>
        <a:xfrm>
          <a:off x="12406818" y="1542989"/>
          <a:ext cx="5771263" cy="3224694"/>
          <a:chOff x="12428466" y="1537216"/>
          <a:chExt cx="5777637" cy="3196191"/>
        </a:xfrm>
      </xdr:grpSpPr>
      <xdr:grpSp>
        <xdr:nvGrpSpPr>
          <xdr:cNvPr id="128" name="Grupo 127">
            <a:extLst>
              <a:ext uri="{FF2B5EF4-FFF2-40B4-BE49-F238E27FC236}">
                <a16:creationId xmlns:a16="http://schemas.microsoft.com/office/drawing/2014/main" id="{00000000-0008-0000-2000-000080000000}"/>
              </a:ext>
            </a:extLst>
          </xdr:cNvPr>
          <xdr:cNvGrpSpPr/>
        </xdr:nvGrpSpPr>
        <xdr:grpSpPr>
          <a:xfrm>
            <a:off x="12449272" y="1537216"/>
            <a:ext cx="5716992" cy="3161225"/>
            <a:chOff x="12521745" y="1524792"/>
            <a:chExt cx="5747534" cy="3093411"/>
          </a:xfrm>
        </xdr:grpSpPr>
        <xdr:grpSp>
          <xdr:nvGrpSpPr>
            <xdr:cNvPr id="47" name="Grupo 46">
              <a:extLst>
                <a:ext uri="{FF2B5EF4-FFF2-40B4-BE49-F238E27FC236}">
                  <a16:creationId xmlns:a16="http://schemas.microsoft.com/office/drawing/2014/main" id="{00000000-0008-0000-2000-00002F000000}"/>
                </a:ext>
              </a:extLst>
            </xdr:cNvPr>
            <xdr:cNvGrpSpPr/>
          </xdr:nvGrpSpPr>
          <xdr:grpSpPr>
            <a:xfrm>
              <a:off x="12724134" y="1524792"/>
              <a:ext cx="5432011" cy="293273"/>
              <a:chOff x="833715" y="968427"/>
              <a:chExt cx="16179074" cy="485632"/>
            </a:xfrm>
          </xdr:grpSpPr>
          <xdr:sp macro="" textlink="">
            <xdr:nvSpPr>
              <xdr:cNvPr id="48" name="CaixaDeTexto 47">
                <a:extLst>
                  <a:ext uri="{FF2B5EF4-FFF2-40B4-BE49-F238E27FC236}">
                    <a16:creationId xmlns:a16="http://schemas.microsoft.com/office/drawing/2014/main" id="{00000000-0008-0000-2000-000030000000}"/>
                  </a:ext>
                </a:extLst>
              </xdr:cNvPr>
              <xdr:cNvSpPr txBox="1"/>
            </xdr:nvSpPr>
            <xdr:spPr>
              <a:xfrm>
                <a:off x="1635058" y="968427"/>
                <a:ext cx="14576414" cy="471704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1400" cap="small" baseline="0%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RRT</a:t>
                </a:r>
              </a:p>
            </xdr:txBody>
          </xdr:sp>
          <xdr:cxnSp macro="">
            <xdr:nvCxnSpPr>
              <xdr:cNvPr id="49" name="Conector reto 48">
                <a:extLst>
                  <a:ext uri="{FF2B5EF4-FFF2-40B4-BE49-F238E27FC236}">
                    <a16:creationId xmlns:a16="http://schemas.microsoft.com/office/drawing/2014/main" id="{00000000-0008-0000-2000-000031000000}"/>
                  </a:ext>
                </a:extLst>
              </xdr:cNvPr>
              <xdr:cNvCxnSpPr/>
            </xdr:nvCxnSpPr>
            <xdr:spPr>
              <a:xfrm>
                <a:off x="833715" y="1454059"/>
                <a:ext cx="16179074" cy="0"/>
              </a:xfrm>
              <a:prstGeom prst="line">
                <a:avLst/>
              </a:prstGeom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20" name="Grupo 19">
              <a:extLst>
                <a:ext uri="{FF2B5EF4-FFF2-40B4-BE49-F238E27FC236}">
                  <a16:creationId xmlns:a16="http://schemas.microsoft.com/office/drawing/2014/main" id="{00000000-0008-0000-2000-000014000000}"/>
                </a:ext>
              </a:extLst>
            </xdr:cNvPr>
            <xdr:cNvGrpSpPr/>
          </xdr:nvGrpSpPr>
          <xdr:grpSpPr>
            <a:xfrm>
              <a:off x="12521745" y="1858006"/>
              <a:ext cx="5747534" cy="2760197"/>
              <a:chOff x="12521745" y="1858006"/>
              <a:chExt cx="5747534" cy="2760197"/>
            </a:xfrm>
          </xdr:grpSpPr>
          <xdr:graphicFrame macro="">
            <xdr:nvGraphicFramePr>
              <xdr:cNvPr id="42" name="Gráfico 41">
                <a:extLst>
                  <a:ext uri="{FF2B5EF4-FFF2-40B4-BE49-F238E27FC236}">
                    <a16:creationId xmlns:a16="http://schemas.microsoft.com/office/drawing/2014/main" id="{00000000-0008-0000-2000-00002A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2521745" y="1858006"/>
              <a:ext cx="5747534" cy="2760197"/>
            </xdr:xfrm>
            <a:graphic>
              <a:graphicData uri="http://purl.oclc.org/ooxml/drawingml/chart">
                <c:chart xmlns:c="http://purl.oclc.org/ooxml/drawingml/chart" xmlns:r="http://purl.oclc.org/ooxml/officeDocument/relationships" r:id="rId5"/>
              </a:graphicData>
            </a:graphic>
          </xdr:graphicFrame>
          <xdr:grpSp>
            <xdr:nvGrpSpPr>
              <xdr:cNvPr id="75" name="Grupo 74">
                <a:extLst>
                  <a:ext uri="{FF2B5EF4-FFF2-40B4-BE49-F238E27FC236}">
                    <a16:creationId xmlns:a16="http://schemas.microsoft.com/office/drawing/2014/main" id="{00000000-0008-0000-2000-00004B000000}"/>
                  </a:ext>
                </a:extLst>
              </xdr:cNvPr>
              <xdr:cNvGrpSpPr/>
            </xdr:nvGrpSpPr>
            <xdr:grpSpPr>
              <a:xfrm>
                <a:off x="13388606" y="1884293"/>
                <a:ext cx="1343888" cy="531005"/>
                <a:chOff x="1369948" y="1838598"/>
                <a:chExt cx="1484101" cy="628726"/>
              </a:xfrm>
            </xdr:grpSpPr>
            <xdr:sp macro="" textlink="Lançamentos!U6">
              <xdr:nvSpPr>
                <xdr:cNvPr id="76" name="CaixaDeTexto 75">
                  <a:extLst>
                    <a:ext uri="{FF2B5EF4-FFF2-40B4-BE49-F238E27FC236}">
                      <a16:creationId xmlns:a16="http://schemas.microsoft.com/office/drawing/2014/main" id="{00000000-0008-0000-2000-00004C000000}"/>
                    </a:ext>
                  </a:extLst>
                </xdr:cNvPr>
                <xdr:cNvSpPr txBox="1"/>
              </xdr:nvSpPr>
              <xdr:spPr>
                <a:xfrm>
                  <a:off x="1810363" y="2098799"/>
                  <a:ext cx="603271" cy="368525"/>
                </a:xfrm>
                <a:prstGeom prst="rect">
                  <a:avLst/>
                </a:prstGeom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wrap="none" rtlCol="0" anchor="ctr">
                  <a:spAutoFit/>
                </a:bodyPr>
                <a:lstStyle/>
                <a:p>
                  <a:pPr algn="ctr"/>
                  <a:fld id="{185E8A8A-341B-4CED-915A-E0B1382F04A2}" type="TxLink">
                    <a:rPr lang="en-US" sz="1400" b="1" i="0" u="none" strike="noStrike">
                      <a:solidFill>
                        <a:schemeClr val="accent3">
                          <a:lumMod val="50%"/>
                        </a:schemeClr>
                      </a:solidFill>
                      <a:latin typeface="Calibri"/>
                      <a:cs typeface="Calibri"/>
                    </a:rPr>
                    <a:pPr algn="ctr"/>
                    <a:t>4,6%</a:t>
                  </a:fld>
                  <a:endParaRPr lang="pt-BR" sz="1600" b="1">
                    <a:solidFill>
                      <a:schemeClr val="accent3">
                        <a:lumMod val="50%"/>
                      </a:schemeClr>
                    </a:solidFill>
                  </a:endParaRPr>
                </a:p>
              </xdr:txBody>
            </xdr:sp>
            <xdr:sp macro="" textlink="">
              <xdr:nvSpPr>
                <xdr:cNvPr id="77" name="CaixaDeTexto 76">
                  <a:extLst>
                    <a:ext uri="{FF2B5EF4-FFF2-40B4-BE49-F238E27FC236}">
                      <a16:creationId xmlns:a16="http://schemas.microsoft.com/office/drawing/2014/main" id="{00000000-0008-0000-2000-00004D000000}"/>
                    </a:ext>
                  </a:extLst>
                </xdr:cNvPr>
                <xdr:cNvSpPr txBox="1"/>
              </xdr:nvSpPr>
              <xdr:spPr>
                <a:xfrm>
                  <a:off x="1369948" y="1838598"/>
                  <a:ext cx="1484101" cy="288315"/>
                </a:xfrm>
                <a:prstGeom prst="rect">
                  <a:avLst/>
                </a:prstGeom>
                <a:noFill/>
              </xdr:spPr>
              <xdr:style>
                <a:lnRef idx="0">
                  <a:scrgbClr r="0%" g="0%" b="0%"/>
                </a:lnRef>
                <a:fillRef idx="0">
                  <a:scrgbClr r="0%" g="0%" b="0%"/>
                </a:fillRef>
                <a:effectRef idx="0">
                  <a:scrgbClr r="0%" g="0%" b="0%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pt-BR" sz="1000" b="1"/>
                    <a:t>Executado x Previsto</a:t>
                  </a:r>
                </a:p>
              </xdr:txBody>
            </xdr:sp>
          </xdr:grpSp>
        </xdr:grpSp>
      </xdr:grpSp>
      <xdr:sp macro="" textlink="">
        <xdr:nvSpPr>
          <xdr:cNvPr id="89" name="Retângulo 88">
            <a:hlinkClick xmlns:r="http://purl.oclc.org/ooxml/officeDocument/relationships" r:id="rId6"/>
            <a:extLst>
              <a:ext uri="{FF2B5EF4-FFF2-40B4-BE49-F238E27FC236}">
                <a16:creationId xmlns:a16="http://schemas.microsoft.com/office/drawing/2014/main" id="{00000000-0008-0000-2000-000059000000}"/>
              </a:ext>
            </a:extLst>
          </xdr:cNvPr>
          <xdr:cNvSpPr/>
        </xdr:nvSpPr>
        <xdr:spPr>
          <a:xfrm>
            <a:off x="12428466" y="1853647"/>
            <a:ext cx="5777637" cy="287976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%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10</xdr:col>
      <xdr:colOff>193813</xdr:colOff>
      <xdr:row>22</xdr:row>
      <xdr:rowOff>35938</xdr:rowOff>
    </xdr:from>
    <xdr:to>
      <xdr:col>19</xdr:col>
      <xdr:colOff>504411</xdr:colOff>
      <xdr:row>36</xdr:row>
      <xdr:rowOff>566531</xdr:rowOff>
    </xdr:to>
    <xdr:grpSp>
      <xdr:nvGrpSpPr>
        <xdr:cNvPr id="53" name="PJ Ant">
          <a:extLst>
            <a:ext uri="{FF2B5EF4-FFF2-40B4-BE49-F238E27FC236}">
              <a16:creationId xmlns:a16="http://schemas.microsoft.com/office/drawing/2014/main" id="{00000000-0008-0000-2000-000035000000}"/>
            </a:ext>
          </a:extLst>
        </xdr:cNvPr>
        <xdr:cNvGrpSpPr/>
      </xdr:nvGrpSpPr>
      <xdr:grpSpPr>
        <a:xfrm>
          <a:off x="6255177" y="4846544"/>
          <a:ext cx="5765825" cy="3224532"/>
          <a:chOff x="6266001" y="4810344"/>
          <a:chExt cx="5775566" cy="3197593"/>
        </a:xfrm>
      </xdr:grpSpPr>
      <xdr:grpSp>
        <xdr:nvGrpSpPr>
          <xdr:cNvPr id="130" name="Grupo 129">
            <a:extLst>
              <a:ext uri="{FF2B5EF4-FFF2-40B4-BE49-F238E27FC236}">
                <a16:creationId xmlns:a16="http://schemas.microsoft.com/office/drawing/2014/main" id="{00000000-0008-0000-2000-000082000000}"/>
              </a:ext>
            </a:extLst>
          </xdr:cNvPr>
          <xdr:cNvGrpSpPr/>
        </xdr:nvGrpSpPr>
        <xdr:grpSpPr>
          <a:xfrm>
            <a:off x="6302442" y="4810344"/>
            <a:ext cx="5714075" cy="3183945"/>
            <a:chOff x="6338678" y="4726333"/>
            <a:chExt cx="5746688" cy="3125601"/>
          </a:xfrm>
          <a:noFill/>
        </xdr:grpSpPr>
        <xdr:grpSp>
          <xdr:nvGrpSpPr>
            <xdr:cNvPr id="44" name="Grupo 43">
              <a:extLst>
                <a:ext uri="{FF2B5EF4-FFF2-40B4-BE49-F238E27FC236}">
                  <a16:creationId xmlns:a16="http://schemas.microsoft.com/office/drawing/2014/main" id="{00000000-0008-0000-2000-00002C000000}"/>
                </a:ext>
              </a:extLst>
            </xdr:cNvPr>
            <xdr:cNvGrpSpPr/>
          </xdr:nvGrpSpPr>
          <xdr:grpSpPr>
            <a:xfrm>
              <a:off x="6460200" y="4726333"/>
              <a:ext cx="5431165" cy="301774"/>
              <a:chOff x="833715" y="926190"/>
              <a:chExt cx="16179074" cy="499710"/>
            </a:xfrm>
            <a:grpFill/>
          </xdr:grpSpPr>
          <xdr:sp macro="" textlink="">
            <xdr:nvSpPr>
              <xdr:cNvPr id="45" name="CaixaDeTexto 44">
                <a:extLst>
                  <a:ext uri="{FF2B5EF4-FFF2-40B4-BE49-F238E27FC236}">
                    <a16:creationId xmlns:a16="http://schemas.microsoft.com/office/drawing/2014/main" id="{00000000-0008-0000-2000-00002D000000}"/>
                  </a:ext>
                </a:extLst>
              </xdr:cNvPr>
              <xdr:cNvSpPr txBox="1"/>
            </xdr:nvSpPr>
            <xdr:spPr>
              <a:xfrm>
                <a:off x="1635059" y="926190"/>
                <a:ext cx="14576415" cy="471705"/>
              </a:xfrm>
              <a:prstGeom prst="rect">
                <a:avLst/>
              </a:prstGeom>
              <a:grpFill/>
              <a:ln w="9525" cmpd="sng"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1400" cap="small" baseline="0%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Anuidade PJ - Exercícios Anteriores</a:t>
                </a:r>
              </a:p>
            </xdr:txBody>
          </xdr:sp>
          <xdr:cxnSp macro="">
            <xdr:nvCxnSpPr>
              <xdr:cNvPr id="46" name="Conector reto 45">
                <a:extLst>
                  <a:ext uri="{FF2B5EF4-FFF2-40B4-BE49-F238E27FC236}">
                    <a16:creationId xmlns:a16="http://schemas.microsoft.com/office/drawing/2014/main" id="{00000000-0008-0000-2000-00002E000000}"/>
                  </a:ext>
                </a:extLst>
              </xdr:cNvPr>
              <xdr:cNvCxnSpPr/>
            </xdr:nvCxnSpPr>
            <xdr:spPr>
              <a:xfrm>
                <a:off x="833715" y="1425900"/>
                <a:ext cx="16179074" cy="0"/>
              </a:xfrm>
              <a:prstGeom prst="line">
                <a:avLst/>
              </a:prstGeom>
              <a:grpFill/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57" name="Grupo 56">
              <a:extLst>
                <a:ext uri="{FF2B5EF4-FFF2-40B4-BE49-F238E27FC236}">
                  <a16:creationId xmlns:a16="http://schemas.microsoft.com/office/drawing/2014/main" id="{00000000-0008-0000-2000-000039000000}"/>
                </a:ext>
              </a:extLst>
            </xdr:cNvPr>
            <xdr:cNvGrpSpPr/>
          </xdr:nvGrpSpPr>
          <xdr:grpSpPr>
            <a:xfrm>
              <a:off x="6338678" y="5062744"/>
              <a:ext cx="5746688" cy="2789190"/>
              <a:chOff x="6338678" y="5062744"/>
              <a:chExt cx="5746688" cy="2789190"/>
            </a:xfrm>
            <a:grpFill/>
          </xdr:grpSpPr>
          <xdr:graphicFrame macro="">
            <xdr:nvGraphicFramePr>
              <xdr:cNvPr id="41" name="Gráfico 40">
                <a:extLst>
                  <a:ext uri="{FF2B5EF4-FFF2-40B4-BE49-F238E27FC236}">
                    <a16:creationId xmlns:a16="http://schemas.microsoft.com/office/drawing/2014/main" id="{00000000-0008-0000-2000-000029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6338678" y="5068283"/>
              <a:ext cx="5746688" cy="2783651"/>
            </xdr:xfrm>
            <a:graphic>
              <a:graphicData uri="http://purl.oclc.org/ooxml/drawingml/chart">
                <c:chart xmlns:c="http://purl.oclc.org/ooxml/drawingml/chart" xmlns:r="http://purl.oclc.org/ooxml/officeDocument/relationships" r:id="rId7"/>
              </a:graphicData>
            </a:graphic>
          </xdr:graphicFrame>
          <xdr:grpSp>
            <xdr:nvGrpSpPr>
              <xdr:cNvPr id="100" name="Grupo 99">
                <a:extLst>
                  <a:ext uri="{FF2B5EF4-FFF2-40B4-BE49-F238E27FC236}">
                    <a16:creationId xmlns:a16="http://schemas.microsoft.com/office/drawing/2014/main" id="{00000000-0008-0000-2000-000064000000}"/>
                  </a:ext>
                </a:extLst>
              </xdr:cNvPr>
              <xdr:cNvGrpSpPr/>
            </xdr:nvGrpSpPr>
            <xdr:grpSpPr>
              <a:xfrm>
                <a:off x="7094498" y="5062744"/>
                <a:ext cx="1346878" cy="564459"/>
                <a:chOff x="1369948" y="1789647"/>
                <a:chExt cx="1484101" cy="668550"/>
              </a:xfrm>
              <a:grpFill/>
            </xdr:grpSpPr>
            <xdr:sp macro="" textlink="Lançamentos!U5">
              <xdr:nvSpPr>
                <xdr:cNvPr id="101" name="CaixaDeTexto 100">
                  <a:extLst>
                    <a:ext uri="{FF2B5EF4-FFF2-40B4-BE49-F238E27FC236}">
                      <a16:creationId xmlns:a16="http://schemas.microsoft.com/office/drawing/2014/main" id="{00000000-0008-0000-2000-000065000000}"/>
                    </a:ext>
                  </a:extLst>
                </xdr:cNvPr>
                <xdr:cNvSpPr txBox="1"/>
              </xdr:nvSpPr>
              <xdr:spPr>
                <a:xfrm>
                  <a:off x="1756900" y="2099045"/>
                  <a:ext cx="704643" cy="359152"/>
                </a:xfrm>
                <a:prstGeom prst="rect">
                  <a:avLst/>
                </a:prstGeom>
                <a:ln/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fld id="{4CB01299-3D2B-492B-855C-E0854AE8CE1F}" type="TxLink">
                    <a:rPr lang="en-US" sz="1400" b="1" i="0" u="none" strike="noStrike">
                      <a:solidFill>
                        <a:schemeClr val="accent3">
                          <a:lumMod val="50%"/>
                        </a:schemeClr>
                      </a:solidFill>
                      <a:latin typeface="Calibri"/>
                      <a:cs typeface="Calibri"/>
                    </a:rPr>
                    <a:pPr/>
                    <a:t>77,2%</a:t>
                  </a:fld>
                  <a:endParaRPr lang="pt-BR" sz="1400" b="1">
                    <a:solidFill>
                      <a:schemeClr val="accent3">
                        <a:lumMod val="50%"/>
                      </a:schemeClr>
                    </a:solidFill>
                  </a:endParaRPr>
                </a:p>
              </xdr:txBody>
            </xdr:sp>
            <xdr:sp macro="" textlink="">
              <xdr:nvSpPr>
                <xdr:cNvPr id="102" name="CaixaDeTexto 101">
                  <a:extLst>
                    <a:ext uri="{FF2B5EF4-FFF2-40B4-BE49-F238E27FC236}">
                      <a16:creationId xmlns:a16="http://schemas.microsoft.com/office/drawing/2014/main" id="{00000000-0008-0000-2000-000066000000}"/>
                    </a:ext>
                  </a:extLst>
                </xdr:cNvPr>
                <xdr:cNvSpPr txBox="1"/>
              </xdr:nvSpPr>
              <xdr:spPr>
                <a:xfrm>
                  <a:off x="1369948" y="1789647"/>
                  <a:ext cx="1484101" cy="288316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style>
                <a:lnRef idx="0">
                  <a:scrgbClr r="0%" g="0%" b="0%"/>
                </a:lnRef>
                <a:fillRef idx="0">
                  <a:scrgbClr r="0%" g="0%" b="0%"/>
                </a:fillRef>
                <a:effectRef idx="0">
                  <a:scrgbClr r="0%" g="0%" b="0%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pt-BR" sz="1000" b="1"/>
                    <a:t>Executado x Previsto</a:t>
                  </a:r>
                </a:p>
              </xdr:txBody>
            </xdr:sp>
          </xdr:grpSp>
        </xdr:grpSp>
      </xdr:grpSp>
      <xdr:sp macro="" textlink="">
        <xdr:nvSpPr>
          <xdr:cNvPr id="92" name="Retângulo 91">
            <a:hlinkClick xmlns:r="http://purl.oclc.org/ooxml/officeDocument/relationships" r:id="rId8"/>
            <a:extLst>
              <a:ext uri="{FF2B5EF4-FFF2-40B4-BE49-F238E27FC236}">
                <a16:creationId xmlns:a16="http://schemas.microsoft.com/office/drawing/2014/main" id="{00000000-0008-0000-2000-00005C000000}"/>
              </a:ext>
            </a:extLst>
          </xdr:cNvPr>
          <xdr:cNvSpPr/>
        </xdr:nvSpPr>
        <xdr:spPr>
          <a:xfrm>
            <a:off x="6266001" y="5138013"/>
            <a:ext cx="5775566" cy="286992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%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10</xdr:col>
      <xdr:colOff>193812</xdr:colOff>
      <xdr:row>5</xdr:row>
      <xdr:rowOff>16326</xdr:rowOff>
    </xdr:from>
    <xdr:to>
      <xdr:col>19</xdr:col>
      <xdr:colOff>504410</xdr:colOff>
      <xdr:row>21</xdr:row>
      <xdr:rowOff>142047</xdr:rowOff>
    </xdr:to>
    <xdr:grpSp>
      <xdr:nvGrpSpPr>
        <xdr:cNvPr id="13" name="PJ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GrpSpPr/>
      </xdr:nvGrpSpPr>
      <xdr:grpSpPr>
        <a:xfrm>
          <a:off x="6255176" y="1546099"/>
          <a:ext cx="5765825" cy="3214130"/>
          <a:chOff x="6301018" y="1540326"/>
          <a:chExt cx="5807083" cy="3184927"/>
        </a:xfrm>
      </xdr:grpSpPr>
      <xdr:grpSp>
        <xdr:nvGrpSpPr>
          <xdr:cNvPr id="12" name="Grupo 11">
            <a:extLst>
              <a:ext uri="{FF2B5EF4-FFF2-40B4-BE49-F238E27FC236}">
                <a16:creationId xmlns:a16="http://schemas.microsoft.com/office/drawing/2014/main" id="{00000000-0008-0000-2000-00000C000000}"/>
              </a:ext>
            </a:extLst>
          </xdr:cNvPr>
          <xdr:cNvGrpSpPr/>
        </xdr:nvGrpSpPr>
        <xdr:grpSpPr>
          <a:xfrm>
            <a:off x="6500939" y="1540326"/>
            <a:ext cx="5430129" cy="299642"/>
            <a:chOff x="6500939" y="1540326"/>
            <a:chExt cx="5430129" cy="299642"/>
          </a:xfrm>
        </xdr:grpSpPr>
        <xdr:sp macro="" textlink="">
          <xdr:nvSpPr>
            <xdr:cNvPr id="29" name="CaixaDeTexto 28">
              <a:extLst>
                <a:ext uri="{FF2B5EF4-FFF2-40B4-BE49-F238E27FC236}">
                  <a16:creationId xmlns:a16="http://schemas.microsoft.com/office/drawing/2014/main" id="{00000000-0008-0000-2000-00001D000000}"/>
                </a:ext>
              </a:extLst>
            </xdr:cNvPr>
            <xdr:cNvSpPr txBox="1"/>
          </xdr:nvSpPr>
          <xdr:spPr>
            <a:xfrm>
              <a:off x="6769891" y="1540326"/>
              <a:ext cx="4892234" cy="29104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1400" cap="small" baseline="0%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Anuidade PJ - Exercício 2019</a:t>
              </a:r>
            </a:p>
          </xdr:txBody>
        </xdr:sp>
        <xdr:cxnSp macro="">
          <xdr:nvCxnSpPr>
            <xdr:cNvPr id="30" name="Conector reto 29">
              <a:extLst>
                <a:ext uri="{FF2B5EF4-FFF2-40B4-BE49-F238E27FC236}">
                  <a16:creationId xmlns:a16="http://schemas.microsoft.com/office/drawing/2014/main" id="{00000000-0008-0000-2000-00001E000000}"/>
                </a:ext>
              </a:extLst>
            </xdr:cNvPr>
            <xdr:cNvCxnSpPr/>
          </xdr:nvCxnSpPr>
          <xdr:spPr>
            <a:xfrm>
              <a:off x="6500939" y="1839968"/>
              <a:ext cx="5430129" cy="0"/>
            </a:xfrm>
            <a:prstGeom prst="line">
              <a:avLst/>
            </a:prstGeom>
            <a:noFill/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9" name="Grupo 18">
            <a:extLst>
              <a:ext uri="{FF2B5EF4-FFF2-40B4-BE49-F238E27FC236}">
                <a16:creationId xmlns:a16="http://schemas.microsoft.com/office/drawing/2014/main" id="{00000000-0008-0000-2000-000013000000}"/>
              </a:ext>
            </a:extLst>
          </xdr:cNvPr>
          <xdr:cNvGrpSpPr/>
        </xdr:nvGrpSpPr>
        <xdr:grpSpPr>
          <a:xfrm>
            <a:off x="6337460" y="1846310"/>
            <a:ext cx="5745592" cy="2851431"/>
            <a:chOff x="6338678" y="1827382"/>
            <a:chExt cx="5746688" cy="2790821"/>
          </a:xfrm>
          <a:noFill/>
        </xdr:grpSpPr>
        <xdr:graphicFrame macro="">
          <xdr:nvGraphicFramePr>
            <xdr:cNvPr id="40" name="Gráfico 39">
              <a:extLst>
                <a:ext uri="{FF2B5EF4-FFF2-40B4-BE49-F238E27FC236}">
                  <a16:creationId xmlns:a16="http://schemas.microsoft.com/office/drawing/2014/main" id="{00000000-0008-0000-2000-000028000000}"/>
                </a:ext>
              </a:extLst>
            </xdr:cNvPr>
            <xdr:cNvGraphicFramePr>
              <a:graphicFrameLocks/>
            </xdr:cNvGraphicFramePr>
          </xdr:nvGraphicFramePr>
          <xdr:xfrm>
            <a:off x="6338678" y="1858006"/>
            <a:ext cx="5746688" cy="2760197"/>
          </xdr:xfrm>
          <a:graphic>
            <a:graphicData uri="http://purl.oclc.org/ooxml/drawingml/chart">
              <c:chart xmlns:c="http://purl.oclc.org/ooxml/drawingml/chart" xmlns:r="http://purl.oclc.org/ooxml/officeDocument/relationships" r:id="rId9"/>
            </a:graphicData>
          </a:graphic>
        </xdr:graphicFrame>
        <xdr:grpSp>
          <xdr:nvGrpSpPr>
            <xdr:cNvPr id="70" name="Grupo 69">
              <a:extLst>
                <a:ext uri="{FF2B5EF4-FFF2-40B4-BE49-F238E27FC236}">
                  <a16:creationId xmlns:a16="http://schemas.microsoft.com/office/drawing/2014/main" id="{00000000-0008-0000-2000-000046000000}"/>
                </a:ext>
              </a:extLst>
            </xdr:cNvPr>
            <xdr:cNvGrpSpPr/>
          </xdr:nvGrpSpPr>
          <xdr:grpSpPr>
            <a:xfrm>
              <a:off x="7141779" y="1827382"/>
              <a:ext cx="1347477" cy="1038758"/>
              <a:chOff x="1369948" y="1810484"/>
              <a:chExt cx="1484763" cy="1230438"/>
            </a:xfrm>
            <a:grpFill/>
          </xdr:grpSpPr>
          <xdr:sp macro="" textlink="Lançamentos!U4">
            <xdr:nvSpPr>
              <xdr:cNvPr id="71" name="CaixaDeTexto 70">
                <a:extLst>
                  <a:ext uri="{FF2B5EF4-FFF2-40B4-BE49-F238E27FC236}">
                    <a16:creationId xmlns:a16="http://schemas.microsoft.com/office/drawing/2014/main" id="{00000000-0008-0000-2000-000047000000}"/>
                  </a:ext>
                </a:extLst>
              </xdr:cNvPr>
              <xdr:cNvSpPr txBox="1"/>
            </xdr:nvSpPr>
            <xdr:spPr>
              <a:xfrm>
                <a:off x="1756900" y="2098799"/>
                <a:ext cx="765599" cy="357852"/>
              </a:xfrm>
              <a:prstGeom prst="rect">
                <a:avLst/>
              </a:prstGeom>
              <a:ln/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fld id="{18EC968D-D0EF-41D1-9CF4-FE734BFADCB7}" type="TxLink">
                  <a:rPr lang="en-US" sz="1400" b="1" i="0" u="none" strike="noStrike">
                    <a:solidFill>
                      <a:srgbClr val="FF0000"/>
                    </a:solidFill>
                    <a:latin typeface="Calibri"/>
                    <a:cs typeface="Calibri"/>
                  </a:rPr>
                  <a:pPr/>
                  <a:t>-34,7%</a:t>
                </a:fld>
                <a:endParaRPr lang="pt-BR" sz="1600" b="1">
                  <a:solidFill>
                    <a:srgbClr val="FF0000"/>
                  </a:solidFill>
                </a:endParaRPr>
              </a:p>
            </xdr:txBody>
          </xdr:sp>
          <xdr:sp macro="" textlink="">
            <xdr:nvSpPr>
              <xdr:cNvPr id="72" name="CaixaDeTexto 71">
                <a:extLst>
                  <a:ext uri="{FF2B5EF4-FFF2-40B4-BE49-F238E27FC236}">
                    <a16:creationId xmlns:a16="http://schemas.microsoft.com/office/drawing/2014/main" id="{00000000-0008-0000-2000-000048000000}"/>
                  </a:ext>
                </a:extLst>
              </xdr:cNvPr>
              <xdr:cNvSpPr txBox="1"/>
            </xdr:nvSpPr>
            <xdr:spPr>
              <a:xfrm>
                <a:off x="1369948" y="1810484"/>
                <a:ext cx="1484101" cy="288315"/>
              </a:xfrm>
              <a:prstGeom prst="rect">
                <a:avLst/>
              </a:prstGeom>
              <a:grpFill/>
              <a:ln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lang="pt-BR" sz="1000" b="1"/>
                  <a:t>Executado x Previsto</a:t>
                </a:r>
              </a:p>
            </xdr:txBody>
          </xdr:sp>
          <xdr:sp macro="" textlink="Lançamentos!W4">
            <xdr:nvSpPr>
              <xdr:cNvPr id="73" name="CaixaDeTexto 72">
                <a:extLst>
                  <a:ext uri="{FF2B5EF4-FFF2-40B4-BE49-F238E27FC236}">
                    <a16:creationId xmlns:a16="http://schemas.microsoft.com/office/drawing/2014/main" id="{00000000-0008-0000-2000-000049000000}"/>
                  </a:ext>
                </a:extLst>
              </xdr:cNvPr>
              <xdr:cNvSpPr txBox="1"/>
            </xdr:nvSpPr>
            <xdr:spPr>
              <a:xfrm>
                <a:off x="1756900" y="2683070"/>
                <a:ext cx="765599" cy="357852"/>
              </a:xfrm>
              <a:prstGeom prst="rect">
                <a:avLst/>
              </a:prstGeom>
              <a:ln/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fld id="{85EFA7BE-E2AE-4832-A0F2-4A16C25DE2F5}" type="TxLink">
                  <a:rPr lang="en-US" sz="1400" b="1" i="0" u="none" strike="noStrike">
                    <a:solidFill>
                      <a:srgbClr val="FF0000"/>
                    </a:solidFill>
                    <a:latin typeface="Calibri"/>
                    <a:cs typeface="Calibri"/>
                  </a:rPr>
                  <a:pPr/>
                  <a:t>-58,4%</a:t>
                </a:fld>
                <a:endParaRPr lang="pt-BR" sz="1600" b="1">
                  <a:solidFill>
                    <a:srgbClr val="FF0000"/>
                  </a:solidFill>
                </a:endParaRPr>
              </a:p>
            </xdr:txBody>
          </xdr:sp>
          <xdr:sp macro="" textlink="">
            <xdr:nvSpPr>
              <xdr:cNvPr id="74" name="CaixaDeTexto 73">
                <a:extLst>
                  <a:ext uri="{FF2B5EF4-FFF2-40B4-BE49-F238E27FC236}">
                    <a16:creationId xmlns:a16="http://schemas.microsoft.com/office/drawing/2014/main" id="{00000000-0008-0000-2000-00004A000000}"/>
                  </a:ext>
                </a:extLst>
              </xdr:cNvPr>
              <xdr:cNvSpPr txBox="1"/>
            </xdr:nvSpPr>
            <xdr:spPr>
              <a:xfrm>
                <a:off x="1369948" y="2428419"/>
                <a:ext cx="1484763" cy="288315"/>
              </a:xfrm>
              <a:prstGeom prst="rect">
                <a:avLst/>
              </a:prstGeom>
              <a:grpFill/>
              <a:ln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lang="pt-BR" sz="1000" b="1"/>
                  <a:t>Executado x Potencial</a:t>
                </a:r>
              </a:p>
            </xdr:txBody>
          </xdr:sp>
        </xdr:grpSp>
      </xdr:grpSp>
      <xdr:sp macro="" textlink="">
        <xdr:nvSpPr>
          <xdr:cNvPr id="88" name="Retângulo 87">
            <a:hlinkClick xmlns:r="http://purl.oclc.org/ooxml/officeDocument/relationships" r:id="rId10"/>
            <a:extLst>
              <a:ext uri="{FF2B5EF4-FFF2-40B4-BE49-F238E27FC236}">
                <a16:creationId xmlns:a16="http://schemas.microsoft.com/office/drawing/2014/main" id="{00000000-0008-0000-2000-000058000000}"/>
              </a:ext>
            </a:extLst>
          </xdr:cNvPr>
          <xdr:cNvSpPr/>
        </xdr:nvSpPr>
        <xdr:spPr>
          <a:xfrm>
            <a:off x="6301018" y="1846193"/>
            <a:ext cx="5807083" cy="287906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%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0</xdr:col>
      <xdr:colOff>131693</xdr:colOff>
      <xdr:row>22</xdr:row>
      <xdr:rowOff>55203</xdr:rowOff>
    </xdr:from>
    <xdr:to>
      <xdr:col>9</xdr:col>
      <xdr:colOff>442290</xdr:colOff>
      <xdr:row>36</xdr:row>
      <xdr:rowOff>556177</xdr:rowOff>
    </xdr:to>
    <xdr:grpSp>
      <xdr:nvGrpSpPr>
        <xdr:cNvPr id="54" name="PF Ant">
          <a:extLst>
            <a:ext uri="{FF2B5EF4-FFF2-40B4-BE49-F238E27FC236}">
              <a16:creationId xmlns:a16="http://schemas.microsoft.com/office/drawing/2014/main" id="{00000000-0008-0000-2000-000036000000}"/>
            </a:ext>
          </a:extLst>
        </xdr:cNvPr>
        <xdr:cNvGrpSpPr/>
      </xdr:nvGrpSpPr>
      <xdr:grpSpPr>
        <a:xfrm>
          <a:off x="131693" y="4865809"/>
          <a:ext cx="5765824" cy="3194913"/>
          <a:chOff x="131693" y="4829609"/>
          <a:chExt cx="5775566" cy="3167974"/>
        </a:xfrm>
        <a:noFill/>
      </xdr:grpSpPr>
      <xdr:grpSp>
        <xdr:nvGrpSpPr>
          <xdr:cNvPr id="129" name="Grupo 128">
            <a:extLst>
              <a:ext uri="{FF2B5EF4-FFF2-40B4-BE49-F238E27FC236}">
                <a16:creationId xmlns:a16="http://schemas.microsoft.com/office/drawing/2014/main" id="{00000000-0008-0000-2000-000081000000}"/>
              </a:ext>
            </a:extLst>
          </xdr:cNvPr>
          <xdr:cNvGrpSpPr/>
        </xdr:nvGrpSpPr>
        <xdr:grpSpPr>
          <a:xfrm>
            <a:off x="155610" y="4829609"/>
            <a:ext cx="5714076" cy="3164682"/>
            <a:chOff x="155610" y="4745230"/>
            <a:chExt cx="5746689" cy="3106704"/>
          </a:xfrm>
          <a:grpFill/>
        </xdr:grpSpPr>
        <xdr:grpSp>
          <xdr:nvGrpSpPr>
            <xdr:cNvPr id="24" name="Grupo 23">
              <a:extLst>
                <a:ext uri="{FF2B5EF4-FFF2-40B4-BE49-F238E27FC236}">
                  <a16:creationId xmlns:a16="http://schemas.microsoft.com/office/drawing/2014/main" id="{00000000-0008-0000-2000-000018000000}"/>
                </a:ext>
              </a:extLst>
            </xdr:cNvPr>
            <xdr:cNvGrpSpPr/>
          </xdr:nvGrpSpPr>
          <xdr:grpSpPr>
            <a:xfrm>
              <a:off x="267411" y="4745230"/>
              <a:ext cx="5431166" cy="293273"/>
              <a:chOff x="833715" y="968427"/>
              <a:chExt cx="16179074" cy="485632"/>
            </a:xfrm>
            <a:grpFill/>
          </xdr:grpSpPr>
          <xdr:sp macro="" textlink="">
            <xdr:nvSpPr>
              <xdr:cNvPr id="25" name="CaixaDeTexto 24">
                <a:extLst>
                  <a:ext uri="{FF2B5EF4-FFF2-40B4-BE49-F238E27FC236}">
                    <a16:creationId xmlns:a16="http://schemas.microsoft.com/office/drawing/2014/main" id="{00000000-0008-0000-2000-000019000000}"/>
                  </a:ext>
                </a:extLst>
              </xdr:cNvPr>
              <xdr:cNvSpPr txBox="1"/>
            </xdr:nvSpPr>
            <xdr:spPr>
              <a:xfrm>
                <a:off x="1635058" y="968427"/>
                <a:ext cx="14576414" cy="471704"/>
              </a:xfrm>
              <a:prstGeom prst="rect">
                <a:avLst/>
              </a:prstGeom>
              <a:grpFill/>
              <a:ln w="9525" cmpd="sng">
                <a:noFill/>
              </a:ln>
            </xdr:spPr>
            <xdr:style>
              <a:lnRef idx="0">
                <a:scrgbClr r="0%" g="0%" b="0%"/>
              </a:lnRef>
              <a:fillRef idx="0">
                <a:scrgbClr r="0%" g="0%" b="0%"/>
              </a:fillRef>
              <a:effectRef idx="0">
                <a:scrgbClr r="0%" g="0%" b="0%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1400" cap="small" baseline="0%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Anuidade PF - Exercícios Anteriores</a:t>
                </a:r>
              </a:p>
            </xdr:txBody>
          </xdr:sp>
          <xdr:cxnSp macro="">
            <xdr:nvCxnSpPr>
              <xdr:cNvPr id="26" name="Conector reto 25">
                <a:extLst>
                  <a:ext uri="{FF2B5EF4-FFF2-40B4-BE49-F238E27FC236}">
                    <a16:creationId xmlns:a16="http://schemas.microsoft.com/office/drawing/2014/main" id="{00000000-0008-0000-2000-00001A000000}"/>
                  </a:ext>
                </a:extLst>
              </xdr:cNvPr>
              <xdr:cNvCxnSpPr/>
            </xdr:nvCxnSpPr>
            <xdr:spPr>
              <a:xfrm>
                <a:off x="833715" y="1454059"/>
                <a:ext cx="16179074" cy="0"/>
              </a:xfrm>
              <a:prstGeom prst="line">
                <a:avLst/>
              </a:prstGeom>
              <a:grpFill/>
              <a:ln>
                <a:noFill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37" name="Grupo 36">
              <a:extLst>
                <a:ext uri="{FF2B5EF4-FFF2-40B4-BE49-F238E27FC236}">
                  <a16:creationId xmlns:a16="http://schemas.microsoft.com/office/drawing/2014/main" id="{00000000-0008-0000-2000-000025000000}"/>
                </a:ext>
              </a:extLst>
            </xdr:cNvPr>
            <xdr:cNvGrpSpPr/>
          </xdr:nvGrpSpPr>
          <xdr:grpSpPr>
            <a:xfrm>
              <a:off x="155610" y="5068283"/>
              <a:ext cx="5746689" cy="2783651"/>
              <a:chOff x="155610" y="5068283"/>
              <a:chExt cx="5746689" cy="2783651"/>
            </a:xfrm>
            <a:grpFill/>
          </xdr:grpSpPr>
          <xdr:graphicFrame macro="">
            <xdr:nvGraphicFramePr>
              <xdr:cNvPr id="39" name="Gráfico 38">
                <a:extLst>
                  <a:ext uri="{FF2B5EF4-FFF2-40B4-BE49-F238E27FC236}">
                    <a16:creationId xmlns:a16="http://schemas.microsoft.com/office/drawing/2014/main" id="{00000000-0008-0000-2000-000027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55610" y="5068283"/>
              <a:ext cx="5746689" cy="2783651"/>
            </xdr:xfrm>
            <a:graphic>
              <a:graphicData uri="http://purl.oclc.org/ooxml/drawingml/chart">
                <c:chart xmlns:c="http://purl.oclc.org/ooxml/drawingml/chart" xmlns:r="http://purl.oclc.org/ooxml/officeDocument/relationships" r:id="rId11"/>
              </a:graphicData>
            </a:graphic>
          </xdr:graphicFrame>
          <xdr:grpSp>
            <xdr:nvGrpSpPr>
              <xdr:cNvPr id="95" name="Grupo 94">
                <a:extLst>
                  <a:ext uri="{FF2B5EF4-FFF2-40B4-BE49-F238E27FC236}">
                    <a16:creationId xmlns:a16="http://schemas.microsoft.com/office/drawing/2014/main" id="{00000000-0008-0000-2000-00005F000000}"/>
                  </a:ext>
                </a:extLst>
              </xdr:cNvPr>
              <xdr:cNvGrpSpPr/>
            </xdr:nvGrpSpPr>
            <xdr:grpSpPr>
              <a:xfrm>
                <a:off x="781794" y="5133845"/>
                <a:ext cx="1346877" cy="519261"/>
                <a:chOff x="1369948" y="1789647"/>
                <a:chExt cx="1484101" cy="615064"/>
              </a:xfrm>
              <a:grpFill/>
            </xdr:grpSpPr>
            <xdr:sp macro="" textlink="Lançamentos!U3">
              <xdr:nvSpPr>
                <xdr:cNvPr id="96" name="CaixaDeTexto 95">
                  <a:extLst>
                    <a:ext uri="{FF2B5EF4-FFF2-40B4-BE49-F238E27FC236}">
                      <a16:creationId xmlns:a16="http://schemas.microsoft.com/office/drawing/2014/main" id="{00000000-0008-0000-2000-000060000000}"/>
                    </a:ext>
                  </a:extLst>
                </xdr:cNvPr>
                <xdr:cNvSpPr txBox="1"/>
              </xdr:nvSpPr>
              <xdr:spPr>
                <a:xfrm>
                  <a:off x="1748028" y="2045558"/>
                  <a:ext cx="704644" cy="359153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wrap="none" rtlCol="0" anchor="ctr">
                  <a:spAutoFit/>
                </a:bodyPr>
                <a:lstStyle/>
                <a:p>
                  <a:pPr algn="ctr"/>
                  <a:fld id="{B91523D5-361C-4A22-8099-F65CA2E73E09}" type="TxLink">
                    <a:rPr lang="en-US" sz="1400" b="1" i="0" u="none" strike="noStrike">
                      <a:solidFill>
                        <a:schemeClr val="accent3">
                          <a:lumMod val="50%"/>
                        </a:schemeClr>
                      </a:solidFill>
                      <a:latin typeface="Calibri"/>
                      <a:cs typeface="Calibri"/>
                    </a:rPr>
                    <a:pPr algn="ctr"/>
                    <a:t>35,4%</a:t>
                  </a:fld>
                  <a:endParaRPr lang="pt-BR" sz="1400" b="1">
                    <a:solidFill>
                      <a:schemeClr val="accent3">
                        <a:lumMod val="50%"/>
                      </a:schemeClr>
                    </a:solidFill>
                  </a:endParaRPr>
                </a:p>
              </xdr:txBody>
            </xdr:sp>
            <xdr:sp macro="" textlink="">
              <xdr:nvSpPr>
                <xdr:cNvPr id="97" name="CaixaDeTexto 96">
                  <a:extLst>
                    <a:ext uri="{FF2B5EF4-FFF2-40B4-BE49-F238E27FC236}">
                      <a16:creationId xmlns:a16="http://schemas.microsoft.com/office/drawing/2014/main" id="{00000000-0008-0000-2000-000061000000}"/>
                    </a:ext>
                  </a:extLst>
                </xdr:cNvPr>
                <xdr:cNvSpPr txBox="1"/>
              </xdr:nvSpPr>
              <xdr:spPr>
                <a:xfrm>
                  <a:off x="1369948" y="1789647"/>
                  <a:ext cx="1484101" cy="288315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style>
                <a:lnRef idx="0">
                  <a:scrgbClr r="0%" g="0%" b="0%"/>
                </a:lnRef>
                <a:fillRef idx="0">
                  <a:scrgbClr r="0%" g="0%" b="0%"/>
                </a:fillRef>
                <a:effectRef idx="0">
                  <a:scrgbClr r="0%" g="0%" b="0%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pt-BR" sz="1000" b="1"/>
                    <a:t>Executado x Previsto</a:t>
                  </a:r>
                </a:p>
              </xdr:txBody>
            </xdr:sp>
          </xdr:grpSp>
        </xdr:grpSp>
      </xdr:grpSp>
      <xdr:sp macro="" textlink="">
        <xdr:nvSpPr>
          <xdr:cNvPr id="90" name="Retângulo 89">
            <a:hlinkClick xmlns:r="http://purl.oclc.org/ooxml/officeDocument/relationships" r:id="rId12"/>
            <a:extLst>
              <a:ext uri="{FF2B5EF4-FFF2-40B4-BE49-F238E27FC236}">
                <a16:creationId xmlns:a16="http://schemas.microsoft.com/office/drawing/2014/main" id="{00000000-0008-0000-2000-00005A000000}"/>
              </a:ext>
            </a:extLst>
          </xdr:cNvPr>
          <xdr:cNvSpPr/>
        </xdr:nvSpPr>
        <xdr:spPr>
          <a:xfrm>
            <a:off x="131693" y="5127659"/>
            <a:ext cx="5775566" cy="286992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%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0</xdr:col>
      <xdr:colOff>124239</xdr:colOff>
      <xdr:row>5</xdr:row>
      <xdr:rowOff>9716</xdr:rowOff>
    </xdr:from>
    <xdr:to>
      <xdr:col>13</xdr:col>
      <xdr:colOff>269880</xdr:colOff>
      <xdr:row>1048576</xdr:row>
      <xdr:rowOff>182472</xdr:rowOff>
    </xdr:to>
    <xdr:grpSp>
      <xdr:nvGrpSpPr>
        <xdr:cNvPr id="15" name="PF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GrpSpPr/>
      </xdr:nvGrpSpPr>
      <xdr:grpSpPr>
        <a:xfrm>
          <a:off x="124239" y="1539489"/>
          <a:ext cx="8025414" cy="6840256"/>
          <a:chOff x="124239" y="1533716"/>
          <a:chExt cx="8039485" cy="6780725"/>
        </a:xfrm>
      </xdr:grpSpPr>
      <xdr:graphicFrame macro="">
        <xdr:nvGraphicFramePr>
          <xdr:cNvPr id="35" name="Gráfico PF">
            <a:extLst>
              <a:ext uri="{FF2B5EF4-FFF2-40B4-BE49-F238E27FC236}">
                <a16:creationId xmlns:a16="http://schemas.microsoft.com/office/drawing/2014/main" id="{00000000-0008-0000-2000-000023000000}"/>
              </a:ext>
            </a:extLst>
          </xdr:cNvPr>
          <xdr:cNvGraphicFramePr>
            <a:graphicFrameLocks/>
          </xdr:cNvGraphicFramePr>
        </xdr:nvGraphicFramePr>
        <xdr:xfrm>
          <a:off x="1274746" y="8314441"/>
          <a:ext cx="6888978" cy="0"/>
        </xdr:xfrm>
        <a:graphic>
          <a:graphicData uri="http://purl.oclc.org/ooxml/drawingml/chart">
            <c:chart xmlns:c="http://purl.oclc.org/ooxml/drawingml/chart" xmlns:r="http://purl.oclc.org/ooxml/officeDocument/relationships" r:id="rId13"/>
          </a:graphicData>
        </a:graphic>
      </xdr:graphicFrame>
      <xdr:grpSp>
        <xdr:nvGrpSpPr>
          <xdr:cNvPr id="10" name="PF">
            <a:extLst>
              <a:ext uri="{FF2B5EF4-FFF2-40B4-BE49-F238E27FC236}">
                <a16:creationId xmlns:a16="http://schemas.microsoft.com/office/drawing/2014/main" id="{00000000-0008-0000-2000-00000A000000}"/>
              </a:ext>
            </a:extLst>
          </xdr:cNvPr>
          <xdr:cNvGrpSpPr/>
        </xdr:nvGrpSpPr>
        <xdr:grpSpPr>
          <a:xfrm>
            <a:off x="124239" y="1533716"/>
            <a:ext cx="5775566" cy="3184783"/>
            <a:chOff x="124239" y="1521292"/>
            <a:chExt cx="5808179" cy="3116969"/>
          </a:xfrm>
        </xdr:grpSpPr>
        <xdr:grpSp>
          <xdr:nvGrpSpPr>
            <xdr:cNvPr id="126" name="Grupo 125">
              <a:extLst>
                <a:ext uri="{FF2B5EF4-FFF2-40B4-BE49-F238E27FC236}">
                  <a16:creationId xmlns:a16="http://schemas.microsoft.com/office/drawing/2014/main" id="{00000000-0008-0000-2000-00007E000000}"/>
                </a:ext>
              </a:extLst>
            </xdr:cNvPr>
            <xdr:cNvGrpSpPr/>
          </xdr:nvGrpSpPr>
          <xdr:grpSpPr>
            <a:xfrm>
              <a:off x="155610" y="1521292"/>
              <a:ext cx="5746689" cy="3096911"/>
              <a:chOff x="155610" y="1521292"/>
              <a:chExt cx="5746689" cy="3096911"/>
            </a:xfrm>
          </xdr:grpSpPr>
          <xdr:grpSp>
            <xdr:nvGrpSpPr>
              <xdr:cNvPr id="21" name="Grupo 20">
                <a:extLst>
                  <a:ext uri="{FF2B5EF4-FFF2-40B4-BE49-F238E27FC236}">
                    <a16:creationId xmlns:a16="http://schemas.microsoft.com/office/drawing/2014/main" id="{00000000-0008-0000-2000-000015000000}"/>
                  </a:ext>
                </a:extLst>
              </xdr:cNvPr>
              <xdr:cNvGrpSpPr/>
            </xdr:nvGrpSpPr>
            <xdr:grpSpPr>
              <a:xfrm>
                <a:off x="309399" y="1521292"/>
                <a:ext cx="5431166" cy="293273"/>
                <a:chOff x="833715" y="968427"/>
                <a:chExt cx="16179074" cy="485632"/>
              </a:xfrm>
            </xdr:grpSpPr>
            <xdr:sp macro="" textlink="">
              <xdr:nvSpPr>
                <xdr:cNvPr id="22" name="CaixaDeTexto 21">
                  <a:extLst>
                    <a:ext uri="{FF2B5EF4-FFF2-40B4-BE49-F238E27FC236}">
                      <a16:creationId xmlns:a16="http://schemas.microsoft.com/office/drawing/2014/main" id="{00000000-0008-0000-2000-000016000000}"/>
                    </a:ext>
                  </a:extLst>
                </xdr:cNvPr>
                <xdr:cNvSpPr txBox="1"/>
              </xdr:nvSpPr>
              <xdr:spPr>
                <a:xfrm>
                  <a:off x="1635058" y="968427"/>
                  <a:ext cx="14576414" cy="471704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%" g="0%" b="0%"/>
                </a:lnRef>
                <a:fillRef idx="0">
                  <a:scrgbClr r="0%" g="0%" b="0%"/>
                </a:fillRef>
                <a:effectRef idx="0">
                  <a:scrgbClr r="0%" g="0%" b="0%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marL="0" indent="0" algn="ctr"/>
                  <a:r>
                    <a:rPr lang="pt-BR" sz="1400" cap="small" baseline="0%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rPr>
                    <a:t>Anuidade PF - Exercício 2019</a:t>
                  </a:r>
                </a:p>
              </xdr:txBody>
            </xdr:sp>
            <xdr:cxnSp macro="">
              <xdr:nvCxnSpPr>
                <xdr:cNvPr id="23" name="Conector reto 22">
                  <a:extLst>
                    <a:ext uri="{FF2B5EF4-FFF2-40B4-BE49-F238E27FC236}">
                      <a16:creationId xmlns:a16="http://schemas.microsoft.com/office/drawing/2014/main" id="{00000000-0008-0000-2000-000017000000}"/>
                    </a:ext>
                  </a:extLst>
                </xdr:cNvPr>
                <xdr:cNvCxnSpPr/>
              </xdr:nvCxnSpPr>
              <xdr:spPr>
                <a:xfrm>
                  <a:off x="833715" y="1454059"/>
                  <a:ext cx="16179074" cy="0"/>
                </a:xfrm>
                <a:prstGeom prst="line">
                  <a:avLst/>
                </a:prstGeom>
                <a:ln>
                  <a:solidFill>
                    <a:schemeClr val="bg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grpSp>
            <xdr:nvGrpSpPr>
              <xdr:cNvPr id="18" name="Grupo 17">
                <a:extLst>
                  <a:ext uri="{FF2B5EF4-FFF2-40B4-BE49-F238E27FC236}">
                    <a16:creationId xmlns:a16="http://schemas.microsoft.com/office/drawing/2014/main" id="{00000000-0008-0000-2000-000012000000}"/>
                  </a:ext>
                </a:extLst>
              </xdr:cNvPr>
              <xdr:cNvGrpSpPr/>
            </xdr:nvGrpSpPr>
            <xdr:grpSpPr>
              <a:xfrm>
                <a:off x="155610" y="1827380"/>
                <a:ext cx="5746689" cy="2790823"/>
                <a:chOff x="155610" y="1827380"/>
                <a:chExt cx="5746689" cy="2790823"/>
              </a:xfrm>
            </xdr:grpSpPr>
            <xdr:graphicFrame macro="">
              <xdr:nvGraphicFramePr>
                <xdr:cNvPr id="38" name="Gráfico 37">
                  <a:extLst>
                    <a:ext uri="{FF2B5EF4-FFF2-40B4-BE49-F238E27FC236}">
                      <a16:creationId xmlns:a16="http://schemas.microsoft.com/office/drawing/2014/main" id="{00000000-0008-0000-2000-000026000000}"/>
                    </a:ext>
                  </a:extLst>
                </xdr:cNvPr>
                <xdr:cNvGraphicFramePr>
                  <a:graphicFrameLocks/>
                </xdr:cNvGraphicFramePr>
              </xdr:nvGraphicFramePr>
              <xdr:xfrm>
                <a:off x="155610" y="1858006"/>
                <a:ext cx="5746689" cy="2760197"/>
              </xdr:xfrm>
              <a:graphic>
                <a:graphicData uri="http://purl.oclc.org/ooxml/drawingml/chart">
                  <c:chart xmlns:c="http://purl.oclc.org/ooxml/drawingml/chart" xmlns:r="http://purl.oclc.org/ooxml/officeDocument/relationships" r:id="rId14"/>
                </a:graphicData>
              </a:graphic>
            </xdr:graphicFrame>
            <xdr:grpSp>
              <xdr:nvGrpSpPr>
                <xdr:cNvPr id="14" name="Grupo 13">
                  <a:extLst>
                    <a:ext uri="{FF2B5EF4-FFF2-40B4-BE49-F238E27FC236}">
                      <a16:creationId xmlns:a16="http://schemas.microsoft.com/office/drawing/2014/main" id="{00000000-0008-0000-2000-00000E000000}"/>
                    </a:ext>
                  </a:extLst>
                </xdr:cNvPr>
                <xdr:cNvGrpSpPr/>
              </xdr:nvGrpSpPr>
              <xdr:grpSpPr>
                <a:xfrm>
                  <a:off x="787662" y="1827380"/>
                  <a:ext cx="1347476" cy="1037769"/>
                  <a:chOff x="1324316" y="1810482"/>
                  <a:chExt cx="1484763" cy="1229313"/>
                </a:xfrm>
              </xdr:grpSpPr>
              <xdr:sp macro="" textlink="Lançamentos!U2">
                <xdr:nvSpPr>
                  <xdr:cNvPr id="7" name="CaixaDeTexto 6">
                    <a:extLst>
                      <a:ext uri="{FF2B5EF4-FFF2-40B4-BE49-F238E27FC236}">
                        <a16:creationId xmlns:a16="http://schemas.microsoft.com/office/drawing/2014/main" id="{00000000-0008-0000-2000-000007000000}"/>
                      </a:ext>
                    </a:extLst>
                  </xdr:cNvPr>
                  <xdr:cNvSpPr txBox="1"/>
                </xdr:nvSpPr>
                <xdr:spPr>
                  <a:xfrm>
                    <a:off x="1665638" y="2098798"/>
                    <a:ext cx="760015" cy="368990"/>
                  </a:xfrm>
                  <a:prstGeom prst="rect">
                    <a:avLst/>
                  </a:prstGeom>
                </xdr:spPr>
                <xdr:style>
                  <a:lnRef idx="2">
                    <a:schemeClr val="accent2"/>
                  </a:lnRef>
                  <a:fillRef idx="1">
                    <a:schemeClr val="lt1"/>
                  </a:fillRef>
                  <a:effectRef idx="0">
                    <a:schemeClr val="accent2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fld id="{6FDB252B-0068-4757-A38D-7FA0BC581F9D}" type="TxLink">
                      <a:rPr lang="en-US" sz="1400" b="1" i="0" u="none" strike="noStrike">
                        <a:solidFill>
                          <a:srgbClr val="FF0000"/>
                        </a:solidFill>
                        <a:latin typeface="Calibri"/>
                      </a:rPr>
                      <a:pPr/>
                      <a:t>-15,7%</a:t>
                    </a:fld>
                    <a:endParaRPr lang="pt-BR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8" name="CaixaDeTexto 7">
                    <a:extLst>
                      <a:ext uri="{FF2B5EF4-FFF2-40B4-BE49-F238E27FC236}">
                        <a16:creationId xmlns:a16="http://schemas.microsoft.com/office/drawing/2014/main" id="{00000000-0008-0000-2000-000008000000}"/>
                      </a:ext>
                    </a:extLst>
                  </xdr:cNvPr>
                  <xdr:cNvSpPr txBox="1"/>
                </xdr:nvSpPr>
                <xdr:spPr>
                  <a:xfrm>
                    <a:off x="1324317" y="1810482"/>
                    <a:ext cx="1484101" cy="288316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%" g="0%" b="0%"/>
                  </a:lnRef>
                  <a:fillRef idx="0">
                    <a:scrgbClr r="0%" g="0%" b="0%"/>
                  </a:fillRef>
                  <a:effectRef idx="0">
                    <a:scrgbClr r="0%" g="0%" b="0%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pt-BR" sz="1000" b="1"/>
                      <a:t>Executado x Previsto</a:t>
                    </a:r>
                  </a:p>
                </xdr:txBody>
              </xdr:sp>
              <xdr:sp macro="" textlink="Lançamentos!W2">
                <xdr:nvSpPr>
                  <xdr:cNvPr id="68" name="CaixaDeTexto 67">
                    <a:extLst>
                      <a:ext uri="{FF2B5EF4-FFF2-40B4-BE49-F238E27FC236}">
                        <a16:creationId xmlns:a16="http://schemas.microsoft.com/office/drawing/2014/main" id="{00000000-0008-0000-2000-000044000000}"/>
                      </a:ext>
                    </a:extLst>
                  </xdr:cNvPr>
                  <xdr:cNvSpPr txBox="1"/>
                </xdr:nvSpPr>
                <xdr:spPr>
                  <a:xfrm>
                    <a:off x="1665638" y="2670805"/>
                    <a:ext cx="760015" cy="368990"/>
                  </a:xfrm>
                  <a:prstGeom prst="rect">
                    <a:avLst/>
                  </a:prstGeom>
                </xdr:spPr>
                <xdr:style>
                  <a:lnRef idx="2">
                    <a:schemeClr val="accent2"/>
                  </a:lnRef>
                  <a:fillRef idx="1">
                    <a:schemeClr val="lt1"/>
                  </a:fillRef>
                  <a:effectRef idx="0">
                    <a:schemeClr val="accent2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pPr marL="0" indent="0"/>
                    <a:fld id="{A39B4195-56DF-4D49-9649-ADC17647EDBF}" type="TxLink">
                      <a:rPr lang="en-US" sz="1400" b="1" i="0" u="none" strike="noStrike">
                        <a:solidFill>
                          <a:srgbClr val="FF0000"/>
                        </a:solidFill>
                        <a:latin typeface="Calibri"/>
                        <a:ea typeface="+mn-ea"/>
                        <a:cs typeface="+mn-cs"/>
                      </a:rPr>
                      <a:pPr marL="0" indent="0"/>
                      <a:t>-34,9%</a:t>
                    </a:fld>
                    <a:endParaRPr lang="pt-BR" sz="1400" b="1" i="0" u="none" strike="noStrike">
                      <a:solidFill>
                        <a:srgbClr val="FF0000"/>
                      </a:solidFill>
                      <a:latin typeface="Calibri"/>
                      <a:ea typeface="+mn-ea"/>
                      <a:cs typeface="+mn-cs"/>
                    </a:endParaRPr>
                  </a:p>
                </xdr:txBody>
              </xdr:sp>
              <xdr:sp macro="" textlink="">
                <xdr:nvSpPr>
                  <xdr:cNvPr id="69" name="CaixaDeTexto 68">
                    <a:extLst>
                      <a:ext uri="{FF2B5EF4-FFF2-40B4-BE49-F238E27FC236}">
                        <a16:creationId xmlns:a16="http://schemas.microsoft.com/office/drawing/2014/main" id="{00000000-0008-0000-2000-000045000000}"/>
                      </a:ext>
                    </a:extLst>
                  </xdr:cNvPr>
                  <xdr:cNvSpPr txBox="1"/>
                </xdr:nvSpPr>
                <xdr:spPr>
                  <a:xfrm>
                    <a:off x="1324316" y="2428419"/>
                    <a:ext cx="1484763" cy="288316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%" g="0%" b="0%"/>
                  </a:lnRef>
                  <a:fillRef idx="0">
                    <a:scrgbClr r="0%" g="0%" b="0%"/>
                  </a:fillRef>
                  <a:effectRef idx="0">
                    <a:scrgbClr r="0%" g="0%" b="0%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pt-BR" sz="1000" b="1"/>
                      <a:t>Executado x Potencial</a:t>
                    </a:r>
                  </a:p>
                </xdr:txBody>
              </xdr:sp>
            </xdr:grpSp>
          </xdr:grpSp>
        </xdr:grpSp>
        <xdr:sp macro="" textlink="">
          <xdr:nvSpPr>
            <xdr:cNvPr id="9" name="Retângulo 8">
              <a:hlinkClick xmlns:r="http://purl.oclc.org/ooxml/officeDocument/relationships" r:id="rId15"/>
              <a:extLst>
                <a:ext uri="{FF2B5EF4-FFF2-40B4-BE49-F238E27FC236}">
                  <a16:creationId xmlns:a16="http://schemas.microsoft.com/office/drawing/2014/main" id="{00000000-0008-0000-2000-000009000000}"/>
                </a:ext>
              </a:extLst>
            </xdr:cNvPr>
            <xdr:cNvSpPr/>
          </xdr:nvSpPr>
          <xdr:spPr>
            <a:xfrm>
              <a:off x="124239" y="1822174"/>
              <a:ext cx="5808179" cy="2816087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1">
                <a:shade val="50%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</xdr:grpSp>
    <xdr:clientData/>
  </xdr:twoCellAnchor>
</xdr:wsDr>
</file>

<file path=xl/drawings/drawing21.xml><?xml version="1.0" encoding="utf-8"?>
<xdr:wsDr xmlns:xdr="http://purl.oclc.org/ooxml/drawingml/spreadsheetDrawing" xmlns:a="http://purl.oclc.org/ooxml/drawingml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- 2019 - Janeiro a Abril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pSpPr/>
      </xdr:nvGrpSpPr>
      <xdr:grpSpPr>
        <a:xfrm>
          <a:off x="831173" y="931515"/>
          <a:ext cx="16109946" cy="495372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100-000005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CAU/UF  e  CAU/BR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100-000006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purl.oclc.org/ooxml/officeDocument/relationships" r:id="rId2"/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%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243987</xdr:colOff>
      <xdr:row>7</xdr:row>
      <xdr:rowOff>110973</xdr:rowOff>
    </xdr:from>
    <xdr:to>
      <xdr:col>27</xdr:col>
      <xdr:colOff>579782</xdr:colOff>
      <xdr:row>36</xdr:row>
      <xdr:rowOff>548723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8"/>
        </a:graphicData>
      </a:graphic>
    </xdr:graphicFrame>
    <xdr:clientData/>
  </xdr:twoCellAnchor>
  <xdr:twoCellAnchor>
    <xdr:from>
      <xdr:col>1</xdr:col>
      <xdr:colOff>221023</xdr:colOff>
      <xdr:row>5</xdr:row>
      <xdr:rowOff>9716</xdr:rowOff>
    </xdr:from>
    <xdr:to>
      <xdr:col>27</xdr:col>
      <xdr:colOff>579355</xdr:colOff>
      <xdr:row>6</xdr:row>
      <xdr:rowOff>116630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GrpSpPr/>
      </xdr:nvGrpSpPr>
      <xdr:grpSpPr>
        <a:xfrm>
          <a:off x="827159" y="1539489"/>
          <a:ext cx="16117878" cy="299338"/>
          <a:chOff x="833715" y="968427"/>
          <a:chExt cx="16179074" cy="485632"/>
        </a:xfrm>
      </xdr:grpSpPr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00000000-0008-0000-2100-000015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Anuidade PF - Exercício 2019</a:t>
            </a:r>
          </a:p>
        </xdr:txBody>
      </xdr:sp>
      <xdr:cxnSp macro="">
        <xdr:nvCxnSpPr>
          <xdr:cNvPr id="22" name="Conector reto 21">
            <a:extLst>
              <a:ext uri="{FF2B5EF4-FFF2-40B4-BE49-F238E27FC236}">
                <a16:creationId xmlns:a16="http://schemas.microsoft.com/office/drawing/2014/main" id="{00000000-0008-0000-2100-000016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508123</xdr:colOff>
      <xdr:row>8</xdr:row>
      <xdr:rowOff>36268</xdr:rowOff>
    </xdr:from>
    <xdr:to>
      <xdr:col>9</xdr:col>
      <xdr:colOff>6221</xdr:colOff>
      <xdr:row>12</xdr:row>
      <xdr:rowOff>153815</xdr:rowOff>
    </xdr:to>
    <xdr:grpSp>
      <xdr:nvGrpSpPr>
        <xdr:cNvPr id="38" name="Grupo 37">
          <a:extLst>
            <a:ext uri="{FF2B5EF4-FFF2-40B4-BE49-F238E27FC236}">
              <a16:creationId xmlns:a16="http://schemas.microsoft.com/office/drawing/2014/main" id="{00000000-0008-0000-2100-000026000000}"/>
            </a:ext>
          </a:extLst>
        </xdr:cNvPr>
        <xdr:cNvGrpSpPr/>
      </xdr:nvGrpSpPr>
      <xdr:grpSpPr>
        <a:xfrm>
          <a:off x="1720396" y="2143313"/>
          <a:ext cx="3741052" cy="887244"/>
          <a:chOff x="1369948" y="1810482"/>
          <a:chExt cx="4158508" cy="1022264"/>
        </a:xfrm>
      </xdr:grpSpPr>
      <xdr:sp macro="" textlink="Lançamentos!U2">
        <xdr:nvSpPr>
          <xdr:cNvPr id="39" name="CaixaDeTexto 38">
            <a:extLst>
              <a:ext uri="{FF2B5EF4-FFF2-40B4-BE49-F238E27FC236}">
                <a16:creationId xmlns:a16="http://schemas.microsoft.com/office/drawing/2014/main" id="{00000000-0008-0000-2100-000027000000}"/>
              </a:ext>
            </a:extLst>
          </xdr:cNvPr>
          <xdr:cNvSpPr txBox="1"/>
        </xdr:nvSpPr>
        <xdr:spPr>
          <a:xfrm>
            <a:off x="1746070" y="2278350"/>
            <a:ext cx="1157720" cy="554395"/>
          </a:xfrm>
          <a:prstGeom prst="rect">
            <a:avLst/>
          </a:prstGeom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none" rtlCol="0" anchor="t">
            <a:spAutoFit/>
          </a:bodyPr>
          <a:lstStyle/>
          <a:p>
            <a:fld id="{6FDB252B-0068-4757-A38D-7FA0BC581F9D}" type="TxLink">
              <a:rPr lang="en-US" sz="2400" b="1" i="0" u="none" strike="noStrike">
                <a:solidFill>
                  <a:srgbClr val="FF0000"/>
                </a:solidFill>
                <a:latin typeface="Calibri"/>
              </a:rPr>
              <a:pPr/>
              <a:t>-15,7%</a:t>
            </a:fld>
            <a:endParaRPr lang="pt-BR" sz="2400" b="1">
              <a:solidFill>
                <a:srgbClr val="FF0000"/>
              </a:solidFill>
            </a:endParaRPr>
          </a:p>
        </xdr:txBody>
      </xdr:sp>
      <xdr:sp macro="" textlink="">
        <xdr:nvSpPr>
          <xdr:cNvPr id="40" name="CaixaDeTexto 39">
            <a:extLst>
              <a:ext uri="{FF2B5EF4-FFF2-40B4-BE49-F238E27FC236}">
                <a16:creationId xmlns:a16="http://schemas.microsoft.com/office/drawing/2014/main" id="{00000000-0008-0000-2100-000028000000}"/>
              </a:ext>
            </a:extLst>
          </xdr:cNvPr>
          <xdr:cNvSpPr txBox="1"/>
        </xdr:nvSpPr>
        <xdr:spPr>
          <a:xfrm>
            <a:off x="1369948" y="1810482"/>
            <a:ext cx="1909963" cy="368991"/>
          </a:xfrm>
          <a:prstGeom prst="rect">
            <a:avLst/>
          </a:prstGeom>
          <a:noFill/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1400" b="1"/>
              <a:t>Executado x Previsto</a:t>
            </a:r>
          </a:p>
        </xdr:txBody>
      </xdr:sp>
      <xdr:sp macro="" textlink="Lançamentos!W2">
        <xdr:nvSpPr>
          <xdr:cNvPr id="41" name="CaixaDeTexto 40">
            <a:extLst>
              <a:ext uri="{FF2B5EF4-FFF2-40B4-BE49-F238E27FC236}">
                <a16:creationId xmlns:a16="http://schemas.microsoft.com/office/drawing/2014/main" id="{00000000-0008-0000-2100-000029000000}"/>
              </a:ext>
            </a:extLst>
          </xdr:cNvPr>
          <xdr:cNvSpPr txBox="1"/>
        </xdr:nvSpPr>
        <xdr:spPr>
          <a:xfrm>
            <a:off x="3948407" y="2278351"/>
            <a:ext cx="1157720" cy="554395"/>
          </a:xfrm>
          <a:prstGeom prst="rect">
            <a:avLst/>
          </a:prstGeom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indent="0"/>
            <a:fld id="{A39B4195-56DF-4D49-9649-ADC17647EDBF}" type="TxLink">
              <a:rPr lang="en-US" sz="2400" b="1" i="0" u="none" strike="noStrike">
                <a:solidFill>
                  <a:srgbClr val="FF0000"/>
                </a:solidFill>
                <a:latin typeface="Calibri"/>
                <a:ea typeface="+mn-ea"/>
                <a:cs typeface="+mn-cs"/>
              </a:rPr>
              <a:pPr marL="0" indent="0"/>
              <a:t>-34,9%</a:t>
            </a:fld>
            <a:endParaRPr lang="pt-BR" sz="2400" b="1" i="0" u="none" strike="noStrike">
              <a:solidFill>
                <a:srgbClr val="FF0000"/>
              </a:solidFill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2" name="CaixaDeTexto 41">
            <a:extLst>
              <a:ext uri="{FF2B5EF4-FFF2-40B4-BE49-F238E27FC236}">
                <a16:creationId xmlns:a16="http://schemas.microsoft.com/office/drawing/2014/main" id="{00000000-0008-0000-2100-00002A000000}"/>
              </a:ext>
            </a:extLst>
          </xdr:cNvPr>
          <xdr:cNvSpPr txBox="1"/>
        </xdr:nvSpPr>
        <xdr:spPr>
          <a:xfrm>
            <a:off x="3526079" y="1810482"/>
            <a:ext cx="2002377" cy="368991"/>
          </a:xfrm>
          <a:prstGeom prst="rect">
            <a:avLst/>
          </a:prstGeom>
          <a:noFill/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1400" b="1"/>
              <a:t>Executado x Potencial</a:t>
            </a:r>
          </a:p>
        </xdr:txBody>
      </xdr:sp>
    </xdr:grpSp>
    <xdr:clientData/>
  </xdr:twoCellAnchor>
</xdr:wsDr>
</file>

<file path=xl/drawings/drawing22.xml><?xml version="1.0" encoding="utf-8"?>
<xdr:wsDr xmlns:xdr="http://purl.oclc.org/ooxml/drawingml/spreadsheetDrawing" xmlns:a="http://purl.oclc.org/ooxml/drawingml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- 2019 - Janeiro a Abril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pSpPr/>
      </xdr:nvGrpSpPr>
      <xdr:grpSpPr>
        <a:xfrm>
          <a:off x="831173" y="931515"/>
          <a:ext cx="16109946" cy="495372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200-000005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CAU/UF  e  CAU/BR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200-000006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purl.oclc.org/ooxml/officeDocument/relationships" r:id="rId2"/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%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238437</xdr:colOff>
      <xdr:row>7</xdr:row>
      <xdr:rowOff>57305</xdr:rowOff>
    </xdr:from>
    <xdr:to>
      <xdr:col>27</xdr:col>
      <xdr:colOff>590135</xdr:colOff>
      <xdr:row>36</xdr:row>
      <xdr:rowOff>548723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8"/>
        </a:graphicData>
      </a:graphic>
    </xdr:graphicFrame>
    <xdr:clientData/>
  </xdr:twoCellAnchor>
  <xdr:twoCellAnchor>
    <xdr:from>
      <xdr:col>1</xdr:col>
      <xdr:colOff>228133</xdr:colOff>
      <xdr:row>4</xdr:row>
      <xdr:rowOff>173039</xdr:rowOff>
    </xdr:from>
    <xdr:to>
      <xdr:col>27</xdr:col>
      <xdr:colOff>589175</xdr:colOff>
      <xdr:row>6</xdr:row>
      <xdr:rowOff>93380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GrpSpPr/>
      </xdr:nvGrpSpPr>
      <xdr:grpSpPr>
        <a:xfrm>
          <a:off x="834269" y="1510387"/>
          <a:ext cx="16120588" cy="305190"/>
          <a:chOff x="833715" y="968427"/>
          <a:chExt cx="16179074" cy="485632"/>
        </a:xfrm>
      </xdr:grpSpPr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2200-00001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Anuidade PF - Exercícios Anteriores</a:t>
            </a:r>
          </a:p>
        </xdr:txBody>
      </xdr:sp>
      <xdr:cxnSp macro="">
        <xdr:nvCxnSpPr>
          <xdr:cNvPr id="25" name="Conector reto 24">
            <a:extLst>
              <a:ext uri="{FF2B5EF4-FFF2-40B4-BE49-F238E27FC236}">
                <a16:creationId xmlns:a16="http://schemas.microsoft.com/office/drawing/2014/main" id="{00000000-0008-0000-2200-000019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502256</xdr:colOff>
      <xdr:row>8</xdr:row>
      <xdr:rowOff>8981</xdr:rowOff>
    </xdr:from>
    <xdr:to>
      <xdr:col>5</xdr:col>
      <xdr:colOff>403089</xdr:colOff>
      <xdr:row>12</xdr:row>
      <xdr:rowOff>52909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200-000033000000}"/>
            </a:ext>
          </a:extLst>
        </xdr:cNvPr>
        <xdr:cNvGrpSpPr/>
      </xdr:nvGrpSpPr>
      <xdr:grpSpPr>
        <a:xfrm>
          <a:off x="1714529" y="2116026"/>
          <a:ext cx="1719242" cy="813625"/>
          <a:chOff x="1369948" y="1789647"/>
          <a:chExt cx="1909960" cy="935000"/>
        </a:xfrm>
      </xdr:grpSpPr>
      <xdr:sp macro="" textlink="Lançamentos!U3">
        <xdr:nvSpPr>
          <xdr:cNvPr id="52" name="CaixaDeTexto 51">
            <a:extLst>
              <a:ext uri="{FF2B5EF4-FFF2-40B4-BE49-F238E27FC236}">
                <a16:creationId xmlns:a16="http://schemas.microsoft.com/office/drawing/2014/main" id="{00000000-0008-0000-2200-000034000000}"/>
              </a:ext>
            </a:extLst>
          </xdr:cNvPr>
          <xdr:cNvSpPr txBox="1"/>
        </xdr:nvSpPr>
        <xdr:spPr>
          <a:xfrm>
            <a:off x="1797999" y="2170286"/>
            <a:ext cx="1053859" cy="554361"/>
          </a:xfrm>
          <a:prstGeom prst="rect">
            <a:avLst/>
          </a:prstGeom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fld id="{B91523D5-361C-4A22-8099-F65CA2E73E09}" type="TxLink">
              <a:rPr lang="en-US" sz="2400" b="1" i="0" u="none" strike="noStrike">
                <a:solidFill>
                  <a:schemeClr val="accent3">
                    <a:lumMod val="50%"/>
                  </a:schemeClr>
                </a:solidFill>
                <a:latin typeface="Calibri"/>
                <a:cs typeface="Calibri"/>
              </a:rPr>
              <a:pPr algn="ctr"/>
              <a:t>35,4%</a:t>
            </a:fld>
            <a:endParaRPr lang="pt-BR" sz="2400" b="1">
              <a:solidFill>
                <a:schemeClr val="accent3">
                  <a:lumMod val="50%"/>
                </a:schemeClr>
              </a:solidFill>
            </a:endParaRPr>
          </a:p>
        </xdr:txBody>
      </xdr:sp>
      <xdr:sp macro="" textlink="">
        <xdr:nvSpPr>
          <xdr:cNvPr id="53" name="CaixaDeTexto 52">
            <a:extLst>
              <a:ext uri="{FF2B5EF4-FFF2-40B4-BE49-F238E27FC236}">
                <a16:creationId xmlns:a16="http://schemas.microsoft.com/office/drawing/2014/main" id="{00000000-0008-0000-2200-000035000000}"/>
              </a:ext>
            </a:extLst>
          </xdr:cNvPr>
          <xdr:cNvSpPr txBox="1"/>
        </xdr:nvSpPr>
        <xdr:spPr>
          <a:xfrm>
            <a:off x="1369948" y="1789647"/>
            <a:ext cx="1909960" cy="368967"/>
          </a:xfrm>
          <a:prstGeom prst="rect">
            <a:avLst/>
          </a:prstGeom>
          <a:noFill/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1400" b="1"/>
              <a:t>Executado x Previsto</a:t>
            </a:r>
          </a:p>
        </xdr:txBody>
      </xdr:sp>
    </xdr:grpSp>
    <xdr:clientData/>
  </xdr:twoCellAnchor>
</xdr:wsDr>
</file>

<file path=xl/drawings/drawing23.xml><?xml version="1.0" encoding="utf-8"?>
<xdr:wsDr xmlns:xdr="http://purl.oclc.org/ooxml/drawingml/spreadsheetDrawing" xmlns:a="http://purl.oclc.org/ooxml/drawingml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- 2019 - Janeiro a Abril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pSpPr/>
      </xdr:nvGrpSpPr>
      <xdr:grpSpPr>
        <a:xfrm>
          <a:off x="831173" y="931515"/>
          <a:ext cx="16109946" cy="495372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300-000005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CAU/UF  e  CAU/BR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300-000006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purl.oclc.org/ooxml/officeDocument/relationships" r:id="rId2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%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240074</xdr:colOff>
      <xdr:row>7</xdr:row>
      <xdr:rowOff>103533</xdr:rowOff>
    </xdr:from>
    <xdr:to>
      <xdr:col>28</xdr:col>
      <xdr:colOff>0</xdr:colOff>
      <xdr:row>36</xdr:row>
      <xdr:rowOff>548723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8"/>
        </a:graphicData>
      </a:graphic>
    </xdr:graphicFrame>
    <xdr:clientData/>
  </xdr:twoCellAnchor>
  <xdr:twoCellAnchor>
    <xdr:from>
      <xdr:col>1</xdr:col>
      <xdr:colOff>248480</xdr:colOff>
      <xdr:row>5</xdr:row>
      <xdr:rowOff>47385</xdr:rowOff>
    </xdr:from>
    <xdr:to>
      <xdr:col>27</xdr:col>
      <xdr:colOff>579783</xdr:colOff>
      <xdr:row>6</xdr:row>
      <xdr:rowOff>154299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00000000-0008-0000-2300-00001A000000}"/>
            </a:ext>
          </a:extLst>
        </xdr:cNvPr>
        <xdr:cNvGrpSpPr/>
      </xdr:nvGrpSpPr>
      <xdr:grpSpPr>
        <a:xfrm>
          <a:off x="854616" y="1577158"/>
          <a:ext cx="16090849" cy="299338"/>
          <a:chOff x="833715" y="968427"/>
          <a:chExt cx="16179074" cy="485632"/>
        </a:xfrm>
      </xdr:grpSpPr>
      <xdr:sp macro="" textlink="">
        <xdr:nvSpPr>
          <xdr:cNvPr id="27" name="CaixaDeTexto 26">
            <a:extLst>
              <a:ext uri="{FF2B5EF4-FFF2-40B4-BE49-F238E27FC236}">
                <a16:creationId xmlns:a16="http://schemas.microsoft.com/office/drawing/2014/main" id="{00000000-0008-0000-2300-00001B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Anuidade PJ - Exercício 2019</a:t>
            </a:r>
          </a:p>
        </xdr:txBody>
      </xdr:sp>
      <xdr:cxnSp macro="">
        <xdr:nvCxnSpPr>
          <xdr:cNvPr id="28" name="Conector reto 27">
            <a:extLst>
              <a:ext uri="{FF2B5EF4-FFF2-40B4-BE49-F238E27FC236}">
                <a16:creationId xmlns:a16="http://schemas.microsoft.com/office/drawing/2014/main" id="{00000000-0008-0000-2300-00001C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526045</xdr:colOff>
      <xdr:row>8</xdr:row>
      <xdr:rowOff>56974</xdr:rowOff>
    </xdr:from>
    <xdr:to>
      <xdr:col>8</xdr:col>
      <xdr:colOff>396861</xdr:colOff>
      <xdr:row>12</xdr:row>
      <xdr:rowOff>91721</xdr:rowOff>
    </xdr:to>
    <xdr:grpSp>
      <xdr:nvGrpSpPr>
        <xdr:cNvPr id="43" name="Grupo 42">
          <a:extLst>
            <a:ext uri="{FF2B5EF4-FFF2-40B4-BE49-F238E27FC236}">
              <a16:creationId xmlns:a16="http://schemas.microsoft.com/office/drawing/2014/main" id="{00000000-0008-0000-2300-00002B000000}"/>
            </a:ext>
          </a:extLst>
        </xdr:cNvPr>
        <xdr:cNvGrpSpPr/>
      </xdr:nvGrpSpPr>
      <xdr:grpSpPr>
        <a:xfrm>
          <a:off x="1738318" y="2164019"/>
          <a:ext cx="3507634" cy="804444"/>
          <a:chOff x="1369948" y="1810484"/>
          <a:chExt cx="3896118" cy="924148"/>
        </a:xfrm>
      </xdr:grpSpPr>
      <xdr:sp macro="" textlink="Lançamentos!U4">
        <xdr:nvSpPr>
          <xdr:cNvPr id="44" name="CaixaDeTexto 43">
            <a:extLst>
              <a:ext uri="{FF2B5EF4-FFF2-40B4-BE49-F238E27FC236}">
                <a16:creationId xmlns:a16="http://schemas.microsoft.com/office/drawing/2014/main" id="{00000000-0008-0000-2300-00002C000000}"/>
              </a:ext>
            </a:extLst>
          </xdr:cNvPr>
          <xdr:cNvSpPr txBox="1"/>
        </xdr:nvSpPr>
        <xdr:spPr>
          <a:xfrm>
            <a:off x="1746069" y="2180257"/>
            <a:ext cx="1157718" cy="554375"/>
          </a:xfrm>
          <a:prstGeom prst="rect">
            <a:avLst/>
          </a:prstGeom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none" rtlCol="0" anchor="t">
            <a:spAutoFit/>
          </a:bodyPr>
          <a:lstStyle/>
          <a:p>
            <a:fld id="{18EC968D-D0EF-41D1-9CF4-FE734BFADCB7}" type="TxLink">
              <a:rPr lang="en-US" sz="24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/>
              <a:t>-34,7%</a:t>
            </a:fld>
            <a:endParaRPr lang="pt-BR" sz="2400" b="1">
              <a:solidFill>
                <a:srgbClr val="FF0000"/>
              </a:solidFill>
            </a:endParaRPr>
          </a:p>
        </xdr:txBody>
      </xdr:sp>
      <xdr:sp macro="" textlink="">
        <xdr:nvSpPr>
          <xdr:cNvPr id="45" name="CaixaDeTexto 44">
            <a:extLst>
              <a:ext uri="{FF2B5EF4-FFF2-40B4-BE49-F238E27FC236}">
                <a16:creationId xmlns:a16="http://schemas.microsoft.com/office/drawing/2014/main" id="{00000000-0008-0000-2300-00002D000000}"/>
              </a:ext>
            </a:extLst>
          </xdr:cNvPr>
          <xdr:cNvSpPr txBox="1"/>
        </xdr:nvSpPr>
        <xdr:spPr>
          <a:xfrm>
            <a:off x="1369948" y="1810484"/>
            <a:ext cx="1909961" cy="368976"/>
          </a:xfrm>
          <a:prstGeom prst="rect">
            <a:avLst/>
          </a:prstGeom>
          <a:noFill/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1400" b="1"/>
              <a:t>Executado x Previsto</a:t>
            </a:r>
          </a:p>
        </xdr:txBody>
      </xdr:sp>
      <xdr:sp macro="" textlink="Lançamentos!W4">
        <xdr:nvSpPr>
          <xdr:cNvPr id="46" name="CaixaDeTexto 45">
            <a:extLst>
              <a:ext uri="{FF2B5EF4-FFF2-40B4-BE49-F238E27FC236}">
                <a16:creationId xmlns:a16="http://schemas.microsoft.com/office/drawing/2014/main" id="{00000000-0008-0000-2300-00002E000000}"/>
              </a:ext>
            </a:extLst>
          </xdr:cNvPr>
          <xdr:cNvSpPr txBox="1"/>
        </xdr:nvSpPr>
        <xdr:spPr>
          <a:xfrm>
            <a:off x="3686019" y="2180257"/>
            <a:ext cx="1157718" cy="554375"/>
          </a:xfrm>
          <a:prstGeom prst="rect">
            <a:avLst/>
          </a:prstGeom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none" rtlCol="0" anchor="t">
            <a:spAutoFit/>
          </a:bodyPr>
          <a:lstStyle/>
          <a:p>
            <a:fld id="{85EFA7BE-E2AE-4832-A0F2-4A16C25DE2F5}" type="TxLink">
              <a:rPr lang="en-US" sz="24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/>
              <a:t>-58,4%</a:t>
            </a:fld>
            <a:endParaRPr lang="pt-BR" sz="2400" b="1">
              <a:solidFill>
                <a:srgbClr val="FF0000"/>
              </a:solidFill>
            </a:endParaRPr>
          </a:p>
        </xdr:txBody>
      </xdr:sp>
      <xdr:sp macro="" textlink="">
        <xdr:nvSpPr>
          <xdr:cNvPr id="47" name="CaixaDeTexto 46">
            <a:extLst>
              <a:ext uri="{FF2B5EF4-FFF2-40B4-BE49-F238E27FC236}">
                <a16:creationId xmlns:a16="http://schemas.microsoft.com/office/drawing/2014/main" id="{00000000-0008-0000-2300-00002F000000}"/>
              </a:ext>
            </a:extLst>
          </xdr:cNvPr>
          <xdr:cNvSpPr txBox="1"/>
        </xdr:nvSpPr>
        <xdr:spPr>
          <a:xfrm>
            <a:off x="3263691" y="1810484"/>
            <a:ext cx="2002375" cy="368976"/>
          </a:xfrm>
          <a:prstGeom prst="rect">
            <a:avLst/>
          </a:prstGeom>
          <a:noFill/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1400" b="1"/>
              <a:t>Executado x Potencial</a:t>
            </a:r>
          </a:p>
        </xdr:txBody>
      </xdr:sp>
    </xdr:grpSp>
    <xdr:clientData/>
  </xdr:twoCellAnchor>
</xdr:wsDr>
</file>

<file path=xl/drawings/drawing24.xml><?xml version="1.0" encoding="utf-8"?>
<xdr:wsDr xmlns:xdr="http://purl.oclc.org/ooxml/drawingml/spreadsheetDrawing" xmlns:a="http://purl.oclc.org/ooxml/drawingml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- 2019 - Janeiro a Abril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pSpPr/>
      </xdr:nvGrpSpPr>
      <xdr:grpSpPr>
        <a:xfrm>
          <a:off x="831173" y="931515"/>
          <a:ext cx="16109946" cy="495372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CAU/UF  e  CAU/BR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400-000006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purl.oclc.org/ooxml/officeDocument/relationships" r:id="rId2"/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%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248479</xdr:colOff>
      <xdr:row>7</xdr:row>
      <xdr:rowOff>93180</xdr:rowOff>
    </xdr:from>
    <xdr:to>
      <xdr:col>27</xdr:col>
      <xdr:colOff>590135</xdr:colOff>
      <xdr:row>36</xdr:row>
      <xdr:rowOff>552885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8"/>
        </a:graphicData>
      </a:graphic>
    </xdr:graphicFrame>
    <xdr:clientData/>
  </xdr:twoCellAnchor>
  <xdr:twoCellAnchor>
    <xdr:from>
      <xdr:col>1</xdr:col>
      <xdr:colOff>238125</xdr:colOff>
      <xdr:row>5</xdr:row>
      <xdr:rowOff>41107</xdr:rowOff>
    </xdr:from>
    <xdr:to>
      <xdr:col>27</xdr:col>
      <xdr:colOff>590135</xdr:colOff>
      <xdr:row>6</xdr:row>
      <xdr:rowOff>148021</xdr:rowOff>
    </xdr:to>
    <xdr:grpSp>
      <xdr:nvGrpSpPr>
        <xdr:cNvPr id="29" name="Grupo 28">
          <a:extLst>
            <a:ext uri="{FF2B5EF4-FFF2-40B4-BE49-F238E27FC236}">
              <a16:creationId xmlns:a16="http://schemas.microsoft.com/office/drawing/2014/main" id="{00000000-0008-0000-2400-00001D000000}"/>
            </a:ext>
          </a:extLst>
        </xdr:cNvPr>
        <xdr:cNvGrpSpPr/>
      </xdr:nvGrpSpPr>
      <xdr:grpSpPr>
        <a:xfrm>
          <a:off x="844261" y="1570880"/>
          <a:ext cx="16111556" cy="299338"/>
          <a:chOff x="833715" y="968427"/>
          <a:chExt cx="16179074" cy="485632"/>
        </a:xfrm>
      </xdr:grpSpPr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Anuidade PJ - Exercícios Anteriores</a:t>
            </a:r>
          </a:p>
        </xdr:txBody>
      </xdr:sp>
      <xdr:cxnSp macro="">
        <xdr:nvCxnSpPr>
          <xdr:cNvPr id="31" name="Conector re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54280</xdr:colOff>
      <xdr:row>8</xdr:row>
      <xdr:rowOff>72480</xdr:rowOff>
    </xdr:from>
    <xdr:to>
      <xdr:col>5</xdr:col>
      <xdr:colOff>565955</xdr:colOff>
      <xdr:row>12</xdr:row>
      <xdr:rowOff>139113</xdr:rowOff>
    </xdr:to>
    <xdr:grpSp>
      <xdr:nvGrpSpPr>
        <xdr:cNvPr id="54" name="Grupo 53">
          <a:extLst>
            <a:ext uri="{FF2B5EF4-FFF2-40B4-BE49-F238E27FC236}">
              <a16:creationId xmlns:a16="http://schemas.microsoft.com/office/drawing/2014/main" id="{00000000-0008-0000-2400-000036000000}"/>
            </a:ext>
          </a:extLst>
        </xdr:cNvPr>
        <xdr:cNvGrpSpPr/>
      </xdr:nvGrpSpPr>
      <xdr:grpSpPr>
        <a:xfrm>
          <a:off x="1872689" y="2179525"/>
          <a:ext cx="1723948" cy="836330"/>
          <a:chOff x="1415580" y="1814171"/>
          <a:chExt cx="1909959" cy="961817"/>
        </a:xfrm>
      </xdr:grpSpPr>
      <xdr:sp macro="" textlink="Lançamentos!U5">
        <xdr:nvSpPr>
          <xdr:cNvPr id="55" name="CaixaDeTexto 54">
            <a:extLst>
              <a:ext uri="{FF2B5EF4-FFF2-40B4-BE49-F238E27FC236}">
                <a16:creationId xmlns:a16="http://schemas.microsoft.com/office/drawing/2014/main" id="{00000000-0008-0000-2400-000037000000}"/>
              </a:ext>
            </a:extLst>
          </xdr:cNvPr>
          <xdr:cNvSpPr txBox="1"/>
        </xdr:nvSpPr>
        <xdr:spPr>
          <a:xfrm>
            <a:off x="1843630" y="2221667"/>
            <a:ext cx="1053858" cy="554321"/>
          </a:xfrm>
          <a:prstGeom prst="rect">
            <a:avLst/>
          </a:prstGeom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wrap="none" rtlCol="0" anchor="t">
            <a:spAutoFit/>
          </a:bodyPr>
          <a:lstStyle/>
          <a:p>
            <a:fld id="{4CB01299-3D2B-492B-855C-E0854AE8CE1F}" type="TxLink">
              <a:rPr lang="en-US" sz="2400" b="1" i="0" u="none" strike="noStrike">
                <a:solidFill>
                  <a:schemeClr val="accent3">
                    <a:lumMod val="50%"/>
                  </a:schemeClr>
                </a:solidFill>
                <a:latin typeface="Calibri"/>
                <a:cs typeface="Calibri"/>
              </a:rPr>
              <a:pPr/>
              <a:t>77,2%</a:t>
            </a:fld>
            <a:endParaRPr lang="pt-BR" sz="2400" b="1">
              <a:solidFill>
                <a:schemeClr val="accent3">
                  <a:lumMod val="50%"/>
                </a:schemeClr>
              </a:solidFill>
            </a:endParaRPr>
          </a:p>
        </xdr:txBody>
      </xdr:sp>
      <xdr:sp macro="" textlink="">
        <xdr:nvSpPr>
          <xdr:cNvPr id="56" name="CaixaDeTexto 55">
            <a:extLst>
              <a:ext uri="{FF2B5EF4-FFF2-40B4-BE49-F238E27FC236}">
                <a16:creationId xmlns:a16="http://schemas.microsoft.com/office/drawing/2014/main" id="{00000000-0008-0000-2400-000038000000}"/>
              </a:ext>
            </a:extLst>
          </xdr:cNvPr>
          <xdr:cNvSpPr txBox="1"/>
        </xdr:nvSpPr>
        <xdr:spPr>
          <a:xfrm>
            <a:off x="1415580" y="1814171"/>
            <a:ext cx="1909959" cy="368940"/>
          </a:xfrm>
          <a:prstGeom prst="rect">
            <a:avLst/>
          </a:prstGeom>
          <a:noFill/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1400" b="1"/>
              <a:t>Executado x Previsto</a:t>
            </a:r>
          </a:p>
        </xdr:txBody>
      </xdr:sp>
    </xdr:grpSp>
    <xdr:clientData/>
  </xdr:twoCellAnchor>
</xdr:wsDr>
</file>

<file path=xl/drawings/drawing25.xml><?xml version="1.0" encoding="utf-8"?>
<xdr:wsDr xmlns:xdr="http://purl.oclc.org/ooxml/drawingml/spreadsheetDrawing" xmlns:a="http://purl.oclc.org/ooxml/drawingml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- 2019 - Janeiro a Abril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pSpPr/>
      </xdr:nvGrpSpPr>
      <xdr:grpSpPr>
        <a:xfrm>
          <a:off x="831173" y="931515"/>
          <a:ext cx="16109946" cy="495372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500-000005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CAU/UF  e  CAU/BR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500-000006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purl.oclc.org/ooxml/officeDocument/relationships" r:id="rId2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%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225038</xdr:colOff>
      <xdr:row>7</xdr:row>
      <xdr:rowOff>45536</xdr:rowOff>
    </xdr:from>
    <xdr:to>
      <xdr:col>28</xdr:col>
      <xdr:colOff>1</xdr:colOff>
      <xdr:row>36</xdr:row>
      <xdr:rowOff>422242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2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8"/>
        </a:graphicData>
      </a:graphic>
    </xdr:graphicFrame>
    <xdr:clientData/>
  </xdr:twoCellAnchor>
  <xdr:twoCellAnchor>
    <xdr:from>
      <xdr:col>1</xdr:col>
      <xdr:colOff>225038</xdr:colOff>
      <xdr:row>5</xdr:row>
      <xdr:rowOff>13216</xdr:rowOff>
    </xdr:from>
    <xdr:to>
      <xdr:col>28</xdr:col>
      <xdr:colOff>1</xdr:colOff>
      <xdr:row>6</xdr:row>
      <xdr:rowOff>120130</xdr:rowOff>
    </xdr:to>
    <xdr:grpSp>
      <xdr:nvGrpSpPr>
        <xdr:cNvPr id="32" name="Grupo 31">
          <a:extLst>
            <a:ext uri="{FF2B5EF4-FFF2-40B4-BE49-F238E27FC236}">
              <a16:creationId xmlns:a16="http://schemas.microsoft.com/office/drawing/2014/main" id="{00000000-0008-0000-2500-000020000000}"/>
            </a:ext>
          </a:extLst>
        </xdr:cNvPr>
        <xdr:cNvGrpSpPr/>
      </xdr:nvGrpSpPr>
      <xdr:grpSpPr>
        <a:xfrm>
          <a:off x="831174" y="1542989"/>
          <a:ext cx="16131024" cy="299338"/>
          <a:chOff x="833715" y="968427"/>
          <a:chExt cx="16179074" cy="485632"/>
        </a:xfrm>
      </xdr:grpSpPr>
      <xdr:sp macro="" textlink="">
        <xdr:nvSpPr>
          <xdr:cNvPr id="33" name="CaixaDeTexto 32">
            <a:extLst>
              <a:ext uri="{FF2B5EF4-FFF2-40B4-BE49-F238E27FC236}">
                <a16:creationId xmlns:a16="http://schemas.microsoft.com/office/drawing/2014/main" id="{00000000-0008-0000-2500-000021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RRT</a:t>
            </a:r>
          </a:p>
        </xdr:txBody>
      </xdr:sp>
      <xdr:cxnSp macro="">
        <xdr:nvCxnSpPr>
          <xdr:cNvPr id="34" name="Conector reto 33">
            <a:extLst>
              <a:ext uri="{FF2B5EF4-FFF2-40B4-BE49-F238E27FC236}">
                <a16:creationId xmlns:a16="http://schemas.microsoft.com/office/drawing/2014/main" id="{00000000-0008-0000-2500-000022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271025</xdr:colOff>
      <xdr:row>8</xdr:row>
      <xdr:rowOff>3</xdr:rowOff>
    </xdr:from>
    <xdr:to>
      <xdr:col>6</xdr:col>
      <xdr:colOff>171858</xdr:colOff>
      <xdr:row>12</xdr:row>
      <xdr:rowOff>59458</xdr:rowOff>
    </xdr:to>
    <xdr:grpSp>
      <xdr:nvGrpSpPr>
        <xdr:cNvPr id="48" name="Grupo 47">
          <a:extLst>
            <a:ext uri="{FF2B5EF4-FFF2-40B4-BE49-F238E27FC236}">
              <a16:creationId xmlns:a16="http://schemas.microsoft.com/office/drawing/2014/main" id="{00000000-0008-0000-2500-000030000000}"/>
            </a:ext>
          </a:extLst>
        </xdr:cNvPr>
        <xdr:cNvGrpSpPr/>
      </xdr:nvGrpSpPr>
      <xdr:grpSpPr>
        <a:xfrm>
          <a:off x="2089434" y="2107048"/>
          <a:ext cx="1719242" cy="829152"/>
          <a:chOff x="1369948" y="1838598"/>
          <a:chExt cx="1914208" cy="626651"/>
        </a:xfrm>
      </xdr:grpSpPr>
      <xdr:sp macro="" textlink="Lançamentos!U6">
        <xdr:nvSpPr>
          <xdr:cNvPr id="49" name="CaixaDeTexto 48">
            <a:extLst>
              <a:ext uri="{FF2B5EF4-FFF2-40B4-BE49-F238E27FC236}">
                <a16:creationId xmlns:a16="http://schemas.microsoft.com/office/drawing/2014/main" id="{00000000-0008-0000-2500-000031000000}"/>
              </a:ext>
            </a:extLst>
          </xdr:cNvPr>
          <xdr:cNvSpPr txBox="1"/>
        </xdr:nvSpPr>
        <xdr:spPr>
          <a:xfrm>
            <a:off x="1885091" y="2100875"/>
            <a:ext cx="883922" cy="364374"/>
          </a:xfrm>
          <a:prstGeom prst="rect">
            <a:avLst/>
          </a:prstGeom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fld id="{185E8A8A-341B-4CED-915A-E0B1382F04A2}" type="TxLink">
              <a:rPr lang="en-US" sz="2400" b="1" i="0" u="none" strike="noStrike">
                <a:solidFill>
                  <a:schemeClr val="accent3">
                    <a:lumMod val="50%"/>
                  </a:schemeClr>
                </a:solidFill>
                <a:latin typeface="Calibri"/>
                <a:cs typeface="Calibri"/>
              </a:rPr>
              <a:pPr algn="ctr"/>
              <a:t>4,6%</a:t>
            </a:fld>
            <a:endParaRPr lang="pt-BR" sz="2400" b="1">
              <a:solidFill>
                <a:schemeClr val="accent3">
                  <a:lumMod val="50%"/>
                </a:schemeClr>
              </a:solidFill>
            </a:endParaRPr>
          </a:p>
        </xdr:txBody>
      </xdr:sp>
      <xdr:sp macro="" textlink="">
        <xdr:nvSpPr>
          <xdr:cNvPr id="50" name="CaixaDeTexto 49">
            <a:extLst>
              <a:ext uri="{FF2B5EF4-FFF2-40B4-BE49-F238E27FC236}">
                <a16:creationId xmlns:a16="http://schemas.microsoft.com/office/drawing/2014/main" id="{00000000-0008-0000-2500-000032000000}"/>
              </a:ext>
            </a:extLst>
          </xdr:cNvPr>
          <xdr:cNvSpPr txBox="1"/>
        </xdr:nvSpPr>
        <xdr:spPr>
          <a:xfrm>
            <a:off x="1369948" y="1838598"/>
            <a:ext cx="1914208" cy="368821"/>
          </a:xfrm>
          <a:prstGeom prst="rect">
            <a:avLst/>
          </a:prstGeom>
          <a:noFill/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1400" b="1"/>
              <a:t>Executado x Previsto</a:t>
            </a:r>
          </a:p>
        </xdr:txBody>
      </xdr:sp>
    </xdr:grpSp>
    <xdr:clientData/>
  </xdr:twoCellAnchor>
</xdr:wsDr>
</file>

<file path=xl/drawings/drawing26.xml><?xml version="1.0" encoding="utf-8"?>
<xdr:wsDr xmlns:xdr="http://purl.oclc.org/ooxml/drawingml/spreadsheetDrawing" xmlns:a="http://purl.oclc.org/ooxml/drawingml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%">
              <a:solidFill>
                <a:srgbClr val="2A5664"/>
              </a:solidFill>
              <a:latin typeface="+mn-lt"/>
            </a:rPr>
            <a:t>Cenário de Arrecadação - 2019 - Janeiro a Abril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pSpPr/>
      </xdr:nvGrpSpPr>
      <xdr:grpSpPr>
        <a:xfrm>
          <a:off x="831173" y="931515"/>
          <a:ext cx="16109946" cy="495372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600-000005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CAU/UF  e  CAU/BR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600-000006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purl.oclc.org/ooxml/officeDocument/relationships" r:id="rId2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%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225037</xdr:colOff>
      <xdr:row>5</xdr:row>
      <xdr:rowOff>29459</xdr:rowOff>
    </xdr:from>
    <xdr:to>
      <xdr:col>27</xdr:col>
      <xdr:colOff>575437</xdr:colOff>
      <xdr:row>6</xdr:row>
      <xdr:rowOff>136372</xdr:rowOff>
    </xdr:to>
    <xdr:grpSp>
      <xdr:nvGrpSpPr>
        <xdr:cNvPr id="35" name="Grupo 34">
          <a:extLst>
            <a:ext uri="{FF2B5EF4-FFF2-40B4-BE49-F238E27FC236}">
              <a16:creationId xmlns:a16="http://schemas.microsoft.com/office/drawing/2014/main" id="{00000000-0008-0000-2600-000023000000}"/>
            </a:ext>
          </a:extLst>
        </xdr:cNvPr>
        <xdr:cNvGrpSpPr/>
      </xdr:nvGrpSpPr>
      <xdr:grpSpPr>
        <a:xfrm>
          <a:off x="831173" y="1559232"/>
          <a:ext cx="16109946" cy="299337"/>
          <a:chOff x="833715" y="968427"/>
          <a:chExt cx="16179074" cy="485632"/>
        </a:xfrm>
      </xdr:grpSpPr>
      <xdr:sp macro="" textlink="">
        <xdr:nvSpPr>
          <xdr:cNvPr id="36" name="CaixaDeTexto 35">
            <a:extLst>
              <a:ext uri="{FF2B5EF4-FFF2-40B4-BE49-F238E27FC236}">
                <a16:creationId xmlns:a16="http://schemas.microsoft.com/office/drawing/2014/main" id="{00000000-0008-0000-2600-000024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%">
                <a:solidFill>
                  <a:schemeClr val="bg1"/>
                </a:solidFill>
                <a:latin typeface="+mn-lt"/>
                <a:ea typeface="+mn-ea"/>
                <a:cs typeface="+mn-cs"/>
              </a:rPr>
              <a:t>Taxas e Multas</a:t>
            </a:r>
          </a:p>
        </xdr:txBody>
      </xdr:sp>
      <xdr:cxnSp macro="">
        <xdr:nvCxnSpPr>
          <xdr:cNvPr id="37" name="Conector reto 36">
            <a:extLst>
              <a:ext uri="{FF2B5EF4-FFF2-40B4-BE49-F238E27FC236}">
                <a16:creationId xmlns:a16="http://schemas.microsoft.com/office/drawing/2014/main" id="{00000000-0008-0000-2600-000025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225038</xdr:colOff>
      <xdr:row>8</xdr:row>
      <xdr:rowOff>0</xdr:rowOff>
    </xdr:from>
    <xdr:to>
      <xdr:col>28</xdr:col>
      <xdr:colOff>1</xdr:colOff>
      <xdr:row>36</xdr:row>
      <xdr:rowOff>392595</xdr:rowOff>
    </xdr:to>
    <xdr:grpSp>
      <xdr:nvGrpSpPr>
        <xdr:cNvPr id="62" name="Grupo 61">
          <a:extLst>
            <a:ext uri="{FF2B5EF4-FFF2-40B4-BE49-F238E27FC236}">
              <a16:creationId xmlns:a16="http://schemas.microsoft.com/office/drawing/2014/main" id="{00000000-0008-0000-2600-00003E000000}"/>
            </a:ext>
          </a:extLst>
        </xdr:cNvPr>
        <xdr:cNvGrpSpPr/>
      </xdr:nvGrpSpPr>
      <xdr:grpSpPr>
        <a:xfrm>
          <a:off x="831174" y="2107045"/>
          <a:ext cx="16131024" cy="5790095"/>
          <a:chOff x="833852" y="2071933"/>
          <a:chExt cx="16203134" cy="5626435"/>
        </a:xfrm>
      </xdr:grpSpPr>
      <xdr:graphicFrame macro="">
        <xdr:nvGraphicFramePr>
          <xdr:cNvPr id="19" name="Gráfico 18">
            <a:extLst>
              <a:ext uri="{FF2B5EF4-FFF2-40B4-BE49-F238E27FC236}">
                <a16:creationId xmlns:a16="http://schemas.microsoft.com/office/drawing/2014/main" id="{00000000-0008-0000-2600-000013000000}"/>
              </a:ext>
            </a:extLst>
          </xdr:cNvPr>
          <xdr:cNvGraphicFramePr>
            <a:graphicFrameLocks/>
          </xdr:cNvGraphicFramePr>
        </xdr:nvGraphicFramePr>
        <xdr:xfrm>
          <a:off x="833852" y="2071933"/>
          <a:ext cx="16203134" cy="5626435"/>
        </xdr:xfrm>
        <a:graphic>
          <a:graphicData uri="http://purl.oclc.org/ooxml/drawingml/chart">
            <c:chart xmlns:c="http://purl.oclc.org/ooxml/drawingml/chart" xmlns:r="http://purl.oclc.org/ooxml/officeDocument/relationships" r:id="rId8"/>
          </a:graphicData>
        </a:graphic>
      </xdr:graphicFrame>
      <xdr:grpSp>
        <xdr:nvGrpSpPr>
          <xdr:cNvPr id="57" name="Grupo 56">
            <a:extLst>
              <a:ext uri="{FF2B5EF4-FFF2-40B4-BE49-F238E27FC236}">
                <a16:creationId xmlns:a16="http://schemas.microsoft.com/office/drawing/2014/main" id="{00000000-0008-0000-2600-000039000000}"/>
              </a:ext>
            </a:extLst>
          </xdr:cNvPr>
          <xdr:cNvGrpSpPr/>
        </xdr:nvGrpSpPr>
        <xdr:grpSpPr>
          <a:xfrm>
            <a:off x="1679705" y="2448745"/>
            <a:ext cx="4254321" cy="772044"/>
            <a:chOff x="1387320" y="1597750"/>
            <a:chExt cx="1615413" cy="913393"/>
          </a:xfrm>
        </xdr:grpSpPr>
        <xdr:sp macro="" textlink="Lançamentos!U7">
          <xdr:nvSpPr>
            <xdr:cNvPr id="58" name="CaixaDeTexto 57">
              <a:extLst>
                <a:ext uri="{FF2B5EF4-FFF2-40B4-BE49-F238E27FC236}">
                  <a16:creationId xmlns:a16="http://schemas.microsoft.com/office/drawing/2014/main" id="{00000000-0008-0000-2600-00003A000000}"/>
                </a:ext>
              </a:extLst>
            </xdr:cNvPr>
            <xdr:cNvSpPr txBox="1"/>
          </xdr:nvSpPr>
          <xdr:spPr>
            <a:xfrm>
              <a:off x="1590183" y="1957174"/>
              <a:ext cx="382156" cy="553696"/>
            </a:xfrm>
            <a:prstGeom prst="rect">
              <a:avLst/>
            </a:prstGeom>
          </xdr:spPr>
          <xdr:style>
            <a:lnRef idx="2">
              <a:schemeClr val="accent3"/>
            </a:lnRef>
            <a:fillRef idx="1">
              <a:schemeClr val="lt1"/>
            </a:fillRef>
            <a:effectRef idx="0">
              <a:schemeClr val="accent3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ctr"/>
              <a:fld id="{BE117BAA-472D-46AD-8F07-C0F95580CFD6}" type="TxLink">
                <a:rPr lang="en-US" sz="2400" b="1" i="0" u="none" strike="noStrike">
                  <a:solidFill>
                    <a:schemeClr val="accent3">
                      <a:lumMod val="50%"/>
                    </a:schemeClr>
                  </a:solidFill>
                  <a:latin typeface="Calibri"/>
                  <a:cs typeface="Calibri"/>
                </a:rPr>
                <a:pPr algn="ctr"/>
                <a:t>4,0%</a:t>
              </a:fld>
              <a:endParaRPr lang="pt-BR" sz="2400" b="1">
                <a:solidFill>
                  <a:schemeClr val="accent3">
                    <a:lumMod val="50%"/>
                  </a:schemeClr>
                </a:solidFill>
              </a:endParaRPr>
            </a:p>
          </xdr:txBody>
        </xdr:sp>
        <xdr:sp macro="" textlink="">
          <xdr:nvSpPr>
            <xdr:cNvPr id="59" name="CaixaDeTexto 58">
              <a:extLst>
                <a:ext uri="{FF2B5EF4-FFF2-40B4-BE49-F238E27FC236}">
                  <a16:creationId xmlns:a16="http://schemas.microsoft.com/office/drawing/2014/main" id="{00000000-0008-0000-2600-00003B000000}"/>
                </a:ext>
              </a:extLst>
            </xdr:cNvPr>
            <xdr:cNvSpPr txBox="1"/>
          </xdr:nvSpPr>
          <xdr:spPr>
            <a:xfrm>
              <a:off x="1387320" y="1597927"/>
              <a:ext cx="787887" cy="368527"/>
            </a:xfrm>
            <a:prstGeom prst="rect">
              <a:avLst/>
            </a:prstGeom>
            <a:noFill/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ctr"/>
              <a:r>
                <a:rPr lang="pt-BR" sz="1400" b="1"/>
                <a:t>Executado x Previsto</a:t>
              </a:r>
            </a:p>
          </xdr:txBody>
        </xdr:sp>
        <xdr:sp macro="" textlink="Lançamentos!W7">
          <xdr:nvSpPr>
            <xdr:cNvPr id="60" name="CaixaDeTexto 59">
              <a:extLst>
                <a:ext uri="{FF2B5EF4-FFF2-40B4-BE49-F238E27FC236}">
                  <a16:creationId xmlns:a16="http://schemas.microsoft.com/office/drawing/2014/main" id="{00000000-0008-0000-2600-00003C000000}"/>
                </a:ext>
              </a:extLst>
            </xdr:cNvPr>
            <xdr:cNvSpPr txBox="1"/>
          </xdr:nvSpPr>
          <xdr:spPr>
            <a:xfrm>
              <a:off x="2466735" y="1956908"/>
              <a:ext cx="338583" cy="554235"/>
            </a:xfrm>
            <a:prstGeom prst="rect">
              <a:avLst/>
            </a:prstGeom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fld id="{2C32D37B-0196-4F75-AA5E-540073AFBB37}" type="TxLink">
                <a:rPr lang="en-US" sz="24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-8,0%</a:t>
              </a:fld>
              <a:endParaRPr lang="pt-BR" sz="24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61" name="CaixaDeTexto 60">
              <a:extLst>
                <a:ext uri="{FF2B5EF4-FFF2-40B4-BE49-F238E27FC236}">
                  <a16:creationId xmlns:a16="http://schemas.microsoft.com/office/drawing/2014/main" id="{00000000-0008-0000-2600-00003D000000}"/>
                </a:ext>
              </a:extLst>
            </xdr:cNvPr>
            <xdr:cNvSpPr txBox="1"/>
          </xdr:nvSpPr>
          <xdr:spPr>
            <a:xfrm>
              <a:off x="2304791" y="1597750"/>
              <a:ext cx="697942" cy="368883"/>
            </a:xfrm>
            <a:prstGeom prst="rect">
              <a:avLst/>
            </a:prstGeom>
            <a:noFill/>
          </xdr:spPr>
          <xdr:style>
            <a:lnRef idx="0">
              <a:scrgbClr r="0%" g="0%" b="0%"/>
            </a:lnRef>
            <a:fillRef idx="0">
              <a:scrgbClr r="0%" g="0%" b="0%"/>
            </a:fillRef>
            <a:effectRef idx="0">
              <a:scrgbClr r="0%" g="0%" b="0%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ctr"/>
              <a:r>
                <a:rPr lang="pt-BR" sz="1400" b="1"/>
                <a:t>Executado x Potencial</a:t>
              </a:r>
            </a:p>
          </xdr:txBody>
        </xdr:sp>
      </xdr:grpSp>
    </xdr:grpSp>
    <xdr:clientData/>
  </xdr:twoCellAnchor>
</xdr:wsDr>
</file>

<file path=xl/drawings/drawing3.xml><?xml version="1.0" encoding="utf-8"?>
<c:userShapes xmlns:c="http://purl.oclc.org/ooxml/drawingml/chart">
  <cdr:relSizeAnchor xmlns:cdr="http://purl.oclc.org/ooxml/drawingml/chartDrawing">
    <cdr:from>
      <cdr:x>0.32951</cdr:x>
      <cdr:y>0.37597</cdr:y>
    </cdr:from>
    <cdr:to>
      <cdr:x>0.71902</cdr:x>
      <cdr:y>0.65797</cdr:y>
    </cdr:to>
    <cdr:sp macro="" textlink="">
      <cdr:nvSpPr>
        <cdr:cNvPr id="2" name="CaixaDeTexto 1"/>
        <cdr:cNvSpPr txBox="1"/>
      </cdr:nvSpPr>
      <cdr:spPr>
        <a:xfrm xmlns:a="http://purl.oclc.org/ooxml/drawingml/main">
          <a:off x="1665289" y="2603268"/>
          <a:ext cx="1968500" cy="1952625"/>
        </a:xfrm>
        <a:prstGeom xmlns:a="http://purl.oclc.org/ooxml/drawingml/main" prst="rect">
          <a:avLst/>
        </a:prstGeom>
      </cdr:spPr>
      <cdr:txBody>
        <a:bodyPr xmlns:a="http://purl.oclc.org/ooxml/drawingml/main" wrap="square" rtlCol="0" anchor="ctr"/>
        <a:lstStyle xmlns:a="http://purl.oclc.org/ooxml/drawingml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purl.oclc.org/ooxml/drawingml/main">
          <a:pPr algn="ctr"/>
          <a:r>
            <a:rPr lang="pt-BR" sz="3200" b="1" i="1"/>
            <a:t>CAU</a:t>
          </a:r>
        </a:p>
        <a:p xmlns:a="http://purl.oclc.org/ooxml/drawingml/main">
          <a:pPr algn="ctr"/>
          <a:r>
            <a:rPr lang="pt-BR" sz="1800" b="1" i="1"/>
            <a:t>Regiões e </a:t>
          </a:r>
        </a:p>
        <a:p xmlns:a="http://purl.oclc.org/ooxml/drawingml/main">
          <a:pPr algn="ctr"/>
          <a:r>
            <a:rPr lang="pt-BR" sz="1800" b="1" i="1"/>
            <a:t>CAU/BR</a:t>
          </a:r>
        </a:p>
      </cdr:txBody>
    </cdr:sp>
  </cdr:relSizeAnchor>
</c:userShapes>
</file>

<file path=xl/drawings/drawing4.xml><?xml version="1.0" encoding="utf-8"?>
<c:userShapes xmlns:c="http://purl.oclc.org/ooxml/drawingml/chart">
  <cdr:relSizeAnchor xmlns:cdr="http://purl.oclc.org/ooxml/drawingml/chartDrawing">
    <cdr:from>
      <cdr:x>0.31699</cdr:x>
      <cdr:y>0.30208</cdr:y>
    </cdr:from>
    <cdr:to>
      <cdr:x>0.68301</cdr:x>
      <cdr:y>0.69444</cdr:y>
    </cdr:to>
    <cdr:sp macro="" textlink="">
      <cdr:nvSpPr>
        <cdr:cNvPr id="2" name="CaixaDeTexto 1"/>
        <cdr:cNvSpPr txBox="1"/>
      </cdr:nvSpPr>
      <cdr:spPr>
        <a:xfrm xmlns:a="http://purl.oclc.org/ooxml/drawingml/main">
          <a:off x="923925" y="828674"/>
          <a:ext cx="1066800" cy="1076325"/>
        </a:xfrm>
        <a:prstGeom xmlns:a="http://purl.oclc.org/ooxml/drawingml/main" prst="rect">
          <a:avLst/>
        </a:prstGeom>
      </cdr:spPr>
      <cdr:txBody>
        <a:bodyPr xmlns:a="http://purl.oclc.org/ooxml/drawingml/main" vertOverflow="clip" wrap="square" rtlCol="0" anchor="ctr"/>
        <a:lstStyle xmlns:a="http://purl.oclc.org/ooxml/drawingml/main"/>
        <a:p xmlns:a="http://purl.oclc.org/ooxml/drawingml/main">
          <a:pPr algn="ctr"/>
          <a:r>
            <a:rPr lang="pt-BR" sz="1800" b="1" i="1"/>
            <a:t>Norte</a:t>
          </a:r>
        </a:p>
      </cdr:txBody>
    </cdr:sp>
  </cdr:relSizeAnchor>
</c:userShapes>
</file>

<file path=xl/drawings/drawing5.xml><?xml version="1.0" encoding="utf-8"?>
<c:userShapes xmlns:c="http://purl.oclc.org/ooxml/drawingml/chart">
  <cdr:relSizeAnchor xmlns:cdr="http://purl.oclc.org/ooxml/drawingml/chartDrawing">
    <cdr:from>
      <cdr:x>0.31699</cdr:x>
      <cdr:y>0.30208</cdr:y>
    </cdr:from>
    <cdr:to>
      <cdr:x>0.68301</cdr:x>
      <cdr:y>0.69444</cdr:y>
    </cdr:to>
    <cdr:sp macro="" textlink="">
      <cdr:nvSpPr>
        <cdr:cNvPr id="2" name="CaixaDeTexto 1"/>
        <cdr:cNvSpPr txBox="1"/>
      </cdr:nvSpPr>
      <cdr:spPr>
        <a:xfrm xmlns:a="http://purl.oclc.org/ooxml/drawingml/main">
          <a:off x="923925" y="828674"/>
          <a:ext cx="1066800" cy="1076325"/>
        </a:xfrm>
        <a:prstGeom xmlns:a="http://purl.oclc.org/ooxml/drawingml/main" prst="rect">
          <a:avLst/>
        </a:prstGeom>
      </cdr:spPr>
      <cdr:txBody>
        <a:bodyPr xmlns:a="http://purl.oclc.org/ooxml/drawingml/main" vertOverflow="clip" wrap="square" rtlCol="0" anchor="ctr"/>
        <a:lstStyle xmlns:a="http://purl.oclc.org/ooxml/drawingml/main"/>
        <a:p xmlns:a="http://purl.oclc.org/ooxml/drawingml/main">
          <a:pPr algn="ctr"/>
          <a:r>
            <a:rPr lang="pt-BR" sz="1800" b="1" i="1"/>
            <a:t>Nordeste</a:t>
          </a:r>
        </a:p>
      </cdr:txBody>
    </cdr:sp>
  </cdr:relSizeAnchor>
</c:userShapes>
</file>

<file path=xl/drawings/drawing6.xml><?xml version="1.0" encoding="utf-8"?>
<c:userShapes xmlns:c="http://purl.oclc.org/ooxml/drawingml/chart">
  <cdr:relSizeAnchor xmlns:cdr="http://purl.oclc.org/ooxml/drawingml/chartDrawing">
    <cdr:from>
      <cdr:x>0.31699</cdr:x>
      <cdr:y>0.30208</cdr:y>
    </cdr:from>
    <cdr:to>
      <cdr:x>0.68301</cdr:x>
      <cdr:y>0.69444</cdr:y>
    </cdr:to>
    <cdr:sp macro="" textlink="">
      <cdr:nvSpPr>
        <cdr:cNvPr id="2" name="CaixaDeTexto 1"/>
        <cdr:cNvSpPr txBox="1"/>
      </cdr:nvSpPr>
      <cdr:spPr>
        <a:xfrm xmlns:a="http://purl.oclc.org/ooxml/drawingml/main">
          <a:off x="923925" y="828674"/>
          <a:ext cx="1066800" cy="1076325"/>
        </a:xfrm>
        <a:prstGeom xmlns:a="http://purl.oclc.org/ooxml/drawingml/main" prst="rect">
          <a:avLst/>
        </a:prstGeom>
      </cdr:spPr>
      <cdr:txBody>
        <a:bodyPr xmlns:a="http://purl.oclc.org/ooxml/drawingml/main" vertOverflow="clip" wrap="square" rtlCol="0" anchor="ctr"/>
        <a:lstStyle xmlns:a="http://purl.oclc.org/ooxml/drawingml/main"/>
        <a:p xmlns:a="http://purl.oclc.org/ooxml/drawingml/main">
          <a:pPr algn="ctr"/>
          <a:r>
            <a:rPr lang="pt-BR" sz="1800" b="1" i="1"/>
            <a:t>Centro-Oeste</a:t>
          </a:r>
        </a:p>
      </cdr:txBody>
    </cdr:sp>
  </cdr:relSizeAnchor>
</c:userShapes>
</file>

<file path=xl/drawings/drawing7.xml><?xml version="1.0" encoding="utf-8"?>
<c:userShapes xmlns:c="http://purl.oclc.org/ooxml/drawingml/chart">
  <cdr:relSizeAnchor xmlns:cdr="http://purl.oclc.org/ooxml/drawingml/chartDrawing">
    <cdr:from>
      <cdr:x>0.31699</cdr:x>
      <cdr:y>0.30208</cdr:y>
    </cdr:from>
    <cdr:to>
      <cdr:x>0.68301</cdr:x>
      <cdr:y>0.69444</cdr:y>
    </cdr:to>
    <cdr:sp macro="" textlink="">
      <cdr:nvSpPr>
        <cdr:cNvPr id="2" name="CaixaDeTexto 1"/>
        <cdr:cNvSpPr txBox="1"/>
      </cdr:nvSpPr>
      <cdr:spPr>
        <a:xfrm xmlns:a="http://purl.oclc.org/ooxml/drawingml/main">
          <a:off x="923925" y="828674"/>
          <a:ext cx="1066800" cy="1076325"/>
        </a:xfrm>
        <a:prstGeom xmlns:a="http://purl.oclc.org/ooxml/drawingml/main" prst="rect">
          <a:avLst/>
        </a:prstGeom>
      </cdr:spPr>
      <cdr:txBody>
        <a:bodyPr xmlns:a="http://purl.oclc.org/ooxml/drawingml/main" vertOverflow="clip" wrap="square" rtlCol="0" anchor="ctr"/>
        <a:lstStyle xmlns:a="http://purl.oclc.org/ooxml/drawingml/main"/>
        <a:p xmlns:a="http://purl.oclc.org/ooxml/drawingml/main">
          <a:pPr algn="ctr"/>
          <a:r>
            <a:rPr lang="pt-BR" sz="1800" b="1" i="1"/>
            <a:t>Sudeste</a:t>
          </a:r>
        </a:p>
      </cdr:txBody>
    </cdr:sp>
  </cdr:relSizeAnchor>
</c:userShapes>
</file>

<file path=xl/drawings/drawing8.xml><?xml version="1.0" encoding="utf-8"?>
<c:userShapes xmlns:c="http://purl.oclc.org/ooxml/drawingml/chart">
  <cdr:relSizeAnchor xmlns:cdr="http://purl.oclc.org/ooxml/drawingml/chartDrawing">
    <cdr:from>
      <cdr:x>0.31699</cdr:x>
      <cdr:y>0.30208</cdr:y>
    </cdr:from>
    <cdr:to>
      <cdr:x>0.68301</cdr:x>
      <cdr:y>0.69444</cdr:y>
    </cdr:to>
    <cdr:sp macro="" textlink="">
      <cdr:nvSpPr>
        <cdr:cNvPr id="2" name="CaixaDeTexto 1"/>
        <cdr:cNvSpPr txBox="1"/>
      </cdr:nvSpPr>
      <cdr:spPr>
        <a:xfrm xmlns:a="http://purl.oclc.org/ooxml/drawingml/main">
          <a:off x="923925" y="828674"/>
          <a:ext cx="1066800" cy="1076325"/>
        </a:xfrm>
        <a:prstGeom xmlns:a="http://purl.oclc.org/ooxml/drawingml/main" prst="rect">
          <a:avLst/>
        </a:prstGeom>
      </cdr:spPr>
      <cdr:txBody>
        <a:bodyPr xmlns:a="http://purl.oclc.org/ooxml/drawingml/main" vertOverflow="clip" wrap="square" rtlCol="0" anchor="ctr"/>
        <a:lstStyle xmlns:a="http://purl.oclc.org/ooxml/drawingml/main"/>
        <a:p xmlns:a="http://purl.oclc.org/ooxml/drawingml/main">
          <a:pPr algn="ctr"/>
          <a:r>
            <a:rPr lang="pt-BR" sz="1800" b="1" i="1"/>
            <a:t>Sul</a:t>
          </a:r>
        </a:p>
      </cdr:txBody>
    </cdr:sp>
  </cdr:relSizeAnchor>
</c:userShapes>
</file>

<file path=xl/drawings/drawing9.xml><?xml version="1.0" encoding="utf-8"?>
<c:userShapes xmlns:c="http://purl.oclc.org/ooxml/drawingml/chart">
  <cdr:relSizeAnchor xmlns:cdr="http://purl.oclc.org/ooxml/drawingml/chartDrawing">
    <cdr:from>
      <cdr:x>0.06863</cdr:x>
      <cdr:y>0.28009</cdr:y>
    </cdr:from>
    <cdr:to>
      <cdr:x>0.15198</cdr:x>
      <cdr:y>0.54051</cdr:y>
    </cdr:to>
    <cdr:sp macro="" textlink="">
      <cdr:nvSpPr>
        <cdr:cNvPr id="2" name="CaixaDeTexto 1"/>
        <cdr:cNvSpPr txBox="1"/>
      </cdr:nvSpPr>
      <cdr:spPr>
        <a:xfrm xmlns:a="http://purl.oclc.org/ooxml/drawingml/main" rot="16200000">
          <a:off x="147078" y="935039"/>
          <a:ext cx="714375" cy="381000"/>
        </a:xfrm>
        <a:prstGeom xmlns:a="http://purl.oclc.org/ooxml/drawingml/main" prst="rect">
          <a:avLst/>
        </a:prstGeom>
      </cdr:spPr>
      <cdr:txBody>
        <a:bodyPr xmlns:a="http://purl.oclc.org/ooxml/drawingml/main" vertOverflow="clip" wrap="square" rtlCol="0" anchor="ctr"/>
        <a:lstStyle xmlns:a="http://purl.oclc.org/ooxml/drawingml/main"/>
        <a:p xmlns:a="http://purl.oclc.org/ooxml/drawingml/main">
          <a:pPr algn="ctr"/>
          <a:r>
            <a:rPr lang="pt-BR" sz="900" b="1">
              <a:solidFill>
                <a:schemeClr val="tx1">
                  <a:lumMod val="65%"/>
                  <a:lumOff val="35%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Milhões</a:t>
          </a: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purl.oclc.org/ooxml/officeDocument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purl.oclc.org/ooxml/officeDocument/relationships/pivotCacheRecords" Target="pivotCacheRecords2.xml"/></Relationships>
</file>

<file path=xl/pivotCache/pivotCacheDefinition1.xml><?xml version="1.0" encoding="utf-8"?>
<pivotCacheDefinition xmlns="http://purl.oclc.org/ooxml/spreadsheetml/main" xmlns:r="http://purl.oclc.org/ooxml/officeDocument/relationships" xmlns:mc="http://schemas.openxmlformats.org/markup-compatibility/2006" xmlns:xr="http://schemas.microsoft.com/office/spreadsheetml/2014/revision" mc:Ignorable="xr" r:id="rId1" refreshedBy="Marcos Cristino de Oliveira" refreshedDateIso="2019-05-08T09:02:14.9200003081932675" createdVersion="5" refreshedVersion="5" minRefreshableVersion="3" recordCount="53" xr:uid="{00000000-000A-0000-FFFF-FFFF00000000}">
  <cacheSource type="worksheet">
    <worksheetSource ref="A1:G54" sheet="Dados - RRT"/>
  </cacheSource>
  <cacheFields count="7">
    <cacheField name="Grupo" numFmtId="0">
      <sharedItems count="7">
        <s v="1 - Projeto"/>
        <s v="2 - Execução"/>
        <s v="3 - Gestão"/>
        <s v="4 - Meio Ambiente"/>
        <s v="5 - Atividades Especiais"/>
        <s v="6 - Ensino e Pesquisa"/>
        <s v="7 . Engenharia de Segurança"/>
      </sharedItems>
    </cacheField>
    <cacheField name="Subgrupo" numFmtId="0">
      <sharedItems count="53">
        <s v="1.1 - ARQ. DAS EDIFICAÇÕES  "/>
        <s v="1.2 - SIST. CONST. E ESTRUTURAIS  "/>
        <s v="1.3 - CONFORTO AMBIENTAL  "/>
        <s v="1.4 - ARQ. DE INTERIORES  "/>
        <s v="1.5 - INSTALAÇÕES E EQUIP. REF. À ARQ."/>
        <s v="1.6 - ARQ. PAISAGÍSTICA "/>
        <s v="1.7 - RELATÓRIOS TÉCNICOS DE ARQ."/>
        <s v="1.8 - URBANISMO E DESENHO URBANO  "/>
        <s v="1.9 - INSTAL.E EQUIP. REF. AO URB."/>
        <s v="1.10 - RELATÓRIOS TÉCNICOS E URB."/>
        <s v="1.11 - PATR. ARQ., URB. E PAISAGÍSTICO"/>
        <s v="2.1 - ARQUITETURA DAS EDIFICAÇÕES  "/>
        <s v="2.2 - SISTEMAS CONST. E ESTRUTURAIS  "/>
        <s v="2.3 - CONFORTO AMBIENTAL  "/>
        <s v="2.4 - ARQUITETURA DE INTERIORES  "/>
        <s v="2.5 - INSTALAÇÕES E EQUIP. REF. À ARQ."/>
        <s v="2.6 -  ARQUITETURA PAISAGÍSTICA  "/>
        <s v="2.7 - URBANISMO E DESENHO URBANO  "/>
        <s v="2.8 - INSTALAÇÕES E EQUIP. REF. AO URB."/>
        <s v="2.9 - PATR. ARQ., URB. E PAISAGÍSTICO  "/>
        <s v="3.1 - COORD. E COMPAT. DE PROJETOS  "/>
        <s v="3.2 - SUPERV. DE OBRA OU SERVIÇO TÉC. "/>
        <s v="3.3 - DIR. COND. DE OBRA OU SERV. TÉC."/>
        <s v="3.4 - GERENC. DE OBRA OU SERV. TÉC."/>
        <s v="3.5 - ACOMP. DE OBRA OU SERV. TÉC."/>
        <s v="3.6 - FISC. DE OBRA OU SERV. TÉC."/>
        <s v="3.7 - DESEMP. DE CARGO OU FUNÇÃO TÉC. "/>
        <s v="4.1 - GEORREFERENC. E TOPOGRAFIA  "/>
        <s v="4.2 - MEIO AMBIENTE  "/>
        <s v="4.3 - PLANEJAMENTO REGIONAL  "/>
        <s v="4.4 - PLANEJAMENTO URBANO  "/>
        <s v="5.1 - ASSESSORIA  "/>
        <s v="5.2 - CONSULTORIA  "/>
        <s v="5.3 - ASSISTÊNCIA TÉCNICA  "/>
        <s v="5.4 - VISTORIA  "/>
        <s v="5.5 - PERÍCIA  "/>
        <s v="5.6 - AVALIAÇÃO  "/>
        <s v="5.7 - LAUDO TÉCNICO  "/>
        <s v="5.8 - PARECER TÉCNICO  "/>
        <s v="5.9 - AUDITORIA"/>
        <s v="5.10 - ARBITRAGEM  "/>
        <s v="5.11  - MENSURAÇÃO  "/>
        <s v="6.1 - ENSINO  "/>
        <s v="6.2 -  PESQUISA  "/>
        <s v="6.3 -  TECN. DA CONST. E CONT.DE QUALID."/>
        <s v="7.1 - PLANOS  "/>
        <s v="7.2 - PROGRAMAS  "/>
        <s v="7.3 - AVALIAÇÃO DE RISCOS  "/>
        <s v="7.4 - MAPA DE RIS. COND. E MEIO AMB. TRAB."/>
        <s v="7.5 -  RELATÓRIOS PARA FINS JUDICIAIS  "/>
        <s v="7.6 - LAUDO DE INSP. SOBRE ATIV. INSAL."/>
        <s v="7.7 - LAUD. TÉC. DE COND. DO TRAB.-LTCAT  "/>
        <s v="7.8 - OUTRAS ATIVIDADES  "/>
      </sharedItems>
    </cacheField>
    <cacheField name="Masc. RRT" numFmtId="164">
      <sharedItems containsSemiMixedTypes="0" containsString="0" containsNumber="1" containsInteger="1" minValue="0" maxValue="37762"/>
    </cacheField>
    <cacheField name="Masc." numFmtId="9">
      <sharedItems containsSemiMixedTypes="0" containsString="0" containsNumber="1" minValue="2.7777777777777776E-2" maxValue="0.80238095238095242"/>
    </cacheField>
    <cacheField name="Fem. RRT" numFmtId="164">
      <sharedItems containsSemiMixedTypes="0" containsString="0" containsNumber="1" containsInteger="1" minValue="2" maxValue="32349"/>
    </cacheField>
    <cacheField name="Fem." numFmtId="9">
      <sharedItems containsSemiMixedTypes="0" containsString="0" containsNumber="1" minValue="0.19761904761904761" maxValue="0.97222222222222221"/>
    </cacheField>
    <cacheField name="Total RRT" numFmtId="164">
      <sharedItems containsSemiMixedTypes="0" containsString="0" containsNumber="1" containsInteger="1" minValue="3" maxValue="70111"/>
    </cacheField>
  </cacheFields>
  <extLst>
    <ext xmlns:x14="http://schemas.microsoft.com/office/spreadsheetml/2009/9/main" uri="{725AE2AE-9491-48be-B2B4-4EB974FC3084}">
      <x14:pivotCacheDefinition pivotCacheId="5"/>
    </ext>
  </extLst>
</pivotCacheDefinition>
</file>

<file path=xl/pivotCache/pivotCacheDefinition2.xml><?xml version="1.0" encoding="utf-8"?>
<pivotCacheDefinition xmlns="http://purl.oclc.org/ooxml/spreadsheetml/main" xmlns:r="http://purl.oclc.org/ooxml/officeDocument/relationships" xmlns:mc="http://schemas.openxmlformats.org/markup-compatibility/2006" xmlns:xr="http://schemas.microsoft.com/office/spreadsheetml/2014/revision" mc:Ignorable="xr" r:id="rId1" refreshedBy="Marcos Cristino de Oliveira" refreshedDateIso="2019-05-17T08:07:07.97000021673739275" createdVersion="5" refreshedVersion="5" minRefreshableVersion="3" recordCount="27" xr:uid="{00000000-000A-0000-FFFF-FFFF01000000}">
  <cacheSource type="worksheet">
    <worksheetSource ref="B3:AP30" sheet="Dados - Receita e Qntd"/>
  </cacheSource>
  <cacheFields count="41">
    <cacheField name="UF" numFmtId="0">
      <sharedItems count="27">
        <s v="AC"/>
        <s v="AM"/>
        <s v="AP"/>
        <s v="PA"/>
        <s v="RO"/>
        <s v="RR"/>
        <s v="TO"/>
        <s v="AL"/>
        <s v="BA"/>
        <s v="CE"/>
        <s v="MA"/>
        <s v="PB"/>
        <s v="PE"/>
        <s v="PI"/>
        <s v="RN"/>
        <s v="SE"/>
        <s v="DF"/>
        <s v="GO"/>
        <s v="MS"/>
        <s v="MT"/>
        <s v="ES"/>
        <s v="MG"/>
        <s v="RJ"/>
        <s v="SP"/>
        <s v="PR"/>
        <s v="RS"/>
        <s v="SC"/>
      </sharedItems>
    </cacheField>
    <cacheField name="Região" numFmtId="0">
      <sharedItems count="5">
        <s v="Norte"/>
        <s v="Nordeste"/>
        <s v="Centro-oeste"/>
        <s v="Sudeste"/>
        <s v="Sul"/>
      </sharedItems>
    </cacheField>
    <cacheField name="Anuidade PF - Exerc." numFmtId="171">
      <sharedItems containsSemiMixedTypes="0" containsString="0" containsNumber="1" minValue="26127.167999999998" maxValue="8507058.2400000002"/>
    </cacheField>
    <cacheField name="Previsto" numFmtId="171">
      <sharedItems containsSemiMixedTypes="0" containsString="0" containsNumber="1" minValue="61411.660705362832" maxValue="13341925.435892532"/>
    </cacheField>
    <cacheField name="Exec. %" numFmtId="165">
      <sharedItems containsSemiMixedTypes="0" containsString="0" containsNumber="1" minValue="0.31875458970884069" maxValue="0.63761848174584002"/>
    </cacheField>
    <cacheField name="Anuidade PF - Ex. Ant." numFmtId="171">
      <sharedItems containsSemiMixedTypes="0" containsString="0" containsNumber="1" minValue="2883.5840000000003" maxValue="1153900.5959999999"/>
    </cacheField>
    <cacheField name="Anuidade PJ - Exerc." numFmtId="171">
      <sharedItems containsSemiMixedTypes="0" containsString="0" containsNumber="1" minValue="2500.7439999999997" maxValue="1036639.0640000001"/>
    </cacheField>
    <cacheField name="Previsto2" numFmtId="171">
      <sharedItems containsSemiMixedTypes="0" containsString="0" containsNumber="1" minValue="13499.840660659143" maxValue="1709049.1311078393"/>
    </cacheField>
    <cacheField name="Exec. %2" numFmtId="165">
      <sharedItems containsSemiMixedTypes="0" containsString="0" containsNumber="1" minValue="0.11919192665749763" maxValue="0.6065589602611543"/>
    </cacheField>
    <cacheField name="Anuidade PJ - Ex. Ant." numFmtId="171">
      <sharedItems containsSemiMixedTypes="0" containsString="0" containsNumber="1" minValue="152.43200000000002" maxValue="154376.66999999998"/>
    </cacheField>
    <cacheField name="RRT" numFmtId="171">
      <sharedItems containsSemiMixedTypes="0" containsString="0" containsNumber="1" minValue="37658.320000000007" maxValue="7776187.7280000001"/>
    </cacheField>
    <cacheField name="Previsto3" numFmtId="171">
      <sharedItems containsSemiMixedTypes="0" containsString="0" containsNumber="1" minValue="107076.44613600001" maxValue="23669126.785432562"/>
    </cacheField>
    <cacheField name="Exec. %3" numFmtId="165">
      <sharedItems containsSemiMixedTypes="0" containsString="0" containsNumber="1" minValue="0.2428848486234039" maxValue="0.36515301201015232"/>
    </cacheField>
    <cacheField name="Taxas" numFmtId="171">
      <sharedItems containsSemiMixedTypes="0" containsString="0" containsNumber="1" minValue="1214.6640000000002" maxValue="537858.19039999996"/>
    </cacheField>
    <cacheField name="Previsto4" numFmtId="171">
      <sharedItems containsSemiMixedTypes="0" containsString="0" containsNumber="1" minValue="8189.4576375909892" maxValue="1598450.9713600003"/>
    </cacheField>
    <cacheField name="Exec. %4" numFmtId="165">
      <sharedItems containsSemiMixedTypes="0" containsString="0" containsNumber="1" minValue="0.14832044486370966" maxValue="0.68423894036331401"/>
    </cacheField>
    <cacheField name="PF Ativos" numFmtId="164">
      <sharedItems containsSemiMixedTypes="0" containsString="0" containsNumber="1" containsInteger="1" minValue="195" maxValue="54551"/>
    </cacheField>
    <cacheField name="PF - Jan. a Abr." numFmtId="164">
      <sharedItems containsSemiMixedTypes="0" containsString="0" containsNumber="1" containsInteger="1" minValue="2" maxValue="975"/>
    </cacheField>
    <cacheField name="Previsto PF" numFmtId="164">
      <sharedItems containsSemiMixedTypes="0" containsString="0" containsNumber="1" containsInteger="1" minValue="210" maxValue="55941"/>
    </cacheField>
    <cacheField name="% de exec. - PF" numFmtId="165">
      <sharedItems containsSemiMixedTypes="0" containsString="0" containsNumber="1" minValue="0.859375" maxValue="1.0177321511899207"/>
    </cacheField>
    <cacheField name="PJ Ativos" numFmtId="164">
      <sharedItems containsSemiMixedTypes="0" containsString="0" containsNumber="1" containsInteger="1" minValue="46" maxValue="7323"/>
    </cacheField>
    <cacheField name="PJ - Jan. a Abr." numFmtId="164">
      <sharedItems containsSemiMixedTypes="0" containsString="0" containsNumber="1" containsInteger="1" minValue="3" maxValue="210"/>
    </cacheField>
    <cacheField name="Previsto PJ" numFmtId="164">
      <sharedItems containsSemiMixedTypes="0" containsString="0" containsNumber="1" minValue="55" maxValue="8633"/>
    </cacheField>
    <cacheField name="% de exec. - PJ" numFmtId="165">
      <sharedItems containsSemiMixedTypes="0" containsString="0" containsNumber="1" minValue="0.77480314960629926" maxValue="1.037037037037037"/>
    </cacheField>
    <cacheField name="RRT Pagos" numFmtId="164">
      <sharedItems containsSemiMixedTypes="0" containsString="0" containsNumber="1" containsInteger="1" minValue="477" maxValue="103656"/>
    </cacheField>
    <cacheField name="Previsto - RRT" numFmtId="164">
      <sharedItems containsSemiMixedTypes="0" containsString="0" containsNumber="1" containsInteger="1" minValue="1416" maxValue="313049"/>
    </cacheField>
    <cacheField name="Méd/Prof_x000a_Executado" numFmtId="166">
      <sharedItems containsSemiMixedTypes="0" containsString="0" containsNumber="1" minValue="0.89411764705882357" maxValue="3.2164830991264717"/>
    </cacheField>
    <cacheField name="Méd/Prof_x000a_Previsto" numFmtId="166">
      <sharedItems containsSemiMixedTypes="0" containsString="0" containsNumber="1" minValue="2.8998815165876777" maxValue="10.02214188883868"/>
    </cacheField>
    <cacheField name="Adimp. PF %" numFmtId="165">
      <sharedItems containsSemiMixedTypes="0" containsString="0" containsNumber="1" minValue="0.3816631130063966" maxValue="0.68253436138115986"/>
    </cacheField>
    <cacheField name="Previsto PF2" numFmtId="165">
      <sharedItems containsSemiMixedTypes="0" containsString="0" containsNumber="1" minValue="0.72699999999999998" maxValue="0.89900000000000002"/>
    </cacheField>
    <cacheField name="Adimp. PJ %" numFmtId="165">
      <sharedItems containsSemiMixedTypes="0" containsString="0" containsNumber="1" minValue="0.12385321100917432" maxValue="0.4223744292237443"/>
    </cacheField>
    <cacheField name="Previsto PJ2" numFmtId="165">
      <sharedItems containsSemiMixedTypes="0" containsString="0" containsNumber="1" minValue="0.4713815598495622" maxValue="0.72827039974433805"/>
    </cacheField>
    <cacheField name="Masculino" numFmtId="164">
      <sharedItems containsSemiMixedTypes="0" containsString="0" containsNumber="1" minValue="80.871751266654158" maxValue="20819.983076093074"/>
    </cacheField>
    <cacheField name="Feminino" numFmtId="164">
      <sharedItems containsSemiMixedTypes="0" containsString="0" containsNumber="1" minValue="113.81950178269844" maxValue="33711.539278007134"/>
    </cacheField>
    <cacheField name="Entrantes" numFmtId="164">
      <sharedItems containsSemiMixedTypes="0" containsString="0" containsNumber="1" containsInteger="1" minValue="10" maxValue="1030"/>
    </cacheField>
    <cacheField name="Previsto - Entrantes" numFmtId="164">
      <sharedItems containsSemiMixedTypes="0" containsString="0" containsNumber="1" minValue="32" maxValue="3933"/>
    </cacheField>
    <cacheField name="% de exec. - Entrantes" numFmtId="165">
      <sharedItems containsSemiMixedTypes="0" containsString="0" containsNumber="1" minValue="0.11570247933884298" maxValue="0.60109289617486339"/>
    </cacheField>
    <cacheField name="PF" numFmtId="165">
      <sharedItems containsSemiMixedTypes="0" containsString="0" containsNumber="1" minValue="-9.1331786789427841E-2" maxValue="0.31152811693080962"/>
    </cacheField>
    <cacheField name="PJ" numFmtId="165">
      <sharedItems containsSemiMixedTypes="0" containsString="0" containsNumber="1" minValue="-0.12291936323874637" maxValue="0.65169893840391158"/>
    </cacheField>
    <cacheField name="RRT2" numFmtId="165">
      <sharedItems containsSemiMixedTypes="0" containsString="0" containsNumber="1" minValue="-0.13798223894308592" maxValue="0.40701972007801401"/>
    </cacheField>
    <cacheField name="Taxas2" numFmtId="165">
      <sharedItems containsSemiMixedTypes="0" containsString="0" containsNumber="1" minValue="-0.37766332995184532" maxValue="1.2841536555356923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">
  <r>
    <x v="0"/>
    <x v="0"/>
    <n v="37762"/>
    <n v="0.538602671837631"/>
    <n v="32349"/>
    <n v="0.461397328162369"/>
    <n v="70111"/>
  </r>
  <r>
    <x v="0"/>
    <x v="1"/>
    <n v="8399"/>
    <n v="0.63103612917684426"/>
    <n v="4911"/>
    <n v="0.36896387082315568"/>
    <n v="13310"/>
  </r>
  <r>
    <x v="0"/>
    <x v="2"/>
    <n v="764"/>
    <n v="0.49721857637892475"/>
    <n v="772"/>
    <n v="0.50278142362107536"/>
    <n v="1536"/>
  </r>
  <r>
    <x v="0"/>
    <x v="3"/>
    <n v="2428"/>
    <n v="0.22469906543317908"/>
    <n v="8379"/>
    <n v="0.77530093456682092"/>
    <n v="10807"/>
  </r>
  <r>
    <x v="0"/>
    <x v="4"/>
    <n v="17508"/>
    <n v="0.61044183791328155"/>
    <n v="11173"/>
    <n v="0.38955816208671845"/>
    <n v="28681"/>
  </r>
  <r>
    <x v="0"/>
    <x v="5"/>
    <n v="520"/>
    <n v="0.50546457581747239"/>
    <n v="509"/>
    <n v="0.49453542418252755"/>
    <n v="1029"/>
  </r>
  <r>
    <x v="0"/>
    <x v="6"/>
    <n v="2545"/>
    <n v="0.55829185394899472"/>
    <n v="2014"/>
    <n v="0.44170814605100533"/>
    <n v="4559"/>
  </r>
  <r>
    <x v="0"/>
    <x v="7"/>
    <n v="5056"/>
    <n v="0.59878256203345381"/>
    <n v="3388"/>
    <n v="0.40121743796654624"/>
    <n v="8444"/>
  </r>
  <r>
    <x v="0"/>
    <x v="8"/>
    <n v="933"/>
    <n v="0.71117980097389322"/>
    <n v="379"/>
    <n v="0.28882019902610678"/>
    <n v="1312"/>
  </r>
  <r>
    <x v="0"/>
    <x v="9"/>
    <n v="934"/>
    <n v="0.60325611704131754"/>
    <n v="614"/>
    <n v="0.39674388295868251"/>
    <n v="1548"/>
  </r>
  <r>
    <x v="0"/>
    <x v="10"/>
    <n v="73"/>
    <n v="0.4904566632778885"/>
    <n v="76"/>
    <n v="0.5095433367221115"/>
    <n v="149"/>
  </r>
  <r>
    <x v="1"/>
    <x v="11"/>
    <n v="28416"/>
    <n v="0.60181042003276075"/>
    <n v="18802"/>
    <n v="0.39818957996723908"/>
    <n v="47218"/>
  </r>
  <r>
    <x v="1"/>
    <x v="12"/>
    <n v="8438"/>
    <n v="0.63696247431740693"/>
    <n v="4810"/>
    <n v="0.36303752568259312"/>
    <n v="13248"/>
  </r>
  <r>
    <x v="1"/>
    <x v="13"/>
    <n v="1081"/>
    <n v="0.61337420119876684"/>
    <n v="681"/>
    <n v="0.38662579880123321"/>
    <n v="1762"/>
  </r>
  <r>
    <x v="1"/>
    <x v="14"/>
    <n v="4604"/>
    <n v="0.40093060496532495"/>
    <n v="6879"/>
    <n v="0.59906939503467505"/>
    <n v="11483"/>
  </r>
  <r>
    <x v="1"/>
    <x v="15"/>
    <n v="15381"/>
    <n v="0.63143424769842094"/>
    <n v="8978"/>
    <n v="0.36856575230157906"/>
    <n v="24359"/>
  </r>
  <r>
    <x v="1"/>
    <x v="16"/>
    <n v="97"/>
    <n v="0.57495683111701423"/>
    <n v="72"/>
    <n v="0.42504316888298582"/>
    <n v="169"/>
  </r>
  <r>
    <x v="1"/>
    <x v="17"/>
    <n v="271"/>
    <n v="0.57470962758271948"/>
    <n v="201"/>
    <n v="0.42529037241728046"/>
    <n v="472"/>
  </r>
  <r>
    <x v="1"/>
    <x v="18"/>
    <n v="548"/>
    <n v="0.79154811483611209"/>
    <n v="144"/>
    <n v="0.20845188516388802"/>
    <n v="692"/>
  </r>
  <r>
    <x v="1"/>
    <x v="19"/>
    <n v="48"/>
    <n v="0.57486772486772486"/>
    <n v="35"/>
    <n v="0.42513227513227514"/>
    <n v="83"/>
  </r>
  <r>
    <x v="2"/>
    <x v="20"/>
    <n v="179"/>
    <n v="0.47122273130647802"/>
    <n v="201"/>
    <n v="0.52877726869352215"/>
    <n v="380"/>
  </r>
  <r>
    <x v="2"/>
    <x v="21"/>
    <n v="487"/>
    <n v="0.54371916446743573"/>
    <n v="409"/>
    <n v="0.45628083553256438"/>
    <n v="896"/>
  </r>
  <r>
    <x v="2"/>
    <x v="22"/>
    <n v="1808"/>
    <n v="0.67589618139611185"/>
    <n v="867"/>
    <n v="0.32410381860388815"/>
    <n v="2675"/>
  </r>
  <r>
    <x v="2"/>
    <x v="23"/>
    <n v="217"/>
    <n v="0.57140011417505021"/>
    <n v="163"/>
    <n v="0.42859988582494973"/>
    <n v="380"/>
  </r>
  <r>
    <x v="2"/>
    <x v="24"/>
    <n v="363"/>
    <n v="0.49823955457784325"/>
    <n v="366"/>
    <n v="0.50176044542215681"/>
    <n v="729"/>
  </r>
  <r>
    <x v="2"/>
    <x v="25"/>
    <n v="863"/>
    <n v="0.58421376665042046"/>
    <n v="614"/>
    <n v="0.41578623334957959"/>
    <n v="1477"/>
  </r>
  <r>
    <x v="2"/>
    <x v="26"/>
    <n v="1004"/>
    <n v="0.53203039209860514"/>
    <n v="883"/>
    <n v="0.46796960790139475"/>
    <n v="1887"/>
  </r>
  <r>
    <x v="3"/>
    <x v="27"/>
    <n v="1342"/>
    <n v="0.69863816146074698"/>
    <n v="579"/>
    <n v="0.30136183853925314"/>
    <n v="1921"/>
  </r>
  <r>
    <x v="3"/>
    <x v="28"/>
    <n v="1021"/>
    <n v="0.56280162686984558"/>
    <n v="793"/>
    <n v="0.43719837313015442"/>
    <n v="1814"/>
  </r>
  <r>
    <x v="3"/>
    <x v="29"/>
    <n v="29"/>
    <n v="0.50222222222222224"/>
    <n v="29"/>
    <n v="0.49777777777777776"/>
    <n v="58"/>
  </r>
  <r>
    <x v="3"/>
    <x v="30"/>
    <n v="109"/>
    <n v="0.45272195936766968"/>
    <n v="132"/>
    <n v="0.54727804063233032"/>
    <n v="241"/>
  </r>
  <r>
    <x v="4"/>
    <x v="31"/>
    <n v="411"/>
    <n v="0.49364993544098845"/>
    <n v="421"/>
    <n v="0.50635006455901155"/>
    <n v="832"/>
  </r>
  <r>
    <x v="4"/>
    <x v="32"/>
    <n v="140"/>
    <n v="0.38858734710439413"/>
    <n v="220"/>
    <n v="0.61141265289560587"/>
    <n v="360"/>
  </r>
  <r>
    <x v="4"/>
    <x v="33"/>
    <n v="238"/>
    <n v="0.58311080477450583"/>
    <n v="170"/>
    <n v="0.41688919522549417"/>
    <n v="408"/>
  </r>
  <r>
    <x v="4"/>
    <x v="34"/>
    <n v="2855"/>
    <n v="0.49139458331206448"/>
    <n v="2955"/>
    <n v="0.50860541668793535"/>
    <n v="5810"/>
  </r>
  <r>
    <x v="4"/>
    <x v="35"/>
    <n v="130"/>
    <n v="0.66565893901420226"/>
    <n v="65"/>
    <n v="0.33434106098579786"/>
    <n v="195"/>
  </r>
  <r>
    <x v="4"/>
    <x v="36"/>
    <n v="1110"/>
    <n v="0.43487983069872904"/>
    <n v="1442"/>
    <n v="0.56512016930127096"/>
    <n v="2552"/>
  </r>
  <r>
    <x v="4"/>
    <x v="37"/>
    <n v="8322"/>
    <n v="0.57118839963470447"/>
    <n v="6248"/>
    <n v="0.42881160036529553"/>
    <n v="14570"/>
  </r>
  <r>
    <x v="4"/>
    <x v="38"/>
    <n v="977"/>
    <n v="0.60694922051833367"/>
    <n v="632"/>
    <n v="0.39305077948166645"/>
    <n v="1609"/>
  </r>
  <r>
    <x v="4"/>
    <x v="39"/>
    <n v="4"/>
    <n v="0.6"/>
    <n v="3"/>
    <n v="0.4"/>
    <n v="7"/>
  </r>
  <r>
    <x v="4"/>
    <x v="40"/>
    <n v="5"/>
    <n v="0.7"/>
    <n v="2"/>
    <n v="0.3"/>
    <n v="7"/>
  </r>
  <r>
    <x v="4"/>
    <x v="41"/>
    <n v="504"/>
    <n v="0.56815273417539069"/>
    <n v="383"/>
    <n v="0.43184726582460931"/>
    <n v="887"/>
  </r>
  <r>
    <x v="5"/>
    <x v="42"/>
    <n v="21"/>
    <n v="0.48936423054070111"/>
    <n v="22"/>
    <n v="0.510635769459299"/>
    <n v="43"/>
  </r>
  <r>
    <x v="5"/>
    <x v="43"/>
    <n v="0"/>
    <n v="2.7777777777777776E-2"/>
    <n v="3"/>
    <n v="0.97222222222222221"/>
    <n v="3"/>
  </r>
  <r>
    <x v="5"/>
    <x v="44"/>
    <n v="21"/>
    <n v="0.55590277777777775"/>
    <n v="17"/>
    <n v="0.44409722222222225"/>
    <n v="38"/>
  </r>
  <r>
    <x v="6"/>
    <x v="45"/>
    <n v="47"/>
    <n v="0.5251424501424502"/>
    <n v="42"/>
    <n v="0.4748575498575498"/>
    <n v="89"/>
  </r>
  <r>
    <x v="6"/>
    <x v="46"/>
    <n v="183"/>
    <n v="0.47223948299827528"/>
    <n v="205"/>
    <n v="0.52776051700172466"/>
    <n v="388"/>
  </r>
  <r>
    <x v="6"/>
    <x v="47"/>
    <n v="83"/>
    <n v="0.62086474372188649"/>
    <n v="51"/>
    <n v="0.3791352562781134"/>
    <n v="134"/>
  </r>
  <r>
    <x v="6"/>
    <x v="48"/>
    <n v="5"/>
    <n v="0.32857142857142857"/>
    <n v="10"/>
    <n v="0.67142857142857149"/>
    <n v="15"/>
  </r>
  <r>
    <x v="6"/>
    <x v="49"/>
    <n v="25"/>
    <n v="0.80238095238095242"/>
    <n v="6"/>
    <n v="0.19761904761904761"/>
    <n v="31"/>
  </r>
  <r>
    <x v="6"/>
    <x v="50"/>
    <n v="38"/>
    <n v="0.35677713091506197"/>
    <n v="69"/>
    <n v="0.64322286908493809"/>
    <n v="107"/>
  </r>
  <r>
    <x v="6"/>
    <x v="51"/>
    <n v="255"/>
    <n v="0.68367348241499615"/>
    <n v="118"/>
    <n v="0.3163265175850038"/>
    <n v="373"/>
  </r>
  <r>
    <x v="6"/>
    <x v="52"/>
    <n v="476"/>
    <n v="0.45561051202541653"/>
    <n v="568"/>
    <n v="0.54438948797458342"/>
    <n v="104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7">
  <r>
    <x v="0"/>
    <x v="0"/>
    <n v="62046.576000000008"/>
    <n v="155680.01618888305"/>
    <n v="0.39855196266629556"/>
    <n v="6688.7520000000013"/>
    <n v="8337.1840000000011"/>
    <n v="35687.347082726388"/>
    <n v="0.2336173652996307"/>
    <n v="1292.1680000000001"/>
    <n v="44407.839999999997"/>
    <n v="142491.36448800002"/>
    <n v="0.31165285110130181"/>
    <n v="5479.4800000000005"/>
    <n v="15023.642749182423"/>
    <n v="0.36472379511940872"/>
    <n v="521"/>
    <n v="14"/>
    <n v="580"/>
    <n v="0.89827586206896548"/>
    <n v="104"/>
    <n v="7"/>
    <n v="125.90415296786196"/>
    <n v="0.82602517509130002"/>
    <n v="609"/>
    <n v="1885"/>
    <n v="1.1689059500959693"/>
    <n v="3.5845410628019323"/>
    <n v="0.49224806201550386"/>
    <n v="0.874"/>
    <n v="0.24038461538461539"/>
    <n v="0.69289407804727088"/>
    <n v="278.55825436291985"/>
    <n v="240.61842043535373"/>
    <n v="27"/>
    <n v="113"/>
    <n v="0.23893805309734514"/>
    <n v="5.4111170372046047E-2"/>
    <n v="1.6468473566393982E-3"/>
    <n v="-1.4481895411492189E-2"/>
    <n v="7.7263224366074745E-2"/>
  </r>
  <r>
    <x v="1"/>
    <x v="0"/>
    <n v="200498.22400000002"/>
    <n v="551189.02608274098"/>
    <n v="0.36375583422791602"/>
    <n v="74752.216000000015"/>
    <n v="21776.696000000004"/>
    <n v="90122.396454311616"/>
    <n v="0.24163467525011834"/>
    <n v="6920.6880000000001"/>
    <n v="133485.02399999998"/>
    <n v="434811.87703800009"/>
    <n v="0.30699488916751494"/>
    <n v="23962.752000000004"/>
    <n v="48425.548480877369"/>
    <n v="0.4948369765902102"/>
    <n v="1886"/>
    <n v="45"/>
    <n v="2037"/>
    <n v="0.92587137947962694"/>
    <n v="281"/>
    <n v="10"/>
    <n v="322.702623007277"/>
    <n v="0.87077073431058971"/>
    <n v="1778"/>
    <n v="5751"/>
    <n v="0.94273594909862146"/>
    <n v="3.0420062695924766"/>
    <n v="0.3816631130063966"/>
    <n v="0.80200000000000005"/>
    <n v="0.24199288256227758"/>
    <n v="0.6816801408995663"/>
    <n v="758.796678551323"/>
    <n v="1126.214017639332"/>
    <n v="41"/>
    <n v="239.9"/>
    <n v="0.17090454355981657"/>
    <n v="0.31152811693080962"/>
    <n v="0.12371534314346633"/>
    <n v="0.13598474971490801"/>
    <n v="-1.6087826495272139E-2"/>
  </r>
  <r>
    <x v="2"/>
    <x v="0"/>
    <n v="58709.056000000004"/>
    <n v="184182.62166397821"/>
    <n v="0.31875458970884069"/>
    <n v="23777.103999999999"/>
    <n v="8023.424"/>
    <n v="67315.163241346061"/>
    <n v="0.11919192665749763"/>
    <n v="2034.6320000000001"/>
    <n v="67511.288"/>
    <n v="184884.92708400002"/>
    <n v="0.36515301201015232"/>
    <n v="13436.552000000001"/>
    <n v="19637.222039519591"/>
    <n v="0.68423894036331401"/>
    <n v="605"/>
    <n v="2"/>
    <n v="704"/>
    <n v="0.859375"/>
    <n v="218"/>
    <n v="4"/>
    <n v="248.39848802794936"/>
    <n v="0.87762208913071571"/>
    <n v="925"/>
    <n v="2445"/>
    <n v="1.5289256198347108"/>
    <n v="3.8187372708757636"/>
    <n v="0.40099833610648916"/>
    <n v="0.83"/>
    <n v="0.12385321100917432"/>
    <n v="0.66060830607155652"/>
    <n v="326.48225511352973"/>
    <n v="278.55825436291985"/>
    <n v="14"/>
    <n v="121"/>
    <n v="0.11570247933884298"/>
    <n v="0.255790852265108"/>
    <n v="-0.11015350076297409"/>
    <n v="0.2100420931038201"/>
    <n v="0.51348212067124821"/>
  </r>
  <r>
    <x v="3"/>
    <x v="0"/>
    <n v="280469.84000000003"/>
    <n v="700579.10263476521"/>
    <n v="0.40034000292786082"/>
    <n v="70447.831999999995"/>
    <n v="24116.239999999998"/>
    <n v="128573.65344562527"/>
    <n v="0.18756750977912384"/>
    <n v="11245.432000000001"/>
    <n v="174031.872"/>
    <n v="659759.74148700002"/>
    <n v="0.2637806781113351"/>
    <n v="31464.928"/>
    <n v="67001.062390532563"/>
    <n v="0.46961834450622209"/>
    <n v="2553"/>
    <n v="76"/>
    <n v="2556"/>
    <n v="0.99882629107981225"/>
    <n v="390"/>
    <n v="10"/>
    <n v="497.83325643003087"/>
    <n v="0.78339483142748512"/>
    <n v="2329"/>
    <n v="8726"/>
    <n v="0.9122600861731297"/>
    <n v="3.4769027716673997"/>
    <n v="0.40500201694231547"/>
    <n v="0.79100000000000004"/>
    <n v="0.18205128205128204"/>
    <n v="0.62956190084943975"/>
    <n v="947.49743150684935"/>
    <n v="1605.4540251454307"/>
    <n v="71"/>
    <n v="126.3"/>
    <n v="0.5621536025336501"/>
    <n v="5.0016773090935086E-2"/>
    <n v="0.62729717155438636"/>
    <n v="0.11878635711188949"/>
    <n v="-1.9657065816446391E-2"/>
  </r>
  <r>
    <x v="4"/>
    <x v="0"/>
    <n v="113993.09600000001"/>
    <n v="276324.3573402628"/>
    <n v="0.41253365102241113"/>
    <n v="16284.136000000002"/>
    <n v="16101.848000000002"/>
    <n v="57202.719895067945"/>
    <n v="0.28148745425981597"/>
    <n v="3695.0320000000002"/>
    <n v="182274.08000000002"/>
    <n v="593328.41647199995"/>
    <n v="0.30720605138689122"/>
    <n v="7402.9840000000013"/>
    <n v="41708.497216829885"/>
    <n v="0.17749342445770996"/>
    <n v="947"/>
    <n v="76"/>
    <n v="994"/>
    <n v="0.95271629778672029"/>
    <n v="174"/>
    <n v="8"/>
    <n v="201.60798324078164"/>
    <n v="0.86306106138758776"/>
    <n v="2381"/>
    <n v="7847"/>
    <n v="2.5142555438225975"/>
    <n v="8.7117486338797807"/>
    <n v="0.46927966101694918"/>
    <n v="0.86799999999999999"/>
    <n v="0.27011494252873564"/>
    <n v="0.69203996179687921"/>
    <n v="425.32550666166259"/>
    <n v="522.17192484518671"/>
    <n v="53"/>
    <n v="184"/>
    <n v="0.28804347826086957"/>
    <n v="7.146250798350294E-2"/>
    <n v="0.46367127682415488"/>
    <n v="0.10368991240191036"/>
    <n v="0.19283376537329658"/>
  </r>
  <r>
    <x v="5"/>
    <x v="0"/>
    <n v="26127.167999999998"/>
    <n v="61411.660705362832"/>
    <n v="0.42544311129040058"/>
    <n v="2883.5840000000003"/>
    <n v="2500.7439999999997"/>
    <n v="13499.840660659143"/>
    <n v="0.18524248269741417"/>
    <n v="152.43200000000002"/>
    <n v="37658.320000000007"/>
    <n v="107076.44613600001"/>
    <n v="0.35169564697888267"/>
    <n v="1214.6640000000002"/>
    <n v="8189.4576375909892"/>
    <n v="0.14832044486370966"/>
    <n v="195"/>
    <n v="11"/>
    <n v="210"/>
    <n v="0.9285714285714286"/>
    <n v="46"/>
    <n v="3"/>
    <n v="55"/>
    <n v="0.83636363636363631"/>
    <n v="477"/>
    <n v="1416"/>
    <n v="2.4461538461538463"/>
    <n v="7.3294797687861273"/>
    <n v="0.48148148148148145"/>
    <n v="0.89900000000000002"/>
    <n v="0.21739130434782608"/>
    <n v="0.60586204681240885"/>
    <n v="80.871751266654158"/>
    <n v="113.81950178269844"/>
    <n v="10"/>
    <n v="32"/>
    <n v="0.3125"/>
    <n v="-9.1331786789427841E-2"/>
    <n v="4.7163019797290817E-2"/>
    <n v="0.40701972007801401"/>
    <n v="-0.30417905933356865"/>
  </r>
  <r>
    <x v="6"/>
    <x v="0"/>
    <n v="81492.112000000008"/>
    <n v="196277.91407011417"/>
    <n v="0.41518737544199441"/>
    <n v="20319.464"/>
    <n v="11070.392"/>
    <n v="61509.78032894768"/>
    <n v="0.17997775216878903"/>
    <n v="7135.7040000000006"/>
    <n v="98524.32"/>
    <n v="385987.83022799995"/>
    <n v="0.25525239990546456"/>
    <n v="12672.351999999999"/>
    <n v="28969.89860821778"/>
    <n v="0.4374317001028537"/>
    <n v="664"/>
    <n v="28"/>
    <n v="695"/>
    <n v="0.95539568345323744"/>
    <n v="211"/>
    <n v="9"/>
    <n v="230"/>
    <n v="0.91739130434782612"/>
    <n v="1306"/>
    <n v="5105"/>
    <n v="1.9668674698795181"/>
    <n v="7.7509025270758123"/>
    <n v="0.44916540212443096"/>
    <n v="0.82600000000000007"/>
    <n v="0.17061611374407584"/>
    <n v="0.65211728055098617"/>
    <n v="285.54717113905048"/>
    <n v="379.3983392756615"/>
    <n v="35"/>
    <n v="81"/>
    <n v="0.43209876543209874"/>
    <n v="7.5998769484830142E-2"/>
    <n v="0.65169893840391158"/>
    <n v="-0.13798223894308592"/>
    <n v="1.2841536555356923"/>
  </r>
  <r>
    <x v="7"/>
    <x v="1"/>
    <n v="243955.48800000001"/>
    <n v="509811.61885582929"/>
    <n v="0.47852084765645309"/>
    <n v="38132.104000000007"/>
    <n v="12341.743999999999"/>
    <n v="42203.269505829485"/>
    <n v="0.29243573174574183"/>
    <n v="955.87200000000007"/>
    <n v="157095.21600000001"/>
    <n v="561629.07801990001"/>
    <n v="0.27971346596558111"/>
    <n v="16772.384000000002"/>
    <n v="50113.978487170149"/>
    <n v="0.33468474278676474"/>
    <n v="1762"/>
    <n v="52"/>
    <n v="1782"/>
    <n v="0.98877665544332216"/>
    <n v="131"/>
    <n v="5"/>
    <n v="150"/>
    <n v="0.87333333333333329"/>
    <n v="2104"/>
    <n v="7428"/>
    <n v="1.1940976163450625"/>
    <n v="4.3314065510597306"/>
    <n v="0.47045324153757889"/>
    <n v="0.82400000000000007"/>
    <n v="0.25954198473282442"/>
    <n v="0.68714659287166457"/>
    <n v="476.24475745918556"/>
    <n v="1296.9432703133796"/>
    <n v="56"/>
    <n v="108.95"/>
    <n v="0.51399724644332256"/>
    <n v="5.5172879483153851E-2"/>
    <n v="-0.12291936323874637"/>
    <n v="-8.5597005147860724E-4"/>
    <n v="-0.37766332995184532"/>
  </r>
  <r>
    <x v="8"/>
    <x v="1"/>
    <n v="699548.81599999999"/>
    <n v="1227853.8636831325"/>
    <n v="0.56973295983415972"/>
    <n v="107484.21600000001"/>
    <n v="106447.856"/>
    <n v="203049.55956223415"/>
    <n v="0.52424568774981273"/>
    <n v="14547.712000000001"/>
    <n v="450916.94400000002"/>
    <n v="1420330.3126006138"/>
    <n v="0.31747329476787312"/>
    <n v="50696.416000000012"/>
    <n v="128305.51811306912"/>
    <n v="0.39512264745561326"/>
    <n v="5418"/>
    <n v="154"/>
    <n v="5744"/>
    <n v="0.94324512534818938"/>
    <n v="923"/>
    <n v="17"/>
    <n v="1052"/>
    <n v="0.87737642585551334"/>
    <n v="5894"/>
    <n v="18785"/>
    <n v="1.0878552971576227"/>
    <n v="3.6197213290460879"/>
    <n v="0.51107948770075218"/>
    <n v="0.72699999999999998"/>
    <n v="0.323943661971831"/>
    <n v="0.4713815598495622"/>
    <n v="2114.6465331206605"/>
    <n v="3297.7703016513419"/>
    <n v="153"/>
    <n v="482"/>
    <n v="0.31742738589211617"/>
    <n v="1.0217570280963172E-3"/>
    <n v="0.11922291929855547"/>
    <n v="0.14736610366670064"/>
    <n v="-0.33016674028747089"/>
  </r>
  <r>
    <x v="9"/>
    <x v="1"/>
    <n v="393609.39199999999"/>
    <n v="792661.65598756156"/>
    <n v="0.49656671169442379"/>
    <n v="61676.376000000004"/>
    <n v="39708.328000000001"/>
    <n v="123688.88243139177"/>
    <n v="0.32103392980388168"/>
    <n v="6519.12"/>
    <n v="238957.60000000003"/>
    <n v="910701.73260000022"/>
    <n v="0.26238843239903592"/>
    <n v="26235.552000000003"/>
    <n v="82217.352195852916"/>
    <n v="0.3190999381432687"/>
    <n v="2822"/>
    <n v="164"/>
    <n v="2906"/>
    <n v="0.97109428768066075"/>
    <n v="336"/>
    <n v="7"/>
    <n v="416"/>
    <n v="0.80769230769230771"/>
    <n v="3166"/>
    <n v="12045"/>
    <n v="1.1218993621545004"/>
    <n v="4.3711433756805809"/>
    <n v="0.51708930540242559"/>
    <n v="0.85699999999999998"/>
    <n v="0.35714285714285715"/>
    <n v="0.72487215406448979"/>
    <n v="1121.2219342278102"/>
    <n v="1701.3020266466503"/>
    <n v="137"/>
    <n v="337"/>
    <n v="0.40652818991097922"/>
    <n v="0.14391255730432334"/>
    <n v="-8.1529696898796397E-2"/>
    <n v="5.7467772929969525E-2"/>
    <n v="-9.7706044557904478E-2"/>
  </r>
  <r>
    <x v="10"/>
    <x v="1"/>
    <n v="168910.94400000002"/>
    <n v="423059.05526496918"/>
    <n v="0.39926091144464021"/>
    <n v="43300.28"/>
    <n v="20200.527999999998"/>
    <n v="80717.048407853639"/>
    <n v="0.25026346228530477"/>
    <n v="5524.7920000000004"/>
    <n v="107668.4"/>
    <n v="384359.22787680005"/>
    <n v="0.2801244049603287"/>
    <n v="20611.847999999998"/>
    <n v="39966.089919733029"/>
    <n v="0.51573341403665851"/>
    <n v="1418"/>
    <n v="68"/>
    <n v="1473"/>
    <n v="0.96266123557365924"/>
    <n v="244"/>
    <n v="5"/>
    <n v="309"/>
    <n v="0.78964401294498376"/>
    <n v="1359"/>
    <n v="5084"/>
    <n v="0.95839210155148091"/>
    <n v="3.5978618421052633"/>
    <n v="0.42389758179231862"/>
    <n v="0.81"/>
    <n v="0.23770491803278687"/>
    <n v="0.63794463990008277"/>
    <n v="583.07534246575347"/>
    <n v="834.6763464064552"/>
    <n v="56"/>
    <n v="122.2"/>
    <n v="0.45826513911620292"/>
    <n v="0.14633898303070494"/>
    <n v="0.23215516656710578"/>
    <n v="4.8049199764046618E-2"/>
    <n v="0.76028968303108169"/>
  </r>
  <r>
    <x v="11"/>
    <x v="1"/>
    <n v="288798.68"/>
    <n v="599742.61711316369"/>
    <n v="0.48153769927193185"/>
    <n v="56843.207999999999"/>
    <n v="29329.376000000004"/>
    <n v="142824.32725102155"/>
    <n v="0.2053528034369945"/>
    <n v="8589.4160000000011"/>
    <n v="224551.47200000001"/>
    <n v="775551.93210000009"/>
    <n v="0.28953763469065308"/>
    <n v="24756.072000000004"/>
    <n v="68315.349440888342"/>
    <n v="0.3623793510918194"/>
    <n v="2181"/>
    <n v="110"/>
    <n v="2143"/>
    <n v="1.0177321511899207"/>
    <n v="466"/>
    <n v="19"/>
    <n v="505"/>
    <n v="0.92277227722772281"/>
    <n v="3031"/>
    <n v="10258"/>
    <n v="1.3897294818890418"/>
    <n v="5.0427163198247538"/>
    <n v="0.47083333333333333"/>
    <n v="0.81699999999999995"/>
    <n v="0.18884120171673821"/>
    <n v="0.69022533609908765"/>
    <n v="738.82834490523555"/>
    <n v="1441.7136892475137"/>
    <n v="110"/>
    <n v="183"/>
    <n v="0.60109289617486339"/>
    <n v="3.2686346103900379E-2"/>
    <n v="-0.11025059632942273"/>
    <n v="9.6200799432937745E-2"/>
    <n v="-8.8182808428560688E-2"/>
  </r>
  <r>
    <x v="12"/>
    <x v="1"/>
    <n v="648099.57600000012"/>
    <n v="1339205.9448397537"/>
    <n v="0.48394317430957212"/>
    <n v="133308"/>
    <n v="79757.392000000022"/>
    <n v="203198.35368017503"/>
    <n v="0.39251003049726735"/>
    <n v="16284.056"/>
    <n v="420855.24800000002"/>
    <n v="1251392.64228"/>
    <n v="0.33630951132429093"/>
    <n v="61881.528000000006"/>
    <n v="125720.86233599678"/>
    <n v="0.49221367758851192"/>
    <n v="4474"/>
    <n v="75"/>
    <n v="4776"/>
    <n v="0.93676716917922953"/>
    <n v="617"/>
    <n v="43"/>
    <n v="706"/>
    <n v="0.87393767705382441"/>
    <n v="5529"/>
    <n v="16551"/>
    <n v="1.2358068842199375"/>
    <n v="3.5909528392685273"/>
    <n v="0.55602536997885832"/>
    <n v="0.85"/>
    <n v="0.39059967585089139"/>
    <n v="0.70225336772684666"/>
    <n v="1422.7437722837306"/>
    <n v="3041.1772142991181"/>
    <n v="158"/>
    <n v="357"/>
    <n v="0.44257703081232491"/>
    <n v="0.14762874969959114"/>
    <n v="0.39769860548048486"/>
    <n v="9.1782942197059472E-2"/>
    <n v="0.39071314224729375"/>
  </r>
  <r>
    <x v="13"/>
    <x v="1"/>
    <n v="148691.54400000002"/>
    <n v="306550.54466266575"/>
    <n v="0.48504739785611251"/>
    <n v="16559.36"/>
    <n v="21149.52"/>
    <n v="67077.713027582504"/>
    <n v="0.31529876385772532"/>
    <n v="1501.6000000000001"/>
    <n v="100649.072"/>
    <n v="414390.08061000006"/>
    <n v="0.2428848486234039"/>
    <n v="18560.545999999998"/>
    <n v="35460.825223511165"/>
    <n v="0.52340987224668489"/>
    <n v="1075"/>
    <n v="81"/>
    <n v="1071"/>
    <n v="1.003734827264239"/>
    <n v="200"/>
    <n v="6"/>
    <n v="228"/>
    <n v="0.8771929824561403"/>
    <n v="1441"/>
    <n v="5481"/>
    <n v="1.3404651162790697"/>
    <n v="5.5415676959619953"/>
    <n v="0.50523311132255"/>
    <n v="0.875"/>
    <n v="0.35"/>
    <n v="0.71718025599458235"/>
    <n v="402.36192296866204"/>
    <n v="675.92809392006006"/>
    <n v="43"/>
    <n v="149"/>
    <n v="0.28859060402684567"/>
    <n v="1.731498179788744E-2"/>
    <n v="-9.3324153610913216E-2"/>
    <n v="0.10634538291049182"/>
    <n v="4.6244330097512144E-2"/>
  </r>
  <r>
    <x v="14"/>
    <x v="1"/>
    <n v="293633.62400000001"/>
    <n v="691202.17533197242"/>
    <n v="0.42481582737926549"/>
    <n v="61394.414000000004"/>
    <n v="21537.968000000001"/>
    <n v="94001.068632183975"/>
    <n v="0.22912471436123499"/>
    <n v="7149.5760000000009"/>
    <n v="185873.74400000001"/>
    <n v="685872.95119199995"/>
    <n v="0.27100317001416113"/>
    <n v="28134.762000000002"/>
    <n v="66198.428782027026"/>
    <n v="0.42500649211237224"/>
    <n v="2311"/>
    <n v="90"/>
    <n v="2431"/>
    <n v="0.9506375976964212"/>
    <n v="298"/>
    <n v="5"/>
    <n v="315"/>
    <n v="0.946031746031746"/>
    <n v="2502"/>
    <n v="9071"/>
    <n v="1.0826482042405885"/>
    <n v="3.8547486033519553"/>
    <n v="0.4607329842931937"/>
    <n v="0.83399999999999996"/>
    <n v="0.21812080536912751"/>
    <n v="0.72827039974433805"/>
    <n v="602.04525942953649"/>
    <n v="1706.2941100581722"/>
    <n v="93"/>
    <n v="210"/>
    <n v="0.44285714285714284"/>
    <n v="-1.3241799569627375E-2"/>
    <n v="0.23238699903840682"/>
    <n v="2.7736687077595263E-2"/>
    <n v="-0.32528145605949149"/>
  </r>
  <r>
    <x v="15"/>
    <x v="1"/>
    <n v="170012.89600000004"/>
    <n v="386427.15226237202"/>
    <n v="0.4399610508853854"/>
    <n v="41925.928000000007"/>
    <n v="19886.888000000003"/>
    <n v="57583.313459937141"/>
    <n v="0.34535852150703439"/>
    <n v="2669.52"/>
    <n v="157189.45600000001"/>
    <n v="519542.29602000007"/>
    <n v="0.3025537231601042"/>
    <n v="16596.432000000001"/>
    <n v="43359.874278403906"/>
    <n v="0.38276015039707173"/>
    <n v="1262"/>
    <n v="52"/>
    <n v="1342"/>
    <n v="0.94038748137108796"/>
    <n v="154"/>
    <n v="6"/>
    <n v="195"/>
    <n v="0.78974358974358971"/>
    <n v="2123"/>
    <n v="6872"/>
    <n v="1.6822503961965134"/>
    <n v="5.4"/>
    <n v="0.48953301127214172"/>
    <n v="0.84699999999999998"/>
    <n v="0.37662337662337664"/>
    <n v="0.72023398267347871"/>
    <n v="488.22575764683808"/>
    <n v="774.77134546819286"/>
    <n v="62"/>
    <n v="139"/>
    <n v="0.4460431654676259"/>
    <n v="0.14571971734460945"/>
    <n v="2.5750435922407604E-2"/>
    <n v="-4.5701946655774608E-2"/>
    <n v="-5.38851835526701E-2"/>
  </r>
  <r>
    <x v="16"/>
    <x v="2"/>
    <n v="796306.70400000014"/>
    <n v="1544907.3915867512"/>
    <n v="0.51543976573387063"/>
    <n v="124401.07200000001"/>
    <n v="72703.040000000008"/>
    <n v="239875.31672358169"/>
    <n v="0.30308679105895148"/>
    <n v="22435.864000000001"/>
    <n v="351396.68800000008"/>
    <n v="1324509.6294539999"/>
    <n v="0.26530323388049332"/>
    <n v="55057.412000000011"/>
    <n v="139918.155199395"/>
    <n v="0.39349726932533252"/>
    <n v="5440"/>
    <n v="195"/>
    <n v="5501"/>
    <n v="0.98891110707144159"/>
    <n v="716"/>
    <n v="11"/>
    <n v="875"/>
    <n v="0.81828571428571428"/>
    <n v="4864"/>
    <n v="17518"/>
    <n v="0.89411764705882357"/>
    <n v="3.3358066567733728"/>
    <n v="0.51001926782273599"/>
    <n v="0.85099999999999998"/>
    <n v="0.29748603351955305"/>
    <n v="0.66900606199546786"/>
    <n v="2000.8270313379621"/>
    <n v="3456.5185541377368"/>
    <n v="156"/>
    <n v="385"/>
    <n v="0.40519480519480522"/>
    <n v="-1.4416345522042349E-2"/>
    <n v="0.2680380490435425"/>
    <n v="2.5315936839476479E-2"/>
    <n v="-0.30743571264793529"/>
  </r>
  <r>
    <x v="17"/>
    <x v="2"/>
    <n v="534076.53600000008"/>
    <n v="1108317.096401409"/>
    <n v="0.481880625801128"/>
    <n v="98818.312000000005"/>
    <n v="64425.472000000002"/>
    <n v="176536.80288894381"/>
    <n v="0.36494074292559231"/>
    <n v="12989.720000000001"/>
    <n v="657431.152"/>
    <n v="2162708.7232701755"/>
    <n v="0.3039850650835289"/>
    <n v="72784.744000000006"/>
    <n v="120664.69178961852"/>
    <n v="0.6031983583640339"/>
    <n v="3954"/>
    <n v="127"/>
    <n v="4158"/>
    <n v="0.95093795093795097"/>
    <n v="728"/>
    <n v="33"/>
    <n v="702"/>
    <n v="1.037037037037037"/>
    <n v="8699"/>
    <n v="28604"/>
    <n v="2.2000505816894282"/>
    <n v="7.6764072593048294"/>
    <n v="0.48092395535946014"/>
    <n v="0.80499999999999994"/>
    <n v="0.25961538461538464"/>
    <n v="0.61396450470977937"/>
    <n v="1278.9717700319009"/>
    <n v="2680.7487919872397"/>
    <n v="120"/>
    <n v="461.9"/>
    <n v="0.25979649274734795"/>
    <n v="0.11414780659673113"/>
    <n v="0.11124407696820697"/>
    <n v="0.12064784626599206"/>
    <n v="0.92974550972344872"/>
  </r>
  <r>
    <x v="18"/>
    <x v="2"/>
    <n v="373195.21600000001"/>
    <n v="850068.70047072589"/>
    <n v="0.43901771209002638"/>
    <n v="60863.672000000006"/>
    <n v="59265.328000000001"/>
    <n v="210090.53830561569"/>
    <n v="0.28209422698411851"/>
    <n v="9390.8320000000003"/>
    <n v="546003.47200000007"/>
    <n v="1817471.83464"/>
    <n v="0.30041922058624415"/>
    <n v="33873.360000000001"/>
    <n v="129493.39830373538"/>
    <n v="0.26158368259475112"/>
    <n v="2803"/>
    <n v="101"/>
    <n v="2974"/>
    <n v="0.94250168123739075"/>
    <n v="663"/>
    <n v="22"/>
    <n v="757"/>
    <n v="0.87582562747688242"/>
    <n v="7269"/>
    <n v="24038"/>
    <n v="2.5932929004637888"/>
    <n v="8.5159467097295121"/>
    <n v="0.46813107670147641"/>
    <n v="0.84"/>
    <n v="0.26395173453996984"/>
    <n v="0.67706597741946484"/>
    <n v="1115.2314341339838"/>
    <n v="1687.3241930943891"/>
    <n v="100"/>
    <n v="292"/>
    <n v="0.34246575342465752"/>
    <n v="-5.972893938547514E-3"/>
    <n v="7.3655712868450532E-2"/>
    <n v="0.14419936939508277"/>
    <n v="-0.33522565564839057"/>
  </r>
  <r>
    <x v="19"/>
    <x v="2"/>
    <n v="368076.12800000003"/>
    <n v="807120.33194208215"/>
    <n v="0.45603624816926636"/>
    <n v="60100.625999999997"/>
    <n v="42181.792000000001"/>
    <n v="168218.29165184795"/>
    <n v="0.25075627380226467"/>
    <n v="4750.808"/>
    <n v="649259.3600000001"/>
    <n v="1974113.2887300001"/>
    <n v="0.32888657591565373"/>
    <n v="27619.556000000008"/>
    <n v="132725.33605457685"/>
    <n v="0.20809558160502833"/>
    <n v="2633"/>
    <n v="74"/>
    <n v="2799"/>
    <n v="0.94069310468024292"/>
    <n v="492"/>
    <n v="10"/>
    <n v="635"/>
    <n v="0.77480314960629926"/>
    <n v="8469"/>
    <n v="26110"/>
    <n v="3.2164830991264717"/>
    <n v="10.02214188883868"/>
    <n v="0.52208989627353053"/>
    <n v="0.86799999999999999"/>
    <n v="0.26016260162601629"/>
    <n v="0.64609660523347268"/>
    <n v="908.55918089697877"/>
    <n v="1731.2545271157817"/>
    <n v="73"/>
    <n v="375.95"/>
    <n v="0.1941747572815534"/>
    <n v="8.1176999546194117E-2"/>
    <n v="-2.489838977736241E-2"/>
    <n v="0.23873223051115858"/>
    <n v="0.1075114139266546"/>
  </r>
  <r>
    <x v="20"/>
    <x v="3"/>
    <n v="583863.72"/>
    <n v="1016106.4670154504"/>
    <n v="0.574608802279301"/>
    <n v="86065.864000000001"/>
    <n v="64451.424000000006"/>
    <n v="148974.35143416843"/>
    <n v="0.43263436544297362"/>
    <n v="12791.136"/>
    <n v="328060.864"/>
    <n v="1157768.4213216"/>
    <n v="0.28335620315634147"/>
    <n v="42172.19200000001"/>
    <n v="104528.21578970483"/>
    <n v="0.40345271065225263"/>
    <n v="3022"/>
    <n v="74"/>
    <n v="3352"/>
    <n v="0.90155131264916466"/>
    <n v="438"/>
    <n v="21"/>
    <n v="510"/>
    <n v="0.85882352941176465"/>
    <n v="4272"/>
    <n v="15313"/>
    <n v="1.413633355393779"/>
    <n v="4.8289760348583881"/>
    <n v="0.68253436138115986"/>
    <n v="0.88200000000000001"/>
    <n v="0.4223744292237443"/>
    <n v="0.71276158006070878"/>
    <n v="846.65734659410771"/>
    <n v="2178.5452007881404"/>
    <n v="141"/>
    <n v="324.3"/>
    <n v="0.43478260869565216"/>
    <n v="0.21194439940884208"/>
    <n v="0.61282843481816629"/>
    <n v="5.9530921582128686E-2"/>
    <n v="0.25913766361818147"/>
  </r>
  <r>
    <x v="21"/>
    <x v="3"/>
    <n v="2007039.7119999998"/>
    <n v="3848081.179841321"/>
    <n v="0.52156896338729575"/>
    <n v="369531.72800000006"/>
    <n v="232550.92"/>
    <n v="607808.97105975857"/>
    <n v="0.38260527743532774"/>
    <n v="69245.464000000007"/>
    <n v="1235770.56"/>
    <n v="3589374.5589240002"/>
    <n v="0.34428576335885419"/>
    <n v="173052.758"/>
    <n v="362036.91194212856"/>
    <n v="0.47799755298891294"/>
    <n v="13199"/>
    <n v="278"/>
    <n v="14096"/>
    <n v="0.93636492622020429"/>
    <n v="1942"/>
    <n v="62"/>
    <n v="2237"/>
    <n v="0.86812695574430043"/>
    <n v="16332"/>
    <n v="47473"/>
    <n v="1.2373664671566027"/>
    <n v="4.3095318860244234"/>
    <n v="0.52552294723696535"/>
    <n v="0.80400000000000005"/>
    <n v="0.33625128733264675"/>
    <n v="0.66316339441761918"/>
    <n v="4149.4197316569716"/>
    <n v="9062.6282252767869"/>
    <n v="327"/>
    <n v="1063.5999999999999"/>
    <n v="0.30744640842421966"/>
    <n v="5.2041902414431004E-2"/>
    <n v="0.30327093746040845"/>
    <n v="9.9266503667481631E-2"/>
    <n v="-7.8324439816333746E-2"/>
  </r>
  <r>
    <x v="22"/>
    <x v="3"/>
    <n v="2530541.3199999998"/>
    <n v="4784373.2206191225"/>
    <n v="0.52891804282621058"/>
    <n v="322863.57800000004"/>
    <n v="363129.60800000007"/>
    <n v="1031647.8224520484"/>
    <n v="0.35198989431965627"/>
    <n v="56500.298000000003"/>
    <n v="1418394.9920000001"/>
    <n v="4384074.2879340006"/>
    <n v="0.32353352129633284"/>
    <n v="191373.63200000001"/>
    <n v="459004.28989523271"/>
    <n v="0.41693212070780616"/>
    <n v="19437"/>
    <n v="80"/>
    <n v="20377"/>
    <n v="0.95386955881631252"/>
    <n v="3143"/>
    <n v="65"/>
    <n v="3685"/>
    <n v="0.85291723202170966"/>
    <n v="18687"/>
    <n v="57984"/>
    <n v="0.96141379842568297"/>
    <n v="2.8998815165876777"/>
    <n v="0.50576220903696945"/>
    <n v="0.8"/>
    <n v="0.32771237671014952"/>
    <n v="0.68315040336563515"/>
    <n v="8196.002545036592"/>
    <n v="11232.187675924188"/>
    <n v="221"/>
    <n v="765"/>
    <n v="0.28888888888888886"/>
    <n v="-1.5058521905769453E-2"/>
    <n v="8.9660635319791029E-3"/>
    <n v="0.19260099122779351"/>
    <n v="-0.20377217350685398"/>
  </r>
  <r>
    <x v="23"/>
    <x v="3"/>
    <n v="8507058.2400000002"/>
    <n v="13341925.435892532"/>
    <n v="0.63761848174584002"/>
    <n v="1153900.5959999999"/>
    <n v="1036639.0640000001"/>
    <n v="1709049.1311078393"/>
    <n v="0.6065589602611543"/>
    <n v="154376.66999999998"/>
    <n v="7776187.7280000001"/>
    <n v="23669126.785432562"/>
    <n v="0.32853716144635908"/>
    <n v="537858.19039999996"/>
    <n v="1598450.9713600003"/>
    <n v="0.33648713663227175"/>
    <n v="54551"/>
    <n v="975"/>
    <n v="55941"/>
    <n v="0.9751523926994512"/>
    <n v="7323"/>
    <n v="210"/>
    <n v="8633"/>
    <n v="0.84825668944746901"/>
    <n v="103656"/>
    <n v="313049"/>
    <n v="1.9001668163736687"/>
    <n v="5.9656631987024804"/>
    <n v="0.54228269545057195"/>
    <n v="0.74"/>
    <n v="0.40147480540761982"/>
    <n v="0.48331946780904805"/>
    <n v="20819.983076093074"/>
    <n v="33711.539278007134"/>
    <n v="1030"/>
    <n v="3933"/>
    <n v="0.26188660055936946"/>
    <n v="-4.8679036056802974E-2"/>
    <n v="-8.5359911023880387E-3"/>
    <n v="5.1801498996501605E-2"/>
    <n v="-0.31159797010080198"/>
  </r>
  <r>
    <x v="24"/>
    <x v="4"/>
    <n v="1786485.4080000001"/>
    <n v="3259270.0843493436"/>
    <n v="0.54812438422286835"/>
    <n v="215979.24000000002"/>
    <n v="302427.26400000008"/>
    <n v="860080.09900579508"/>
    <n v="0.35162685934669252"/>
    <n v="62118"/>
    <n v="1827771.2319999998"/>
    <n v="5665056.3482713932"/>
    <n v="0.32263955018871376"/>
    <n v="104281.56000000001"/>
    <n v="440298.29392319388"/>
    <n v="0.23684297995074904"/>
    <n v="11189"/>
    <n v="507"/>
    <n v="11358"/>
    <n v="0.98512061982743437"/>
    <n v="2690"/>
    <n v="118"/>
    <n v="2940"/>
    <n v="0.91496598639455784"/>
    <n v="24832"/>
    <n v="74926"/>
    <n v="2.219322548931987"/>
    <n v="8.4545748813120412"/>
    <n v="0.55607136355361364"/>
    <n v="0.86099999999999999"/>
    <n v="0.33940520446096656"/>
    <n v="0.71376906783266447"/>
    <n v="3876.8519773878775"/>
    <n v="7319.3926979733533"/>
    <n v="511"/>
    <n v="1001.25"/>
    <n v="0.51036204744069913"/>
    <n v="0.10349731922897859"/>
    <n v="0.26391697629770022"/>
    <n v="8.6846730792306912E-2"/>
    <n v="-0.19813677702650423"/>
  </r>
  <r>
    <x v="25"/>
    <x v="4"/>
    <n v="2434621.4160000002"/>
    <n v="4463773.5082184961"/>
    <n v="0.54541777523377621"/>
    <n v="370682.07"/>
    <n v="319506.61600000004"/>
    <n v="928114.04013799131"/>
    <n v="0.3442536177477673"/>
    <n v="83099.662000000011"/>
    <n v="2349225.9440000001"/>
    <n v="8295112.9328760002"/>
    <n v="0.2832060229932879"/>
    <n v="171792.91"/>
    <n v="615915.02165546198"/>
    <n v="0.27892307211188561"/>
    <n v="15067"/>
    <n v="274"/>
    <n v="15513"/>
    <n v="0.97124991942241989"/>
    <n v="2775"/>
    <n v="81"/>
    <n v="3243"/>
    <n v="0.85568917668825162"/>
    <n v="31173"/>
    <n v="109712"/>
    <n v="2.0689586513572706"/>
    <n v="7.3399518213008248"/>
    <n v="0.56211882409374359"/>
    <n v="0.86399999999999999"/>
    <n v="0.33117117117117117"/>
    <n v="0.69821825477224209"/>
    <n v="5249.6749155563894"/>
    <n v="9794.4676534058926"/>
    <n v="319"/>
    <n v="968"/>
    <n v="0.32954545454545453"/>
    <n v="1.440131238582552E-2"/>
    <n v="0.15240109385602962"/>
    <n v="4.7805964392510419E-2"/>
    <n v="-0.1345138561183461"/>
  </r>
  <r>
    <x v="26"/>
    <x v="4"/>
    <n v="1550006.76"/>
    <n v="2850579.0588817415"/>
    <n v="0.54375154239996937"/>
    <n v="163490.72"/>
    <n v="193981.09600000002"/>
    <n v="602521.68427794962"/>
    <n v="0.32194873821423248"/>
    <n v="33841.392000000007"/>
    <n v="1326162.56"/>
    <n v="4482898.0903080003"/>
    <n v="0.29582705947903565"/>
    <n v="68355.72"/>
    <n v="357119.94750604616"/>
    <n v="0.19140829426461181"/>
    <n v="8869"/>
    <n v="287"/>
    <n v="9428"/>
    <n v="0.94070852778956304"/>
    <n v="1797"/>
    <n v="54"/>
    <n v="2073"/>
    <n v="0.86685962373371928"/>
    <n v="17724"/>
    <n v="59291"/>
    <n v="1.9984214680347276"/>
    <n v="6.6105794790005312"/>
    <n v="0.59634703196347028"/>
    <n v="0.88300000000000001"/>
    <n v="0.31942125765164164"/>
    <n v="0.70918025882820168"/>
    <n v="2978.2769633139424"/>
    <n v="5893.6536756427095"/>
    <n v="251"/>
    <n v="889"/>
    <n v="0.2823397075365579"/>
    <n v="7.8366487463437273E-2"/>
    <n v="9.7369936156907214E-2"/>
    <n v="0.17102534688194651"/>
    <n v="-4.7261838038977967E-2"/>
  </r>
</pivotCacheRecords>
</file>

<file path=xl/pivotTables/_rels/pivotTable1.xml.rels><?xml version="1.0" encoding="UTF-8" standalone="yes"?>
<Relationships xmlns="http://schemas.openxmlformats.org/package/2006/relationships"><Relationship Id="rId1" Type="http://purl.oclc.org/ooxml/officeDocument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purl.oclc.org/ooxml/officeDocument/relationships/pivotCacheDefinition" Target="../pivotCache/pivotCacheDefinition1.xml"/></Relationships>
</file>

<file path=xl/pivotTables/pivotTable1.xml><?xml version="1.0" encoding="utf-8"?>
<pivotTableDefinition xmlns="http://purl.oclc.org/ooxml/spreadsheetml/main" xmlns:mc="http://schemas.openxmlformats.org/markup-compatibility/2006" xmlns:xr="http://schemas.microsoft.com/office/spreadsheetml/2014/revision" mc:Ignorable="xr" xr:uid="{00000000-0007-0000-14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rowGrandTotals="0" colGrandTotals="0" itemPrintTitles="1" createdVersion="5" indent="0" compact="0" compactData="0" multipleFieldFilters="0">
  <location ref="AR3:CF30" firstHeaderRow="0" firstDataRow="1" firstDataCol="2"/>
  <pivotFields count="41">
    <pivotField axis="axisRow" compact="0" outline="0" showAll="0" defaultSubtotal="0">
      <items count="27">
        <item x="0"/>
        <item x="7"/>
        <item x="1"/>
        <item x="2"/>
        <item x="8"/>
        <item x="9"/>
        <item x="16"/>
        <item x="20"/>
        <item x="17"/>
        <item x="10"/>
        <item x="21"/>
        <item x="18"/>
        <item x="19"/>
        <item x="3"/>
        <item x="11"/>
        <item x="12"/>
        <item x="13"/>
        <item x="24"/>
        <item x="22"/>
        <item x="14"/>
        <item x="4"/>
        <item x="5"/>
        <item x="25"/>
        <item x="26"/>
        <item x="15"/>
        <item x="23"/>
        <item x="6"/>
      </items>
    </pivotField>
    <pivotField axis="axisRow" compact="0" outline="0" showAll="0" defaultSubtotal="0">
      <items count="5">
        <item x="2"/>
        <item x="1"/>
        <item x="0"/>
        <item x="3"/>
        <item x="4"/>
      </items>
    </pivotField>
    <pivotField dataField="1" compact="0" numFmtId="171" outline="0" showAll="0" defaultSubtotal="0"/>
    <pivotField dataField="1" compact="0" numFmtId="171" outline="0" showAll="0" defaultSubtotal="0"/>
    <pivotField dataField="1" compact="0" numFmtId="165" outline="0" showAll="0" defaultSubtotal="0"/>
    <pivotField dataField="1" compact="0" numFmtId="171" outline="0" showAll="0" defaultSubtotal="0"/>
    <pivotField dataField="1" compact="0" numFmtId="171" outline="0" showAll="0" defaultSubtotal="0"/>
    <pivotField dataField="1" compact="0" numFmtId="171" outline="0" showAll="0" defaultSubtotal="0"/>
    <pivotField dataField="1" compact="0" numFmtId="165" outline="0" showAll="0" defaultSubtotal="0"/>
    <pivotField dataField="1" compact="0" numFmtId="171" outline="0" showAll="0" defaultSubtotal="0"/>
    <pivotField dataField="1" compact="0" numFmtId="171" outline="0" showAll="0" defaultSubtotal="0"/>
    <pivotField dataField="1" compact="0" numFmtId="171" outline="0" showAll="0" defaultSubtotal="0"/>
    <pivotField dataField="1" compact="0" numFmtId="165" outline="0" showAll="0" defaultSubtotal="0"/>
    <pivotField dataField="1" compact="0" numFmtId="171" outline="0" showAll="0" defaultSubtotal="0"/>
    <pivotField dataField="1" compact="0" numFmtId="171" outline="0" showAll="0" defaultSubtotal="0"/>
    <pivotField dataField="1" compact="0" numFmtId="165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5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5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5" outline="0" showAll="0" defaultSubtotal="0"/>
    <pivotField dataField="1" compact="0" numFmtId="165" outline="0" showAll="0" defaultSubtotal="0"/>
    <pivotField dataField="1" compact="0" numFmtId="165" outline="0" showAll="0" defaultSubtotal="0"/>
    <pivotField dataField="1" compact="0" numFmtId="166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5" outline="0" showAll="0" defaultSubtotal="0"/>
    <pivotField dataField="1" compact="0" numFmtId="165" outline="0" showAll="0" defaultSubtotal="0"/>
    <pivotField dataField="1" compact="0" numFmtId="165" outline="0" showAll="0" defaultSubtotal="0"/>
    <pivotField dataField="1" compact="0" numFmtId="165" outline="0" showAll="0" defaultSubtotal="0"/>
    <pivotField dataField="1" compact="0" numFmtId="165" outline="0" showAll="0" defaultSubtotal="0"/>
  </pivotFields>
  <rowFields count="2">
    <field x="0"/>
    <field x="1"/>
  </rowFields>
  <rowItems count="27">
    <i>
      <x/>
      <x v="2"/>
    </i>
    <i>
      <x v="1"/>
      <x v="1"/>
    </i>
    <i>
      <x v="2"/>
      <x v="2"/>
    </i>
    <i>
      <x v="3"/>
      <x v="2"/>
    </i>
    <i>
      <x v="4"/>
      <x v="1"/>
    </i>
    <i>
      <x v="5"/>
      <x v="1"/>
    </i>
    <i>
      <x v="6"/>
      <x/>
    </i>
    <i>
      <x v="7"/>
      <x v="3"/>
    </i>
    <i>
      <x v="8"/>
      <x/>
    </i>
    <i>
      <x v="9"/>
      <x v="1"/>
    </i>
    <i>
      <x v="10"/>
      <x v="3"/>
    </i>
    <i>
      <x v="11"/>
      <x/>
    </i>
    <i>
      <x v="12"/>
      <x/>
    </i>
    <i>
      <x v="13"/>
      <x v="2"/>
    </i>
    <i>
      <x v="14"/>
      <x v="1"/>
    </i>
    <i>
      <x v="15"/>
      <x v="1"/>
    </i>
    <i>
      <x v="16"/>
      <x v="1"/>
    </i>
    <i>
      <x v="17"/>
      <x v="4"/>
    </i>
    <i>
      <x v="18"/>
      <x v="3"/>
    </i>
    <i>
      <x v="19"/>
      <x v="1"/>
    </i>
    <i>
      <x v="20"/>
      <x v="2"/>
    </i>
    <i>
      <x v="21"/>
      <x v="2"/>
    </i>
    <i>
      <x v="22"/>
      <x v="4"/>
    </i>
    <i>
      <x v="23"/>
      <x v="4"/>
    </i>
    <i>
      <x v="24"/>
      <x v="1"/>
    </i>
    <i>
      <x v="25"/>
      <x v="3"/>
    </i>
    <i>
      <x v="26"/>
      <x v="2"/>
    </i>
  </rowItems>
  <colFields count="1">
    <field x="-2"/>
  </colFields>
  <col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colItems>
  <dataFields count="39">
    <dataField name="Soma de Anuidade PF - Exerc." fld="2" baseField="0" baseItem="0" numFmtId="1"/>
    <dataField name="Soma de Previsto" fld="3" baseField="0" baseItem="0" numFmtId="1"/>
    <dataField name="Soma de Exec. %" fld="4" baseField="0" baseItem="0" numFmtId="165"/>
    <dataField name="Soma de Anuidade PF - Ex. Ant." fld="5" baseField="0" baseItem="0" numFmtId="1"/>
    <dataField name="Soma de Anuidade PJ - Exerc." fld="6" baseField="0" baseItem="0" numFmtId="1"/>
    <dataField name="Soma de Previsto2" fld="7" baseField="0" baseItem="0" numFmtId="1"/>
    <dataField name="Soma de Exec. %2" fld="8" baseField="0" baseItem="0"/>
    <dataField name="Soma de Anuidade PJ - Ex. Ant." fld="9" baseField="0" baseItem="0" numFmtId="1"/>
    <dataField name="Soma de RRT" fld="10" baseField="0" baseItem="0" numFmtId="1"/>
    <dataField name="Soma de Previsto3" fld="11" baseField="0" baseItem="0" numFmtId="1"/>
    <dataField name="Soma de Exec. %3" fld="12" baseField="0" baseItem="0"/>
    <dataField name="Soma de Taxas" fld="13" baseField="0" baseItem="0" numFmtId="1"/>
    <dataField name="Soma de Previsto4" fld="14" baseField="0" baseItem="0" numFmtId="1"/>
    <dataField name="Soma de Exec. %4" fld="15" baseField="0" baseItem="0"/>
    <dataField name="Soma de PF Ativos" fld="16" baseField="0" baseItem="0"/>
    <dataField name="Soma de PF - Jan. a Abr." fld="17" baseField="0" baseItem="0"/>
    <dataField name="Soma de Previsto PF" fld="18" baseField="0" baseItem="0"/>
    <dataField name="Soma de % de exec. - PF" fld="19" baseField="0" baseItem="0"/>
    <dataField name="Soma de PJ Ativos" fld="20" baseField="0" baseItem="0"/>
    <dataField name="Soma de PJ - Jan. a Abr." fld="21" baseField="0" baseItem="0"/>
    <dataField name="Soma de Previsto PJ" fld="22" baseField="0" baseItem="0"/>
    <dataField name="Soma de % de exec. - PJ" fld="23" baseField="0" baseItem="0"/>
    <dataField name="Soma de RRT Pagos" fld="24" baseField="0" baseItem="0"/>
    <dataField name="Soma de Previsto - RRT" fld="25" baseField="0" baseItem="0"/>
    <dataField name="Soma de Méd/Prof_x000a_Executado" fld="26" baseField="0" baseItem="0" numFmtId="172"/>
    <dataField name="Soma de Méd/Prof_x000a_Previsto" fld="27" baseField="0" baseItem="0" numFmtId="172"/>
    <dataField name="Soma de Adimp. PF %" fld="28" baseField="0" baseItem="0" numFmtId="165"/>
    <dataField name="Soma de Previsto PF2" fld="29" baseField="0" baseItem="0" numFmtId="165"/>
    <dataField name="Soma de Adimp. PJ %" fld="30" baseField="0" baseItem="0" numFmtId="165"/>
    <dataField name="Soma de Previsto PJ2" fld="31" baseField="0" baseItem="0" numFmtId="165"/>
    <dataField name="Soma de Masculino" fld="32" baseField="0" baseItem="0" numFmtId="1"/>
    <dataField name="Soma de Feminino" fld="33" baseField="0" baseItem="0" numFmtId="1"/>
    <dataField name="Soma de Entrantes" fld="34" baseField="0" baseItem="0" numFmtId="1"/>
    <dataField name="Soma de Previsto - Entrantes" fld="35" baseField="0" baseItem="0" numFmtId="1"/>
    <dataField name="Soma de % de exec. - Entrantes" fld="36" baseField="0" baseItem="0" numFmtId="165"/>
    <dataField name="Soma de PF" fld="37" baseField="0" baseItem="0" numFmtId="165"/>
    <dataField name="Soma de PJ" fld="38" baseField="0" baseItem="0" numFmtId="165"/>
    <dataField name="Soma de RRT2" fld="39" baseField="0" baseItem="0" numFmtId="165"/>
    <dataField name="Soma de Taxas2" fld="40" baseField="0" baseItem="0" numFmtId="165"/>
  </dataFields>
  <formats count="20">
    <format dxfId="29">
      <pivotArea dataOnly="0" labelOnly="1" outline="0" fieldPosition="0">
        <references count="1">
          <reference field="4294967294" count="3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2"/>
            <x v="24"/>
            <x v="25"/>
            <x v="27"/>
            <x v="29"/>
            <x v="30"/>
            <x v="31"/>
            <x v="32"/>
            <x v="33"/>
            <x v="34"/>
          </reference>
        </references>
      </pivotArea>
    </format>
    <format dxfId="28">
      <pivotArea dataOnly="0" labelOnly="1" outline="0" fieldPosition="0">
        <references count="1">
          <reference field="4294967294" count="3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2"/>
            <x v="24"/>
            <x v="25"/>
            <x v="27"/>
            <x v="29"/>
            <x v="30"/>
            <x v="31"/>
            <x v="32"/>
            <x v="33"/>
            <x v="34"/>
          </reference>
        </references>
      </pivotArea>
    </format>
    <format dxfId="27">
      <pivotArea dataOnly="0" labelOnly="1" outline="0" fieldPosition="0">
        <references count="1">
          <reference field="4294967294" count="3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2"/>
            <x v="24"/>
            <x v="25"/>
            <x v="27"/>
            <x v="29"/>
            <x v="30"/>
            <x v="31"/>
            <x v="32"/>
            <x v="33"/>
            <x v="34"/>
          </reference>
        </references>
      </pivotArea>
    </format>
    <format dxfId="26">
      <pivotArea field="1" type="button" dataOnly="0" labelOnly="1" outline="0" axis="axisRow" fieldPosition="1"/>
    </format>
    <format dxfId="25">
      <pivotArea dataOnly="0" labelOnly="1" outline="0" fieldPosition="0">
        <references count="1">
          <reference field="4294967294" count="3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2"/>
            <x v="24"/>
            <x v="25"/>
            <x v="27"/>
            <x v="29"/>
            <x v="30"/>
            <x v="31"/>
            <x v="32"/>
            <x v="33"/>
            <x v="34"/>
          </reference>
        </references>
      </pivotArea>
    </format>
    <format dxfId="24">
      <pivotArea dataOnly="0" labelOnly="1" outline="0" fieldPosition="0">
        <references count="1">
          <reference field="4294967294" count="3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2"/>
            <x v="24"/>
            <x v="25"/>
            <x v="27"/>
            <x v="29"/>
            <x v="30"/>
            <x v="31"/>
            <x v="32"/>
            <x v="33"/>
            <x v="34"/>
          </reference>
        </references>
      </pivotArea>
    </format>
    <format dxfId="23">
      <pivotArea outline="0" collapsedLevelsAreSubtotals="1" fieldPosition="0"/>
    </format>
    <format dxfId="22">
      <pivotArea outline="0" collapsedLevelsAreSubtotals="1" fieldPosition="0">
        <references count="1">
          <reference field="4294967294" count="3" selected="0">
            <x v="7"/>
            <x v="8"/>
            <x v="9"/>
          </reference>
        </references>
      </pivotArea>
    </format>
    <format dxfId="21">
      <pivotArea outline="0" collapsedLevelsAreSubtotals="1" fieldPosition="0">
        <references count="1">
          <reference field="4294967294" count="3" selected="0">
            <x v="3"/>
            <x v="4"/>
            <x v="5"/>
          </reference>
        </references>
      </pivotArea>
    </format>
    <format dxfId="20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19">
      <pivotArea outline="0" collapsedLevelsAreSubtotals="1" fieldPosition="0">
        <references count="1">
          <reference field="4294967294" count="2" selected="0">
            <x v="11"/>
            <x v="12"/>
          </reference>
        </references>
      </pivotArea>
    </format>
    <format dxfId="18">
      <pivotArea dataOnly="0" labelOnly="1" outline="0" fieldPosition="0">
        <references count="1">
          <reference field="4294967294" count="3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2"/>
            <x v="23"/>
            <x v="24"/>
            <x v="25"/>
            <x v="27"/>
            <x v="29"/>
            <x v="30"/>
            <x v="31"/>
            <x v="32"/>
            <x v="33"/>
            <x v="34"/>
          </reference>
        </references>
      </pivotArea>
    </format>
    <format dxfId="17">
      <pivotArea dataOnly="0" labelOnly="1" outline="0" fieldPosition="0">
        <references count="1">
          <reference field="4294967294" count="3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2"/>
            <x v="23"/>
            <x v="24"/>
            <x v="25"/>
            <x v="27"/>
            <x v="29"/>
            <x v="30"/>
            <x v="31"/>
            <x v="32"/>
            <x v="33"/>
            <x v="34"/>
          </reference>
        </references>
      </pivotArea>
    </format>
    <format dxfId="16">
      <pivotArea outline="0" collapsedLevelsAreSubtotals="1" fieldPosition="0">
        <references count="1">
          <reference field="4294967294" count="4" selected="0">
            <x v="26"/>
            <x v="27"/>
            <x v="28"/>
            <x v="29"/>
          </reference>
        </references>
      </pivotArea>
    </format>
    <format dxfId="15">
      <pivotArea outline="0" collapsedLevelsAreSubtotals="1" fieldPosition="0">
        <references count="1">
          <reference field="4294967294" count="4" selected="0">
            <x v="30"/>
            <x v="31"/>
            <x v="32"/>
            <x v="33"/>
          </reference>
        </references>
      </pivotArea>
    </format>
    <format dxfId="14">
      <pivotArea outline="0" collapsedLevelsAreSubtotals="1" fieldPosition="0">
        <references count="1">
          <reference field="4294967294" count="1" selected="0">
            <x v="34"/>
          </reference>
        </references>
      </pivotArea>
    </format>
    <format dxfId="1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2">
      <pivotArea outline="0" collapsedLevelsAreSubtotals="1" fieldPosition="0">
        <references count="1">
          <reference field="4294967294" count="4" selected="0">
            <x v="35"/>
            <x v="36"/>
            <x v="37"/>
            <x v="38"/>
          </reference>
        </references>
      </pivotArea>
    </format>
    <format dxfId="11">
      <pivotArea outline="0" collapsedLevelsAreSubtotals="1" fieldPosition="0">
        <references count="1">
          <reference field="4294967294" count="1" selected="0">
            <x v="24"/>
          </reference>
        </references>
      </pivotArea>
    </format>
    <format dxfId="10">
      <pivotArea outline="0" collapsedLevelsAreSubtotals="1" fieldPosition="0">
        <references count="1">
          <reference field="4294967294" count="1" selected="0">
            <x v="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purl.oclc.org/ooxml/spreadsheetml/main" xmlns:mc="http://schemas.openxmlformats.org/markup-compatibility/2006" xmlns:xr="http://schemas.microsoft.com/office/spreadsheetml/2014/revision" mc:Ignorable="xr" xr:uid="{00000000-0007-0000-1500-000000000000}" name="Tabela dinâmica3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10">
  <location ref="I1:K15" firstHeaderRow="0" firstDataRow="1" firstDataCol="1"/>
  <pivotFields count="7">
    <pivotField axis="axisRow" subtotalTop="0" showAll="0">
      <items count="8">
        <item x="0"/>
        <item h="1" x="1"/>
        <item h="1" x="2"/>
        <item h="1" x="3"/>
        <item h="1" x="4"/>
        <item h="1" x="5"/>
        <item h="1" x="6"/>
        <item t="default"/>
      </items>
    </pivotField>
    <pivotField axis="axisRow" subtotalTop="0" showAll="0">
      <items count="54">
        <item x="0"/>
        <item x="9"/>
        <item x="10"/>
        <item x="1"/>
        <item x="2"/>
        <item x="3"/>
        <item x="4"/>
        <item x="5"/>
        <item x="6"/>
        <item x="7"/>
        <item x="8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40"/>
        <item x="41"/>
        <item x="32"/>
        <item x="33"/>
        <item x="34"/>
        <item x="35"/>
        <item x="36"/>
        <item x="37"/>
        <item x="38"/>
        <item x="39"/>
        <item x="42"/>
        <item x="43"/>
        <item x="44"/>
        <item x="45"/>
        <item x="46"/>
        <item x="47"/>
        <item x="48"/>
        <item x="49"/>
        <item x="50"/>
        <item x="51"/>
        <item x="52"/>
        <item t="default"/>
      </items>
    </pivotField>
    <pivotField dataField="1" numFmtId="164" subtotalTop="0" showAll="0"/>
    <pivotField numFmtId="9" subtotalTop="0" showAll="0"/>
    <pivotField dataField="1" numFmtId="164" subtotalTop="0" showAll="0"/>
    <pivotField numFmtId="9" subtotalTop="0" showAll="0"/>
    <pivotField numFmtId="164" subtotalTop="0" showAll="0"/>
  </pivotFields>
  <rowFields count="2">
    <field x="0"/>
    <field x="1"/>
  </rowFields>
  <rowItems count="1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oma de Masc. RRT" fld="2" baseField="0" baseItem="0"/>
    <dataField name="Soma de Fem. RRT" fld="4" baseField="0" baseItem="0"/>
  </dataFields>
  <chartFormats count="2">
    <chartFormat chart="9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purl.oclc.org/ooxml/spreadsheetml/main" xmlns:xr10="http://schemas.microsoft.com/office/spreadsheetml/2016/revision10" mc:Ignorable="x xr10" name="SegmentaçãodeDados_UF" xr10:uid="{00000000-0013-0000-FFFF-FFFF01000000}" sourceName="UF">
  <pivotTables>
    <pivotTable tabId="66" name="Tabela dinâmica1"/>
  </pivotTables>
  <data>
    <tabular pivotCacheId="7">
      <items count="27">
        <i x="0" s="1"/>
        <i x="7" s="1"/>
        <i x="1" s="1"/>
        <i x="2" s="1"/>
        <i x="8" s="1"/>
        <i x="9" s="1"/>
        <i x="16" s="1"/>
        <i x="20" s="1"/>
        <i x="17" s="1"/>
        <i x="10" s="1"/>
        <i x="21" s="1"/>
        <i x="18" s="1"/>
        <i x="19" s="1"/>
        <i x="3" s="1"/>
        <i x="11" s="1"/>
        <i x="12" s="1"/>
        <i x="13" s="1"/>
        <i x="24" s="1"/>
        <i x="22" s="1"/>
        <i x="14" s="1"/>
        <i x="4" s="1"/>
        <i x="5" s="1"/>
        <i x="25" s="1"/>
        <i x="26" s="1"/>
        <i x="15" s="1"/>
        <i x="23" s="1"/>
        <i x="6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purl.oclc.org/ooxml/spreadsheetml/main" xmlns:xr10="http://schemas.microsoft.com/office/spreadsheetml/2016/revision10" mc:Ignorable="x xr10" name="SegmentaçãodeDados_Grupo" xr10:uid="{00000000-0013-0000-FFFF-FFFF02000000}" sourceName="Grupo">
  <pivotTables>
    <pivotTable tabId="69" name="Tabela dinâmica3"/>
  </pivotTables>
  <data>
    <tabular pivotCacheId="5">
      <items count="7">
        <i x="0" s="1"/>
        <i x="1"/>
        <i x="2"/>
        <i x="3"/>
        <i x="4"/>
        <i x="5"/>
        <i x="6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purl.oclc.org/ooxml/spreadsheetml/main" xmlns:xr10="http://schemas.microsoft.com/office/spreadsheetml/2016/revision10" mc:Ignorable="x xr10">
  <slicer name="UF" xr10:uid="{00000000-0014-0000-FFFF-FFFF01000000}" cache="SegmentaçãodeDados_UF" caption="UF" columnCount="2" style="CAU" rowHeight="288000"/>
</slicers>
</file>

<file path=xl/slicers/slicer2.xml><?xml version="1.0" encoding="utf-8"?>
<slicers xmlns="http://schemas.microsoft.com/office/spreadsheetml/2009/9/main" xmlns:mc="http://schemas.openxmlformats.org/markup-compatibility/2006" xmlns:x="http://purl.oclc.org/ooxml/spreadsheetml/main" xmlns:xr10="http://schemas.microsoft.com/office/spreadsheetml/2016/revision10" mc:Ignorable="x xr10">
  <slicer name="UF 2" xr10:uid="{00000000-0014-0000-FFFF-FFFF02000000}" cache="SegmentaçãodeDados_UF" caption="UF" columnCount="2" style="CAU" rowHeight="288000"/>
</slicers>
</file>

<file path=xl/slicers/slicer3.xml><?xml version="1.0" encoding="utf-8"?>
<slicers xmlns="http://schemas.microsoft.com/office/spreadsheetml/2009/9/main" xmlns:mc="http://schemas.openxmlformats.org/markup-compatibility/2006" xmlns:x="http://purl.oclc.org/ooxml/spreadsheetml/main" xmlns:xr10="http://schemas.microsoft.com/office/spreadsheetml/2016/revision10" mc:Ignorable="x xr10">
  <slicer name="UF 1" xr10:uid="{00000000-0014-0000-FFFF-FFFF03000000}" cache="SegmentaçãodeDados_UF" caption="UF" columnCount="2" style="CAU" rowHeight="288000"/>
</slicers>
</file>

<file path=xl/slicers/slicer4.xml><?xml version="1.0" encoding="utf-8"?>
<slicers xmlns="http://schemas.microsoft.com/office/spreadsheetml/2009/9/main" xmlns:mc="http://schemas.openxmlformats.org/markup-compatibility/2006" xmlns:x="http://purl.oclc.org/ooxml/spreadsheetml/main" xmlns:xr10="http://schemas.microsoft.com/office/spreadsheetml/2016/revision10" mc:Ignorable="x xr10">
  <slicer name="UF 3" xr10:uid="{00000000-0014-0000-FFFF-FFFF04000000}" cache="SegmentaçãodeDados_UF" caption="UF" columnCount="2" style="CAU" rowHeight="288000"/>
</slicers>
</file>

<file path=xl/slicers/slicer5.xml><?xml version="1.0" encoding="utf-8"?>
<slicers xmlns="http://schemas.microsoft.com/office/spreadsheetml/2009/9/main" xmlns:mc="http://schemas.openxmlformats.org/markup-compatibility/2006" xmlns:x="http://purl.oclc.org/ooxml/spreadsheetml/main" xmlns:xr10="http://schemas.microsoft.com/office/spreadsheetml/2016/revision10" mc:Ignorable="x xr10">
  <slicer name="UF 4" xr10:uid="{00000000-0014-0000-FFFF-FFFF05000000}" cache="SegmentaçãodeDados_UF" caption="UF" columnCount="2" style="CAU" rowHeight="288000"/>
</slicers>
</file>

<file path=xl/slicers/slicer6.xml><?xml version="1.0" encoding="utf-8"?>
<slicers xmlns="http://schemas.microsoft.com/office/spreadsheetml/2009/9/main" xmlns:mc="http://schemas.openxmlformats.org/markup-compatibility/2006" xmlns:x="http://purl.oclc.org/ooxml/spreadsheetml/main" xmlns:xr10="http://schemas.microsoft.com/office/spreadsheetml/2016/revision10" mc:Ignorable="x xr10">
  <slicer name="Grupo 1" xr10:uid="{00000000-0014-0000-FFFF-FFFF06000000}" cache="SegmentaçãodeDados_Grupo" caption="Grupo" columnCount="7" style="CAU" rowHeight="288000"/>
</slicers>
</file>

<file path=xl/slicers/slicer7.xml><?xml version="1.0" encoding="utf-8"?>
<slicers xmlns="http://schemas.microsoft.com/office/spreadsheetml/2009/9/main" xmlns:mc="http://schemas.openxmlformats.org/markup-compatibility/2006" xmlns:x="http://purl.oclc.org/ooxml/spreadsheetml/main" xmlns:xr10="http://schemas.microsoft.com/office/spreadsheetml/2016/revision10" mc:Ignorable="x xr10">
  <slicer name="UF 5" xr10:uid="{00000000-0014-0000-FFFF-FFFF07000000}" cache="SegmentaçãodeDados_UF" caption="UF" columnCount="2" style="CAU" rowHeight="288000"/>
</slicers>
</file>

<file path=xl/tables/table1.xml><?xml version="1.0" encoding="utf-8"?>
<table xmlns="http://purl.oclc.org/ooxml/spreadsheetml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2" displayName="Tabela2" ref="B1:G54" totalsRowShown="0" headerRowDxfId="9" headerRowBorderDxfId="8" tableBorderDxfId="7" totalsRowBorderDxfId="6">
  <autoFilter ref="B1:G54" xr:uid="{00000000-0009-0000-0100-000002000000}"/>
  <tableColumns count="6">
    <tableColumn id="1" xr3:uid="{00000000-0010-0000-0000-000001000000}" name="Subgrupo" dataDxfId="5"/>
    <tableColumn id="2" xr3:uid="{00000000-0010-0000-0000-000002000000}" name="Masc. RRT" dataDxfId="4" dataCellStyle="Vírgula"/>
    <tableColumn id="3" xr3:uid="{00000000-0010-0000-0000-000003000000}" name="Masc." dataDxfId="3" dataCellStyle="Porcentagem"/>
    <tableColumn id="4" xr3:uid="{00000000-0010-0000-0000-000004000000}" name="Fem. RRT" dataDxfId="2" dataCellStyle="Vírgula"/>
    <tableColumn id="5" xr3:uid="{00000000-0010-0000-0000-000005000000}" name="Fem." dataDxfId="1" dataCellStyle="Porcentagem"/>
    <tableColumn id="6" xr3:uid="{00000000-0010-0000-0000-000006000000}" name="Total RRT" dataDxfId="0" dataCellStyle="Vírgula">
      <calculatedColumnFormula>C2+E2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tint val="50%"/>
                <a:satMod val="300%"/>
              </a:schemeClr>
            </a:gs>
            <a:gs pos="35%">
              <a:schemeClr val="phClr">
                <a:tint val="37%"/>
                <a:satMod val="300%"/>
              </a:schemeClr>
            </a:gs>
            <a:gs pos="100%">
              <a:schemeClr val="phClr">
                <a:tint val="15%"/>
                <a:satMod val="350%"/>
              </a:schemeClr>
            </a:gs>
          </a:gsLst>
          <a:lin ang="16200000" scaled="1"/>
        </a:gradFill>
        <a:gradFill rotWithShape="1">
          <a:gsLst>
            <a:gs pos="0%">
              <a:schemeClr val="phClr">
                <a:shade val="51%"/>
                <a:satMod val="130%"/>
              </a:schemeClr>
            </a:gs>
            <a:gs pos="80%">
              <a:schemeClr val="phClr">
                <a:shade val="93%"/>
                <a:satMod val="130%"/>
              </a:schemeClr>
            </a:gs>
            <a:gs pos="100%">
              <a:schemeClr val="phClr">
                <a:shade val="94%"/>
                <a:satMod val="135%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%"/>
              <a:satMod val="105%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%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%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%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%">
              <a:schemeClr val="phClr">
                <a:tint val="40%"/>
                <a:satMod val="350%"/>
              </a:schemeClr>
            </a:gs>
            <a:gs pos="40%">
              <a:schemeClr val="phClr">
                <a:tint val="45%"/>
                <a:shade val="99%"/>
                <a:satMod val="350%"/>
              </a:schemeClr>
            </a:gs>
            <a:gs pos="100%">
              <a:schemeClr val="phClr">
                <a:shade val="20%"/>
                <a:satMod val="255%"/>
              </a:schemeClr>
            </a:gs>
          </a:gsLst>
          <a:path path="circle">
            <a:fillToRect l="50%" t="-80%" r="50%" b="180%"/>
          </a:path>
        </a:gradFill>
        <a:gradFill rotWithShape="1">
          <a:gsLst>
            <a:gs pos="0%">
              <a:schemeClr val="phClr">
                <a:tint val="80%"/>
                <a:satMod val="300%"/>
              </a:schemeClr>
            </a:gs>
            <a:gs pos="100%">
              <a:schemeClr val="phClr">
                <a:shade val="30%"/>
                <a:satMod val="200%"/>
              </a:schemeClr>
            </a:gs>
          </a:gsLst>
          <a:path path="circle">
            <a:fillToRect l="50%" t="50%" r="50%" b="50%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purl.oclc.org/ooxml/officeDocument/relationships/drawing" Target="../drawings/drawing1.xml"/><Relationship Id="rId1" Type="http://purl.oclc.org/ooxml/officeDocument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purl.oclc.org/ooxml/officeDocument/relationships/drawing" Target="../drawings/drawing2.xml"/><Relationship Id="rId1" Type="http://purl.oclc.org/ooxml/officeDocument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purl.oclc.org/ooxml/officeDocument/relationships/printerSettings" Target="../printerSettings/printerSettings21.bin"/><Relationship Id="rId1" Type="http://purl.oclc.org/ooxml/officeDocument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3" Type="http://purl.oclc.org/ooxml/officeDocument/relationships/table" Target="../tables/table1.xml"/><Relationship Id="rId2" Type="http://purl.oclc.org/ooxml/officeDocument/relationships/printerSettings" Target="../printerSettings/printerSettings22.bin"/><Relationship Id="rId1" Type="http://purl.oclc.org/ooxml/officeDocument/relationships/pivotTable" Target="../pivotTables/pivotTable2.xml"/></Relationships>
</file>

<file path=xl/worksheets/_rels/sheet23.xml.rels><?xml version="1.0" encoding="UTF-8" standalone="yes"?>
<Relationships xmlns="http://schemas.openxmlformats.org/package/2006/relationships"><Relationship Id="rId2" Type="http://purl.oclc.org/ooxml/officeDocument/relationships/drawing" Target="../drawings/drawing10.xml"/><Relationship Id="rId1" Type="http://purl.oclc.org/ooxml/officeDocument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purl.oclc.org/ooxml/officeDocument/relationships/drawing" Target="../drawings/drawing11.xml"/><Relationship Id="rId1" Type="http://purl.oclc.org/ooxml/officeDocument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purl.oclc.org/ooxml/officeDocument/relationships/drawing" Target="../drawings/drawing12.xml"/><Relationship Id="rId1" Type="http://purl.oclc.org/ooxml/officeDocument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purl.oclc.org/ooxml/officeDocument/relationships/drawing" Target="../drawings/drawing13.xml"/><Relationship Id="rId1" Type="http://purl.oclc.org/ooxml/officeDocument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purl.oclc.org/ooxml/officeDocument/relationships/drawing" Target="../drawings/drawing14.xml"/><Relationship Id="rId1" Type="http://purl.oclc.org/ooxml/officeDocument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purl.oclc.org/ooxml/officeDocument/relationships/drawing" Target="../drawings/drawing15.xml"/><Relationship Id="rId1" Type="http://purl.oclc.org/ooxml/officeDocument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purl.oclc.org/ooxml/officeDocument/relationships/drawing" Target="../drawings/drawing16.xml"/><Relationship Id="rId1" Type="http://purl.oclc.org/ooxml/officeDocument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purl.oclc.org/ooxml/officeDocument/relationships/drawing" Target="../drawings/drawing17.xml"/><Relationship Id="rId1" Type="http://purl.oclc.org/ooxml/officeDocument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purl.oclc.org/ooxml/officeDocument/relationships/drawing" Target="../drawings/drawing18.xml"/><Relationship Id="rId1" Type="http://purl.oclc.org/ooxml/officeDocument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purl.oclc.org/ooxml/officeDocument/relationships/drawing" Target="../drawings/drawing19.xml"/><Relationship Id="rId1" Type="http://purl.oclc.org/ooxml/officeDocument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purl.oclc.org/ooxml/officeDocument/relationships/drawing" Target="../drawings/drawing20.xml"/><Relationship Id="rId1" Type="http://purl.oclc.org/ooxml/officeDocument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purl.oclc.org/ooxml/officeDocument/relationships/drawing" Target="../drawings/drawing21.xml"/><Relationship Id="rId1" Type="http://purl.oclc.org/ooxml/officeDocument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purl.oclc.org/ooxml/officeDocument/relationships/drawing" Target="../drawings/drawing22.xml"/><Relationship Id="rId1" Type="http://purl.oclc.org/ooxml/officeDocument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purl.oclc.org/ooxml/officeDocument/relationships/drawing" Target="../drawings/drawing23.xml"/><Relationship Id="rId1" Type="http://purl.oclc.org/ooxml/officeDocument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purl.oclc.org/ooxml/officeDocument/relationships/drawing" Target="../drawings/drawing24.xml"/><Relationship Id="rId1" Type="http://purl.oclc.org/ooxml/officeDocument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purl.oclc.org/ooxml/officeDocument/relationships/drawing" Target="../drawings/drawing25.xml"/><Relationship Id="rId1" Type="http://purl.oclc.org/ooxml/officeDocument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purl.oclc.org/ooxml/officeDocument/relationships/drawing" Target="../drawings/drawing26.xml"/><Relationship Id="rId1" Type="http://purl.oclc.org/ooxml/officeDocument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9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135"/>
  <sheetViews>
    <sheetView topLeftCell="A103" zoomScale="77" zoomScaleNormal="77" workbookViewId="0">
      <selection activeCell="A2" sqref="A2:AC37"/>
    </sheetView>
  </sheetViews>
  <sheetFormatPr defaultRowHeight="15"/>
  <cols>
    <col min="1" max="1" width="23.140625" customWidth="1"/>
    <col min="2" max="2" width="13.85546875" customWidth="1"/>
    <col min="3" max="3" width="13.7109375" customWidth="1"/>
    <col min="4" max="4" width="13.28515625" customWidth="1"/>
    <col min="5" max="5" width="13.42578125" customWidth="1"/>
    <col min="6" max="6" width="13.85546875" customWidth="1"/>
    <col min="7" max="7" width="19.7109375" customWidth="1"/>
    <col min="8" max="8" width="12.28515625" customWidth="1"/>
    <col min="9" max="9" width="15.7109375" customWidth="1"/>
    <col min="10" max="10" width="13.140625" customWidth="1"/>
    <col min="11" max="11" width="20.42578125" customWidth="1"/>
    <col min="12" max="14" width="20.28515625" customWidth="1"/>
    <col min="15" max="15" width="20.28515625" bestFit="1" customWidth="1"/>
    <col min="16" max="16" width="15.140625" bestFit="1" customWidth="1"/>
    <col min="17" max="17" width="16" customWidth="1"/>
    <col min="18" max="18" width="26.7109375" customWidth="1"/>
    <col min="19" max="19" width="16.5703125" customWidth="1"/>
    <col min="20" max="20" width="14.140625" customWidth="1"/>
    <col min="21" max="21" width="15.7109375" customWidth="1"/>
    <col min="22" max="22" width="15.140625" customWidth="1"/>
    <col min="23" max="23" width="14.140625" customWidth="1"/>
    <col min="24" max="24" width="17.140625" customWidth="1"/>
    <col min="25" max="25" width="15.140625" customWidth="1"/>
    <col min="26" max="26" width="14.42578125" customWidth="1"/>
    <col min="27" max="27" width="15.85546875" customWidth="1"/>
    <col min="28" max="28" width="15.28515625" customWidth="1"/>
    <col min="29" max="30" width="11.85546875" customWidth="1"/>
    <col min="31" max="31" width="16.140625" customWidth="1"/>
    <col min="32" max="32" width="11.85546875" customWidth="1"/>
    <col min="33" max="33" width="15.5703125" customWidth="1"/>
    <col min="34" max="34" width="15.28515625" customWidth="1"/>
    <col min="35" max="35" width="17.5703125" customWidth="1"/>
    <col min="36" max="38" width="14.5703125" customWidth="1"/>
  </cols>
  <sheetData>
    <row r="1" spans="1:38">
      <c r="R1" s="20"/>
    </row>
    <row r="2" spans="1:38" ht="46.5">
      <c r="A2" s="292" t="s">
        <v>57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4"/>
      <c r="R2" s="292" t="s">
        <v>59</v>
      </c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4"/>
    </row>
    <row r="3" spans="1:38" ht="21.75" customHeight="1">
      <c r="A3" s="290" t="s">
        <v>33</v>
      </c>
      <c r="B3" s="287" t="s">
        <v>27</v>
      </c>
      <c r="C3" s="288"/>
      <c r="D3" s="287" t="s">
        <v>29</v>
      </c>
      <c r="E3" s="288"/>
      <c r="F3" s="285" t="s">
        <v>28</v>
      </c>
      <c r="G3" s="285" t="s">
        <v>36</v>
      </c>
      <c r="H3" s="285" t="s">
        <v>30</v>
      </c>
      <c r="I3" s="285" t="s">
        <v>31</v>
      </c>
      <c r="J3" s="285" t="s">
        <v>41</v>
      </c>
      <c r="K3" s="285" t="s">
        <v>35</v>
      </c>
      <c r="L3" s="285" t="s">
        <v>40</v>
      </c>
      <c r="M3" s="285" t="s">
        <v>42</v>
      </c>
      <c r="N3" s="285" t="s">
        <v>45</v>
      </c>
      <c r="O3" s="285" t="s">
        <v>34</v>
      </c>
      <c r="R3" s="290" t="s">
        <v>33</v>
      </c>
      <c r="S3" s="287" t="s">
        <v>27</v>
      </c>
      <c r="T3" s="288"/>
      <c r="U3" s="287" t="s">
        <v>29</v>
      </c>
      <c r="V3" s="288"/>
      <c r="W3" s="285" t="s">
        <v>28</v>
      </c>
      <c r="X3" s="285" t="s">
        <v>36</v>
      </c>
      <c r="Y3" s="285" t="s">
        <v>30</v>
      </c>
      <c r="Z3" s="285" t="s">
        <v>31</v>
      </c>
      <c r="AA3" s="285" t="s">
        <v>41</v>
      </c>
      <c r="AB3" s="285" t="s">
        <v>35</v>
      </c>
      <c r="AC3" s="285" t="s">
        <v>40</v>
      </c>
      <c r="AD3" s="285" t="s">
        <v>42</v>
      </c>
      <c r="AE3" s="285" t="s">
        <v>45</v>
      </c>
      <c r="AF3" s="287" t="s">
        <v>52</v>
      </c>
      <c r="AG3" s="288"/>
      <c r="AH3" s="285" t="s">
        <v>34</v>
      </c>
    </row>
    <row r="4" spans="1:38" ht="30">
      <c r="A4" s="291"/>
      <c r="B4" s="56" t="s">
        <v>43</v>
      </c>
      <c r="C4" s="56" t="s">
        <v>44</v>
      </c>
      <c r="D4" s="56" t="s">
        <v>43</v>
      </c>
      <c r="E4" s="56" t="s">
        <v>44</v>
      </c>
      <c r="F4" s="286"/>
      <c r="G4" s="286"/>
      <c r="H4" s="286"/>
      <c r="I4" s="286"/>
      <c r="J4" s="286"/>
      <c r="K4" s="286"/>
      <c r="L4" s="286"/>
      <c r="M4" s="286"/>
      <c r="N4" s="286"/>
      <c r="O4" s="286"/>
      <c r="R4" s="291"/>
      <c r="S4" s="56" t="s">
        <v>43</v>
      </c>
      <c r="T4" s="56" t="s">
        <v>44</v>
      </c>
      <c r="U4" s="56" t="s">
        <v>43</v>
      </c>
      <c r="V4" s="56" t="s">
        <v>44</v>
      </c>
      <c r="W4" s="286"/>
      <c r="X4" s="286"/>
      <c r="Y4" s="286"/>
      <c r="Z4" s="286"/>
      <c r="AA4" s="286"/>
      <c r="AB4" s="286"/>
      <c r="AC4" s="286"/>
      <c r="AD4" s="286"/>
      <c r="AE4" s="286"/>
      <c r="AF4" s="55" t="s">
        <v>53</v>
      </c>
      <c r="AG4" s="55" t="s">
        <v>54</v>
      </c>
      <c r="AH4" s="286"/>
      <c r="AI4" s="129" t="s">
        <v>230</v>
      </c>
      <c r="AJ4" s="129" t="s">
        <v>231</v>
      </c>
      <c r="AK4" s="129" t="s">
        <v>28</v>
      </c>
      <c r="AL4" s="129" t="s">
        <v>233</v>
      </c>
    </row>
    <row r="5" spans="1:38">
      <c r="A5" s="1" t="s">
        <v>119</v>
      </c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4">
        <f>SUM(B5:N5)</f>
        <v>0</v>
      </c>
      <c r="P5" s="15"/>
      <c r="R5" s="1" t="s">
        <v>0</v>
      </c>
      <c r="S5" s="35">
        <f>S75*0.8</f>
        <v>19383.816000000003</v>
      </c>
      <c r="T5" s="35">
        <f t="shared" ref="T5:AG20" si="0">T75*0.8</f>
        <v>2543.8880000000004</v>
      </c>
      <c r="U5" s="35">
        <f t="shared" si="0"/>
        <v>2476.4480000000003</v>
      </c>
      <c r="V5" s="35">
        <f t="shared" si="0"/>
        <v>359.55200000000002</v>
      </c>
      <c r="W5" s="35">
        <f t="shared" si="0"/>
        <v>7413.5360000000001</v>
      </c>
      <c r="X5" s="35">
        <f t="shared" si="0"/>
        <v>755.47200000000009</v>
      </c>
      <c r="Y5" s="35">
        <f t="shared" si="0"/>
        <v>370.67200000000003</v>
      </c>
      <c r="Z5" s="35">
        <f t="shared" si="0"/>
        <v>0</v>
      </c>
      <c r="AA5" s="35">
        <f t="shared" si="0"/>
        <v>527.00800000000004</v>
      </c>
      <c r="AB5" s="35">
        <f t="shared" si="0"/>
        <v>0</v>
      </c>
      <c r="AC5" s="35">
        <f t="shared" si="0"/>
        <v>0</v>
      </c>
      <c r="AD5" s="35">
        <f t="shared" si="0"/>
        <v>0</v>
      </c>
      <c r="AE5" s="35">
        <f t="shared" si="0"/>
        <v>22.112000000000002</v>
      </c>
      <c r="AF5" s="35">
        <f t="shared" si="0"/>
        <v>0</v>
      </c>
      <c r="AG5" s="35">
        <f t="shared" si="0"/>
        <v>0</v>
      </c>
      <c r="AH5" s="4">
        <f>SUM(S5:AG5)</f>
        <v>33852.504000000001</v>
      </c>
      <c r="AI5" s="129">
        <f>B5+C5+S5+T5</f>
        <v>21927.704000000002</v>
      </c>
      <c r="AJ5" s="129">
        <f>D5+E5+U5+V5</f>
        <v>2836.0000000000005</v>
      </c>
      <c r="AK5" s="129">
        <f>F5+W5</f>
        <v>7413.5360000000001</v>
      </c>
      <c r="AL5" s="129">
        <f>SUM(G5:N5)+SUM(X5:AG5)</f>
        <v>1675.2640000000004</v>
      </c>
    </row>
    <row r="6" spans="1:38">
      <c r="A6" s="1" t="s">
        <v>120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4">
        <f t="shared" ref="O6:O31" si="1">SUM(B6:N6)</f>
        <v>0</v>
      </c>
      <c r="P6" s="15"/>
      <c r="R6" s="1" t="s">
        <v>1</v>
      </c>
      <c r="S6" s="35">
        <f t="shared" ref="S6:AG21" si="2">S76*0.8</f>
        <v>77172.271999999997</v>
      </c>
      <c r="T6" s="35">
        <f t="shared" si="2"/>
        <v>9894.4800000000014</v>
      </c>
      <c r="U6" s="35">
        <f t="shared" si="2"/>
        <v>4068.4480000000003</v>
      </c>
      <c r="V6" s="35">
        <f t="shared" si="2"/>
        <v>170.81600000000003</v>
      </c>
      <c r="W6" s="35">
        <f t="shared" si="2"/>
        <v>30571.664000000004</v>
      </c>
      <c r="X6" s="35">
        <f t="shared" si="2"/>
        <v>454.84799999999996</v>
      </c>
      <c r="Y6" s="35">
        <f t="shared" si="2"/>
        <v>964.28800000000001</v>
      </c>
      <c r="Z6" s="35">
        <f t="shared" si="2"/>
        <v>646.62400000000002</v>
      </c>
      <c r="AA6" s="35">
        <f t="shared" si="2"/>
        <v>1712.8880000000001</v>
      </c>
      <c r="AB6" s="35">
        <f t="shared" si="2"/>
        <v>75.808000000000007</v>
      </c>
      <c r="AC6" s="35">
        <f t="shared" si="2"/>
        <v>0</v>
      </c>
      <c r="AD6" s="35">
        <f t="shared" si="2"/>
        <v>0</v>
      </c>
      <c r="AE6" s="35">
        <f t="shared" si="2"/>
        <v>132.672</v>
      </c>
      <c r="AF6" s="35">
        <f t="shared" si="0"/>
        <v>0</v>
      </c>
      <c r="AG6" s="35">
        <f t="shared" si="0"/>
        <v>0</v>
      </c>
      <c r="AH6" s="4">
        <f t="shared" ref="AH6:AH31" si="3">SUM(S6:AG6)</f>
        <v>125864.80800000002</v>
      </c>
      <c r="AI6" s="129">
        <f t="shared" ref="AI6:AI32" si="4">B6+C6+S6+T6</f>
        <v>87066.751999999993</v>
      </c>
      <c r="AJ6" s="129">
        <f t="shared" ref="AJ6:AJ32" si="5">D6+E6+U6+V6</f>
        <v>4239.2640000000001</v>
      </c>
      <c r="AK6" s="129">
        <f t="shared" ref="AK6:AK32" si="6">F6+W6</f>
        <v>30571.664000000004</v>
      </c>
      <c r="AL6" s="129">
        <f t="shared" ref="AL6:AL32" si="7">SUM(G6:N6)+SUM(X6:AG6)</f>
        <v>3987.1280000000002</v>
      </c>
    </row>
    <row r="7" spans="1:38">
      <c r="A7" s="18" t="s">
        <v>121</v>
      </c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4">
        <f t="shared" si="1"/>
        <v>0</v>
      </c>
      <c r="P7" s="15"/>
      <c r="R7" s="18" t="s">
        <v>2</v>
      </c>
      <c r="S7" s="35">
        <f t="shared" ref="S7:AE7" si="8">S77*0.8</f>
        <v>15131.472000000002</v>
      </c>
      <c r="T7" s="35">
        <f t="shared" si="8"/>
        <v>8753.6479999999992</v>
      </c>
      <c r="U7" s="35">
        <f t="shared" si="8"/>
        <v>2822.864</v>
      </c>
      <c r="V7" s="35">
        <f t="shared" si="8"/>
        <v>651.50400000000002</v>
      </c>
      <c r="W7" s="35">
        <f t="shared" si="8"/>
        <v>15049.279999999999</v>
      </c>
      <c r="X7" s="35">
        <f t="shared" si="8"/>
        <v>1210.3200000000002</v>
      </c>
      <c r="Y7" s="35">
        <f t="shared" si="8"/>
        <v>845.28800000000001</v>
      </c>
      <c r="Z7" s="35">
        <f t="shared" si="8"/>
        <v>0</v>
      </c>
      <c r="AA7" s="35">
        <f t="shared" si="8"/>
        <v>1656.6560000000002</v>
      </c>
      <c r="AB7" s="35">
        <f t="shared" si="8"/>
        <v>0</v>
      </c>
      <c r="AC7" s="35">
        <f t="shared" si="8"/>
        <v>0</v>
      </c>
      <c r="AD7" s="35">
        <f t="shared" si="8"/>
        <v>0</v>
      </c>
      <c r="AE7" s="35">
        <f t="shared" si="8"/>
        <v>0</v>
      </c>
      <c r="AF7" s="35">
        <f t="shared" si="0"/>
        <v>0</v>
      </c>
      <c r="AG7" s="35">
        <f t="shared" si="0"/>
        <v>0</v>
      </c>
      <c r="AH7" s="4">
        <f t="shared" si="3"/>
        <v>46121.032000000007</v>
      </c>
      <c r="AI7" s="129">
        <f t="shared" si="4"/>
        <v>23885.120000000003</v>
      </c>
      <c r="AJ7" s="129">
        <f t="shared" si="5"/>
        <v>3474.3679999999999</v>
      </c>
      <c r="AK7" s="129">
        <f t="shared" si="6"/>
        <v>15049.279999999999</v>
      </c>
      <c r="AL7" s="129">
        <f t="shared" si="7"/>
        <v>3712.2640000000001</v>
      </c>
    </row>
    <row r="8" spans="1:38">
      <c r="A8" s="2" t="s">
        <v>122</v>
      </c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4">
        <f t="shared" si="1"/>
        <v>0</v>
      </c>
      <c r="P8" s="15"/>
      <c r="R8" s="2" t="s">
        <v>3</v>
      </c>
      <c r="S8" s="35">
        <f t="shared" ref="S8:AE8" si="9">S78*0.8</f>
        <v>51521.832000000002</v>
      </c>
      <c r="T8" s="35">
        <f t="shared" si="9"/>
        <v>13938.920000000002</v>
      </c>
      <c r="U8" s="35">
        <f t="shared" si="9"/>
        <v>4245.3440000000001</v>
      </c>
      <c r="V8" s="35">
        <f t="shared" si="9"/>
        <v>2647.2000000000003</v>
      </c>
      <c r="W8" s="35">
        <f t="shared" si="9"/>
        <v>27050.592000000001</v>
      </c>
      <c r="X8" s="35">
        <f t="shared" si="9"/>
        <v>603.85600000000011</v>
      </c>
      <c r="Y8" s="35">
        <f t="shared" si="9"/>
        <v>1513.048</v>
      </c>
      <c r="Z8" s="35">
        <f t="shared" si="9"/>
        <v>0</v>
      </c>
      <c r="AA8" s="35">
        <f t="shared" si="9"/>
        <v>2688.7040000000002</v>
      </c>
      <c r="AB8" s="35">
        <f t="shared" si="9"/>
        <v>0</v>
      </c>
      <c r="AC8" s="35">
        <f t="shared" si="9"/>
        <v>0</v>
      </c>
      <c r="AD8" s="35">
        <f t="shared" si="9"/>
        <v>0</v>
      </c>
      <c r="AE8" s="35">
        <f t="shared" si="9"/>
        <v>44.224000000000004</v>
      </c>
      <c r="AF8" s="35">
        <f>AF78</f>
        <v>28.58</v>
      </c>
      <c r="AG8" s="35">
        <f>AG78</f>
        <v>581.94000000000005</v>
      </c>
      <c r="AH8" s="4">
        <f t="shared" si="3"/>
        <v>104864.24</v>
      </c>
      <c r="AI8" s="129">
        <f t="shared" si="4"/>
        <v>65460.752000000008</v>
      </c>
      <c r="AJ8" s="129">
        <f t="shared" si="5"/>
        <v>6892.5439999999999</v>
      </c>
      <c r="AK8" s="129">
        <f t="shared" si="6"/>
        <v>27050.592000000001</v>
      </c>
      <c r="AL8" s="129">
        <f t="shared" si="7"/>
        <v>5460.3520000000008</v>
      </c>
    </row>
    <row r="9" spans="1:38">
      <c r="A9" s="1" t="s">
        <v>123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4">
        <f t="shared" si="1"/>
        <v>0</v>
      </c>
      <c r="P9" s="15"/>
      <c r="R9" s="1" t="s">
        <v>4</v>
      </c>
      <c r="S9" s="35">
        <f t="shared" si="2"/>
        <v>190410.25600000002</v>
      </c>
      <c r="T9" s="35">
        <f t="shared" si="2"/>
        <v>36033.384000000005</v>
      </c>
      <c r="U9" s="35">
        <f t="shared" si="2"/>
        <v>21554.696</v>
      </c>
      <c r="V9" s="35">
        <f t="shared" si="2"/>
        <v>2252.4080000000004</v>
      </c>
      <c r="W9" s="35">
        <f t="shared" si="2"/>
        <v>97196.816000000006</v>
      </c>
      <c r="X9" s="35">
        <f t="shared" si="2"/>
        <v>2501.6640000000002</v>
      </c>
      <c r="Y9" s="35">
        <f t="shared" si="2"/>
        <v>4949.4000000000005</v>
      </c>
      <c r="Z9" s="35">
        <f t="shared" si="2"/>
        <v>0</v>
      </c>
      <c r="AA9" s="35">
        <f t="shared" si="2"/>
        <v>6056.648000000001</v>
      </c>
      <c r="AB9" s="35">
        <f t="shared" si="2"/>
        <v>303.23200000000003</v>
      </c>
      <c r="AC9" s="35">
        <f t="shared" si="2"/>
        <v>0</v>
      </c>
      <c r="AD9" s="35">
        <f t="shared" si="2"/>
        <v>0</v>
      </c>
      <c r="AE9" s="35">
        <f t="shared" si="2"/>
        <v>305.76799999999997</v>
      </c>
      <c r="AF9" s="35">
        <f t="shared" si="0"/>
        <v>0</v>
      </c>
      <c r="AG9" s="35">
        <f t="shared" si="0"/>
        <v>0</v>
      </c>
      <c r="AH9" s="4">
        <f t="shared" si="3"/>
        <v>361564.272</v>
      </c>
      <c r="AI9" s="129">
        <f t="shared" si="4"/>
        <v>226443.64</v>
      </c>
      <c r="AJ9" s="129">
        <f t="shared" si="5"/>
        <v>23807.103999999999</v>
      </c>
      <c r="AK9" s="129">
        <f t="shared" si="6"/>
        <v>97196.816000000006</v>
      </c>
      <c r="AL9" s="129">
        <f t="shared" si="7"/>
        <v>14116.712000000001</v>
      </c>
    </row>
    <row r="10" spans="1:38">
      <c r="A10" s="1" t="s">
        <v>124</v>
      </c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4">
        <f t="shared" si="1"/>
        <v>0</v>
      </c>
      <c r="P10" s="15"/>
      <c r="R10" s="1" t="s">
        <v>5</v>
      </c>
      <c r="S10" s="35">
        <f t="shared" si="2"/>
        <v>127077.12800000001</v>
      </c>
      <c r="T10" s="35">
        <f t="shared" si="2"/>
        <v>20244.376000000004</v>
      </c>
      <c r="U10" s="35">
        <f t="shared" si="2"/>
        <v>10259.576000000001</v>
      </c>
      <c r="V10" s="35">
        <f t="shared" si="2"/>
        <v>2246.3679999999999</v>
      </c>
      <c r="W10" s="35">
        <f t="shared" si="2"/>
        <v>55199.008000000002</v>
      </c>
      <c r="X10" s="35">
        <f t="shared" si="2"/>
        <v>452.24</v>
      </c>
      <c r="Y10" s="35">
        <f t="shared" si="2"/>
        <v>3034.4639999999999</v>
      </c>
      <c r="Z10" s="35">
        <f t="shared" si="2"/>
        <v>0</v>
      </c>
      <c r="AA10" s="35">
        <f t="shared" si="2"/>
        <v>3338.1120000000005</v>
      </c>
      <c r="AB10" s="35">
        <f t="shared" si="2"/>
        <v>758.08</v>
      </c>
      <c r="AC10" s="35">
        <f t="shared" si="2"/>
        <v>0</v>
      </c>
      <c r="AD10" s="35">
        <f t="shared" si="2"/>
        <v>0</v>
      </c>
      <c r="AE10" s="35">
        <f t="shared" si="2"/>
        <v>43.463999999999999</v>
      </c>
      <c r="AF10" s="35">
        <f t="shared" si="0"/>
        <v>0</v>
      </c>
      <c r="AG10" s="35">
        <f t="shared" si="0"/>
        <v>0</v>
      </c>
      <c r="AH10" s="4">
        <f t="shared" si="3"/>
        <v>222652.81599999999</v>
      </c>
      <c r="AI10" s="129">
        <f t="shared" si="4"/>
        <v>147321.50400000002</v>
      </c>
      <c r="AJ10" s="129">
        <f t="shared" si="5"/>
        <v>12505.944000000001</v>
      </c>
      <c r="AK10" s="129">
        <f t="shared" si="6"/>
        <v>55199.008000000002</v>
      </c>
      <c r="AL10" s="129">
        <f t="shared" si="7"/>
        <v>7626.3600000000006</v>
      </c>
    </row>
    <row r="11" spans="1:38">
      <c r="A11" s="1" t="s">
        <v>125</v>
      </c>
      <c r="B11" s="35"/>
      <c r="C11" s="35">
        <v>371.6</v>
      </c>
      <c r="D11" s="35"/>
      <c r="E11" s="35"/>
      <c r="F11" s="35"/>
      <c r="G11" s="35"/>
      <c r="H11" s="35">
        <v>154.11000000000001</v>
      </c>
      <c r="I11" s="35"/>
      <c r="J11" s="35"/>
      <c r="K11" s="35"/>
      <c r="L11" s="35"/>
      <c r="M11" s="35"/>
      <c r="N11" s="35"/>
      <c r="O11" s="4">
        <f t="shared" si="1"/>
        <v>525.71</v>
      </c>
      <c r="P11" s="15"/>
      <c r="R11" s="1" t="s">
        <v>6</v>
      </c>
      <c r="S11" s="35">
        <f t="shared" si="2"/>
        <v>226747.55200000003</v>
      </c>
      <c r="T11" s="35">
        <f t="shared" si="2"/>
        <v>38302.056000000004</v>
      </c>
      <c r="U11" s="35">
        <f t="shared" si="2"/>
        <v>14888.168</v>
      </c>
      <c r="V11" s="35">
        <f t="shared" si="2"/>
        <v>2993.28</v>
      </c>
      <c r="W11" s="35">
        <f t="shared" si="2"/>
        <v>76592.688000000009</v>
      </c>
      <c r="X11" s="35">
        <f t="shared" si="2"/>
        <v>1740.9759999999999</v>
      </c>
      <c r="Y11" s="35">
        <f t="shared" si="2"/>
        <v>5840.7760000000007</v>
      </c>
      <c r="Z11" s="35">
        <f t="shared" si="2"/>
        <v>0</v>
      </c>
      <c r="AA11" s="35">
        <f t="shared" si="2"/>
        <v>6473.68</v>
      </c>
      <c r="AB11" s="35">
        <f t="shared" si="2"/>
        <v>227.42399999999998</v>
      </c>
      <c r="AC11" s="35">
        <f t="shared" si="2"/>
        <v>0</v>
      </c>
      <c r="AD11" s="35">
        <f t="shared" si="2"/>
        <v>0</v>
      </c>
      <c r="AE11" s="35">
        <f t="shared" si="2"/>
        <v>658.80000000000007</v>
      </c>
      <c r="AF11" s="35">
        <f t="shared" si="0"/>
        <v>0</v>
      </c>
      <c r="AG11" s="35">
        <f t="shared" si="0"/>
        <v>0</v>
      </c>
      <c r="AH11" s="4">
        <f t="shared" si="3"/>
        <v>374465.40000000008</v>
      </c>
      <c r="AI11" s="129">
        <f t="shared" si="4"/>
        <v>265421.20800000004</v>
      </c>
      <c r="AJ11" s="129">
        <f t="shared" si="5"/>
        <v>17881.448</v>
      </c>
      <c r="AK11" s="129">
        <f t="shared" si="6"/>
        <v>76592.688000000009</v>
      </c>
      <c r="AL11" s="129">
        <f t="shared" si="7"/>
        <v>15095.766</v>
      </c>
    </row>
    <row r="12" spans="1:38">
      <c r="A12" s="1" t="s">
        <v>126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4">
        <f t="shared" si="1"/>
        <v>0</v>
      </c>
      <c r="P12" s="15"/>
      <c r="R12" s="1" t="s">
        <v>7</v>
      </c>
      <c r="S12" s="35">
        <f t="shared" si="2"/>
        <v>153224.20800000001</v>
      </c>
      <c r="T12" s="35">
        <f t="shared" si="2"/>
        <v>24987.440000000002</v>
      </c>
      <c r="U12" s="35">
        <f t="shared" si="2"/>
        <v>13126.648000000001</v>
      </c>
      <c r="V12" s="35">
        <f t="shared" si="2"/>
        <v>4434.9920000000002</v>
      </c>
      <c r="W12" s="35">
        <f t="shared" si="2"/>
        <v>71301.775999999998</v>
      </c>
      <c r="X12" s="35">
        <f t="shared" si="2"/>
        <v>2167.136</v>
      </c>
      <c r="Y12" s="35">
        <f t="shared" si="2"/>
        <v>3865.1040000000003</v>
      </c>
      <c r="Z12" s="35">
        <f t="shared" si="2"/>
        <v>881.68799999999999</v>
      </c>
      <c r="AA12" s="35">
        <f t="shared" si="2"/>
        <v>4685.3360000000002</v>
      </c>
      <c r="AB12" s="35">
        <f t="shared" si="2"/>
        <v>75.808000000000007</v>
      </c>
      <c r="AC12" s="35">
        <f t="shared" si="2"/>
        <v>0</v>
      </c>
      <c r="AD12" s="35">
        <f t="shared" si="2"/>
        <v>0</v>
      </c>
      <c r="AE12" s="35">
        <f t="shared" si="2"/>
        <v>87.688000000000002</v>
      </c>
      <c r="AF12" s="35">
        <f t="shared" si="0"/>
        <v>0</v>
      </c>
      <c r="AG12" s="35">
        <f t="shared" si="0"/>
        <v>0</v>
      </c>
      <c r="AH12" s="4">
        <f t="shared" si="3"/>
        <v>278837.82400000008</v>
      </c>
      <c r="AI12" s="129">
        <f t="shared" si="4"/>
        <v>178211.64800000002</v>
      </c>
      <c r="AJ12" s="129">
        <f t="shared" si="5"/>
        <v>17561.64</v>
      </c>
      <c r="AK12" s="129">
        <f t="shared" si="6"/>
        <v>71301.775999999998</v>
      </c>
      <c r="AL12" s="129">
        <f t="shared" si="7"/>
        <v>11762.76</v>
      </c>
    </row>
    <row r="13" spans="1:38">
      <c r="A13" s="1" t="s">
        <v>127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4">
        <f t="shared" si="1"/>
        <v>0</v>
      </c>
      <c r="P13" s="15"/>
      <c r="R13" s="1" t="s">
        <v>8</v>
      </c>
      <c r="S13" s="35">
        <f t="shared" si="2"/>
        <v>142923.17600000001</v>
      </c>
      <c r="T13" s="35">
        <f t="shared" si="2"/>
        <v>28439.920000000002</v>
      </c>
      <c r="U13" s="35">
        <f t="shared" si="2"/>
        <v>12881.584000000001</v>
      </c>
      <c r="V13" s="35">
        <f t="shared" si="2"/>
        <v>3329.4480000000003</v>
      </c>
      <c r="W13" s="35">
        <f t="shared" si="2"/>
        <v>120937.93600000002</v>
      </c>
      <c r="X13" s="35">
        <f t="shared" si="2"/>
        <v>3029.712</v>
      </c>
      <c r="Y13" s="35">
        <f t="shared" si="2"/>
        <v>4072.6800000000003</v>
      </c>
      <c r="Z13" s="35">
        <f t="shared" si="2"/>
        <v>170.80799999999999</v>
      </c>
      <c r="AA13" s="35">
        <f t="shared" si="2"/>
        <v>5394.7920000000004</v>
      </c>
      <c r="AB13" s="35">
        <f t="shared" si="2"/>
        <v>151.61600000000001</v>
      </c>
      <c r="AC13" s="35">
        <f t="shared" si="2"/>
        <v>0</v>
      </c>
      <c r="AD13" s="35">
        <f t="shared" si="2"/>
        <v>0</v>
      </c>
      <c r="AE13" s="35">
        <f t="shared" si="2"/>
        <v>132.672</v>
      </c>
      <c r="AF13" s="35">
        <f t="shared" si="0"/>
        <v>0</v>
      </c>
      <c r="AG13" s="35">
        <f t="shared" si="0"/>
        <v>0</v>
      </c>
      <c r="AH13" s="4">
        <f t="shared" si="3"/>
        <v>321464.34400000004</v>
      </c>
      <c r="AI13" s="129">
        <f t="shared" si="4"/>
        <v>171363.09600000002</v>
      </c>
      <c r="AJ13" s="129">
        <f t="shared" si="5"/>
        <v>16211.032000000001</v>
      </c>
      <c r="AK13" s="129">
        <f t="shared" si="6"/>
        <v>120937.93600000002</v>
      </c>
      <c r="AL13" s="129">
        <f t="shared" si="7"/>
        <v>12952.28</v>
      </c>
    </row>
    <row r="14" spans="1:38">
      <c r="A14" s="2" t="s">
        <v>128</v>
      </c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4">
        <f t="shared" si="1"/>
        <v>0</v>
      </c>
      <c r="P14" s="15"/>
      <c r="R14" s="2" t="s">
        <v>9</v>
      </c>
      <c r="S14" s="35">
        <f t="shared" si="2"/>
        <v>46236.048000000003</v>
      </c>
      <c r="T14" s="35">
        <f t="shared" si="2"/>
        <v>13048.512000000001</v>
      </c>
      <c r="U14" s="35">
        <f t="shared" si="2"/>
        <v>3991.0720000000001</v>
      </c>
      <c r="V14" s="35">
        <f t="shared" si="2"/>
        <v>1783.68</v>
      </c>
      <c r="W14" s="35">
        <f t="shared" si="2"/>
        <v>23900.560000000001</v>
      </c>
      <c r="X14" s="35">
        <f t="shared" si="2"/>
        <v>909.69599999999991</v>
      </c>
      <c r="Y14" s="35">
        <f t="shared" si="2"/>
        <v>2198.6799999999998</v>
      </c>
      <c r="Z14" s="35">
        <f t="shared" si="2"/>
        <v>0</v>
      </c>
      <c r="AA14" s="35">
        <f t="shared" si="2"/>
        <v>2236.7440000000001</v>
      </c>
      <c r="AB14" s="35">
        <f t="shared" si="2"/>
        <v>227.42399999999998</v>
      </c>
      <c r="AC14" s="35">
        <f t="shared" si="2"/>
        <v>0</v>
      </c>
      <c r="AD14" s="35">
        <f t="shared" si="2"/>
        <v>0</v>
      </c>
      <c r="AE14" s="35">
        <f t="shared" si="2"/>
        <v>44.224000000000004</v>
      </c>
      <c r="AF14" s="35">
        <f t="shared" si="0"/>
        <v>0</v>
      </c>
      <c r="AG14" s="35">
        <f t="shared" si="0"/>
        <v>0</v>
      </c>
      <c r="AH14" s="4">
        <f t="shared" si="3"/>
        <v>94576.639999999999</v>
      </c>
      <c r="AI14" s="129">
        <f t="shared" si="4"/>
        <v>59284.560000000005</v>
      </c>
      <c r="AJ14" s="129">
        <f t="shared" si="5"/>
        <v>5774.7520000000004</v>
      </c>
      <c r="AK14" s="129">
        <f t="shared" si="6"/>
        <v>23900.560000000001</v>
      </c>
      <c r="AL14" s="129">
        <f t="shared" si="7"/>
        <v>5616.768</v>
      </c>
    </row>
    <row r="15" spans="1:38">
      <c r="A15" s="18" t="s">
        <v>129</v>
      </c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4">
        <f t="shared" si="1"/>
        <v>0</v>
      </c>
      <c r="P15" s="15"/>
      <c r="R15" s="18" t="s">
        <v>10</v>
      </c>
      <c r="S15" s="35">
        <f t="shared" si="2"/>
        <v>96164.423999999999</v>
      </c>
      <c r="T15" s="35">
        <f t="shared" si="2"/>
        <v>13720.488000000001</v>
      </c>
      <c r="U15" s="35">
        <f t="shared" si="2"/>
        <v>9891.0640000000003</v>
      </c>
      <c r="V15" s="35">
        <f t="shared" si="2"/>
        <v>1838.92</v>
      </c>
      <c r="W15" s="35">
        <f t="shared" si="2"/>
        <v>120801.792</v>
      </c>
      <c r="X15" s="35">
        <f t="shared" si="2"/>
        <v>1278.3040000000001</v>
      </c>
      <c r="Y15" s="35">
        <f t="shared" si="2"/>
        <v>1021.7040000000002</v>
      </c>
      <c r="Z15" s="35">
        <f t="shared" si="2"/>
        <v>0</v>
      </c>
      <c r="AA15" s="35">
        <f t="shared" si="2"/>
        <v>2800.096</v>
      </c>
      <c r="AB15" s="35">
        <f t="shared" si="2"/>
        <v>75.808000000000007</v>
      </c>
      <c r="AC15" s="35">
        <f t="shared" si="2"/>
        <v>0</v>
      </c>
      <c r="AD15" s="35">
        <f t="shared" si="2"/>
        <v>0</v>
      </c>
      <c r="AE15" s="35">
        <f t="shared" si="2"/>
        <v>88.448000000000008</v>
      </c>
      <c r="AF15" s="35">
        <f t="shared" si="0"/>
        <v>0</v>
      </c>
      <c r="AG15" s="35">
        <f t="shared" si="0"/>
        <v>0</v>
      </c>
      <c r="AH15" s="4">
        <f t="shared" si="3"/>
        <v>247681.04799999998</v>
      </c>
      <c r="AI15" s="129">
        <f t="shared" si="4"/>
        <v>109884.912</v>
      </c>
      <c r="AJ15" s="129">
        <f t="shared" si="5"/>
        <v>11729.984</v>
      </c>
      <c r="AK15" s="129">
        <f t="shared" si="6"/>
        <v>120801.792</v>
      </c>
      <c r="AL15" s="129">
        <f t="shared" si="7"/>
        <v>5264.3600000000006</v>
      </c>
    </row>
    <row r="16" spans="1:38">
      <c r="A16" s="1" t="s">
        <v>130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4">
        <f t="shared" si="1"/>
        <v>0</v>
      </c>
      <c r="P16" s="15"/>
      <c r="R16" s="1" t="s">
        <v>11</v>
      </c>
      <c r="S16" s="35">
        <f t="shared" si="2"/>
        <v>137175.81599999999</v>
      </c>
      <c r="T16" s="35">
        <f t="shared" si="2"/>
        <v>18643.216</v>
      </c>
      <c r="U16" s="35">
        <f t="shared" si="2"/>
        <v>18805.536</v>
      </c>
      <c r="V16" s="35">
        <f t="shared" si="2"/>
        <v>3473.9519999999998</v>
      </c>
      <c r="W16" s="35">
        <f t="shared" si="2"/>
        <v>99039.504000000015</v>
      </c>
      <c r="X16" s="35">
        <f t="shared" si="2"/>
        <v>454.84799999999996</v>
      </c>
      <c r="Y16" s="35">
        <f t="shared" si="2"/>
        <v>2670.7759999999998</v>
      </c>
      <c r="Z16" s="35">
        <f t="shared" si="2"/>
        <v>427.024</v>
      </c>
      <c r="AA16" s="35">
        <f t="shared" si="2"/>
        <v>3065.8160000000003</v>
      </c>
      <c r="AB16" s="35">
        <f t="shared" si="2"/>
        <v>151.61600000000001</v>
      </c>
      <c r="AC16" s="35">
        <f t="shared" si="2"/>
        <v>0</v>
      </c>
      <c r="AD16" s="35">
        <f t="shared" si="2"/>
        <v>0</v>
      </c>
      <c r="AE16" s="35">
        <f t="shared" si="2"/>
        <v>86.927999999999997</v>
      </c>
      <c r="AF16" s="35">
        <f t="shared" si="0"/>
        <v>15.784000000000001</v>
      </c>
      <c r="AG16" s="35">
        <f t="shared" si="0"/>
        <v>0</v>
      </c>
      <c r="AH16" s="4">
        <f t="shared" si="3"/>
        <v>284010.81599999993</v>
      </c>
      <c r="AI16" s="129">
        <f t="shared" si="4"/>
        <v>155819.03200000001</v>
      </c>
      <c r="AJ16" s="129">
        <f t="shared" si="5"/>
        <v>22279.488000000001</v>
      </c>
      <c r="AK16" s="129">
        <f t="shared" si="6"/>
        <v>99039.504000000015</v>
      </c>
      <c r="AL16" s="129">
        <f t="shared" si="7"/>
        <v>6872.7919999999995</v>
      </c>
    </row>
    <row r="17" spans="1:38">
      <c r="A17" s="1" t="s">
        <v>131</v>
      </c>
      <c r="B17" s="35"/>
      <c r="C17" s="35">
        <v>252.11</v>
      </c>
      <c r="D17" s="35"/>
      <c r="E17" s="35"/>
      <c r="F17" s="35"/>
      <c r="G17" s="35"/>
      <c r="H17" s="35">
        <v>101.74</v>
      </c>
      <c r="I17" s="35"/>
      <c r="J17" s="35"/>
      <c r="K17" s="35"/>
      <c r="L17" s="35"/>
      <c r="M17" s="35"/>
      <c r="N17" s="35"/>
      <c r="O17" s="4">
        <f t="shared" si="1"/>
        <v>353.85</v>
      </c>
      <c r="P17" s="15"/>
      <c r="R17" s="1" t="s">
        <v>12</v>
      </c>
      <c r="S17" s="35">
        <f t="shared" si="2"/>
        <v>763502.576</v>
      </c>
      <c r="T17" s="35">
        <f t="shared" si="2"/>
        <v>121693.93600000002</v>
      </c>
      <c r="U17" s="35">
        <f t="shared" si="2"/>
        <v>68695.688000000009</v>
      </c>
      <c r="V17" s="35">
        <f t="shared" si="2"/>
        <v>17934.583999999999</v>
      </c>
      <c r="W17" s="35">
        <f t="shared" si="2"/>
        <v>269370.17599999998</v>
      </c>
      <c r="X17" s="35">
        <f t="shared" si="2"/>
        <v>3790.4</v>
      </c>
      <c r="Y17" s="35">
        <f t="shared" si="2"/>
        <v>25573.752</v>
      </c>
      <c r="Z17" s="35">
        <f t="shared" si="2"/>
        <v>0</v>
      </c>
      <c r="AA17" s="35">
        <f t="shared" si="2"/>
        <v>22270.264000000003</v>
      </c>
      <c r="AB17" s="35">
        <f t="shared" si="2"/>
        <v>2337.0080000000003</v>
      </c>
      <c r="AC17" s="35">
        <f t="shared" si="2"/>
        <v>0</v>
      </c>
      <c r="AD17" s="35">
        <f t="shared" si="2"/>
        <v>0</v>
      </c>
      <c r="AE17" s="35">
        <f t="shared" si="2"/>
        <v>1122.3920000000001</v>
      </c>
      <c r="AF17" s="35">
        <f t="shared" si="0"/>
        <v>0</v>
      </c>
      <c r="AG17" s="35">
        <f t="shared" si="0"/>
        <v>0</v>
      </c>
      <c r="AH17" s="4">
        <f t="shared" si="3"/>
        <v>1296290.7759999998</v>
      </c>
      <c r="AI17" s="129">
        <f t="shared" si="4"/>
        <v>885448.62199999997</v>
      </c>
      <c r="AJ17" s="129">
        <f t="shared" si="5"/>
        <v>86630.272000000012</v>
      </c>
      <c r="AK17" s="129">
        <f t="shared" si="6"/>
        <v>269370.17599999998</v>
      </c>
      <c r="AL17" s="129">
        <f t="shared" si="7"/>
        <v>55195.556000000004</v>
      </c>
    </row>
    <row r="18" spans="1:38">
      <c r="A18" s="1" t="s">
        <v>132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4">
        <f t="shared" si="1"/>
        <v>0</v>
      </c>
      <c r="P18" s="15"/>
      <c r="R18" s="1" t="s">
        <v>15</v>
      </c>
      <c r="S18" s="35">
        <f t="shared" si="2"/>
        <v>81777.952000000005</v>
      </c>
      <c r="T18" s="35">
        <f t="shared" si="2"/>
        <v>18520.456000000002</v>
      </c>
      <c r="U18" s="35">
        <f t="shared" si="2"/>
        <v>7606.2479999999996</v>
      </c>
      <c r="V18" s="35">
        <f t="shared" si="2"/>
        <v>1931.4160000000002</v>
      </c>
      <c r="W18" s="35">
        <f t="shared" si="2"/>
        <v>34166.112000000001</v>
      </c>
      <c r="X18" s="35">
        <f t="shared" si="2"/>
        <v>1137.1200000000001</v>
      </c>
      <c r="Y18" s="35">
        <f t="shared" si="2"/>
        <v>2729.4560000000001</v>
      </c>
      <c r="Z18" s="35">
        <f t="shared" si="2"/>
        <v>0</v>
      </c>
      <c r="AA18" s="35">
        <f t="shared" si="2"/>
        <v>3132.5439999999999</v>
      </c>
      <c r="AB18" s="35">
        <f t="shared" si="2"/>
        <v>227.42399999999998</v>
      </c>
      <c r="AC18" s="35">
        <f t="shared" si="2"/>
        <v>0</v>
      </c>
      <c r="AD18" s="35">
        <f t="shared" si="2"/>
        <v>0</v>
      </c>
      <c r="AE18" s="35">
        <f t="shared" si="2"/>
        <v>66.335999999999999</v>
      </c>
      <c r="AF18" s="35">
        <f t="shared" si="0"/>
        <v>0</v>
      </c>
      <c r="AG18" s="35">
        <f t="shared" si="0"/>
        <v>0</v>
      </c>
      <c r="AH18" s="4">
        <f t="shared" si="3"/>
        <v>151295.06400000001</v>
      </c>
      <c r="AI18" s="129">
        <f t="shared" si="4"/>
        <v>100298.40800000001</v>
      </c>
      <c r="AJ18" s="129">
        <f t="shared" si="5"/>
        <v>9537.6640000000007</v>
      </c>
      <c r="AK18" s="129">
        <f t="shared" si="6"/>
        <v>34166.112000000001</v>
      </c>
      <c r="AL18" s="129">
        <f t="shared" si="7"/>
        <v>7292.88</v>
      </c>
    </row>
    <row r="19" spans="1:38">
      <c r="A19" s="39" t="s">
        <v>133</v>
      </c>
      <c r="B19" s="35"/>
      <c r="C19" s="35">
        <f>84.05-16.81</f>
        <v>67.239999999999995</v>
      </c>
      <c r="D19" s="35"/>
      <c r="E19" s="35"/>
      <c r="F19" s="35"/>
      <c r="G19" s="35"/>
      <c r="H19" s="35">
        <f>31-6.2</f>
        <v>24.8</v>
      </c>
      <c r="I19" s="35"/>
      <c r="J19" s="35"/>
      <c r="K19" s="35"/>
      <c r="L19" s="35"/>
      <c r="M19" s="35"/>
      <c r="N19" s="35"/>
      <c r="O19" s="4">
        <f t="shared" si="1"/>
        <v>92.039999999999992</v>
      </c>
      <c r="P19" s="15"/>
      <c r="R19" s="1" t="s">
        <v>14</v>
      </c>
      <c r="S19" s="35">
        <f t="shared" si="2"/>
        <v>87059.088000000003</v>
      </c>
      <c r="T19" s="35">
        <f t="shared" si="2"/>
        <v>20912.768</v>
      </c>
      <c r="U19" s="35">
        <f t="shared" si="2"/>
        <v>5406.192</v>
      </c>
      <c r="V19" s="35">
        <f t="shared" si="2"/>
        <v>2481.5520000000001</v>
      </c>
      <c r="W19" s="35">
        <f t="shared" si="2"/>
        <v>45495.584000000003</v>
      </c>
      <c r="X19" s="35">
        <f t="shared" si="2"/>
        <v>454.84799999999996</v>
      </c>
      <c r="Y19" s="35">
        <f t="shared" si="2"/>
        <v>3193.88</v>
      </c>
      <c r="Z19" s="35">
        <f t="shared" si="2"/>
        <v>646.62400000000002</v>
      </c>
      <c r="AA19" s="35">
        <f t="shared" si="2"/>
        <v>3446.16</v>
      </c>
      <c r="AB19" s="35">
        <f t="shared" si="2"/>
        <v>0</v>
      </c>
      <c r="AC19" s="35">
        <f t="shared" si="2"/>
        <v>0</v>
      </c>
      <c r="AD19" s="35">
        <f t="shared" si="2"/>
        <v>0</v>
      </c>
      <c r="AE19" s="35">
        <f t="shared" si="2"/>
        <v>154.78399999999999</v>
      </c>
      <c r="AF19" s="35">
        <f t="shared" si="0"/>
        <v>0</v>
      </c>
      <c r="AG19" s="35">
        <f t="shared" si="0"/>
        <v>0</v>
      </c>
      <c r="AH19" s="4">
        <f t="shared" si="3"/>
        <v>169251.48000000004</v>
      </c>
      <c r="AI19" s="129">
        <f t="shared" si="4"/>
        <v>108039.09600000001</v>
      </c>
      <c r="AJ19" s="129">
        <f t="shared" si="5"/>
        <v>7887.7440000000006</v>
      </c>
      <c r="AK19" s="129">
        <f t="shared" si="6"/>
        <v>45495.584000000003</v>
      </c>
      <c r="AL19" s="129">
        <f t="shared" si="7"/>
        <v>7921.0959999999995</v>
      </c>
    </row>
    <row r="20" spans="1:38">
      <c r="A20" s="18" t="s">
        <v>134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4">
        <f t="shared" si="1"/>
        <v>0</v>
      </c>
      <c r="P20" s="15"/>
      <c r="R20" s="18" t="s">
        <v>13</v>
      </c>
      <c r="S20" s="35">
        <f t="shared" si="2"/>
        <v>639004.70400000003</v>
      </c>
      <c r="T20" s="35">
        <f t="shared" si="2"/>
        <v>68552.12</v>
      </c>
      <c r="U20" s="35">
        <f t="shared" si="2"/>
        <v>88214.368000000017</v>
      </c>
      <c r="V20" s="35">
        <f t="shared" si="2"/>
        <v>19684.800000000003</v>
      </c>
      <c r="W20" s="35">
        <f t="shared" si="2"/>
        <v>370893.08799999999</v>
      </c>
      <c r="X20" s="35">
        <f t="shared" si="2"/>
        <v>3711.9839999999999</v>
      </c>
      <c r="Y20" s="35">
        <f t="shared" si="2"/>
        <v>8729.9600000000009</v>
      </c>
      <c r="Z20" s="35">
        <f t="shared" si="2"/>
        <v>0</v>
      </c>
      <c r="AA20" s="35">
        <f t="shared" si="2"/>
        <v>16144.407999999999</v>
      </c>
      <c r="AB20" s="35">
        <f t="shared" si="2"/>
        <v>1440.3520000000001</v>
      </c>
      <c r="AC20" s="35">
        <f t="shared" si="2"/>
        <v>0</v>
      </c>
      <c r="AD20" s="35">
        <f t="shared" si="2"/>
        <v>0</v>
      </c>
      <c r="AE20" s="35">
        <f t="shared" si="2"/>
        <v>725.13599999999997</v>
      </c>
      <c r="AF20" s="35">
        <f t="shared" si="0"/>
        <v>0</v>
      </c>
      <c r="AG20" s="35">
        <f t="shared" si="0"/>
        <v>0</v>
      </c>
      <c r="AH20" s="4">
        <f t="shared" si="3"/>
        <v>1217100.92</v>
      </c>
      <c r="AI20" s="129">
        <f t="shared" si="4"/>
        <v>707556.82400000002</v>
      </c>
      <c r="AJ20" s="129">
        <f t="shared" si="5"/>
        <v>107899.16800000002</v>
      </c>
      <c r="AK20" s="129">
        <f t="shared" si="6"/>
        <v>370893.08799999999</v>
      </c>
      <c r="AL20" s="129">
        <f t="shared" si="7"/>
        <v>30751.839999999997</v>
      </c>
    </row>
    <row r="21" spans="1:38">
      <c r="A21" s="1" t="s">
        <v>135</v>
      </c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4">
        <f t="shared" si="1"/>
        <v>0</v>
      </c>
      <c r="P21" s="15"/>
      <c r="R21" s="1" t="s">
        <v>16</v>
      </c>
      <c r="S21" s="35">
        <f t="shared" si="2"/>
        <v>187568.74400000001</v>
      </c>
      <c r="T21" s="35">
        <f t="shared" si="2"/>
        <v>25726.184000000001</v>
      </c>
      <c r="U21" s="35">
        <f t="shared" si="2"/>
        <v>23585.232000000004</v>
      </c>
      <c r="V21" s="35">
        <f t="shared" si="2"/>
        <v>4457.6480000000001</v>
      </c>
      <c r="W21" s="35">
        <f t="shared" si="2"/>
        <v>87982.32</v>
      </c>
      <c r="X21" s="35">
        <f t="shared" si="2"/>
        <v>1733.152</v>
      </c>
      <c r="Y21" s="35">
        <f t="shared" si="2"/>
        <v>3463.0320000000002</v>
      </c>
      <c r="Z21" s="35">
        <f t="shared" si="2"/>
        <v>4293.8239999999996</v>
      </c>
      <c r="AA21" s="35">
        <f t="shared" si="2"/>
        <v>4913.3519999999999</v>
      </c>
      <c r="AB21" s="35">
        <f t="shared" si="2"/>
        <v>303.23200000000003</v>
      </c>
      <c r="AC21" s="35">
        <f t="shared" si="2"/>
        <v>0</v>
      </c>
      <c r="AD21" s="35">
        <f t="shared" si="2"/>
        <v>0</v>
      </c>
      <c r="AE21" s="35">
        <f t="shared" si="2"/>
        <v>218.08000000000004</v>
      </c>
      <c r="AF21" s="35">
        <f t="shared" si="2"/>
        <v>0</v>
      </c>
      <c r="AG21" s="35">
        <f t="shared" si="2"/>
        <v>0</v>
      </c>
      <c r="AH21" s="4">
        <f t="shared" si="3"/>
        <v>344244.8000000001</v>
      </c>
      <c r="AI21" s="129">
        <f t="shared" si="4"/>
        <v>213294.92800000001</v>
      </c>
      <c r="AJ21" s="129">
        <f t="shared" si="5"/>
        <v>28042.880000000005</v>
      </c>
      <c r="AK21" s="129">
        <f t="shared" si="6"/>
        <v>87982.32</v>
      </c>
      <c r="AL21" s="129">
        <f t="shared" si="7"/>
        <v>14924.672</v>
      </c>
    </row>
    <row r="22" spans="1:38">
      <c r="A22" s="1" t="s">
        <v>136</v>
      </c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4">
        <f t="shared" si="1"/>
        <v>0</v>
      </c>
      <c r="P22" s="15"/>
      <c r="R22" s="1" t="s">
        <v>17</v>
      </c>
      <c r="S22" s="35">
        <f t="shared" ref="S22:AG31" si="10">S92*0.8</f>
        <v>46910.080000000002</v>
      </c>
      <c r="T22" s="35">
        <f t="shared" si="10"/>
        <v>6157.0080000000007</v>
      </c>
      <c r="U22" s="35">
        <f t="shared" si="10"/>
        <v>4790.76</v>
      </c>
      <c r="V22" s="35">
        <f t="shared" si="10"/>
        <v>936.25599999999997</v>
      </c>
      <c r="W22" s="35">
        <f t="shared" si="10"/>
        <v>24356.168000000001</v>
      </c>
      <c r="X22" s="35">
        <f t="shared" si="10"/>
        <v>1286.1280000000002</v>
      </c>
      <c r="Y22" s="35">
        <f t="shared" si="10"/>
        <v>434.36800000000005</v>
      </c>
      <c r="Z22" s="35">
        <f t="shared" si="10"/>
        <v>0</v>
      </c>
      <c r="AA22" s="35">
        <f t="shared" si="10"/>
        <v>1318.4880000000001</v>
      </c>
      <c r="AB22" s="35">
        <f t="shared" si="10"/>
        <v>151.61600000000001</v>
      </c>
      <c r="AC22" s="35">
        <f t="shared" si="10"/>
        <v>0</v>
      </c>
      <c r="AD22" s="35">
        <f t="shared" si="10"/>
        <v>0</v>
      </c>
      <c r="AE22" s="35">
        <f t="shared" si="10"/>
        <v>0</v>
      </c>
      <c r="AF22" s="35">
        <f t="shared" si="10"/>
        <v>0</v>
      </c>
      <c r="AG22" s="35">
        <f t="shared" si="10"/>
        <v>0</v>
      </c>
      <c r="AH22" s="4">
        <f t="shared" si="3"/>
        <v>86340.872000000003</v>
      </c>
      <c r="AI22" s="129">
        <f t="shared" si="4"/>
        <v>53067.088000000003</v>
      </c>
      <c r="AJ22" s="129">
        <f t="shared" si="5"/>
        <v>5727.0160000000005</v>
      </c>
      <c r="AK22" s="129">
        <f t="shared" si="6"/>
        <v>24356.168000000001</v>
      </c>
      <c r="AL22" s="129">
        <f t="shared" si="7"/>
        <v>3190.6000000000004</v>
      </c>
    </row>
    <row r="23" spans="1:38">
      <c r="A23" s="1" t="s">
        <v>137</v>
      </c>
      <c r="B23" s="35"/>
      <c r="C23" s="35">
        <v>734.21</v>
      </c>
      <c r="D23" s="35"/>
      <c r="E23" s="35">
        <v>338.69</v>
      </c>
      <c r="F23" s="35"/>
      <c r="G23" s="35"/>
      <c r="H23" s="35">
        <v>431.77</v>
      </c>
      <c r="I23" s="35"/>
      <c r="J23" s="35"/>
      <c r="K23" s="35"/>
      <c r="L23" s="35"/>
      <c r="M23" s="35"/>
      <c r="N23" s="35"/>
      <c r="O23" s="4">
        <f t="shared" si="1"/>
        <v>1504.67</v>
      </c>
      <c r="P23" s="15"/>
      <c r="R23" s="1" t="s">
        <v>18</v>
      </c>
      <c r="S23" s="35">
        <f t="shared" si="10"/>
        <v>968442.56</v>
      </c>
      <c r="T23" s="35">
        <f t="shared" si="10"/>
        <v>103990.85600000001</v>
      </c>
      <c r="U23" s="35">
        <f t="shared" si="10"/>
        <v>115851.40800000001</v>
      </c>
      <c r="V23" s="35">
        <f t="shared" si="10"/>
        <v>18088.8</v>
      </c>
      <c r="W23" s="35">
        <f t="shared" si="10"/>
        <v>340951.53600000002</v>
      </c>
      <c r="X23" s="35">
        <f t="shared" si="10"/>
        <v>15051.888000000001</v>
      </c>
      <c r="Y23" s="35">
        <f t="shared" si="10"/>
        <v>14984.384</v>
      </c>
      <c r="Z23" s="35">
        <f t="shared" si="10"/>
        <v>635.5920000000001</v>
      </c>
      <c r="AA23" s="35">
        <f t="shared" si="10"/>
        <v>21198.032000000003</v>
      </c>
      <c r="AB23" s="35">
        <f t="shared" si="10"/>
        <v>1061.3120000000001</v>
      </c>
      <c r="AC23" s="35">
        <f t="shared" si="10"/>
        <v>151.61600000000001</v>
      </c>
      <c r="AD23" s="35">
        <f t="shared" si="10"/>
        <v>0</v>
      </c>
      <c r="AE23" s="35">
        <f t="shared" si="10"/>
        <v>2043.4960000000001</v>
      </c>
      <c r="AF23" s="35">
        <f t="shared" si="10"/>
        <v>0</v>
      </c>
      <c r="AG23" s="35">
        <f t="shared" si="10"/>
        <v>0</v>
      </c>
      <c r="AH23" s="4">
        <f t="shared" si="3"/>
        <v>1602451.48</v>
      </c>
      <c r="AI23" s="129">
        <f t="shared" si="4"/>
        <v>1073167.6259999999</v>
      </c>
      <c r="AJ23" s="129">
        <f t="shared" si="5"/>
        <v>134278.89800000002</v>
      </c>
      <c r="AK23" s="129">
        <f t="shared" si="6"/>
        <v>340951.53600000002</v>
      </c>
      <c r="AL23" s="129">
        <f t="shared" si="7"/>
        <v>55558.090000000004</v>
      </c>
    </row>
    <row r="24" spans="1:38">
      <c r="A24" s="1" t="s">
        <v>138</v>
      </c>
      <c r="B24" s="35"/>
      <c r="C24" s="35">
        <v>357.17</v>
      </c>
      <c r="D24" s="35"/>
      <c r="E24" s="35"/>
      <c r="F24" s="35"/>
      <c r="G24" s="35"/>
      <c r="H24" s="35">
        <v>142.65</v>
      </c>
      <c r="I24" s="35"/>
      <c r="J24" s="35"/>
      <c r="K24" s="35"/>
      <c r="L24" s="35"/>
      <c r="M24" s="35"/>
      <c r="N24" s="35"/>
      <c r="O24" s="4">
        <f t="shared" si="1"/>
        <v>499.82000000000005</v>
      </c>
      <c r="P24" s="15"/>
      <c r="R24" s="1" t="s">
        <v>20</v>
      </c>
      <c r="S24" s="35">
        <f t="shared" si="10"/>
        <v>76553.728000000003</v>
      </c>
      <c r="T24" s="35">
        <f t="shared" si="10"/>
        <v>15334.416000000001</v>
      </c>
      <c r="U24" s="35">
        <f t="shared" si="10"/>
        <v>3360.8960000000002</v>
      </c>
      <c r="V24" s="35">
        <f t="shared" si="10"/>
        <v>1128.3600000000001</v>
      </c>
      <c r="W24" s="35">
        <f t="shared" si="10"/>
        <v>44264.4</v>
      </c>
      <c r="X24" s="35">
        <f t="shared" si="10"/>
        <v>901.87199999999996</v>
      </c>
      <c r="Y24" s="35">
        <f t="shared" si="10"/>
        <v>2085.712</v>
      </c>
      <c r="Z24" s="35">
        <f t="shared" si="10"/>
        <v>0</v>
      </c>
      <c r="AA24" s="35">
        <f t="shared" si="10"/>
        <v>2542.8000000000002</v>
      </c>
      <c r="AB24" s="35">
        <f t="shared" si="10"/>
        <v>149.00800000000001</v>
      </c>
      <c r="AC24" s="35">
        <f t="shared" si="10"/>
        <v>0</v>
      </c>
      <c r="AD24" s="35">
        <f t="shared" si="10"/>
        <v>0</v>
      </c>
      <c r="AE24" s="35">
        <f t="shared" si="10"/>
        <v>65.576000000000008</v>
      </c>
      <c r="AF24" s="35">
        <f t="shared" si="10"/>
        <v>0</v>
      </c>
      <c r="AG24" s="35">
        <f t="shared" si="10"/>
        <v>0</v>
      </c>
      <c r="AH24" s="4">
        <f t="shared" si="3"/>
        <v>146386.76799999998</v>
      </c>
      <c r="AI24" s="129">
        <f t="shared" si="4"/>
        <v>92245.313999999998</v>
      </c>
      <c r="AJ24" s="129">
        <f t="shared" si="5"/>
        <v>4489.2560000000003</v>
      </c>
      <c r="AK24" s="129">
        <f t="shared" si="6"/>
        <v>44264.4</v>
      </c>
      <c r="AL24" s="129">
        <f t="shared" si="7"/>
        <v>5887.6179999999995</v>
      </c>
    </row>
    <row r="25" spans="1:38">
      <c r="A25" s="1" t="s">
        <v>139</v>
      </c>
      <c r="B25" s="35"/>
      <c r="C25" s="35">
        <v>377.38</v>
      </c>
      <c r="D25" s="35"/>
      <c r="E25" s="35">
        <v>168.06</v>
      </c>
      <c r="F25" s="35"/>
      <c r="G25" s="35"/>
      <c r="H25" s="35">
        <v>210.61</v>
      </c>
      <c r="I25" s="35"/>
      <c r="J25" s="35"/>
      <c r="K25" s="35"/>
      <c r="L25" s="35"/>
      <c r="M25" s="35"/>
      <c r="N25" s="35"/>
      <c r="O25" s="4">
        <f>SUM(B25:N25)</f>
        <v>756.05000000000007</v>
      </c>
      <c r="P25" s="15"/>
      <c r="R25" s="1" t="s">
        <v>19</v>
      </c>
      <c r="S25" s="35">
        <f t="shared" si="10"/>
        <v>830891.91200000001</v>
      </c>
      <c r="T25" s="35">
        <f t="shared" si="10"/>
        <v>112431.17600000001</v>
      </c>
      <c r="U25" s="35">
        <f t="shared" si="10"/>
        <v>87716.872000000003</v>
      </c>
      <c r="V25" s="35">
        <f t="shared" si="10"/>
        <v>21316.968000000001</v>
      </c>
      <c r="W25" s="35">
        <f t="shared" si="10"/>
        <v>494659.03200000006</v>
      </c>
      <c r="X25" s="35">
        <f t="shared" si="10"/>
        <v>6352.2240000000002</v>
      </c>
      <c r="Y25" s="35">
        <f t="shared" si="10"/>
        <v>20398.392000000003</v>
      </c>
      <c r="Z25" s="35">
        <f t="shared" si="10"/>
        <v>555.29600000000005</v>
      </c>
      <c r="AA25" s="35">
        <f t="shared" si="10"/>
        <v>20824.495999999999</v>
      </c>
      <c r="AB25" s="35">
        <f t="shared" si="10"/>
        <v>1513.5520000000001</v>
      </c>
      <c r="AC25" s="35">
        <f t="shared" si="10"/>
        <v>151.61600000000001</v>
      </c>
      <c r="AD25" s="35">
        <f t="shared" si="10"/>
        <v>0</v>
      </c>
      <c r="AE25" s="35">
        <f t="shared" si="10"/>
        <v>762.52</v>
      </c>
      <c r="AF25" s="35">
        <f t="shared" si="10"/>
        <v>0</v>
      </c>
      <c r="AG25" s="35">
        <f t="shared" si="10"/>
        <v>0</v>
      </c>
      <c r="AH25" s="4">
        <f t="shared" si="3"/>
        <v>1597574.0560000001</v>
      </c>
      <c r="AI25" s="129">
        <f t="shared" si="4"/>
        <v>943700.46799999999</v>
      </c>
      <c r="AJ25" s="129">
        <f t="shared" si="5"/>
        <v>109201.9</v>
      </c>
      <c r="AK25" s="129">
        <f t="shared" si="6"/>
        <v>494659.03200000006</v>
      </c>
      <c r="AL25" s="129">
        <f t="shared" si="7"/>
        <v>50768.705999999998</v>
      </c>
    </row>
    <row r="26" spans="1:38">
      <c r="A26" s="1" t="s">
        <v>140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4">
        <f t="shared" si="1"/>
        <v>0</v>
      </c>
      <c r="P26" s="15"/>
      <c r="R26" s="1" t="s">
        <v>21</v>
      </c>
      <c r="S26" s="35">
        <f t="shared" si="10"/>
        <v>31013.360000000001</v>
      </c>
      <c r="T26" s="35">
        <f t="shared" si="10"/>
        <v>5550.344000000001</v>
      </c>
      <c r="U26" s="35">
        <f t="shared" si="10"/>
        <v>4068.4480000000003</v>
      </c>
      <c r="V26" s="35">
        <f t="shared" si="10"/>
        <v>828.5440000000001</v>
      </c>
      <c r="W26" s="35">
        <f t="shared" si="10"/>
        <v>34448.480000000003</v>
      </c>
      <c r="X26" s="35">
        <f t="shared" si="10"/>
        <v>227.42399999999998</v>
      </c>
      <c r="Y26" s="35">
        <f t="shared" si="10"/>
        <v>520.72799999999995</v>
      </c>
      <c r="Z26" s="35">
        <f t="shared" si="10"/>
        <v>0</v>
      </c>
      <c r="AA26" s="35">
        <f t="shared" si="10"/>
        <v>1128.1760000000002</v>
      </c>
      <c r="AB26" s="35">
        <f t="shared" si="10"/>
        <v>75.808000000000007</v>
      </c>
      <c r="AC26" s="35">
        <f t="shared" si="10"/>
        <v>0</v>
      </c>
      <c r="AD26" s="35">
        <f t="shared" si="10"/>
        <v>0</v>
      </c>
      <c r="AE26" s="35">
        <f t="shared" si="10"/>
        <v>21.352000000000004</v>
      </c>
      <c r="AF26" s="35">
        <f t="shared" si="10"/>
        <v>0</v>
      </c>
      <c r="AG26" s="35">
        <f t="shared" si="10"/>
        <v>0</v>
      </c>
      <c r="AH26" s="4">
        <f t="shared" si="3"/>
        <v>77882.664000000019</v>
      </c>
      <c r="AI26" s="129">
        <f t="shared" si="4"/>
        <v>36563.703999999998</v>
      </c>
      <c r="AJ26" s="129">
        <f t="shared" si="5"/>
        <v>4896.9920000000002</v>
      </c>
      <c r="AK26" s="129">
        <f t="shared" si="6"/>
        <v>34448.480000000003</v>
      </c>
      <c r="AL26" s="129">
        <f t="shared" si="7"/>
        <v>1973.4880000000001</v>
      </c>
    </row>
    <row r="27" spans="1:38">
      <c r="A27" s="2" t="s">
        <v>141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4">
        <f t="shared" si="1"/>
        <v>0</v>
      </c>
      <c r="P27" s="15"/>
      <c r="R27" s="2" t="s">
        <v>22</v>
      </c>
      <c r="S27" s="35">
        <f t="shared" si="10"/>
        <v>11221.416000000001</v>
      </c>
      <c r="T27" s="35">
        <f t="shared" si="10"/>
        <v>1554.04</v>
      </c>
      <c r="U27" s="35">
        <f t="shared" si="10"/>
        <v>884.44799999999998</v>
      </c>
      <c r="V27" s="35">
        <f t="shared" si="10"/>
        <v>0</v>
      </c>
      <c r="W27" s="35">
        <f t="shared" si="10"/>
        <v>6728.6559999999999</v>
      </c>
      <c r="X27" s="35">
        <f t="shared" si="10"/>
        <v>75.808000000000007</v>
      </c>
      <c r="Y27" s="35">
        <f t="shared" si="10"/>
        <v>105.504</v>
      </c>
      <c r="Z27" s="35">
        <f t="shared" si="10"/>
        <v>0</v>
      </c>
      <c r="AA27" s="35">
        <f t="shared" si="10"/>
        <v>331.91200000000003</v>
      </c>
      <c r="AB27" s="35">
        <f t="shared" si="10"/>
        <v>0</v>
      </c>
      <c r="AC27" s="35">
        <f t="shared" si="10"/>
        <v>0</v>
      </c>
      <c r="AD27" s="35">
        <f t="shared" si="10"/>
        <v>0</v>
      </c>
      <c r="AE27" s="35">
        <f t="shared" si="10"/>
        <v>0</v>
      </c>
      <c r="AF27" s="35">
        <f t="shared" si="10"/>
        <v>0</v>
      </c>
      <c r="AG27" s="35">
        <f t="shared" si="10"/>
        <v>0</v>
      </c>
      <c r="AH27" s="4">
        <f t="shared" si="3"/>
        <v>20901.784000000003</v>
      </c>
      <c r="AI27" s="129">
        <f t="shared" si="4"/>
        <v>12775.456000000002</v>
      </c>
      <c r="AJ27" s="129">
        <f t="shared" si="5"/>
        <v>884.44799999999998</v>
      </c>
      <c r="AK27" s="129">
        <f t="shared" si="6"/>
        <v>6728.6559999999999</v>
      </c>
      <c r="AL27" s="129">
        <f t="shared" si="7"/>
        <v>513.22400000000005</v>
      </c>
    </row>
    <row r="28" spans="1:38">
      <c r="A28" s="1" t="s">
        <v>142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4">
        <f t="shared" si="1"/>
        <v>0</v>
      </c>
      <c r="P28" s="15"/>
      <c r="R28" s="1" t="s">
        <v>23</v>
      </c>
      <c r="S28" s="35">
        <f t="shared" si="10"/>
        <v>456624.64000000007</v>
      </c>
      <c r="T28" s="35">
        <f t="shared" si="10"/>
        <v>53957.936000000002</v>
      </c>
      <c r="U28" s="35">
        <f t="shared" si="10"/>
        <v>44273.928000000007</v>
      </c>
      <c r="V28" s="35">
        <f t="shared" si="10"/>
        <v>9501.4</v>
      </c>
      <c r="W28" s="35">
        <f t="shared" si="10"/>
        <v>226567.52000000002</v>
      </c>
      <c r="X28" s="35">
        <f t="shared" si="10"/>
        <v>4313.232</v>
      </c>
      <c r="Y28" s="35">
        <f t="shared" si="10"/>
        <v>6379.2880000000005</v>
      </c>
      <c r="Z28" s="35">
        <f t="shared" si="10"/>
        <v>0</v>
      </c>
      <c r="AA28" s="35">
        <f t="shared" si="10"/>
        <v>10659.184000000001</v>
      </c>
      <c r="AB28" s="35">
        <f t="shared" si="10"/>
        <v>0</v>
      </c>
      <c r="AC28" s="35">
        <f t="shared" si="10"/>
        <v>0</v>
      </c>
      <c r="AD28" s="35">
        <f t="shared" si="10"/>
        <v>216.33600000000001</v>
      </c>
      <c r="AE28" s="35">
        <f t="shared" si="10"/>
        <v>285.17600000000004</v>
      </c>
      <c r="AF28" s="35">
        <f t="shared" si="10"/>
        <v>0</v>
      </c>
      <c r="AG28" s="35">
        <f t="shared" si="10"/>
        <v>0</v>
      </c>
      <c r="AH28" s="4">
        <f t="shared" si="3"/>
        <v>812778.64000000013</v>
      </c>
      <c r="AI28" s="129">
        <f t="shared" si="4"/>
        <v>510582.57600000006</v>
      </c>
      <c r="AJ28" s="129">
        <f t="shared" si="5"/>
        <v>53775.328000000009</v>
      </c>
      <c r="AK28" s="129">
        <f t="shared" si="6"/>
        <v>226567.52000000002</v>
      </c>
      <c r="AL28" s="129">
        <f t="shared" si="7"/>
        <v>21853.216</v>
      </c>
    </row>
    <row r="29" spans="1:38">
      <c r="A29" s="1" t="s">
        <v>143</v>
      </c>
      <c r="B29" s="35"/>
      <c r="C29" s="35">
        <v>1147.6600000000001</v>
      </c>
      <c r="D29" s="35"/>
      <c r="E29" s="35">
        <v>84.03</v>
      </c>
      <c r="F29" s="35"/>
      <c r="G29" s="35"/>
      <c r="H29" s="35">
        <v>489.98</v>
      </c>
      <c r="I29" s="35"/>
      <c r="J29" s="35"/>
      <c r="K29" s="35"/>
      <c r="L29" s="35"/>
      <c r="M29" s="35"/>
      <c r="N29" s="35"/>
      <c r="O29" s="4">
        <f>SUM(B29:N29)</f>
        <v>1721.67</v>
      </c>
      <c r="P29" s="15"/>
      <c r="R29" s="1" t="s">
        <v>25</v>
      </c>
      <c r="S29" s="35">
        <f t="shared" si="10"/>
        <v>3077291.2719999999</v>
      </c>
      <c r="T29" s="35">
        <f t="shared" si="10"/>
        <v>356602.92000000004</v>
      </c>
      <c r="U29" s="35">
        <f t="shared" si="10"/>
        <v>305585.45600000001</v>
      </c>
      <c r="V29" s="35">
        <f t="shared" si="10"/>
        <v>39509.712</v>
      </c>
      <c r="W29" s="35">
        <f t="shared" si="10"/>
        <v>1587301.6320000002</v>
      </c>
      <c r="X29" s="35">
        <f t="shared" si="10"/>
        <v>17360.032000000003</v>
      </c>
      <c r="Y29" s="35">
        <f t="shared" si="10"/>
        <v>59244.671999999999</v>
      </c>
      <c r="Z29" s="35">
        <f t="shared" si="10"/>
        <v>2135.1200000000003</v>
      </c>
      <c r="AA29" s="35">
        <f t="shared" si="10"/>
        <v>67256.432000000001</v>
      </c>
      <c r="AB29" s="35">
        <f t="shared" si="10"/>
        <v>4391.6480000000001</v>
      </c>
      <c r="AC29" s="35">
        <f t="shared" si="10"/>
        <v>298.01600000000002</v>
      </c>
      <c r="AD29" s="35">
        <f t="shared" si="10"/>
        <v>0</v>
      </c>
      <c r="AE29" s="35">
        <f t="shared" si="10"/>
        <v>4259.3280000000004</v>
      </c>
      <c r="AF29" s="35">
        <f>AF99</f>
        <v>688.44</v>
      </c>
      <c r="AG29" s="35">
        <f>AG99</f>
        <v>6586.38</v>
      </c>
      <c r="AH29" s="4">
        <f t="shared" si="3"/>
        <v>5528511.0600000005</v>
      </c>
      <c r="AI29" s="129">
        <f t="shared" si="4"/>
        <v>3435041.852</v>
      </c>
      <c r="AJ29" s="129">
        <f t="shared" si="5"/>
        <v>345179.19800000003</v>
      </c>
      <c r="AK29" s="129">
        <f t="shared" si="6"/>
        <v>1587301.6320000002</v>
      </c>
      <c r="AL29" s="129">
        <f t="shared" si="7"/>
        <v>162710.04800000001</v>
      </c>
    </row>
    <row r="30" spans="1:38">
      <c r="A30" s="1" t="s">
        <v>144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4">
        <f t="shared" si="1"/>
        <v>0</v>
      </c>
      <c r="P30" s="15"/>
      <c r="R30" s="1" t="s">
        <v>24</v>
      </c>
      <c r="S30" s="35">
        <f t="shared" si="10"/>
        <v>44751.808000000005</v>
      </c>
      <c r="T30" s="35">
        <f t="shared" si="10"/>
        <v>7233.0560000000005</v>
      </c>
      <c r="U30" s="35">
        <f t="shared" si="10"/>
        <v>6721.7920000000004</v>
      </c>
      <c r="V30" s="35">
        <f t="shared" si="10"/>
        <v>1622.2560000000001</v>
      </c>
      <c r="W30" s="35">
        <f t="shared" si="10"/>
        <v>35138.576000000001</v>
      </c>
      <c r="X30" s="35">
        <f t="shared" si="10"/>
        <v>985.50400000000013</v>
      </c>
      <c r="Y30" s="35">
        <f t="shared" si="10"/>
        <v>648.76800000000003</v>
      </c>
      <c r="Z30" s="35">
        <f t="shared" si="10"/>
        <v>0</v>
      </c>
      <c r="AA30" s="35">
        <f t="shared" si="10"/>
        <v>1723.2400000000002</v>
      </c>
      <c r="AB30" s="35">
        <f t="shared" si="10"/>
        <v>75.808000000000007</v>
      </c>
      <c r="AC30" s="35">
        <f t="shared" si="10"/>
        <v>0</v>
      </c>
      <c r="AD30" s="35">
        <f t="shared" si="10"/>
        <v>0</v>
      </c>
      <c r="AE30" s="35">
        <f t="shared" si="10"/>
        <v>22.112000000000002</v>
      </c>
      <c r="AF30" s="35">
        <f t="shared" si="10"/>
        <v>0</v>
      </c>
      <c r="AG30" s="35">
        <f t="shared" si="10"/>
        <v>0</v>
      </c>
      <c r="AH30" s="4">
        <f t="shared" si="3"/>
        <v>98922.920000000013</v>
      </c>
      <c r="AI30" s="129">
        <f t="shared" si="4"/>
        <v>51984.864000000001</v>
      </c>
      <c r="AJ30" s="129">
        <f t="shared" si="5"/>
        <v>8344.0480000000007</v>
      </c>
      <c r="AK30" s="129">
        <f t="shared" si="6"/>
        <v>35138.576000000001</v>
      </c>
      <c r="AL30" s="129">
        <f t="shared" si="7"/>
        <v>3455.4320000000007</v>
      </c>
    </row>
    <row r="31" spans="1:38">
      <c r="A31" s="1" t="s">
        <v>145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4">
        <f t="shared" si="1"/>
        <v>0</v>
      </c>
      <c r="P31" s="15"/>
      <c r="R31" s="1" t="s">
        <v>26</v>
      </c>
      <c r="S31" s="35">
        <f t="shared" si="10"/>
        <v>18112.760000000002</v>
      </c>
      <c r="T31" s="35">
        <f t="shared" si="10"/>
        <v>7008.9039999999995</v>
      </c>
      <c r="U31" s="35">
        <f t="shared" si="10"/>
        <v>2962.8960000000002</v>
      </c>
      <c r="V31" s="35">
        <f t="shared" si="10"/>
        <v>2671.768</v>
      </c>
      <c r="W31" s="35">
        <f t="shared" si="10"/>
        <v>16575.871999999999</v>
      </c>
      <c r="X31" s="35">
        <f t="shared" si="10"/>
        <v>227.42399999999998</v>
      </c>
      <c r="Y31" s="35">
        <f t="shared" si="10"/>
        <v>1123.616</v>
      </c>
      <c r="Z31" s="35">
        <f t="shared" si="10"/>
        <v>427.024</v>
      </c>
      <c r="AA31" s="35">
        <f t="shared" si="10"/>
        <v>1500.7040000000002</v>
      </c>
      <c r="AB31" s="35">
        <f t="shared" si="10"/>
        <v>75.808000000000007</v>
      </c>
      <c r="AC31" s="35">
        <f t="shared" si="10"/>
        <v>146.4</v>
      </c>
      <c r="AD31" s="35">
        <f t="shared" si="10"/>
        <v>0</v>
      </c>
      <c r="AE31" s="35">
        <f t="shared" si="10"/>
        <v>22.112000000000002</v>
      </c>
      <c r="AF31" s="35">
        <f t="shared" si="10"/>
        <v>0</v>
      </c>
      <c r="AG31" s="35">
        <f t="shared" si="10"/>
        <v>272.16800000000001</v>
      </c>
      <c r="AH31" s="4">
        <f t="shared" si="3"/>
        <v>51127.455999999991</v>
      </c>
      <c r="AI31" s="129">
        <f t="shared" si="4"/>
        <v>25121.664000000001</v>
      </c>
      <c r="AJ31" s="129">
        <f t="shared" si="5"/>
        <v>5634.6640000000007</v>
      </c>
      <c r="AK31" s="129">
        <f t="shared" si="6"/>
        <v>16575.871999999999</v>
      </c>
      <c r="AL31" s="129">
        <f t="shared" si="7"/>
        <v>3795.2560000000003</v>
      </c>
    </row>
    <row r="32" spans="1:38">
      <c r="A32" s="6" t="s">
        <v>37</v>
      </c>
      <c r="B32" s="7">
        <f>SUM(B5:B31)</f>
        <v>0</v>
      </c>
      <c r="C32" s="7">
        <f>SUM(C5:C31)</f>
        <v>3307.37</v>
      </c>
      <c r="D32" s="7">
        <f>SUM(D5:D31)</f>
        <v>0</v>
      </c>
      <c r="E32" s="7">
        <f>SUM(E5:E31)</f>
        <v>590.78</v>
      </c>
      <c r="F32" s="7">
        <f t="shared" ref="F32:N32" si="11">SUM(F5:F31)</f>
        <v>0</v>
      </c>
      <c r="G32" s="7">
        <f t="shared" si="11"/>
        <v>0</v>
      </c>
      <c r="H32" s="7">
        <f t="shared" si="11"/>
        <v>1555.66</v>
      </c>
      <c r="I32" s="7">
        <f t="shared" si="11"/>
        <v>0</v>
      </c>
      <c r="J32" s="7">
        <f t="shared" si="11"/>
        <v>0</v>
      </c>
      <c r="K32" s="7">
        <f t="shared" si="11"/>
        <v>0</v>
      </c>
      <c r="L32" s="7">
        <f t="shared" si="11"/>
        <v>0</v>
      </c>
      <c r="M32" s="7">
        <f t="shared" si="11"/>
        <v>0</v>
      </c>
      <c r="N32" s="7">
        <f t="shared" si="11"/>
        <v>0</v>
      </c>
      <c r="O32" s="7">
        <f>SUM(O5:O31)</f>
        <v>5453.81</v>
      </c>
      <c r="P32" s="15"/>
      <c r="R32" s="6" t="s">
        <v>37</v>
      </c>
      <c r="S32" s="7">
        <f>SUM(S5:S31)</f>
        <v>8603894.6000000015</v>
      </c>
      <c r="T32" s="7">
        <f>SUM(T5:T31)</f>
        <v>1153776.4480000003</v>
      </c>
      <c r="U32" s="7">
        <f>SUM(U5:U31)</f>
        <v>888736.08</v>
      </c>
      <c r="V32" s="7">
        <f>SUM(V5:V31)</f>
        <v>168276.18400000001</v>
      </c>
      <c r="W32" s="7">
        <f t="shared" ref="W32:AG32" si="12">SUM(W5:W31)</f>
        <v>4363954.3040000014</v>
      </c>
      <c r="X32" s="7">
        <f t="shared" si="12"/>
        <v>73168.112000000008</v>
      </c>
      <c r="Y32" s="7">
        <f t="shared" si="12"/>
        <v>180962.39200000005</v>
      </c>
      <c r="Z32" s="7">
        <f t="shared" si="12"/>
        <v>10819.624</v>
      </c>
      <c r="AA32" s="7">
        <f t="shared" si="12"/>
        <v>219026.67200000002</v>
      </c>
      <c r="AB32" s="7">
        <f t="shared" si="12"/>
        <v>13849.392000000003</v>
      </c>
      <c r="AC32" s="7">
        <f t="shared" si="12"/>
        <v>747.64800000000002</v>
      </c>
      <c r="AD32" s="7">
        <f t="shared" si="12"/>
        <v>216.33600000000001</v>
      </c>
      <c r="AE32" s="7">
        <f t="shared" si="12"/>
        <v>11415.399999999998</v>
      </c>
      <c r="AF32" s="7">
        <f t="shared" si="12"/>
        <v>732.80400000000009</v>
      </c>
      <c r="AG32" s="7">
        <f t="shared" si="12"/>
        <v>7440.4879999999994</v>
      </c>
      <c r="AH32" s="7">
        <f>SUM(AH5:AH31)</f>
        <v>15697016.484000005</v>
      </c>
      <c r="AI32" s="129">
        <f t="shared" si="4"/>
        <v>9760978.4180000015</v>
      </c>
      <c r="AJ32" s="129">
        <f t="shared" si="5"/>
        <v>1057603.044</v>
      </c>
      <c r="AK32" s="129">
        <f t="shared" si="6"/>
        <v>4363954.3040000014</v>
      </c>
      <c r="AL32" s="129">
        <f t="shared" si="7"/>
        <v>519934.52800000011</v>
      </c>
    </row>
    <row r="33" spans="1:38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20"/>
      <c r="P33" s="15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  <c r="AI33" s="129"/>
      <c r="AJ33" s="129"/>
      <c r="AK33" s="129"/>
      <c r="AL33" s="129"/>
    </row>
    <row r="34" spans="1:38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P34" s="15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  <c r="AI34" s="129"/>
      <c r="AJ34" s="129"/>
      <c r="AK34" s="129"/>
      <c r="AL34" s="129"/>
    </row>
    <row r="35" spans="1:38">
      <c r="A35" s="42" t="s">
        <v>14</v>
      </c>
      <c r="B35" s="295" t="s">
        <v>46</v>
      </c>
      <c r="C35" s="295"/>
      <c r="D35" s="295"/>
      <c r="E35" s="295"/>
      <c r="F35" s="295"/>
      <c r="G35" s="295"/>
      <c r="H35" s="295"/>
      <c r="I35" s="32"/>
      <c r="J35" s="32"/>
      <c r="K35" s="32"/>
      <c r="L35" s="32"/>
      <c r="M35" s="32"/>
      <c r="N35" s="32"/>
      <c r="O35" s="33"/>
      <c r="P35" s="15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  <c r="AI35" s="129"/>
      <c r="AJ35" s="129"/>
      <c r="AK35" s="129"/>
      <c r="AL35" s="129"/>
    </row>
    <row r="36" spans="1:38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P36" s="15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  <c r="AI36" s="129"/>
      <c r="AJ36" s="129"/>
      <c r="AK36" s="129"/>
      <c r="AL36" s="129"/>
    </row>
    <row r="37" spans="1:38" ht="46.5">
      <c r="A37" s="292" t="s">
        <v>58</v>
      </c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4"/>
      <c r="P37" s="15"/>
      <c r="R37" s="292" t="s">
        <v>60</v>
      </c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4"/>
      <c r="AI37" s="129"/>
      <c r="AJ37" s="129"/>
      <c r="AK37" s="129"/>
      <c r="AL37" s="129"/>
    </row>
    <row r="38" spans="1:38" ht="21.75" customHeight="1">
      <c r="A38" s="290" t="s">
        <v>33</v>
      </c>
      <c r="B38" s="287" t="s">
        <v>27</v>
      </c>
      <c r="C38" s="288"/>
      <c r="D38" s="287" t="s">
        <v>29</v>
      </c>
      <c r="E38" s="288"/>
      <c r="F38" s="285" t="s">
        <v>28</v>
      </c>
      <c r="G38" s="285" t="s">
        <v>36</v>
      </c>
      <c r="H38" s="285" t="s">
        <v>30</v>
      </c>
      <c r="I38" s="285" t="s">
        <v>31</v>
      </c>
      <c r="J38" s="285" t="s">
        <v>41</v>
      </c>
      <c r="K38" s="285" t="s">
        <v>35</v>
      </c>
      <c r="L38" s="285" t="s">
        <v>40</v>
      </c>
      <c r="M38" s="285" t="s">
        <v>42</v>
      </c>
      <c r="N38" s="285" t="s">
        <v>45</v>
      </c>
      <c r="O38" s="285" t="s">
        <v>34</v>
      </c>
      <c r="P38" s="15"/>
      <c r="R38" s="290" t="s">
        <v>33</v>
      </c>
      <c r="S38" s="287" t="s">
        <v>27</v>
      </c>
      <c r="T38" s="288"/>
      <c r="U38" s="287" t="s">
        <v>29</v>
      </c>
      <c r="V38" s="288"/>
      <c r="W38" s="285" t="s">
        <v>28</v>
      </c>
      <c r="X38" s="285" t="s">
        <v>36</v>
      </c>
      <c r="Y38" s="285" t="s">
        <v>30</v>
      </c>
      <c r="Z38" s="285" t="s">
        <v>31</v>
      </c>
      <c r="AA38" s="285" t="s">
        <v>41</v>
      </c>
      <c r="AB38" s="285" t="s">
        <v>35</v>
      </c>
      <c r="AC38" s="285" t="s">
        <v>40</v>
      </c>
      <c r="AD38" s="285" t="s">
        <v>42</v>
      </c>
      <c r="AE38" s="285" t="s">
        <v>45</v>
      </c>
      <c r="AF38" s="287" t="s">
        <v>52</v>
      </c>
      <c r="AG38" s="288"/>
      <c r="AH38" s="285" t="s">
        <v>34</v>
      </c>
      <c r="AI38" s="129"/>
      <c r="AJ38" s="129"/>
      <c r="AK38" s="129"/>
      <c r="AL38" s="129"/>
    </row>
    <row r="39" spans="1:38" ht="30">
      <c r="A39" s="291"/>
      <c r="B39" s="56" t="s">
        <v>43</v>
      </c>
      <c r="C39" s="56" t="s">
        <v>44</v>
      </c>
      <c r="D39" s="56" t="s">
        <v>43</v>
      </c>
      <c r="E39" s="56" t="s">
        <v>44</v>
      </c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15"/>
      <c r="R39" s="291"/>
      <c r="S39" s="56" t="s">
        <v>43</v>
      </c>
      <c r="T39" s="56" t="s">
        <v>44</v>
      </c>
      <c r="U39" s="56" t="s">
        <v>43</v>
      </c>
      <c r="V39" s="56" t="s">
        <v>44</v>
      </c>
      <c r="W39" s="286"/>
      <c r="X39" s="286"/>
      <c r="Y39" s="286"/>
      <c r="Z39" s="286"/>
      <c r="AA39" s="286"/>
      <c r="AB39" s="286"/>
      <c r="AC39" s="286"/>
      <c r="AD39" s="286"/>
      <c r="AE39" s="286"/>
      <c r="AF39" s="55" t="s">
        <v>53</v>
      </c>
      <c r="AG39" s="55" t="s">
        <v>54</v>
      </c>
      <c r="AH39" s="286"/>
      <c r="AI39" s="129" t="s">
        <v>230</v>
      </c>
      <c r="AJ39" s="129" t="s">
        <v>231</v>
      </c>
      <c r="AK39" s="129" t="s">
        <v>28</v>
      </c>
      <c r="AL39" s="129" t="s">
        <v>233</v>
      </c>
    </row>
    <row r="40" spans="1:38">
      <c r="A40" s="1" t="s">
        <v>119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4">
        <f>SUM(B40:N40)</f>
        <v>0</v>
      </c>
      <c r="P40" s="15"/>
      <c r="R40" s="1" t="s">
        <v>0</v>
      </c>
      <c r="S40" s="35">
        <f>S75*0.2</f>
        <v>4845.9540000000006</v>
      </c>
      <c r="T40" s="35">
        <f t="shared" ref="T40:AE40" si="13">T75*0.2</f>
        <v>635.97200000000009</v>
      </c>
      <c r="U40" s="35">
        <f t="shared" si="13"/>
        <v>619.11200000000008</v>
      </c>
      <c r="V40" s="35">
        <f t="shared" si="13"/>
        <v>89.888000000000005</v>
      </c>
      <c r="W40" s="35">
        <f t="shared" si="13"/>
        <v>1853.384</v>
      </c>
      <c r="X40" s="35">
        <f t="shared" si="13"/>
        <v>188.86800000000002</v>
      </c>
      <c r="Y40" s="35">
        <f t="shared" si="13"/>
        <v>92.668000000000006</v>
      </c>
      <c r="Z40" s="35">
        <f t="shared" si="13"/>
        <v>0</v>
      </c>
      <c r="AA40" s="35">
        <f t="shared" si="13"/>
        <v>131.75200000000001</v>
      </c>
      <c r="AB40" s="35">
        <f t="shared" si="13"/>
        <v>0</v>
      </c>
      <c r="AC40" s="35">
        <f t="shared" si="13"/>
        <v>0</v>
      </c>
      <c r="AD40" s="35">
        <f t="shared" si="13"/>
        <v>0</v>
      </c>
      <c r="AE40" s="35">
        <f t="shared" si="13"/>
        <v>5.5280000000000005</v>
      </c>
      <c r="AF40" s="35">
        <v>0</v>
      </c>
      <c r="AG40" s="35">
        <v>0</v>
      </c>
      <c r="AH40" s="4">
        <f>SUM(S40:AG40)</f>
        <v>8463.1260000000002</v>
      </c>
      <c r="AI40" s="129">
        <f>B40+C40+S40+T40</f>
        <v>5481.9260000000004</v>
      </c>
      <c r="AJ40" s="129">
        <f>D40+E40+U40+V40</f>
        <v>709.00000000000011</v>
      </c>
      <c r="AK40" s="129">
        <f>F40+W40</f>
        <v>1853.384</v>
      </c>
      <c r="AL40" s="129">
        <f>SUM(G40:N40)+SUM(X40:AG40)</f>
        <v>418.81600000000009</v>
      </c>
    </row>
    <row r="41" spans="1:38">
      <c r="A41" s="1" t="s">
        <v>120</v>
      </c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4">
        <f t="shared" ref="O41:O66" si="14">SUM(B41:N41)</f>
        <v>0</v>
      </c>
      <c r="P41" s="15"/>
      <c r="R41" s="1" t="s">
        <v>1</v>
      </c>
      <c r="S41" s="35">
        <f t="shared" ref="S41:AF66" si="15">S76*0.2</f>
        <v>19293.067999999999</v>
      </c>
      <c r="T41" s="35">
        <f t="shared" si="15"/>
        <v>2473.6200000000003</v>
      </c>
      <c r="U41" s="35">
        <f t="shared" si="15"/>
        <v>1017.1120000000001</v>
      </c>
      <c r="V41" s="35">
        <f t="shared" si="15"/>
        <v>42.704000000000008</v>
      </c>
      <c r="W41" s="35">
        <f t="shared" si="15"/>
        <v>7642.9160000000011</v>
      </c>
      <c r="X41" s="35">
        <f t="shared" si="15"/>
        <v>113.71199999999999</v>
      </c>
      <c r="Y41" s="35">
        <f t="shared" si="15"/>
        <v>241.072</v>
      </c>
      <c r="Z41" s="35">
        <f t="shared" si="15"/>
        <v>161.65600000000001</v>
      </c>
      <c r="AA41" s="35">
        <f t="shared" si="15"/>
        <v>428.22200000000004</v>
      </c>
      <c r="AB41" s="35">
        <f t="shared" si="15"/>
        <v>18.952000000000002</v>
      </c>
      <c r="AC41" s="35">
        <f t="shared" si="15"/>
        <v>0</v>
      </c>
      <c r="AD41" s="35">
        <f t="shared" si="15"/>
        <v>0</v>
      </c>
      <c r="AE41" s="35">
        <f t="shared" si="15"/>
        <v>33.167999999999999</v>
      </c>
      <c r="AF41" s="35">
        <v>0</v>
      </c>
      <c r="AG41" s="35">
        <v>0</v>
      </c>
      <c r="AH41" s="4">
        <f t="shared" ref="AH41:AH66" si="16">SUM(S41:AG41)</f>
        <v>31466.202000000005</v>
      </c>
      <c r="AI41" s="129">
        <f t="shared" ref="AI41:AI67" si="17">B41+C41+S41+T41</f>
        <v>21766.687999999998</v>
      </c>
      <c r="AJ41" s="129">
        <f t="shared" ref="AJ41:AJ67" si="18">D41+E41+U41+V41</f>
        <v>1059.816</v>
      </c>
      <c r="AK41" s="129">
        <f t="shared" ref="AK41:AK67" si="19">F41+W41</f>
        <v>7642.9160000000011</v>
      </c>
      <c r="AL41" s="129">
        <f t="shared" ref="AL41:AL67" si="20">SUM(G41:N41)+SUM(X41:AG41)</f>
        <v>996.78200000000004</v>
      </c>
    </row>
    <row r="42" spans="1:38">
      <c r="A42" s="18" t="s">
        <v>121</v>
      </c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4">
        <f t="shared" si="14"/>
        <v>0</v>
      </c>
      <c r="P42" s="15"/>
      <c r="R42" s="18" t="s">
        <v>2</v>
      </c>
      <c r="S42" s="35">
        <f t="shared" ref="S42:AE42" si="21">S77*0.2</f>
        <v>3782.8680000000004</v>
      </c>
      <c r="T42" s="35">
        <f t="shared" si="21"/>
        <v>2188.4119999999998</v>
      </c>
      <c r="U42" s="35">
        <f t="shared" si="21"/>
        <v>705.71600000000001</v>
      </c>
      <c r="V42" s="35">
        <f t="shared" si="21"/>
        <v>162.876</v>
      </c>
      <c r="W42" s="35">
        <f t="shared" si="21"/>
        <v>3762.3199999999997</v>
      </c>
      <c r="X42" s="35">
        <f t="shared" si="21"/>
        <v>302.58000000000004</v>
      </c>
      <c r="Y42" s="35">
        <f t="shared" si="21"/>
        <v>211.322</v>
      </c>
      <c r="Z42" s="35">
        <f t="shared" si="21"/>
        <v>0</v>
      </c>
      <c r="AA42" s="35">
        <f t="shared" si="21"/>
        <v>414.16400000000004</v>
      </c>
      <c r="AB42" s="35">
        <f t="shared" si="21"/>
        <v>0</v>
      </c>
      <c r="AC42" s="35">
        <f t="shared" si="21"/>
        <v>0</v>
      </c>
      <c r="AD42" s="35">
        <f t="shared" si="21"/>
        <v>0</v>
      </c>
      <c r="AE42" s="35">
        <f t="shared" si="21"/>
        <v>0</v>
      </c>
      <c r="AF42" s="35">
        <v>0</v>
      </c>
      <c r="AG42" s="35">
        <v>0</v>
      </c>
      <c r="AH42" s="4">
        <f t="shared" si="16"/>
        <v>11530.258000000002</v>
      </c>
      <c r="AI42" s="129">
        <f t="shared" si="17"/>
        <v>5971.2800000000007</v>
      </c>
      <c r="AJ42" s="129">
        <f t="shared" si="18"/>
        <v>868.59199999999998</v>
      </c>
      <c r="AK42" s="129">
        <f t="shared" si="19"/>
        <v>3762.3199999999997</v>
      </c>
      <c r="AL42" s="129">
        <f t="shared" si="20"/>
        <v>928.06600000000003</v>
      </c>
    </row>
    <row r="43" spans="1:38">
      <c r="A43" s="2" t="s">
        <v>122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4">
        <f t="shared" si="14"/>
        <v>0</v>
      </c>
      <c r="P43" s="15"/>
      <c r="R43" s="2" t="s">
        <v>3</v>
      </c>
      <c r="S43" s="35">
        <f t="shared" ref="S43:AE43" si="22">S78*0.2</f>
        <v>12880.458000000001</v>
      </c>
      <c r="T43" s="35">
        <f t="shared" si="22"/>
        <v>3484.7300000000005</v>
      </c>
      <c r="U43" s="35">
        <f t="shared" si="22"/>
        <v>1061.336</v>
      </c>
      <c r="V43" s="35">
        <f t="shared" si="22"/>
        <v>661.80000000000007</v>
      </c>
      <c r="W43" s="35">
        <f t="shared" si="22"/>
        <v>6762.6480000000001</v>
      </c>
      <c r="X43" s="35">
        <f t="shared" si="22"/>
        <v>150.96400000000003</v>
      </c>
      <c r="Y43" s="35">
        <f t="shared" si="22"/>
        <v>378.262</v>
      </c>
      <c r="Z43" s="35">
        <f t="shared" si="22"/>
        <v>0</v>
      </c>
      <c r="AA43" s="35">
        <f t="shared" si="22"/>
        <v>672.17600000000004</v>
      </c>
      <c r="AB43" s="35">
        <f t="shared" si="22"/>
        <v>0</v>
      </c>
      <c r="AC43" s="35">
        <f t="shared" si="22"/>
        <v>0</v>
      </c>
      <c r="AD43" s="35">
        <f t="shared" si="22"/>
        <v>0</v>
      </c>
      <c r="AE43" s="35">
        <f t="shared" si="22"/>
        <v>11.056000000000001</v>
      </c>
      <c r="AF43" s="35">
        <v>0</v>
      </c>
      <c r="AG43" s="35">
        <v>0</v>
      </c>
      <c r="AH43" s="4">
        <f t="shared" si="16"/>
        <v>26063.43</v>
      </c>
      <c r="AI43" s="129">
        <f t="shared" si="17"/>
        <v>16365.188000000002</v>
      </c>
      <c r="AJ43" s="129">
        <f t="shared" si="18"/>
        <v>1723.136</v>
      </c>
      <c r="AK43" s="129">
        <f t="shared" si="19"/>
        <v>6762.6480000000001</v>
      </c>
      <c r="AL43" s="129">
        <f t="shared" si="20"/>
        <v>1212.4580000000001</v>
      </c>
    </row>
    <row r="44" spans="1:38">
      <c r="A44" s="1" t="s">
        <v>123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4">
        <f t="shared" si="14"/>
        <v>0</v>
      </c>
      <c r="P44" s="15"/>
      <c r="R44" s="1" t="s">
        <v>4</v>
      </c>
      <c r="S44" s="35">
        <f t="shared" si="15"/>
        <v>47602.564000000006</v>
      </c>
      <c r="T44" s="35">
        <f t="shared" si="15"/>
        <v>9008.3460000000014</v>
      </c>
      <c r="U44" s="35">
        <f t="shared" si="15"/>
        <v>5388.674</v>
      </c>
      <c r="V44" s="35">
        <f t="shared" si="15"/>
        <v>563.10200000000009</v>
      </c>
      <c r="W44" s="35">
        <f t="shared" si="15"/>
        <v>24299.204000000002</v>
      </c>
      <c r="X44" s="35">
        <f t="shared" si="15"/>
        <v>625.41600000000005</v>
      </c>
      <c r="Y44" s="35">
        <f t="shared" si="15"/>
        <v>1237.3500000000001</v>
      </c>
      <c r="Z44" s="35">
        <f t="shared" si="15"/>
        <v>0</v>
      </c>
      <c r="AA44" s="35">
        <f t="shared" si="15"/>
        <v>1514.1620000000003</v>
      </c>
      <c r="AB44" s="35">
        <f t="shared" si="15"/>
        <v>75.808000000000007</v>
      </c>
      <c r="AC44" s="35">
        <f t="shared" si="15"/>
        <v>0</v>
      </c>
      <c r="AD44" s="35">
        <f t="shared" si="15"/>
        <v>0</v>
      </c>
      <c r="AE44" s="35">
        <f t="shared" si="15"/>
        <v>76.441999999999993</v>
      </c>
      <c r="AF44" s="35">
        <v>0</v>
      </c>
      <c r="AG44" s="35">
        <v>0</v>
      </c>
      <c r="AH44" s="4">
        <f t="shared" si="16"/>
        <v>90391.067999999999</v>
      </c>
      <c r="AI44" s="129">
        <f t="shared" si="17"/>
        <v>56610.91</v>
      </c>
      <c r="AJ44" s="129">
        <f t="shared" si="18"/>
        <v>5951.7759999999998</v>
      </c>
      <c r="AK44" s="129">
        <f t="shared" si="19"/>
        <v>24299.204000000002</v>
      </c>
      <c r="AL44" s="129">
        <f t="shared" si="20"/>
        <v>3529.1780000000003</v>
      </c>
    </row>
    <row r="45" spans="1:38">
      <c r="A45" s="1" t="s">
        <v>124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4">
        <f t="shared" si="14"/>
        <v>0</v>
      </c>
      <c r="P45" s="15"/>
      <c r="R45" s="1" t="s">
        <v>5</v>
      </c>
      <c r="S45" s="35">
        <f t="shared" si="15"/>
        <v>31769.282000000003</v>
      </c>
      <c r="T45" s="35">
        <f t="shared" si="15"/>
        <v>5061.094000000001</v>
      </c>
      <c r="U45" s="35">
        <f t="shared" si="15"/>
        <v>2564.8940000000002</v>
      </c>
      <c r="V45" s="35">
        <f t="shared" si="15"/>
        <v>561.59199999999998</v>
      </c>
      <c r="W45" s="35">
        <f t="shared" si="15"/>
        <v>13799.752</v>
      </c>
      <c r="X45" s="35">
        <f t="shared" si="15"/>
        <v>113.06</v>
      </c>
      <c r="Y45" s="35">
        <f t="shared" si="15"/>
        <v>758.61599999999999</v>
      </c>
      <c r="Z45" s="35">
        <f t="shared" si="15"/>
        <v>0</v>
      </c>
      <c r="AA45" s="35">
        <f t="shared" si="15"/>
        <v>834.52800000000013</v>
      </c>
      <c r="AB45" s="35">
        <f t="shared" si="15"/>
        <v>189.52</v>
      </c>
      <c r="AC45" s="35">
        <f t="shared" si="15"/>
        <v>0</v>
      </c>
      <c r="AD45" s="35">
        <f t="shared" si="15"/>
        <v>0</v>
      </c>
      <c r="AE45" s="35">
        <f t="shared" si="15"/>
        <v>10.866</v>
      </c>
      <c r="AF45" s="35">
        <v>0</v>
      </c>
      <c r="AG45" s="35">
        <v>0</v>
      </c>
      <c r="AH45" s="4">
        <f t="shared" si="16"/>
        <v>55663.203999999998</v>
      </c>
      <c r="AI45" s="129">
        <f t="shared" si="17"/>
        <v>36830.376000000004</v>
      </c>
      <c r="AJ45" s="129">
        <f t="shared" si="18"/>
        <v>3126.4860000000003</v>
      </c>
      <c r="AK45" s="129">
        <f t="shared" si="19"/>
        <v>13799.752</v>
      </c>
      <c r="AL45" s="129">
        <f t="shared" si="20"/>
        <v>1906.5900000000001</v>
      </c>
    </row>
    <row r="46" spans="1:38">
      <c r="A46" s="1" t="s">
        <v>125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4">
        <f t="shared" si="14"/>
        <v>0</v>
      </c>
      <c r="P46" s="15"/>
      <c r="R46" s="1" t="s">
        <v>6</v>
      </c>
      <c r="S46" s="35">
        <f t="shared" si="15"/>
        <v>56686.888000000006</v>
      </c>
      <c r="T46" s="35">
        <f t="shared" si="15"/>
        <v>9575.514000000001</v>
      </c>
      <c r="U46" s="35">
        <f t="shared" si="15"/>
        <v>3722.0419999999999</v>
      </c>
      <c r="V46" s="35">
        <f t="shared" si="15"/>
        <v>748.32</v>
      </c>
      <c r="W46" s="35">
        <f t="shared" si="15"/>
        <v>19148.172000000002</v>
      </c>
      <c r="X46" s="35">
        <f t="shared" si="15"/>
        <v>435.24399999999997</v>
      </c>
      <c r="Y46" s="35">
        <f t="shared" si="15"/>
        <v>1460.1940000000002</v>
      </c>
      <c r="Z46" s="35">
        <f t="shared" si="15"/>
        <v>0</v>
      </c>
      <c r="AA46" s="35">
        <f t="shared" si="15"/>
        <v>1618.42</v>
      </c>
      <c r="AB46" s="35">
        <f t="shared" si="15"/>
        <v>56.855999999999995</v>
      </c>
      <c r="AC46" s="35">
        <f t="shared" si="15"/>
        <v>0</v>
      </c>
      <c r="AD46" s="35">
        <f t="shared" si="15"/>
        <v>0</v>
      </c>
      <c r="AE46" s="35">
        <f t="shared" si="15"/>
        <v>164.70000000000002</v>
      </c>
      <c r="AF46" s="35">
        <v>0</v>
      </c>
      <c r="AG46" s="35">
        <v>0</v>
      </c>
      <c r="AH46" s="4">
        <f t="shared" si="16"/>
        <v>93616.35000000002</v>
      </c>
      <c r="AI46" s="129">
        <f t="shared" si="17"/>
        <v>66262.402000000002</v>
      </c>
      <c r="AJ46" s="129">
        <f t="shared" si="18"/>
        <v>4470.3620000000001</v>
      </c>
      <c r="AK46" s="129">
        <f t="shared" si="19"/>
        <v>19148.172000000002</v>
      </c>
      <c r="AL46" s="129">
        <f t="shared" si="20"/>
        <v>3735.4139999999998</v>
      </c>
    </row>
    <row r="47" spans="1:38">
      <c r="A47" s="1" t="s">
        <v>126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4">
        <f t="shared" si="14"/>
        <v>0</v>
      </c>
      <c r="P47" s="15"/>
      <c r="R47" s="1" t="s">
        <v>7</v>
      </c>
      <c r="S47" s="35">
        <f t="shared" si="15"/>
        <v>38306.052000000003</v>
      </c>
      <c r="T47" s="35">
        <f t="shared" si="15"/>
        <v>6246.8600000000006</v>
      </c>
      <c r="U47" s="35">
        <f t="shared" si="15"/>
        <v>3281.6620000000003</v>
      </c>
      <c r="V47" s="35">
        <f t="shared" si="15"/>
        <v>1108.748</v>
      </c>
      <c r="W47" s="35">
        <f t="shared" si="15"/>
        <v>17825.444</v>
      </c>
      <c r="X47" s="35">
        <f t="shared" si="15"/>
        <v>541.78399999999999</v>
      </c>
      <c r="Y47" s="35">
        <f t="shared" si="15"/>
        <v>966.27600000000007</v>
      </c>
      <c r="Z47" s="35">
        <f t="shared" si="15"/>
        <v>220.422</v>
      </c>
      <c r="AA47" s="35">
        <f t="shared" si="15"/>
        <v>1171.3340000000001</v>
      </c>
      <c r="AB47" s="35">
        <f t="shared" si="15"/>
        <v>18.952000000000002</v>
      </c>
      <c r="AC47" s="35">
        <f t="shared" si="15"/>
        <v>0</v>
      </c>
      <c r="AD47" s="35">
        <f t="shared" si="15"/>
        <v>0</v>
      </c>
      <c r="AE47" s="35">
        <f t="shared" si="15"/>
        <v>21.922000000000001</v>
      </c>
      <c r="AF47" s="35">
        <v>0</v>
      </c>
      <c r="AG47" s="35">
        <v>0</v>
      </c>
      <c r="AH47" s="4">
        <f t="shared" si="16"/>
        <v>69709.45600000002</v>
      </c>
      <c r="AI47" s="129">
        <f t="shared" si="17"/>
        <v>44552.912000000004</v>
      </c>
      <c r="AJ47" s="129">
        <f t="shared" si="18"/>
        <v>4390.41</v>
      </c>
      <c r="AK47" s="129">
        <f t="shared" si="19"/>
        <v>17825.444</v>
      </c>
      <c r="AL47" s="129">
        <f t="shared" si="20"/>
        <v>2940.69</v>
      </c>
    </row>
    <row r="48" spans="1:38">
      <c r="A48" s="1" t="s">
        <v>127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4">
        <f t="shared" si="14"/>
        <v>0</v>
      </c>
      <c r="P48" s="15"/>
      <c r="R48" s="1" t="s">
        <v>8</v>
      </c>
      <c r="S48" s="35">
        <f t="shared" si="15"/>
        <v>35730.794000000002</v>
      </c>
      <c r="T48" s="35">
        <f t="shared" si="15"/>
        <v>7109.9800000000005</v>
      </c>
      <c r="U48" s="35">
        <f t="shared" si="15"/>
        <v>3220.3960000000002</v>
      </c>
      <c r="V48" s="35">
        <f t="shared" si="15"/>
        <v>832.36200000000008</v>
      </c>
      <c r="W48" s="35">
        <f t="shared" si="15"/>
        <v>30234.484000000004</v>
      </c>
      <c r="X48" s="35">
        <f t="shared" si="15"/>
        <v>757.428</v>
      </c>
      <c r="Y48" s="35">
        <f t="shared" si="15"/>
        <v>1018.1700000000001</v>
      </c>
      <c r="Z48" s="35">
        <f t="shared" si="15"/>
        <v>42.701999999999998</v>
      </c>
      <c r="AA48" s="35">
        <f t="shared" si="15"/>
        <v>1348.6980000000001</v>
      </c>
      <c r="AB48" s="35">
        <f t="shared" si="15"/>
        <v>37.904000000000003</v>
      </c>
      <c r="AC48" s="35">
        <f t="shared" si="15"/>
        <v>0</v>
      </c>
      <c r="AD48" s="35">
        <f t="shared" si="15"/>
        <v>0</v>
      </c>
      <c r="AE48" s="35">
        <f t="shared" si="15"/>
        <v>33.167999999999999</v>
      </c>
      <c r="AF48" s="35">
        <v>0</v>
      </c>
      <c r="AG48" s="35">
        <v>0</v>
      </c>
      <c r="AH48" s="4">
        <f t="shared" si="16"/>
        <v>80366.08600000001</v>
      </c>
      <c r="AI48" s="129">
        <f t="shared" si="17"/>
        <v>42840.774000000005</v>
      </c>
      <c r="AJ48" s="129">
        <f t="shared" si="18"/>
        <v>4052.7580000000003</v>
      </c>
      <c r="AK48" s="129">
        <f t="shared" si="19"/>
        <v>30234.484000000004</v>
      </c>
      <c r="AL48" s="129">
        <f t="shared" si="20"/>
        <v>3238.07</v>
      </c>
    </row>
    <row r="49" spans="1:38">
      <c r="A49" s="2" t="s">
        <v>128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4">
        <f t="shared" si="14"/>
        <v>0</v>
      </c>
      <c r="P49" s="15"/>
      <c r="R49" s="2" t="s">
        <v>9</v>
      </c>
      <c r="S49" s="35">
        <f t="shared" si="15"/>
        <v>11559.012000000001</v>
      </c>
      <c r="T49" s="35">
        <f t="shared" si="15"/>
        <v>3262.1280000000002</v>
      </c>
      <c r="U49" s="35">
        <f t="shared" si="15"/>
        <v>997.76800000000003</v>
      </c>
      <c r="V49" s="35">
        <f t="shared" si="15"/>
        <v>445.92</v>
      </c>
      <c r="W49" s="35">
        <f t="shared" si="15"/>
        <v>5975.14</v>
      </c>
      <c r="X49" s="35">
        <f t="shared" si="15"/>
        <v>227.42399999999998</v>
      </c>
      <c r="Y49" s="35">
        <f t="shared" si="15"/>
        <v>549.66999999999996</v>
      </c>
      <c r="Z49" s="35">
        <f t="shared" si="15"/>
        <v>0</v>
      </c>
      <c r="AA49" s="35">
        <f t="shared" si="15"/>
        <v>559.18600000000004</v>
      </c>
      <c r="AB49" s="35">
        <f t="shared" si="15"/>
        <v>56.855999999999995</v>
      </c>
      <c r="AC49" s="35">
        <f t="shared" si="15"/>
        <v>0</v>
      </c>
      <c r="AD49" s="35">
        <f t="shared" si="15"/>
        <v>0</v>
      </c>
      <c r="AE49" s="35">
        <f t="shared" si="15"/>
        <v>11.056000000000001</v>
      </c>
      <c r="AF49" s="35">
        <v>0</v>
      </c>
      <c r="AG49" s="35">
        <v>0</v>
      </c>
      <c r="AH49" s="4">
        <f t="shared" si="16"/>
        <v>23644.16</v>
      </c>
      <c r="AI49" s="129">
        <f t="shared" si="17"/>
        <v>14821.140000000001</v>
      </c>
      <c r="AJ49" s="129">
        <f t="shared" si="18"/>
        <v>1443.6880000000001</v>
      </c>
      <c r="AK49" s="129">
        <f t="shared" si="19"/>
        <v>5975.14</v>
      </c>
      <c r="AL49" s="129">
        <f t="shared" si="20"/>
        <v>1404.192</v>
      </c>
    </row>
    <row r="50" spans="1:38">
      <c r="A50" s="18" t="s">
        <v>129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4">
        <f t="shared" si="14"/>
        <v>0</v>
      </c>
      <c r="P50" s="15"/>
      <c r="R50" s="18" t="s">
        <v>10</v>
      </c>
      <c r="S50" s="35">
        <f t="shared" si="15"/>
        <v>24041.106</v>
      </c>
      <c r="T50" s="35">
        <f t="shared" si="15"/>
        <v>3430.1220000000003</v>
      </c>
      <c r="U50" s="35">
        <f t="shared" si="15"/>
        <v>2472.7660000000001</v>
      </c>
      <c r="V50" s="35">
        <f t="shared" si="15"/>
        <v>459.73</v>
      </c>
      <c r="W50" s="35">
        <f t="shared" si="15"/>
        <v>30200.448</v>
      </c>
      <c r="X50" s="35">
        <f t="shared" si="15"/>
        <v>319.57600000000002</v>
      </c>
      <c r="Y50" s="35">
        <f t="shared" si="15"/>
        <v>255.42600000000004</v>
      </c>
      <c r="Z50" s="35">
        <f t="shared" si="15"/>
        <v>0</v>
      </c>
      <c r="AA50" s="35">
        <f t="shared" si="15"/>
        <v>700.024</v>
      </c>
      <c r="AB50" s="35">
        <f t="shared" si="15"/>
        <v>18.952000000000002</v>
      </c>
      <c r="AC50" s="35">
        <f t="shared" si="15"/>
        <v>0</v>
      </c>
      <c r="AD50" s="35">
        <f t="shared" si="15"/>
        <v>0</v>
      </c>
      <c r="AE50" s="35">
        <f t="shared" si="15"/>
        <v>22.112000000000002</v>
      </c>
      <c r="AF50" s="35">
        <v>0</v>
      </c>
      <c r="AG50" s="35">
        <v>0</v>
      </c>
      <c r="AH50" s="4">
        <f t="shared" si="16"/>
        <v>61920.261999999995</v>
      </c>
      <c r="AI50" s="129">
        <f t="shared" si="17"/>
        <v>27471.227999999999</v>
      </c>
      <c r="AJ50" s="129">
        <f t="shared" si="18"/>
        <v>2932.4960000000001</v>
      </c>
      <c r="AK50" s="129">
        <f t="shared" si="19"/>
        <v>30200.448</v>
      </c>
      <c r="AL50" s="129">
        <f t="shared" si="20"/>
        <v>1316.0900000000001</v>
      </c>
    </row>
    <row r="51" spans="1:38">
      <c r="A51" s="1" t="s">
        <v>130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4">
        <f t="shared" si="14"/>
        <v>0</v>
      </c>
      <c r="P51" s="15"/>
      <c r="R51" s="1" t="s">
        <v>11</v>
      </c>
      <c r="S51" s="35">
        <f t="shared" si="15"/>
        <v>34293.953999999998</v>
      </c>
      <c r="T51" s="35">
        <f t="shared" si="15"/>
        <v>4660.8040000000001</v>
      </c>
      <c r="U51" s="35">
        <f t="shared" si="15"/>
        <v>4701.384</v>
      </c>
      <c r="V51" s="35">
        <f t="shared" si="15"/>
        <v>868.48799999999994</v>
      </c>
      <c r="W51" s="35">
        <f t="shared" si="15"/>
        <v>24759.876000000004</v>
      </c>
      <c r="X51" s="35">
        <f t="shared" si="15"/>
        <v>113.71199999999999</v>
      </c>
      <c r="Y51" s="35">
        <f t="shared" si="15"/>
        <v>667.69399999999996</v>
      </c>
      <c r="Z51" s="35">
        <f t="shared" si="15"/>
        <v>106.756</v>
      </c>
      <c r="AA51" s="35">
        <f t="shared" si="15"/>
        <v>766.45400000000006</v>
      </c>
      <c r="AB51" s="35">
        <f t="shared" si="15"/>
        <v>37.904000000000003</v>
      </c>
      <c r="AC51" s="35">
        <f t="shared" si="15"/>
        <v>0</v>
      </c>
      <c r="AD51" s="35">
        <f t="shared" si="15"/>
        <v>0</v>
      </c>
      <c r="AE51" s="35">
        <f t="shared" si="15"/>
        <v>21.731999999999999</v>
      </c>
      <c r="AF51" s="35">
        <f t="shared" si="15"/>
        <v>3.9460000000000002</v>
      </c>
      <c r="AG51" s="35">
        <v>0</v>
      </c>
      <c r="AH51" s="4">
        <f t="shared" si="16"/>
        <v>71002.703999999983</v>
      </c>
      <c r="AI51" s="129">
        <f t="shared" si="17"/>
        <v>38954.758000000002</v>
      </c>
      <c r="AJ51" s="129">
        <f t="shared" si="18"/>
        <v>5569.8720000000003</v>
      </c>
      <c r="AK51" s="129">
        <f t="shared" si="19"/>
        <v>24759.876000000004</v>
      </c>
      <c r="AL51" s="129">
        <f t="shared" si="20"/>
        <v>1718.1979999999999</v>
      </c>
    </row>
    <row r="52" spans="1:38">
      <c r="A52" s="1" t="s">
        <v>131</v>
      </c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4">
        <f t="shared" si="14"/>
        <v>0</v>
      </c>
      <c r="P52" s="15"/>
      <c r="R52" s="1" t="s">
        <v>12</v>
      </c>
      <c r="S52" s="35">
        <f t="shared" si="15"/>
        <v>190875.644</v>
      </c>
      <c r="T52" s="35">
        <f t="shared" si="15"/>
        <v>30423.484000000004</v>
      </c>
      <c r="U52" s="35">
        <f t="shared" si="15"/>
        <v>17173.922000000002</v>
      </c>
      <c r="V52" s="35">
        <f t="shared" si="15"/>
        <v>4483.6459999999997</v>
      </c>
      <c r="W52" s="35">
        <f t="shared" si="15"/>
        <v>67342.543999999994</v>
      </c>
      <c r="X52" s="35">
        <f t="shared" si="15"/>
        <v>947.6</v>
      </c>
      <c r="Y52" s="35">
        <f t="shared" si="15"/>
        <v>6393.4380000000001</v>
      </c>
      <c r="Z52" s="35">
        <f t="shared" si="15"/>
        <v>0</v>
      </c>
      <c r="AA52" s="35">
        <f t="shared" si="15"/>
        <v>5567.5660000000007</v>
      </c>
      <c r="AB52" s="35">
        <f t="shared" si="15"/>
        <v>584.25200000000007</v>
      </c>
      <c r="AC52" s="35">
        <f t="shared" si="15"/>
        <v>0</v>
      </c>
      <c r="AD52" s="35">
        <f t="shared" si="15"/>
        <v>0</v>
      </c>
      <c r="AE52" s="35">
        <f t="shared" si="15"/>
        <v>280.59800000000001</v>
      </c>
      <c r="AF52" s="35">
        <f t="shared" si="15"/>
        <v>0</v>
      </c>
      <c r="AG52" s="35">
        <v>0</v>
      </c>
      <c r="AH52" s="4">
        <f t="shared" si="16"/>
        <v>324072.69399999996</v>
      </c>
      <c r="AI52" s="129">
        <f t="shared" si="17"/>
        <v>221299.128</v>
      </c>
      <c r="AJ52" s="129">
        <f t="shared" si="18"/>
        <v>21657.568000000003</v>
      </c>
      <c r="AK52" s="129">
        <f t="shared" si="19"/>
        <v>67342.543999999994</v>
      </c>
      <c r="AL52" s="129">
        <f t="shared" si="20"/>
        <v>13773.454000000002</v>
      </c>
    </row>
    <row r="53" spans="1:38">
      <c r="A53" s="1" t="s">
        <v>132</v>
      </c>
      <c r="B53" s="35"/>
      <c r="C53" s="35"/>
      <c r="D53" s="35"/>
      <c r="E53" s="35"/>
      <c r="F53" s="35">
        <v>448.02</v>
      </c>
      <c r="G53" s="35"/>
      <c r="H53" s="35"/>
      <c r="I53" s="35"/>
      <c r="J53" s="35"/>
      <c r="K53" s="35"/>
      <c r="L53" s="35"/>
      <c r="M53" s="35"/>
      <c r="N53" s="35"/>
      <c r="O53" s="4">
        <f t="shared" si="14"/>
        <v>448.02</v>
      </c>
      <c r="P53" s="15"/>
      <c r="R53" s="1" t="s">
        <v>15</v>
      </c>
      <c r="S53" s="35">
        <f t="shared" si="15"/>
        <v>20444.488000000001</v>
      </c>
      <c r="T53" s="35">
        <f t="shared" si="15"/>
        <v>4630.1140000000005</v>
      </c>
      <c r="U53" s="35">
        <f t="shared" si="15"/>
        <v>1901.5619999999999</v>
      </c>
      <c r="V53" s="35">
        <f t="shared" si="15"/>
        <v>482.85400000000004</v>
      </c>
      <c r="W53" s="35">
        <f t="shared" si="15"/>
        <v>8541.5280000000002</v>
      </c>
      <c r="X53" s="35">
        <f t="shared" si="15"/>
        <v>284.28000000000003</v>
      </c>
      <c r="Y53" s="35">
        <f t="shared" si="15"/>
        <v>682.36400000000003</v>
      </c>
      <c r="Z53" s="35">
        <f t="shared" si="15"/>
        <v>0</v>
      </c>
      <c r="AA53" s="35">
        <f t="shared" si="15"/>
        <v>783.13599999999997</v>
      </c>
      <c r="AB53" s="35">
        <f t="shared" si="15"/>
        <v>56.855999999999995</v>
      </c>
      <c r="AC53" s="35">
        <f t="shared" si="15"/>
        <v>0</v>
      </c>
      <c r="AD53" s="35">
        <f t="shared" si="15"/>
        <v>0</v>
      </c>
      <c r="AE53" s="35">
        <f t="shared" si="15"/>
        <v>16.584</v>
      </c>
      <c r="AF53" s="35">
        <v>0</v>
      </c>
      <c r="AG53" s="35">
        <v>0</v>
      </c>
      <c r="AH53" s="4">
        <f t="shared" si="16"/>
        <v>37823.766000000003</v>
      </c>
      <c r="AI53" s="129">
        <f t="shared" si="17"/>
        <v>25074.602000000003</v>
      </c>
      <c r="AJ53" s="129">
        <f t="shared" si="18"/>
        <v>2384.4160000000002</v>
      </c>
      <c r="AK53" s="129">
        <f t="shared" si="19"/>
        <v>8989.5480000000007</v>
      </c>
      <c r="AL53" s="129">
        <f t="shared" si="20"/>
        <v>1823.22</v>
      </c>
    </row>
    <row r="54" spans="1:38">
      <c r="A54" s="39" t="s">
        <v>133</v>
      </c>
      <c r="B54" s="35"/>
      <c r="C54" s="35">
        <v>16.809999999999999</v>
      </c>
      <c r="D54" s="35"/>
      <c r="E54" s="35"/>
      <c r="F54" s="35"/>
      <c r="G54" s="35"/>
      <c r="H54" s="35">
        <v>6.2</v>
      </c>
      <c r="I54" s="35"/>
      <c r="J54" s="35"/>
      <c r="K54" s="35"/>
      <c r="L54" s="35"/>
      <c r="M54" s="35"/>
      <c r="N54" s="35"/>
      <c r="O54" s="4">
        <f t="shared" si="14"/>
        <v>23.009999999999998</v>
      </c>
      <c r="P54" s="15"/>
      <c r="R54" s="1" t="s">
        <v>14</v>
      </c>
      <c r="S54" s="35">
        <f t="shared" si="15"/>
        <v>21764.772000000001</v>
      </c>
      <c r="T54" s="35">
        <f t="shared" si="15"/>
        <v>5228.192</v>
      </c>
      <c r="U54" s="35">
        <f t="shared" si="15"/>
        <v>1351.548</v>
      </c>
      <c r="V54" s="35">
        <f t="shared" si="15"/>
        <v>620.38800000000003</v>
      </c>
      <c r="W54" s="35">
        <f t="shared" si="15"/>
        <v>11373.896000000001</v>
      </c>
      <c r="X54" s="35">
        <f t="shared" si="15"/>
        <v>113.71199999999999</v>
      </c>
      <c r="Y54" s="35">
        <f t="shared" si="15"/>
        <v>798.47</v>
      </c>
      <c r="Z54" s="35">
        <f t="shared" si="15"/>
        <v>161.65600000000001</v>
      </c>
      <c r="AA54" s="35">
        <f t="shared" si="15"/>
        <v>861.54</v>
      </c>
      <c r="AB54" s="35">
        <f t="shared" si="15"/>
        <v>0</v>
      </c>
      <c r="AC54" s="35">
        <f t="shared" si="15"/>
        <v>0</v>
      </c>
      <c r="AD54" s="35">
        <f t="shared" si="15"/>
        <v>0</v>
      </c>
      <c r="AE54" s="35">
        <f t="shared" si="15"/>
        <v>38.695999999999998</v>
      </c>
      <c r="AF54" s="35">
        <v>0</v>
      </c>
      <c r="AG54" s="35">
        <v>0</v>
      </c>
      <c r="AH54" s="4">
        <f t="shared" si="16"/>
        <v>42312.87000000001</v>
      </c>
      <c r="AI54" s="129">
        <f t="shared" si="17"/>
        <v>27009.774000000001</v>
      </c>
      <c r="AJ54" s="129">
        <f t="shared" si="18"/>
        <v>1971.9360000000001</v>
      </c>
      <c r="AK54" s="129">
        <f t="shared" si="19"/>
        <v>11373.896000000001</v>
      </c>
      <c r="AL54" s="129">
        <f t="shared" si="20"/>
        <v>1980.2739999999999</v>
      </c>
    </row>
    <row r="55" spans="1:38">
      <c r="A55" s="18" t="s">
        <v>134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4">
        <f t="shared" si="14"/>
        <v>0</v>
      </c>
      <c r="P55" s="15"/>
      <c r="R55" s="18" t="s">
        <v>13</v>
      </c>
      <c r="S55" s="35">
        <f t="shared" si="15"/>
        <v>159751.17600000001</v>
      </c>
      <c r="T55" s="35">
        <f t="shared" si="15"/>
        <v>17138.03</v>
      </c>
      <c r="U55" s="35">
        <f t="shared" si="15"/>
        <v>22053.592000000004</v>
      </c>
      <c r="V55" s="35">
        <f t="shared" si="15"/>
        <v>4921.2000000000007</v>
      </c>
      <c r="W55" s="35">
        <f t="shared" si="15"/>
        <v>92723.271999999997</v>
      </c>
      <c r="X55" s="35">
        <f t="shared" si="15"/>
        <v>927.99599999999998</v>
      </c>
      <c r="Y55" s="35">
        <f t="shared" si="15"/>
        <v>2182.4900000000002</v>
      </c>
      <c r="Z55" s="35">
        <f t="shared" si="15"/>
        <v>0</v>
      </c>
      <c r="AA55" s="35">
        <f t="shared" si="15"/>
        <v>4036.1019999999999</v>
      </c>
      <c r="AB55" s="35">
        <f t="shared" si="15"/>
        <v>360.08800000000002</v>
      </c>
      <c r="AC55" s="35">
        <f t="shared" si="15"/>
        <v>0</v>
      </c>
      <c r="AD55" s="35">
        <f t="shared" si="15"/>
        <v>0</v>
      </c>
      <c r="AE55" s="35">
        <f t="shared" si="15"/>
        <v>181.28399999999999</v>
      </c>
      <c r="AF55" s="35">
        <v>0</v>
      </c>
      <c r="AG55" s="35">
        <v>0</v>
      </c>
      <c r="AH55" s="4">
        <f t="shared" si="16"/>
        <v>304275.23</v>
      </c>
      <c r="AI55" s="129">
        <f t="shared" si="17"/>
        <v>176889.20600000001</v>
      </c>
      <c r="AJ55" s="129">
        <f t="shared" si="18"/>
        <v>26974.792000000005</v>
      </c>
      <c r="AK55" s="129">
        <f t="shared" si="19"/>
        <v>92723.271999999997</v>
      </c>
      <c r="AL55" s="129">
        <f t="shared" si="20"/>
        <v>7687.9599999999991</v>
      </c>
    </row>
    <row r="56" spans="1:38">
      <c r="A56" s="1" t="s">
        <v>135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4">
        <f t="shared" si="14"/>
        <v>0</v>
      </c>
      <c r="P56" s="15"/>
      <c r="R56" s="1" t="s">
        <v>16</v>
      </c>
      <c r="S56" s="35">
        <f t="shared" si="15"/>
        <v>46892.186000000002</v>
      </c>
      <c r="T56" s="35">
        <f t="shared" si="15"/>
        <v>6431.5460000000003</v>
      </c>
      <c r="U56" s="35">
        <f t="shared" si="15"/>
        <v>5896.3080000000009</v>
      </c>
      <c r="V56" s="35">
        <f t="shared" si="15"/>
        <v>1114.412</v>
      </c>
      <c r="W56" s="35">
        <f t="shared" si="15"/>
        <v>21995.58</v>
      </c>
      <c r="X56" s="35">
        <f t="shared" si="15"/>
        <v>433.28800000000001</v>
      </c>
      <c r="Y56" s="35">
        <f t="shared" si="15"/>
        <v>865.75800000000004</v>
      </c>
      <c r="Z56" s="35">
        <f t="shared" si="15"/>
        <v>1073.4559999999999</v>
      </c>
      <c r="AA56" s="35">
        <f t="shared" si="15"/>
        <v>1228.338</v>
      </c>
      <c r="AB56" s="35">
        <f t="shared" si="15"/>
        <v>75.808000000000007</v>
      </c>
      <c r="AC56" s="35">
        <f t="shared" si="15"/>
        <v>0</v>
      </c>
      <c r="AD56" s="35">
        <f t="shared" si="15"/>
        <v>0</v>
      </c>
      <c r="AE56" s="35">
        <f t="shared" si="15"/>
        <v>54.52000000000001</v>
      </c>
      <c r="AF56" s="35">
        <v>0</v>
      </c>
      <c r="AG56" s="35">
        <v>0</v>
      </c>
      <c r="AH56" s="4">
        <f t="shared" si="16"/>
        <v>86061.200000000026</v>
      </c>
      <c r="AI56" s="129">
        <f t="shared" si="17"/>
        <v>53323.732000000004</v>
      </c>
      <c r="AJ56" s="129">
        <f t="shared" si="18"/>
        <v>7010.7200000000012</v>
      </c>
      <c r="AK56" s="129">
        <f t="shared" si="19"/>
        <v>21995.58</v>
      </c>
      <c r="AL56" s="129">
        <f t="shared" si="20"/>
        <v>3731.1680000000001</v>
      </c>
    </row>
    <row r="57" spans="1:38">
      <c r="A57" s="1" t="s">
        <v>136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4">
        <f t="shared" si="14"/>
        <v>0</v>
      </c>
      <c r="P57" s="15"/>
      <c r="R57" s="1" t="s">
        <v>17</v>
      </c>
      <c r="S57" s="35">
        <f t="shared" si="15"/>
        <v>11727.52</v>
      </c>
      <c r="T57" s="35">
        <f t="shared" si="15"/>
        <v>1539.2520000000002</v>
      </c>
      <c r="U57" s="35">
        <f t="shared" si="15"/>
        <v>1197.69</v>
      </c>
      <c r="V57" s="35">
        <f t="shared" si="15"/>
        <v>234.06399999999999</v>
      </c>
      <c r="W57" s="35">
        <f t="shared" si="15"/>
        <v>6089.0420000000004</v>
      </c>
      <c r="X57" s="35">
        <f t="shared" si="15"/>
        <v>321.53200000000004</v>
      </c>
      <c r="Y57" s="35">
        <f t="shared" si="15"/>
        <v>108.59200000000001</v>
      </c>
      <c r="Z57" s="35">
        <f t="shared" si="15"/>
        <v>0</v>
      </c>
      <c r="AA57" s="35">
        <f t="shared" si="15"/>
        <v>329.62200000000001</v>
      </c>
      <c r="AB57" s="35">
        <f t="shared" si="15"/>
        <v>37.904000000000003</v>
      </c>
      <c r="AC57" s="35">
        <f t="shared" si="15"/>
        <v>0</v>
      </c>
      <c r="AD57" s="35">
        <f t="shared" si="15"/>
        <v>0</v>
      </c>
      <c r="AE57" s="35">
        <f t="shared" si="15"/>
        <v>0</v>
      </c>
      <c r="AF57" s="35">
        <v>0</v>
      </c>
      <c r="AG57" s="35">
        <v>0</v>
      </c>
      <c r="AH57" s="4">
        <f t="shared" si="16"/>
        <v>21585.218000000001</v>
      </c>
      <c r="AI57" s="129">
        <f t="shared" si="17"/>
        <v>13266.772000000001</v>
      </c>
      <c r="AJ57" s="129">
        <f t="shared" si="18"/>
        <v>1431.7540000000001</v>
      </c>
      <c r="AK57" s="129">
        <f t="shared" si="19"/>
        <v>6089.0420000000004</v>
      </c>
      <c r="AL57" s="129">
        <f t="shared" si="20"/>
        <v>797.65000000000009</v>
      </c>
    </row>
    <row r="58" spans="1:38">
      <c r="A58" s="1" t="s">
        <v>137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4">
        <f t="shared" si="14"/>
        <v>0</v>
      </c>
      <c r="P58" s="15"/>
      <c r="R58" s="1" t="s">
        <v>18</v>
      </c>
      <c r="S58" s="35">
        <f t="shared" si="15"/>
        <v>242110.64</v>
      </c>
      <c r="T58" s="35">
        <f t="shared" si="15"/>
        <v>25997.714000000004</v>
      </c>
      <c r="U58" s="35">
        <f t="shared" si="15"/>
        <v>28962.852000000003</v>
      </c>
      <c r="V58" s="35">
        <f t="shared" si="15"/>
        <v>4522.2</v>
      </c>
      <c r="W58" s="35">
        <f t="shared" si="15"/>
        <v>85237.884000000005</v>
      </c>
      <c r="X58" s="35">
        <f t="shared" si="15"/>
        <v>3762.9720000000002</v>
      </c>
      <c r="Y58" s="35">
        <f t="shared" si="15"/>
        <v>3746.096</v>
      </c>
      <c r="Z58" s="35">
        <f t="shared" si="15"/>
        <v>158.89800000000002</v>
      </c>
      <c r="AA58" s="35">
        <f t="shared" si="15"/>
        <v>5299.5080000000007</v>
      </c>
      <c r="AB58" s="35">
        <f t="shared" si="15"/>
        <v>265.32800000000003</v>
      </c>
      <c r="AC58" s="35">
        <f t="shared" si="15"/>
        <v>37.904000000000003</v>
      </c>
      <c r="AD58" s="35">
        <f t="shared" si="15"/>
        <v>0</v>
      </c>
      <c r="AE58" s="35">
        <f t="shared" si="15"/>
        <v>510.87400000000002</v>
      </c>
      <c r="AF58" s="35">
        <v>0</v>
      </c>
      <c r="AG58" s="35">
        <v>0</v>
      </c>
      <c r="AH58" s="4">
        <f t="shared" si="16"/>
        <v>400612.87</v>
      </c>
      <c r="AI58" s="129">
        <f t="shared" si="17"/>
        <v>268108.35399999999</v>
      </c>
      <c r="AJ58" s="129">
        <f t="shared" si="18"/>
        <v>33485.052000000003</v>
      </c>
      <c r="AK58" s="129">
        <f t="shared" si="19"/>
        <v>85237.884000000005</v>
      </c>
      <c r="AL58" s="129">
        <f t="shared" si="20"/>
        <v>13781.580000000002</v>
      </c>
    </row>
    <row r="59" spans="1:38">
      <c r="A59" s="1" t="s">
        <v>138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4">
        <f t="shared" si="14"/>
        <v>0</v>
      </c>
      <c r="P59" s="15"/>
      <c r="R59" s="1" t="s">
        <v>20</v>
      </c>
      <c r="S59" s="35">
        <f t="shared" si="15"/>
        <v>19138.432000000001</v>
      </c>
      <c r="T59" s="35">
        <f t="shared" si="15"/>
        <v>3833.6040000000003</v>
      </c>
      <c r="U59" s="35">
        <f t="shared" si="15"/>
        <v>840.22400000000005</v>
      </c>
      <c r="V59" s="35">
        <f t="shared" si="15"/>
        <v>282.09000000000003</v>
      </c>
      <c r="W59" s="35">
        <f t="shared" si="15"/>
        <v>11066.1</v>
      </c>
      <c r="X59" s="35">
        <f t="shared" si="15"/>
        <v>225.46799999999999</v>
      </c>
      <c r="Y59" s="35">
        <f t="shared" si="15"/>
        <v>521.428</v>
      </c>
      <c r="Z59" s="35">
        <f t="shared" si="15"/>
        <v>0</v>
      </c>
      <c r="AA59" s="35">
        <f t="shared" si="15"/>
        <v>635.70000000000005</v>
      </c>
      <c r="AB59" s="35">
        <f t="shared" si="15"/>
        <v>37.252000000000002</v>
      </c>
      <c r="AC59" s="35">
        <f t="shared" si="15"/>
        <v>0</v>
      </c>
      <c r="AD59" s="35">
        <f t="shared" si="15"/>
        <v>0</v>
      </c>
      <c r="AE59" s="35">
        <f t="shared" si="15"/>
        <v>16.394000000000002</v>
      </c>
      <c r="AF59" s="35">
        <v>0</v>
      </c>
      <c r="AG59" s="35">
        <v>0</v>
      </c>
      <c r="AH59" s="4">
        <f>SUM(S59:AG59)</f>
        <v>36596.691999999995</v>
      </c>
      <c r="AI59" s="129">
        <f t="shared" si="17"/>
        <v>22972.036</v>
      </c>
      <c r="AJ59" s="129">
        <f t="shared" si="18"/>
        <v>1122.3140000000001</v>
      </c>
      <c r="AK59" s="129">
        <f t="shared" si="19"/>
        <v>11066.1</v>
      </c>
      <c r="AL59" s="129">
        <f t="shared" si="20"/>
        <v>1436.242</v>
      </c>
    </row>
    <row r="60" spans="1:38">
      <c r="A60" s="1" t="s">
        <v>139</v>
      </c>
      <c r="B60" s="35"/>
      <c r="C60" s="35">
        <v>418.48</v>
      </c>
      <c r="D60" s="35"/>
      <c r="E60" s="35"/>
      <c r="F60" s="35"/>
      <c r="G60" s="35"/>
      <c r="H60" s="35">
        <v>229.94</v>
      </c>
      <c r="I60" s="35">
        <v>742.29</v>
      </c>
      <c r="J60" s="35">
        <v>121.36</v>
      </c>
      <c r="K60" s="35"/>
      <c r="L60" s="35"/>
      <c r="M60" s="35"/>
      <c r="N60" s="35"/>
      <c r="O60" s="4">
        <f t="shared" si="14"/>
        <v>1512.07</v>
      </c>
      <c r="P60" s="15"/>
      <c r="R60" s="1" t="s">
        <v>19</v>
      </c>
      <c r="S60" s="35">
        <f t="shared" si="15"/>
        <v>207722.978</v>
      </c>
      <c r="T60" s="35">
        <f t="shared" si="15"/>
        <v>28107.794000000002</v>
      </c>
      <c r="U60" s="35">
        <f t="shared" ref="T60:AE66" si="23">U95*0.2</f>
        <v>21929.218000000001</v>
      </c>
      <c r="V60" s="35">
        <f t="shared" si="23"/>
        <v>5329.2420000000002</v>
      </c>
      <c r="W60" s="35">
        <f t="shared" si="23"/>
        <v>123664.75800000002</v>
      </c>
      <c r="X60" s="35">
        <f t="shared" si="23"/>
        <v>1588.056</v>
      </c>
      <c r="Y60" s="35">
        <f t="shared" si="23"/>
        <v>5099.5980000000009</v>
      </c>
      <c r="Z60" s="35">
        <f t="shared" si="23"/>
        <v>138.82400000000001</v>
      </c>
      <c r="AA60" s="35">
        <f t="shared" si="23"/>
        <v>5206.1239999999998</v>
      </c>
      <c r="AB60" s="35">
        <f t="shared" si="23"/>
        <v>378.38800000000003</v>
      </c>
      <c r="AC60" s="35">
        <f t="shared" si="23"/>
        <v>37.904000000000003</v>
      </c>
      <c r="AD60" s="35">
        <f t="shared" si="23"/>
        <v>0</v>
      </c>
      <c r="AE60" s="35">
        <f t="shared" si="23"/>
        <v>190.63</v>
      </c>
      <c r="AF60" s="35">
        <v>0</v>
      </c>
      <c r="AG60" s="35">
        <v>0</v>
      </c>
      <c r="AH60" s="4">
        <f t="shared" si="16"/>
        <v>399393.51400000002</v>
      </c>
      <c r="AI60" s="129">
        <f t="shared" si="17"/>
        <v>236249.25200000001</v>
      </c>
      <c r="AJ60" s="129">
        <f t="shared" si="18"/>
        <v>27258.46</v>
      </c>
      <c r="AK60" s="129">
        <f t="shared" si="19"/>
        <v>123664.75800000002</v>
      </c>
      <c r="AL60" s="129">
        <f t="shared" si="20"/>
        <v>13733.114</v>
      </c>
    </row>
    <row r="61" spans="1:38">
      <c r="A61" s="18" t="s">
        <v>140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4">
        <f t="shared" si="14"/>
        <v>0</v>
      </c>
      <c r="P61" s="15"/>
      <c r="R61" s="18" t="s">
        <v>21</v>
      </c>
      <c r="S61" s="35">
        <f t="shared" si="15"/>
        <v>7753.34</v>
      </c>
      <c r="T61" s="35">
        <f t="shared" si="23"/>
        <v>1387.5860000000002</v>
      </c>
      <c r="U61" s="35">
        <f t="shared" si="23"/>
        <v>1017.1120000000001</v>
      </c>
      <c r="V61" s="35">
        <f t="shared" si="23"/>
        <v>207.13600000000002</v>
      </c>
      <c r="W61" s="35">
        <f t="shared" si="23"/>
        <v>8612.1200000000008</v>
      </c>
      <c r="X61" s="35">
        <f t="shared" si="23"/>
        <v>56.855999999999995</v>
      </c>
      <c r="Y61" s="35">
        <f t="shared" si="23"/>
        <v>130.18199999999999</v>
      </c>
      <c r="Z61" s="35">
        <f t="shared" si="23"/>
        <v>0</v>
      </c>
      <c r="AA61" s="35">
        <f t="shared" si="23"/>
        <v>282.04400000000004</v>
      </c>
      <c r="AB61" s="35">
        <f t="shared" si="23"/>
        <v>18.952000000000002</v>
      </c>
      <c r="AC61" s="35">
        <f t="shared" si="23"/>
        <v>0</v>
      </c>
      <c r="AD61" s="35">
        <f t="shared" si="23"/>
        <v>0</v>
      </c>
      <c r="AE61" s="35">
        <f t="shared" si="23"/>
        <v>5.338000000000001</v>
      </c>
      <c r="AF61" s="35">
        <v>0</v>
      </c>
      <c r="AG61" s="35">
        <v>0</v>
      </c>
      <c r="AH61" s="4">
        <f t="shared" si="16"/>
        <v>19470.666000000005</v>
      </c>
      <c r="AI61" s="129">
        <f t="shared" si="17"/>
        <v>9140.9259999999995</v>
      </c>
      <c r="AJ61" s="129">
        <f t="shared" si="18"/>
        <v>1224.248</v>
      </c>
      <c r="AK61" s="129">
        <f t="shared" si="19"/>
        <v>8612.1200000000008</v>
      </c>
      <c r="AL61" s="129">
        <f t="shared" si="20"/>
        <v>493.37200000000001</v>
      </c>
    </row>
    <row r="62" spans="1:38">
      <c r="A62" s="2" t="s">
        <v>141</v>
      </c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4">
        <f t="shared" si="14"/>
        <v>0</v>
      </c>
      <c r="P62" s="15"/>
      <c r="R62" s="2" t="s">
        <v>22</v>
      </c>
      <c r="S62" s="35">
        <f t="shared" si="15"/>
        <v>2805.3540000000003</v>
      </c>
      <c r="T62" s="35">
        <f t="shared" si="23"/>
        <v>388.51</v>
      </c>
      <c r="U62" s="35">
        <f t="shared" si="23"/>
        <v>221.11199999999999</v>
      </c>
      <c r="V62" s="35">
        <f t="shared" si="23"/>
        <v>0</v>
      </c>
      <c r="W62" s="35">
        <f t="shared" si="23"/>
        <v>1682.164</v>
      </c>
      <c r="X62" s="35">
        <f t="shared" si="23"/>
        <v>18.952000000000002</v>
      </c>
      <c r="Y62" s="35">
        <f t="shared" si="23"/>
        <v>26.376000000000001</v>
      </c>
      <c r="Z62" s="35">
        <f t="shared" si="23"/>
        <v>0</v>
      </c>
      <c r="AA62" s="35">
        <f t="shared" si="23"/>
        <v>82.978000000000009</v>
      </c>
      <c r="AB62" s="35">
        <f t="shared" si="23"/>
        <v>0</v>
      </c>
      <c r="AC62" s="35">
        <f t="shared" si="23"/>
        <v>0</v>
      </c>
      <c r="AD62" s="35">
        <f t="shared" si="23"/>
        <v>0</v>
      </c>
      <c r="AE62" s="35">
        <f t="shared" si="23"/>
        <v>0</v>
      </c>
      <c r="AF62" s="35">
        <v>0</v>
      </c>
      <c r="AG62" s="35">
        <v>0</v>
      </c>
      <c r="AH62" s="4">
        <f t="shared" si="16"/>
        <v>5225.4460000000008</v>
      </c>
      <c r="AI62" s="129">
        <f t="shared" si="17"/>
        <v>3193.8640000000005</v>
      </c>
      <c r="AJ62" s="129">
        <f t="shared" si="18"/>
        <v>221.11199999999999</v>
      </c>
      <c r="AK62" s="129">
        <f t="shared" si="19"/>
        <v>1682.164</v>
      </c>
      <c r="AL62" s="129">
        <f t="shared" si="20"/>
        <v>128.30600000000001</v>
      </c>
    </row>
    <row r="63" spans="1:38">
      <c r="A63" s="1" t="s">
        <v>142</v>
      </c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4">
        <f t="shared" si="14"/>
        <v>0</v>
      </c>
      <c r="P63" s="15"/>
      <c r="R63" s="1" t="s">
        <v>23</v>
      </c>
      <c r="S63" s="35">
        <f t="shared" si="15"/>
        <v>114156.16000000002</v>
      </c>
      <c r="T63" s="35">
        <f t="shared" si="23"/>
        <v>13489.484</v>
      </c>
      <c r="U63" s="35">
        <f t="shared" si="23"/>
        <v>11068.482000000002</v>
      </c>
      <c r="V63" s="35">
        <f t="shared" si="23"/>
        <v>2375.35</v>
      </c>
      <c r="W63" s="35">
        <f t="shared" si="23"/>
        <v>56641.880000000005</v>
      </c>
      <c r="X63" s="35">
        <f t="shared" si="23"/>
        <v>1078.308</v>
      </c>
      <c r="Y63" s="35">
        <f t="shared" si="23"/>
        <v>1594.8220000000001</v>
      </c>
      <c r="Z63" s="35">
        <f t="shared" si="23"/>
        <v>0</v>
      </c>
      <c r="AA63" s="35">
        <f t="shared" si="23"/>
        <v>2664.7960000000003</v>
      </c>
      <c r="AB63" s="35">
        <f t="shared" si="23"/>
        <v>0</v>
      </c>
      <c r="AC63" s="35">
        <f t="shared" si="23"/>
        <v>0</v>
      </c>
      <c r="AD63" s="35">
        <f t="shared" si="23"/>
        <v>54.084000000000003</v>
      </c>
      <c r="AE63" s="35">
        <f t="shared" si="23"/>
        <v>71.294000000000011</v>
      </c>
      <c r="AF63" s="35">
        <v>0</v>
      </c>
      <c r="AG63" s="35">
        <v>0</v>
      </c>
      <c r="AH63" s="4">
        <f t="shared" si="16"/>
        <v>203194.66000000003</v>
      </c>
      <c r="AI63" s="129">
        <f t="shared" si="17"/>
        <v>127645.64400000001</v>
      </c>
      <c r="AJ63" s="129">
        <f t="shared" si="18"/>
        <v>13443.832000000002</v>
      </c>
      <c r="AK63" s="129">
        <f t="shared" si="19"/>
        <v>56641.880000000005</v>
      </c>
      <c r="AL63" s="129">
        <f t="shared" si="20"/>
        <v>5463.3040000000001</v>
      </c>
    </row>
    <row r="64" spans="1:38">
      <c r="A64" s="1" t="s">
        <v>143</v>
      </c>
      <c r="B64" s="35"/>
      <c r="C64" s="35">
        <v>69.09</v>
      </c>
      <c r="D64" s="35"/>
      <c r="E64" s="35">
        <v>20.99</v>
      </c>
      <c r="F64" s="35">
        <v>530.6</v>
      </c>
      <c r="G64" s="35">
        <v>18.95</v>
      </c>
      <c r="H64" s="35">
        <v>15.66</v>
      </c>
      <c r="I64" s="35"/>
      <c r="J64" s="35"/>
      <c r="K64" s="35"/>
      <c r="L64" s="35"/>
      <c r="M64" s="35"/>
      <c r="N64" s="35"/>
      <c r="O64" s="4">
        <f t="shared" si="14"/>
        <v>655.29000000000008</v>
      </c>
      <c r="P64" s="15"/>
      <c r="R64" s="1" t="s">
        <v>25</v>
      </c>
      <c r="S64" s="35">
        <f t="shared" si="15"/>
        <v>769322.81799999997</v>
      </c>
      <c r="T64" s="35">
        <f t="shared" si="23"/>
        <v>89150.73000000001</v>
      </c>
      <c r="U64" s="35">
        <f t="shared" si="23"/>
        <v>76396.364000000001</v>
      </c>
      <c r="V64" s="35">
        <f t="shared" si="23"/>
        <v>9877.4279999999999</v>
      </c>
      <c r="W64" s="35">
        <f t="shared" si="23"/>
        <v>396825.40800000005</v>
      </c>
      <c r="X64" s="35">
        <f t="shared" si="23"/>
        <v>4340.0080000000007</v>
      </c>
      <c r="Y64" s="35">
        <f t="shared" si="23"/>
        <v>14811.168</v>
      </c>
      <c r="Z64" s="35">
        <f t="shared" si="23"/>
        <v>533.78000000000009</v>
      </c>
      <c r="AA64" s="35">
        <f t="shared" si="23"/>
        <v>16814.108</v>
      </c>
      <c r="AB64" s="35">
        <f t="shared" si="23"/>
        <v>1097.912</v>
      </c>
      <c r="AC64" s="35">
        <f t="shared" si="23"/>
        <v>74.504000000000005</v>
      </c>
      <c r="AD64" s="35">
        <f t="shared" si="23"/>
        <v>0</v>
      </c>
      <c r="AE64" s="35">
        <f t="shared" si="23"/>
        <v>1064.8320000000001</v>
      </c>
      <c r="AF64" s="35">
        <v>0</v>
      </c>
      <c r="AG64" s="35">
        <v>0</v>
      </c>
      <c r="AH64" s="4">
        <f t="shared" si="16"/>
        <v>1380309.06</v>
      </c>
      <c r="AI64" s="129">
        <f t="shared" si="17"/>
        <v>858542.63799999992</v>
      </c>
      <c r="AJ64" s="129">
        <f t="shared" si="18"/>
        <v>86294.782000000007</v>
      </c>
      <c r="AK64" s="129">
        <f t="shared" si="19"/>
        <v>397356.00800000003</v>
      </c>
      <c r="AL64" s="129">
        <f t="shared" si="20"/>
        <v>38770.921999999999</v>
      </c>
    </row>
    <row r="65" spans="1:38">
      <c r="A65" s="1" t="s">
        <v>144</v>
      </c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4">
        <f t="shared" si="14"/>
        <v>0</v>
      </c>
      <c r="P65" s="15"/>
      <c r="R65" s="1" t="s">
        <v>24</v>
      </c>
      <c r="S65" s="35">
        <f t="shared" si="15"/>
        <v>11187.952000000001</v>
      </c>
      <c r="T65" s="35">
        <f t="shared" si="23"/>
        <v>1808.2640000000001</v>
      </c>
      <c r="U65" s="35">
        <f t="shared" si="23"/>
        <v>1680.4480000000001</v>
      </c>
      <c r="V65" s="35">
        <f t="shared" si="23"/>
        <v>405.56400000000002</v>
      </c>
      <c r="W65" s="35">
        <f t="shared" si="23"/>
        <v>8784.6440000000002</v>
      </c>
      <c r="X65" s="35">
        <f t="shared" si="23"/>
        <v>246.37600000000003</v>
      </c>
      <c r="Y65" s="35">
        <f t="shared" si="23"/>
        <v>162.19200000000001</v>
      </c>
      <c r="Z65" s="35">
        <f t="shared" si="23"/>
        <v>0</v>
      </c>
      <c r="AA65" s="35">
        <f t="shared" si="23"/>
        <v>430.81000000000006</v>
      </c>
      <c r="AB65" s="35">
        <f t="shared" si="23"/>
        <v>18.952000000000002</v>
      </c>
      <c r="AC65" s="35">
        <f t="shared" si="23"/>
        <v>0</v>
      </c>
      <c r="AD65" s="35">
        <f t="shared" si="23"/>
        <v>0</v>
      </c>
      <c r="AE65" s="35">
        <f t="shared" si="23"/>
        <v>5.5280000000000005</v>
      </c>
      <c r="AF65" s="35">
        <v>0</v>
      </c>
      <c r="AG65" s="35">
        <v>0</v>
      </c>
      <c r="AH65" s="4">
        <f t="shared" si="16"/>
        <v>24730.730000000003</v>
      </c>
      <c r="AI65" s="129">
        <f t="shared" si="17"/>
        <v>12996.216</v>
      </c>
      <c r="AJ65" s="129">
        <f t="shared" si="18"/>
        <v>2086.0120000000002</v>
      </c>
      <c r="AK65" s="129">
        <f t="shared" si="19"/>
        <v>8784.6440000000002</v>
      </c>
      <c r="AL65" s="129">
        <f t="shared" si="20"/>
        <v>863.85800000000017</v>
      </c>
    </row>
    <row r="66" spans="1:38">
      <c r="A66" s="1" t="s">
        <v>145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4">
        <f t="shared" si="14"/>
        <v>0</v>
      </c>
      <c r="P66" s="15"/>
      <c r="R66" s="1" t="s">
        <v>26</v>
      </c>
      <c r="S66" s="35">
        <f t="shared" si="15"/>
        <v>4528.1900000000005</v>
      </c>
      <c r="T66" s="35">
        <f t="shared" si="23"/>
        <v>1752.2259999999999</v>
      </c>
      <c r="U66" s="35">
        <f t="shared" si="23"/>
        <v>740.72400000000005</v>
      </c>
      <c r="V66" s="35">
        <f t="shared" si="23"/>
        <v>667.94200000000001</v>
      </c>
      <c r="W66" s="35">
        <f t="shared" si="23"/>
        <v>4143.9679999999998</v>
      </c>
      <c r="X66" s="35">
        <f t="shared" si="23"/>
        <v>56.855999999999995</v>
      </c>
      <c r="Y66" s="35">
        <f t="shared" si="23"/>
        <v>280.904</v>
      </c>
      <c r="Z66" s="35">
        <f t="shared" si="23"/>
        <v>106.756</v>
      </c>
      <c r="AA66" s="35">
        <f t="shared" si="23"/>
        <v>375.17600000000004</v>
      </c>
      <c r="AB66" s="35">
        <f t="shared" si="23"/>
        <v>18.952000000000002</v>
      </c>
      <c r="AC66" s="35">
        <f t="shared" si="23"/>
        <v>36.6</v>
      </c>
      <c r="AD66" s="35">
        <f t="shared" si="23"/>
        <v>0</v>
      </c>
      <c r="AE66" s="35">
        <f t="shared" si="23"/>
        <v>5.5280000000000005</v>
      </c>
      <c r="AF66" s="35">
        <v>0</v>
      </c>
      <c r="AG66" s="35">
        <f>AG101*0.2</f>
        <v>68.042000000000002</v>
      </c>
      <c r="AH66" s="4">
        <f t="shared" si="16"/>
        <v>12781.863999999998</v>
      </c>
      <c r="AI66" s="129">
        <f t="shared" si="17"/>
        <v>6280.4160000000002</v>
      </c>
      <c r="AJ66" s="129">
        <f t="shared" si="18"/>
        <v>1408.6660000000002</v>
      </c>
      <c r="AK66" s="129">
        <f t="shared" si="19"/>
        <v>4143.9679999999998</v>
      </c>
      <c r="AL66" s="129">
        <f t="shared" si="20"/>
        <v>948.81400000000008</v>
      </c>
    </row>
    <row r="67" spans="1:38">
      <c r="A67" s="8" t="s">
        <v>37</v>
      </c>
      <c r="B67" s="9">
        <f>SUM(B40:B66)</f>
        <v>0</v>
      </c>
      <c r="C67" s="9">
        <f t="shared" ref="C67:N67" si="24">SUM(C40:C66)</f>
        <v>504.38</v>
      </c>
      <c r="D67" s="9">
        <f t="shared" si="24"/>
        <v>0</v>
      </c>
      <c r="E67" s="9">
        <f t="shared" si="24"/>
        <v>20.99</v>
      </c>
      <c r="F67" s="9">
        <f t="shared" si="24"/>
        <v>978.62</v>
      </c>
      <c r="G67" s="9">
        <f t="shared" si="24"/>
        <v>18.95</v>
      </c>
      <c r="H67" s="9">
        <f t="shared" si="24"/>
        <v>251.79999999999998</v>
      </c>
      <c r="I67" s="9">
        <f t="shared" si="24"/>
        <v>742.29</v>
      </c>
      <c r="J67" s="9">
        <f t="shared" si="24"/>
        <v>121.36</v>
      </c>
      <c r="K67" s="9">
        <f t="shared" si="24"/>
        <v>0</v>
      </c>
      <c r="L67" s="9">
        <f t="shared" si="24"/>
        <v>0</v>
      </c>
      <c r="M67" s="9">
        <f t="shared" si="24"/>
        <v>0</v>
      </c>
      <c r="N67" s="9">
        <f t="shared" si="24"/>
        <v>0</v>
      </c>
      <c r="O67" s="13">
        <f>SUM(O40:O66)</f>
        <v>2638.39</v>
      </c>
      <c r="R67" s="8" t="s">
        <v>37</v>
      </c>
      <c r="S67" s="9">
        <f>SUM(S40:S66)</f>
        <v>2150973.6500000004</v>
      </c>
      <c r="T67" s="9">
        <f t="shared" ref="T67:AG67" si="25">SUM(T40:T66)</f>
        <v>288444.11200000008</v>
      </c>
      <c r="U67" s="9">
        <f t="shared" si="25"/>
        <v>222184.02</v>
      </c>
      <c r="V67" s="9">
        <f t="shared" si="25"/>
        <v>42069.046000000002</v>
      </c>
      <c r="W67" s="9">
        <f t="shared" si="25"/>
        <v>1090988.5760000004</v>
      </c>
      <c r="X67" s="9">
        <f t="shared" si="25"/>
        <v>18292.028000000002</v>
      </c>
      <c r="Y67" s="9">
        <f t="shared" si="25"/>
        <v>45240.598000000013</v>
      </c>
      <c r="Z67" s="9">
        <f t="shared" si="25"/>
        <v>2704.9059999999999</v>
      </c>
      <c r="AA67" s="9">
        <f t="shared" si="25"/>
        <v>54756.668000000005</v>
      </c>
      <c r="AB67" s="9">
        <f t="shared" si="25"/>
        <v>3462.3480000000009</v>
      </c>
      <c r="AC67" s="9">
        <f t="shared" si="25"/>
        <v>186.91200000000001</v>
      </c>
      <c r="AD67" s="9">
        <f t="shared" si="25"/>
        <v>54.084000000000003</v>
      </c>
      <c r="AE67" s="9">
        <f t="shared" si="25"/>
        <v>2853.8499999999995</v>
      </c>
      <c r="AF67" s="9">
        <f>SUM(AF40:AF66)</f>
        <v>3.9460000000000002</v>
      </c>
      <c r="AG67" s="9">
        <f t="shared" si="25"/>
        <v>68.042000000000002</v>
      </c>
      <c r="AH67" s="13">
        <f>SUM(AH40:AH66)</f>
        <v>3922282.7860000008</v>
      </c>
      <c r="AI67" s="129">
        <f t="shared" si="17"/>
        <v>2439922.1420000005</v>
      </c>
      <c r="AJ67" s="129">
        <f t="shared" si="18"/>
        <v>264274.05599999998</v>
      </c>
      <c r="AK67" s="129">
        <f t="shared" si="19"/>
        <v>1091967.1960000005</v>
      </c>
      <c r="AL67" s="129">
        <f t="shared" si="20"/>
        <v>128757.78200000002</v>
      </c>
    </row>
    <row r="68" spans="1:38" ht="18.75">
      <c r="O68" s="3"/>
      <c r="R68" s="44" t="s">
        <v>50</v>
      </c>
      <c r="AH68" s="3"/>
      <c r="AI68" s="129"/>
      <c r="AJ68" s="129"/>
      <c r="AK68" s="129"/>
      <c r="AL68" s="129"/>
    </row>
    <row r="69" spans="1:38" s="34" customFormat="1">
      <c r="A69" s="39" t="s">
        <v>14</v>
      </c>
      <c r="B69" s="35">
        <f>B19*0.2</f>
        <v>0</v>
      </c>
      <c r="C69" s="35">
        <f>C19*0.2</f>
        <v>13.448</v>
      </c>
      <c r="D69" s="35">
        <f t="shared" ref="D69:N69" si="26">D19*0.2</f>
        <v>0</v>
      </c>
      <c r="E69" s="35">
        <f t="shared" si="26"/>
        <v>0</v>
      </c>
      <c r="F69" s="35">
        <f t="shared" si="26"/>
        <v>0</v>
      </c>
      <c r="G69" s="35">
        <f t="shared" si="26"/>
        <v>0</v>
      </c>
      <c r="H69" s="35">
        <f t="shared" si="26"/>
        <v>4.9600000000000009</v>
      </c>
      <c r="I69" s="35">
        <f t="shared" si="26"/>
        <v>0</v>
      </c>
      <c r="J69" s="35">
        <f t="shared" si="26"/>
        <v>0</v>
      </c>
      <c r="K69" s="35">
        <f t="shared" si="26"/>
        <v>0</v>
      </c>
      <c r="L69" s="35">
        <f t="shared" si="26"/>
        <v>0</v>
      </c>
      <c r="M69" s="35">
        <f t="shared" si="26"/>
        <v>0</v>
      </c>
      <c r="N69" s="35">
        <f t="shared" si="26"/>
        <v>0</v>
      </c>
      <c r="O69" s="4">
        <f t="shared" ref="O69" si="27">SUM(B69:N69)</f>
        <v>18.408000000000001</v>
      </c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  <c r="AI69" s="130"/>
      <c r="AJ69" s="130"/>
      <c r="AK69" s="130"/>
      <c r="AL69" s="130"/>
    </row>
    <row r="70" spans="1:38">
      <c r="L70" s="3"/>
      <c r="M70" s="3"/>
      <c r="N70" s="3"/>
      <c r="AC70" s="3"/>
      <c r="AD70" s="3"/>
      <c r="AE70" s="3"/>
      <c r="AF70" s="3"/>
      <c r="AG70" s="3"/>
      <c r="AI70" s="129"/>
      <c r="AJ70" s="129"/>
      <c r="AK70" s="129"/>
      <c r="AL70" s="129"/>
    </row>
    <row r="71" spans="1:38">
      <c r="AI71" s="129"/>
      <c r="AJ71" s="129"/>
      <c r="AK71" s="129"/>
      <c r="AL71" s="129"/>
    </row>
    <row r="72" spans="1:38" ht="46.5" customHeight="1">
      <c r="A72" s="292" t="s">
        <v>38</v>
      </c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  <c r="R72" s="292" t="s">
        <v>48</v>
      </c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4"/>
      <c r="AI72" s="129"/>
      <c r="AJ72" s="129"/>
      <c r="AK72" s="129"/>
      <c r="AL72" s="129"/>
    </row>
    <row r="73" spans="1:38">
      <c r="A73" s="290" t="s">
        <v>33</v>
      </c>
      <c r="B73" s="287" t="s">
        <v>27</v>
      </c>
      <c r="C73" s="288"/>
      <c r="D73" s="287" t="s">
        <v>29</v>
      </c>
      <c r="E73" s="288"/>
      <c r="F73" s="285" t="s">
        <v>28</v>
      </c>
      <c r="G73" s="285" t="s">
        <v>36</v>
      </c>
      <c r="H73" s="285" t="s">
        <v>30</v>
      </c>
      <c r="I73" s="285" t="s">
        <v>31</v>
      </c>
      <c r="J73" s="285" t="s">
        <v>41</v>
      </c>
      <c r="K73" s="285" t="s">
        <v>35</v>
      </c>
      <c r="L73" s="285" t="s">
        <v>40</v>
      </c>
      <c r="M73" s="285" t="s">
        <v>42</v>
      </c>
      <c r="N73" s="285" t="s">
        <v>45</v>
      </c>
      <c r="O73" s="285" t="s">
        <v>34</v>
      </c>
      <c r="R73" s="290" t="s">
        <v>33</v>
      </c>
      <c r="S73" s="287" t="s">
        <v>27</v>
      </c>
      <c r="T73" s="288"/>
      <c r="U73" s="287" t="s">
        <v>29</v>
      </c>
      <c r="V73" s="288"/>
      <c r="W73" s="285" t="s">
        <v>28</v>
      </c>
      <c r="X73" s="285" t="s">
        <v>36</v>
      </c>
      <c r="Y73" s="285" t="s">
        <v>30</v>
      </c>
      <c r="Z73" s="285" t="s">
        <v>31</v>
      </c>
      <c r="AA73" s="285" t="s">
        <v>41</v>
      </c>
      <c r="AB73" s="285" t="s">
        <v>35</v>
      </c>
      <c r="AC73" s="285" t="s">
        <v>40</v>
      </c>
      <c r="AD73" s="285" t="s">
        <v>42</v>
      </c>
      <c r="AE73" s="285" t="s">
        <v>45</v>
      </c>
      <c r="AF73" s="287" t="s">
        <v>52</v>
      </c>
      <c r="AG73" s="288"/>
      <c r="AH73" s="285" t="s">
        <v>34</v>
      </c>
      <c r="AI73" s="129"/>
      <c r="AJ73" s="129"/>
      <c r="AK73" s="129"/>
      <c r="AL73" s="129"/>
    </row>
    <row r="74" spans="1:38" ht="46.5" customHeight="1">
      <c r="A74" s="291"/>
      <c r="B74" s="56" t="s">
        <v>43</v>
      </c>
      <c r="C74" s="56" t="s">
        <v>44</v>
      </c>
      <c r="D74" s="56" t="s">
        <v>43</v>
      </c>
      <c r="E74" s="56" t="s">
        <v>44</v>
      </c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R74" s="291"/>
      <c r="S74" s="56" t="s">
        <v>43</v>
      </c>
      <c r="T74" s="56" t="s">
        <v>44</v>
      </c>
      <c r="U74" s="56" t="s">
        <v>43</v>
      </c>
      <c r="V74" s="56" t="s">
        <v>44</v>
      </c>
      <c r="W74" s="286"/>
      <c r="X74" s="286"/>
      <c r="Y74" s="286"/>
      <c r="Z74" s="286"/>
      <c r="AA74" s="286"/>
      <c r="AB74" s="286"/>
      <c r="AC74" s="286"/>
      <c r="AD74" s="286"/>
      <c r="AE74" s="286"/>
      <c r="AF74" s="55" t="s">
        <v>53</v>
      </c>
      <c r="AG74" s="55" t="s">
        <v>54</v>
      </c>
      <c r="AH74" s="286"/>
      <c r="AI74" s="129" t="s">
        <v>230</v>
      </c>
      <c r="AJ74" s="129" t="s">
        <v>231</v>
      </c>
      <c r="AK74" s="129" t="s">
        <v>28</v>
      </c>
      <c r="AL74" s="129" t="s">
        <v>233</v>
      </c>
    </row>
    <row r="75" spans="1:38">
      <c r="A75" s="1" t="s">
        <v>119</v>
      </c>
      <c r="B75" s="22">
        <f>B5+B40</f>
        <v>0</v>
      </c>
      <c r="C75" s="22">
        <f t="shared" ref="C75:N75" si="28">C5+C40</f>
        <v>0</v>
      </c>
      <c r="D75" s="22">
        <f t="shared" si="28"/>
        <v>0</v>
      </c>
      <c r="E75" s="22">
        <f t="shared" si="28"/>
        <v>0</v>
      </c>
      <c r="F75" s="22">
        <f t="shared" si="28"/>
        <v>0</v>
      </c>
      <c r="G75" s="22">
        <f t="shared" si="28"/>
        <v>0</v>
      </c>
      <c r="H75" s="22">
        <f t="shared" si="28"/>
        <v>0</v>
      </c>
      <c r="I75" s="22">
        <f t="shared" si="28"/>
        <v>0</v>
      </c>
      <c r="J75" s="22">
        <f t="shared" si="28"/>
        <v>0</v>
      </c>
      <c r="K75" s="22">
        <f t="shared" si="28"/>
        <v>0</v>
      </c>
      <c r="L75" s="22">
        <f t="shared" si="28"/>
        <v>0</v>
      </c>
      <c r="M75" s="22">
        <f t="shared" si="28"/>
        <v>0</v>
      </c>
      <c r="N75" s="22">
        <f t="shared" si="28"/>
        <v>0</v>
      </c>
      <c r="O75" s="12">
        <f>SUM(B75:N75)</f>
        <v>0</v>
      </c>
      <c r="R75" s="2" t="s">
        <v>0</v>
      </c>
      <c r="S75" s="35">
        <v>24229.77</v>
      </c>
      <c r="T75" s="35">
        <v>3179.86</v>
      </c>
      <c r="U75" s="35">
        <v>3095.56</v>
      </c>
      <c r="V75" s="35">
        <v>449.44</v>
      </c>
      <c r="W75" s="35">
        <f>8717.92+549</f>
        <v>9266.92</v>
      </c>
      <c r="X75" s="35">
        <v>944.34</v>
      </c>
      <c r="Y75" s="35">
        <v>463.34</v>
      </c>
      <c r="Z75" s="35">
        <f t="shared" ref="Z75:AG75" si="29">Z145*0.8</f>
        <v>0</v>
      </c>
      <c r="AA75" s="35">
        <v>658.76</v>
      </c>
      <c r="AB75" s="37">
        <f t="shared" si="29"/>
        <v>0</v>
      </c>
      <c r="AC75" s="35">
        <f t="shared" si="29"/>
        <v>0</v>
      </c>
      <c r="AD75" s="35">
        <f t="shared" si="29"/>
        <v>0</v>
      </c>
      <c r="AE75" s="35">
        <v>27.64</v>
      </c>
      <c r="AF75" s="35">
        <f t="shared" si="29"/>
        <v>0</v>
      </c>
      <c r="AG75" s="35">
        <f t="shared" si="29"/>
        <v>0</v>
      </c>
      <c r="AH75" s="4">
        <f>SUM(S75:AG75)</f>
        <v>42315.63</v>
      </c>
      <c r="AI75" s="129">
        <f>B75+C75+S75+T75</f>
        <v>27409.63</v>
      </c>
      <c r="AJ75" s="129">
        <f>D75+E75+U75+V75</f>
        <v>3545</v>
      </c>
      <c r="AK75" s="129">
        <f>F75+W75</f>
        <v>9266.92</v>
      </c>
      <c r="AL75" s="129">
        <f>SUM(G75:N75)+SUM(X75:AG75)</f>
        <v>2094.08</v>
      </c>
    </row>
    <row r="76" spans="1:38">
      <c r="A76" s="1" t="s">
        <v>120</v>
      </c>
      <c r="B76" s="22">
        <f t="shared" ref="B76:N91" si="30">B6+B41</f>
        <v>0</v>
      </c>
      <c r="C76" s="22">
        <f t="shared" si="30"/>
        <v>0</v>
      </c>
      <c r="D76" s="22">
        <f t="shared" si="30"/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2">
        <f t="shared" si="30"/>
        <v>0</v>
      </c>
      <c r="M76" s="22">
        <f t="shared" si="30"/>
        <v>0</v>
      </c>
      <c r="N76" s="22">
        <f t="shared" si="30"/>
        <v>0</v>
      </c>
      <c r="O76" s="12">
        <f t="shared" ref="O76:O101" si="31">SUM(B76:N76)</f>
        <v>0</v>
      </c>
      <c r="R76" s="2" t="s">
        <v>1</v>
      </c>
      <c r="S76" s="35">
        <v>96465.34</v>
      </c>
      <c r="T76" s="35">
        <v>12368.1</v>
      </c>
      <c r="U76" s="35">
        <v>5085.5600000000004</v>
      </c>
      <c r="V76" s="35">
        <v>213.52</v>
      </c>
      <c r="W76" s="35">
        <v>38214.58</v>
      </c>
      <c r="X76" s="35">
        <v>568.55999999999995</v>
      </c>
      <c r="Y76" s="35">
        <v>1205.3599999999999</v>
      </c>
      <c r="Z76" s="35">
        <v>808.28</v>
      </c>
      <c r="AA76" s="35">
        <v>2141.11</v>
      </c>
      <c r="AB76" s="37">
        <v>94.76</v>
      </c>
      <c r="AC76" s="35">
        <f t="shared" ref="AC76:AG76" si="32">AC146*0.8</f>
        <v>0</v>
      </c>
      <c r="AD76" s="35">
        <f t="shared" si="32"/>
        <v>0</v>
      </c>
      <c r="AE76" s="35">
        <v>165.84</v>
      </c>
      <c r="AF76" s="35">
        <f t="shared" si="32"/>
        <v>0</v>
      </c>
      <c r="AG76" s="35">
        <f t="shared" si="32"/>
        <v>0</v>
      </c>
      <c r="AH76" s="4">
        <f t="shared" ref="AH76:AH86" si="33">SUM(S76:AG76)</f>
        <v>157331.00999999998</v>
      </c>
      <c r="AI76" s="129">
        <f t="shared" ref="AI76:AI102" si="34">B76+C76+S76+T76</f>
        <v>108833.44</v>
      </c>
      <c r="AJ76" s="129">
        <f t="shared" ref="AJ76:AJ102" si="35">D76+E76+U76+V76</f>
        <v>5299.0800000000008</v>
      </c>
      <c r="AK76" s="129">
        <f t="shared" ref="AK76:AK102" si="36">F76+W76</f>
        <v>38214.58</v>
      </c>
      <c r="AL76" s="129">
        <f t="shared" ref="AL76:AL102" si="37">SUM(G76:N76)+SUM(X76:AG76)</f>
        <v>4983.91</v>
      </c>
    </row>
    <row r="77" spans="1:38">
      <c r="A77" s="18" t="s">
        <v>121</v>
      </c>
      <c r="B77" s="22">
        <f t="shared" si="30"/>
        <v>0</v>
      </c>
      <c r="C77" s="22">
        <f t="shared" si="30"/>
        <v>0</v>
      </c>
      <c r="D77" s="22">
        <f t="shared" si="30"/>
        <v>0</v>
      </c>
      <c r="E77" s="22">
        <f t="shared" si="30"/>
        <v>0</v>
      </c>
      <c r="F77" s="22">
        <f t="shared" si="30"/>
        <v>0</v>
      </c>
      <c r="G77" s="22">
        <f t="shared" si="30"/>
        <v>0</v>
      </c>
      <c r="H77" s="22">
        <f t="shared" si="30"/>
        <v>0</v>
      </c>
      <c r="I77" s="22">
        <f t="shared" si="30"/>
        <v>0</v>
      </c>
      <c r="J77" s="22">
        <f t="shared" si="30"/>
        <v>0</v>
      </c>
      <c r="K77" s="22">
        <f t="shared" si="30"/>
        <v>0</v>
      </c>
      <c r="L77" s="22">
        <f t="shared" si="30"/>
        <v>0</v>
      </c>
      <c r="M77" s="22">
        <f t="shared" si="30"/>
        <v>0</v>
      </c>
      <c r="N77" s="22">
        <f t="shared" si="30"/>
        <v>0</v>
      </c>
      <c r="O77" s="12">
        <f t="shared" si="31"/>
        <v>0</v>
      </c>
      <c r="R77" s="2" t="s">
        <v>2</v>
      </c>
      <c r="S77" s="35">
        <v>18914.34</v>
      </c>
      <c r="T77" s="35">
        <v>10942.06</v>
      </c>
      <c r="U77" s="35">
        <v>3528.58</v>
      </c>
      <c r="V77" s="35">
        <v>814.38</v>
      </c>
      <c r="W77" s="35">
        <v>18811.599999999999</v>
      </c>
      <c r="X77" s="35">
        <v>1512.9</v>
      </c>
      <c r="Y77" s="35">
        <v>1056.6099999999999</v>
      </c>
      <c r="Z77" s="35">
        <f>Z147*0.8</f>
        <v>0</v>
      </c>
      <c r="AA77" s="35">
        <v>2070.8200000000002</v>
      </c>
      <c r="AB77" s="37">
        <f t="shared" ref="AB77:AD78" si="38">AB147*0.8</f>
        <v>0</v>
      </c>
      <c r="AC77" s="35">
        <f t="shared" si="38"/>
        <v>0</v>
      </c>
      <c r="AD77" s="35">
        <f t="shared" si="38"/>
        <v>0</v>
      </c>
      <c r="AE77" s="35"/>
      <c r="AF77" s="35">
        <f t="shared" ref="AF77:AG77" si="39">AF147*0.8</f>
        <v>0</v>
      </c>
      <c r="AG77" s="35">
        <f t="shared" si="39"/>
        <v>0</v>
      </c>
      <c r="AH77" s="4">
        <f t="shared" si="33"/>
        <v>57651.29</v>
      </c>
      <c r="AI77" s="129">
        <f t="shared" si="34"/>
        <v>29856.400000000001</v>
      </c>
      <c r="AJ77" s="129">
        <f t="shared" si="35"/>
        <v>4342.96</v>
      </c>
      <c r="AK77" s="129">
        <f t="shared" si="36"/>
        <v>18811.599999999999</v>
      </c>
      <c r="AL77" s="129">
        <f t="shared" si="37"/>
        <v>4640.33</v>
      </c>
    </row>
    <row r="78" spans="1:38">
      <c r="A78" s="2" t="s">
        <v>122</v>
      </c>
      <c r="B78" s="22">
        <f t="shared" si="30"/>
        <v>0</v>
      </c>
      <c r="C78" s="22">
        <f t="shared" si="30"/>
        <v>0</v>
      </c>
      <c r="D78" s="22">
        <f t="shared" si="30"/>
        <v>0</v>
      </c>
      <c r="E78" s="22">
        <f t="shared" si="30"/>
        <v>0</v>
      </c>
      <c r="F78" s="22">
        <f t="shared" si="30"/>
        <v>0</v>
      </c>
      <c r="G78" s="22">
        <f t="shared" si="30"/>
        <v>0</v>
      </c>
      <c r="H78" s="22">
        <f t="shared" si="30"/>
        <v>0</v>
      </c>
      <c r="I78" s="22">
        <f t="shared" si="30"/>
        <v>0</v>
      </c>
      <c r="J78" s="22">
        <f t="shared" si="30"/>
        <v>0</v>
      </c>
      <c r="K78" s="22">
        <f t="shared" si="30"/>
        <v>0</v>
      </c>
      <c r="L78" s="22">
        <f t="shared" si="30"/>
        <v>0</v>
      </c>
      <c r="M78" s="22">
        <f t="shared" si="30"/>
        <v>0</v>
      </c>
      <c r="N78" s="22">
        <f t="shared" si="30"/>
        <v>0</v>
      </c>
      <c r="O78" s="12">
        <f t="shared" si="31"/>
        <v>0</v>
      </c>
      <c r="R78" s="2" t="s">
        <v>3</v>
      </c>
      <c r="S78" s="35">
        <v>64402.29</v>
      </c>
      <c r="T78" s="35">
        <v>17423.650000000001</v>
      </c>
      <c r="U78" s="35">
        <v>5306.68</v>
      </c>
      <c r="V78" s="35">
        <v>3309</v>
      </c>
      <c r="W78" s="35">
        <v>33813.24</v>
      </c>
      <c r="X78" s="35">
        <v>754.82</v>
      </c>
      <c r="Y78" s="35">
        <v>1891.31</v>
      </c>
      <c r="Z78" s="35">
        <f>Z148*0.8</f>
        <v>0</v>
      </c>
      <c r="AA78" s="35">
        <v>3360.88</v>
      </c>
      <c r="AB78" s="37">
        <f t="shared" si="38"/>
        <v>0</v>
      </c>
      <c r="AC78" s="35">
        <f t="shared" si="38"/>
        <v>0</v>
      </c>
      <c r="AD78" s="35">
        <f t="shared" si="38"/>
        <v>0</v>
      </c>
      <c r="AE78" s="35">
        <v>55.28</v>
      </c>
      <c r="AF78" s="35">
        <v>28.58</v>
      </c>
      <c r="AG78" s="35">
        <v>581.94000000000005</v>
      </c>
      <c r="AH78" s="4">
        <f>SUM(S78:AG78)</f>
        <v>130927.67</v>
      </c>
      <c r="AI78" s="129">
        <f t="shared" si="34"/>
        <v>81825.94</v>
      </c>
      <c r="AJ78" s="129">
        <f t="shared" si="35"/>
        <v>8615.68</v>
      </c>
      <c r="AK78" s="129">
        <f t="shared" si="36"/>
        <v>33813.24</v>
      </c>
      <c r="AL78" s="129">
        <f t="shared" si="37"/>
        <v>6672.8099999999995</v>
      </c>
    </row>
    <row r="79" spans="1:38">
      <c r="A79" s="1" t="s">
        <v>123</v>
      </c>
      <c r="B79" s="22">
        <f t="shared" si="30"/>
        <v>0</v>
      </c>
      <c r="C79" s="22">
        <f t="shared" si="30"/>
        <v>0</v>
      </c>
      <c r="D79" s="22">
        <f t="shared" si="30"/>
        <v>0</v>
      </c>
      <c r="E79" s="22">
        <f t="shared" si="30"/>
        <v>0</v>
      </c>
      <c r="F79" s="22">
        <f t="shared" si="30"/>
        <v>0</v>
      </c>
      <c r="G79" s="22">
        <f t="shared" si="30"/>
        <v>0</v>
      </c>
      <c r="H79" s="22">
        <f t="shared" si="30"/>
        <v>0</v>
      </c>
      <c r="I79" s="22">
        <f t="shared" si="30"/>
        <v>0</v>
      </c>
      <c r="J79" s="22">
        <f t="shared" si="30"/>
        <v>0</v>
      </c>
      <c r="K79" s="22">
        <f t="shared" si="30"/>
        <v>0</v>
      </c>
      <c r="L79" s="22">
        <f t="shared" si="30"/>
        <v>0</v>
      </c>
      <c r="M79" s="22">
        <f t="shared" si="30"/>
        <v>0</v>
      </c>
      <c r="N79" s="22">
        <f t="shared" si="30"/>
        <v>0</v>
      </c>
      <c r="O79" s="12">
        <f t="shared" si="31"/>
        <v>0</v>
      </c>
      <c r="R79" s="2" t="s">
        <v>4</v>
      </c>
      <c r="S79" s="35">
        <v>238012.82</v>
      </c>
      <c r="T79" s="35">
        <v>45041.73</v>
      </c>
      <c r="U79" s="35">
        <v>26943.37</v>
      </c>
      <c r="V79" s="35">
        <v>2815.51</v>
      </c>
      <c r="W79" s="35">
        <v>121496.02</v>
      </c>
      <c r="X79" s="35">
        <v>3127.08</v>
      </c>
      <c r="Y79" s="35">
        <v>6186.75</v>
      </c>
      <c r="Z79" s="35">
        <f t="shared" ref="Z79:AG79" si="40">Z149*0.8</f>
        <v>0</v>
      </c>
      <c r="AA79" s="35">
        <v>7570.81</v>
      </c>
      <c r="AB79" s="37">
        <v>379.04</v>
      </c>
      <c r="AC79" s="35">
        <f t="shared" si="40"/>
        <v>0</v>
      </c>
      <c r="AD79" s="35">
        <f t="shared" si="40"/>
        <v>0</v>
      </c>
      <c r="AE79" s="35">
        <v>382.21</v>
      </c>
      <c r="AF79" s="35">
        <f t="shared" si="40"/>
        <v>0</v>
      </c>
      <c r="AG79" s="35">
        <f t="shared" si="40"/>
        <v>0</v>
      </c>
      <c r="AH79" s="4">
        <f t="shared" si="33"/>
        <v>451955.34</v>
      </c>
      <c r="AI79" s="129">
        <f t="shared" si="34"/>
        <v>283054.55</v>
      </c>
      <c r="AJ79" s="129">
        <f t="shared" si="35"/>
        <v>29758.879999999997</v>
      </c>
      <c r="AK79" s="129">
        <f t="shared" si="36"/>
        <v>121496.02</v>
      </c>
      <c r="AL79" s="129">
        <f t="shared" si="37"/>
        <v>17645.89</v>
      </c>
    </row>
    <row r="80" spans="1:38">
      <c r="A80" s="1" t="s">
        <v>124</v>
      </c>
      <c r="B80" s="22">
        <f t="shared" si="30"/>
        <v>0</v>
      </c>
      <c r="C80" s="22">
        <f t="shared" si="30"/>
        <v>0</v>
      </c>
      <c r="D80" s="22">
        <f t="shared" si="30"/>
        <v>0</v>
      </c>
      <c r="E80" s="22">
        <f t="shared" si="30"/>
        <v>0</v>
      </c>
      <c r="F80" s="22">
        <f t="shared" si="30"/>
        <v>0</v>
      </c>
      <c r="G80" s="22">
        <f t="shared" si="30"/>
        <v>0</v>
      </c>
      <c r="H80" s="22">
        <f t="shared" si="30"/>
        <v>0</v>
      </c>
      <c r="I80" s="22">
        <f t="shared" si="30"/>
        <v>0</v>
      </c>
      <c r="J80" s="22">
        <f t="shared" si="30"/>
        <v>0</v>
      </c>
      <c r="K80" s="22">
        <f t="shared" si="30"/>
        <v>0</v>
      </c>
      <c r="L80" s="22">
        <f t="shared" si="30"/>
        <v>0</v>
      </c>
      <c r="M80" s="22">
        <f t="shared" si="30"/>
        <v>0</v>
      </c>
      <c r="N80" s="22">
        <f t="shared" si="30"/>
        <v>0</v>
      </c>
      <c r="O80" s="12">
        <f t="shared" si="31"/>
        <v>0</v>
      </c>
      <c r="R80" s="2" t="s">
        <v>5</v>
      </c>
      <c r="S80" s="35">
        <v>158846.41</v>
      </c>
      <c r="T80" s="35">
        <v>25305.47</v>
      </c>
      <c r="U80" s="35">
        <v>12824.47</v>
      </c>
      <c r="V80" s="35">
        <v>2807.96</v>
      </c>
      <c r="W80" s="35">
        <v>68998.759999999995</v>
      </c>
      <c r="X80" s="35">
        <v>565.29999999999995</v>
      </c>
      <c r="Y80" s="35">
        <v>3793.08</v>
      </c>
      <c r="Z80" s="35">
        <f t="shared" ref="Z80:AG80" si="41">Z150*0.8</f>
        <v>0</v>
      </c>
      <c r="AA80" s="35">
        <v>4172.6400000000003</v>
      </c>
      <c r="AB80" s="37">
        <v>947.6</v>
      </c>
      <c r="AC80" s="35">
        <f t="shared" si="41"/>
        <v>0</v>
      </c>
      <c r="AD80" s="35">
        <f t="shared" si="41"/>
        <v>0</v>
      </c>
      <c r="AE80" s="35">
        <v>54.33</v>
      </c>
      <c r="AF80" s="35">
        <f t="shared" si="41"/>
        <v>0</v>
      </c>
      <c r="AG80" s="35">
        <f t="shared" si="41"/>
        <v>0</v>
      </c>
      <c r="AH80" s="4">
        <f t="shared" si="33"/>
        <v>278316.02</v>
      </c>
      <c r="AI80" s="129">
        <f t="shared" si="34"/>
        <v>184151.88</v>
      </c>
      <c r="AJ80" s="129">
        <f t="shared" si="35"/>
        <v>15632.43</v>
      </c>
      <c r="AK80" s="129">
        <f t="shared" si="36"/>
        <v>68998.759999999995</v>
      </c>
      <c r="AL80" s="129">
        <f t="shared" si="37"/>
        <v>9532.9500000000007</v>
      </c>
    </row>
    <row r="81" spans="1:38">
      <c r="A81" s="1" t="s">
        <v>125</v>
      </c>
      <c r="B81" s="22">
        <f t="shared" si="30"/>
        <v>0</v>
      </c>
      <c r="C81" s="22">
        <f t="shared" si="30"/>
        <v>371.6</v>
      </c>
      <c r="D81" s="22">
        <f t="shared" si="30"/>
        <v>0</v>
      </c>
      <c r="E81" s="22">
        <f t="shared" si="30"/>
        <v>0</v>
      </c>
      <c r="F81" s="22">
        <f t="shared" si="30"/>
        <v>0</v>
      </c>
      <c r="G81" s="22">
        <f t="shared" si="30"/>
        <v>0</v>
      </c>
      <c r="H81" s="22">
        <f t="shared" si="30"/>
        <v>154.11000000000001</v>
      </c>
      <c r="I81" s="22">
        <f t="shared" si="30"/>
        <v>0</v>
      </c>
      <c r="J81" s="22">
        <f t="shared" si="30"/>
        <v>0</v>
      </c>
      <c r="K81" s="22">
        <f t="shared" si="30"/>
        <v>0</v>
      </c>
      <c r="L81" s="22">
        <f t="shared" si="30"/>
        <v>0</v>
      </c>
      <c r="M81" s="22">
        <f t="shared" si="30"/>
        <v>0</v>
      </c>
      <c r="N81" s="22">
        <f t="shared" si="30"/>
        <v>0</v>
      </c>
      <c r="O81" s="12">
        <f t="shared" si="31"/>
        <v>525.71</v>
      </c>
      <c r="R81" s="2" t="s">
        <v>6</v>
      </c>
      <c r="S81" s="35">
        <v>283434.44</v>
      </c>
      <c r="T81" s="35">
        <v>47877.57</v>
      </c>
      <c r="U81" s="35">
        <v>18610.21</v>
      </c>
      <c r="V81" s="35">
        <v>3741.6</v>
      </c>
      <c r="W81" s="35">
        <v>95740.86</v>
      </c>
      <c r="X81" s="35">
        <v>2176.2199999999998</v>
      </c>
      <c r="Y81" s="35">
        <v>7300.97</v>
      </c>
      <c r="Z81" s="35">
        <f t="shared" ref="Z81:AG81" si="42">Z151*0.8</f>
        <v>0</v>
      </c>
      <c r="AA81" s="35">
        <v>8092.1</v>
      </c>
      <c r="AB81" s="37">
        <v>284.27999999999997</v>
      </c>
      <c r="AC81" s="35">
        <f t="shared" si="42"/>
        <v>0</v>
      </c>
      <c r="AD81" s="35">
        <f t="shared" si="42"/>
        <v>0</v>
      </c>
      <c r="AE81" s="35">
        <v>823.5</v>
      </c>
      <c r="AF81" s="35">
        <f t="shared" si="42"/>
        <v>0</v>
      </c>
      <c r="AG81" s="35">
        <f t="shared" si="42"/>
        <v>0</v>
      </c>
      <c r="AH81" s="4">
        <f t="shared" si="33"/>
        <v>468081.74999999994</v>
      </c>
      <c r="AI81" s="129">
        <f t="shared" si="34"/>
        <v>331683.61</v>
      </c>
      <c r="AJ81" s="129">
        <f t="shared" si="35"/>
        <v>22351.809999999998</v>
      </c>
      <c r="AK81" s="129">
        <f t="shared" si="36"/>
        <v>95740.86</v>
      </c>
      <c r="AL81" s="129">
        <f t="shared" si="37"/>
        <v>18831.18</v>
      </c>
    </row>
    <row r="82" spans="1:38">
      <c r="A82" s="1" t="s">
        <v>126</v>
      </c>
      <c r="B82" s="22">
        <f t="shared" si="30"/>
        <v>0</v>
      </c>
      <c r="C82" s="22">
        <f t="shared" si="30"/>
        <v>0</v>
      </c>
      <c r="D82" s="22">
        <f t="shared" si="30"/>
        <v>0</v>
      </c>
      <c r="E82" s="22">
        <f t="shared" si="30"/>
        <v>0</v>
      </c>
      <c r="F82" s="22">
        <f t="shared" si="30"/>
        <v>0</v>
      </c>
      <c r="G82" s="22">
        <f t="shared" si="30"/>
        <v>0</v>
      </c>
      <c r="H82" s="22">
        <f t="shared" si="30"/>
        <v>0</v>
      </c>
      <c r="I82" s="22">
        <f t="shared" si="30"/>
        <v>0</v>
      </c>
      <c r="J82" s="22">
        <f>J12+J47</f>
        <v>0</v>
      </c>
      <c r="K82" s="22">
        <f t="shared" si="30"/>
        <v>0</v>
      </c>
      <c r="L82" s="22">
        <f t="shared" si="30"/>
        <v>0</v>
      </c>
      <c r="M82" s="22">
        <f t="shared" si="30"/>
        <v>0</v>
      </c>
      <c r="N82" s="22">
        <f t="shared" si="30"/>
        <v>0</v>
      </c>
      <c r="O82" s="12">
        <f t="shared" si="31"/>
        <v>0</v>
      </c>
      <c r="R82" s="2" t="s">
        <v>7</v>
      </c>
      <c r="S82" s="35">
        <v>191530.26</v>
      </c>
      <c r="T82" s="35">
        <v>31234.3</v>
      </c>
      <c r="U82" s="35">
        <v>16408.310000000001</v>
      </c>
      <c r="V82" s="35">
        <v>5543.74</v>
      </c>
      <c r="W82" s="35">
        <v>89127.22</v>
      </c>
      <c r="X82" s="35">
        <v>2708.92</v>
      </c>
      <c r="Y82" s="35">
        <v>4831.38</v>
      </c>
      <c r="Z82" s="35">
        <v>1102.1099999999999</v>
      </c>
      <c r="AA82" s="35">
        <v>5856.67</v>
      </c>
      <c r="AB82" s="37">
        <v>94.76</v>
      </c>
      <c r="AC82" s="35">
        <f t="shared" ref="AC82:AG82" si="43">AC152*0.8</f>
        <v>0</v>
      </c>
      <c r="AD82" s="35">
        <f t="shared" si="43"/>
        <v>0</v>
      </c>
      <c r="AE82" s="35">
        <v>109.61</v>
      </c>
      <c r="AF82" s="35">
        <f t="shared" si="43"/>
        <v>0</v>
      </c>
      <c r="AG82" s="35">
        <f t="shared" si="43"/>
        <v>0</v>
      </c>
      <c r="AH82" s="4">
        <f t="shared" si="33"/>
        <v>348547.27999999991</v>
      </c>
      <c r="AI82" s="129">
        <f t="shared" si="34"/>
        <v>222764.56</v>
      </c>
      <c r="AJ82" s="129">
        <f t="shared" si="35"/>
        <v>21952.050000000003</v>
      </c>
      <c r="AK82" s="129">
        <f t="shared" si="36"/>
        <v>89127.22</v>
      </c>
      <c r="AL82" s="129">
        <f t="shared" si="37"/>
        <v>14703.45</v>
      </c>
    </row>
    <row r="83" spans="1:38">
      <c r="A83" s="1" t="s">
        <v>127</v>
      </c>
      <c r="B83" s="22">
        <f t="shared" si="30"/>
        <v>0</v>
      </c>
      <c r="C83" s="22">
        <f t="shared" si="30"/>
        <v>0</v>
      </c>
      <c r="D83" s="22">
        <f t="shared" si="30"/>
        <v>0</v>
      </c>
      <c r="E83" s="22">
        <f t="shared" si="30"/>
        <v>0</v>
      </c>
      <c r="F83" s="22">
        <f t="shared" si="30"/>
        <v>0</v>
      </c>
      <c r="G83" s="22">
        <f t="shared" si="30"/>
        <v>0</v>
      </c>
      <c r="H83" s="22">
        <f t="shared" si="30"/>
        <v>0</v>
      </c>
      <c r="I83" s="22">
        <f t="shared" si="30"/>
        <v>0</v>
      </c>
      <c r="J83" s="22">
        <f t="shared" si="30"/>
        <v>0</v>
      </c>
      <c r="K83" s="22">
        <f t="shared" si="30"/>
        <v>0</v>
      </c>
      <c r="L83" s="22">
        <f t="shared" si="30"/>
        <v>0</v>
      </c>
      <c r="M83" s="22">
        <f t="shared" si="30"/>
        <v>0</v>
      </c>
      <c r="N83" s="22">
        <f t="shared" si="30"/>
        <v>0</v>
      </c>
      <c r="O83" s="12">
        <f t="shared" si="31"/>
        <v>0</v>
      </c>
      <c r="R83" s="2" t="s">
        <v>8</v>
      </c>
      <c r="S83" s="35">
        <v>178653.97</v>
      </c>
      <c r="T83" s="35">
        <v>35549.9</v>
      </c>
      <c r="U83" s="35">
        <v>16101.98</v>
      </c>
      <c r="V83" s="35">
        <v>4161.8100000000004</v>
      </c>
      <c r="W83" s="35">
        <v>151172.42000000001</v>
      </c>
      <c r="X83" s="35">
        <v>3787.14</v>
      </c>
      <c r="Y83" s="35">
        <v>5090.8500000000004</v>
      </c>
      <c r="Z83" s="35">
        <v>213.51</v>
      </c>
      <c r="AA83" s="35">
        <v>6743.49</v>
      </c>
      <c r="AB83" s="37">
        <v>189.52</v>
      </c>
      <c r="AC83" s="35">
        <f t="shared" ref="AC83:AG83" si="44">AC153*0.8</f>
        <v>0</v>
      </c>
      <c r="AD83" s="35">
        <f t="shared" si="44"/>
        <v>0</v>
      </c>
      <c r="AE83" s="35">
        <v>165.84</v>
      </c>
      <c r="AF83" s="35">
        <f t="shared" si="44"/>
        <v>0</v>
      </c>
      <c r="AG83" s="35">
        <f t="shared" si="44"/>
        <v>0</v>
      </c>
      <c r="AH83" s="4">
        <f t="shared" si="33"/>
        <v>401830.43000000005</v>
      </c>
      <c r="AI83" s="129">
        <f t="shared" si="34"/>
        <v>214203.87</v>
      </c>
      <c r="AJ83" s="129">
        <f t="shared" si="35"/>
        <v>20263.79</v>
      </c>
      <c r="AK83" s="129">
        <f t="shared" si="36"/>
        <v>151172.42000000001</v>
      </c>
      <c r="AL83" s="129">
        <f t="shared" si="37"/>
        <v>16190.35</v>
      </c>
    </row>
    <row r="84" spans="1:38">
      <c r="A84" s="2" t="s">
        <v>128</v>
      </c>
      <c r="B84" s="22">
        <f t="shared" si="30"/>
        <v>0</v>
      </c>
      <c r="C84" s="22">
        <f t="shared" si="30"/>
        <v>0</v>
      </c>
      <c r="D84" s="22">
        <f t="shared" si="30"/>
        <v>0</v>
      </c>
      <c r="E84" s="22">
        <f t="shared" si="30"/>
        <v>0</v>
      </c>
      <c r="F84" s="22">
        <f t="shared" si="30"/>
        <v>0</v>
      </c>
      <c r="G84" s="22">
        <f t="shared" si="30"/>
        <v>0</v>
      </c>
      <c r="H84" s="22">
        <f t="shared" si="30"/>
        <v>0</v>
      </c>
      <c r="I84" s="22">
        <f t="shared" si="30"/>
        <v>0</v>
      </c>
      <c r="J84" s="22">
        <f t="shared" si="30"/>
        <v>0</v>
      </c>
      <c r="K84" s="22">
        <f t="shared" si="30"/>
        <v>0</v>
      </c>
      <c r="L84" s="22">
        <f t="shared" si="30"/>
        <v>0</v>
      </c>
      <c r="M84" s="22">
        <f t="shared" si="30"/>
        <v>0</v>
      </c>
      <c r="N84" s="22">
        <f t="shared" si="30"/>
        <v>0</v>
      </c>
      <c r="O84" s="12">
        <f t="shared" si="31"/>
        <v>0</v>
      </c>
      <c r="R84" s="2" t="s">
        <v>9</v>
      </c>
      <c r="S84" s="35">
        <v>57795.06</v>
      </c>
      <c r="T84" s="35">
        <v>16310.64</v>
      </c>
      <c r="U84" s="35">
        <v>4988.84</v>
      </c>
      <c r="V84" s="35">
        <v>2229.6</v>
      </c>
      <c r="W84" s="35">
        <v>29875.7</v>
      </c>
      <c r="X84" s="35">
        <v>1137.1199999999999</v>
      </c>
      <c r="Y84" s="35">
        <v>2748.35</v>
      </c>
      <c r="Z84" s="35">
        <f t="shared" ref="Z84:AG84" si="45">Z154*0.8</f>
        <v>0</v>
      </c>
      <c r="AA84" s="35">
        <v>2795.93</v>
      </c>
      <c r="AB84" s="37">
        <v>284.27999999999997</v>
      </c>
      <c r="AC84" s="35">
        <f t="shared" si="45"/>
        <v>0</v>
      </c>
      <c r="AD84" s="35">
        <f t="shared" si="45"/>
        <v>0</v>
      </c>
      <c r="AE84" s="35">
        <v>55.28</v>
      </c>
      <c r="AF84" s="35">
        <f t="shared" si="45"/>
        <v>0</v>
      </c>
      <c r="AG84" s="35">
        <f t="shared" si="45"/>
        <v>0</v>
      </c>
      <c r="AH84" s="4">
        <f t="shared" si="33"/>
        <v>118220.79999999999</v>
      </c>
      <c r="AI84" s="129">
        <f t="shared" si="34"/>
        <v>74105.7</v>
      </c>
      <c r="AJ84" s="129">
        <f t="shared" si="35"/>
        <v>7218.4400000000005</v>
      </c>
      <c r="AK84" s="129">
        <f t="shared" si="36"/>
        <v>29875.7</v>
      </c>
      <c r="AL84" s="129">
        <f t="shared" si="37"/>
        <v>7020.9599999999991</v>
      </c>
    </row>
    <row r="85" spans="1:38">
      <c r="A85" s="18" t="s">
        <v>129</v>
      </c>
      <c r="B85" s="22">
        <f t="shared" si="30"/>
        <v>0</v>
      </c>
      <c r="C85" s="22">
        <f t="shared" si="30"/>
        <v>0</v>
      </c>
      <c r="D85" s="22">
        <f t="shared" si="30"/>
        <v>0</v>
      </c>
      <c r="E85" s="22">
        <f t="shared" si="30"/>
        <v>0</v>
      </c>
      <c r="F85" s="22">
        <f t="shared" si="30"/>
        <v>0</v>
      </c>
      <c r="G85" s="22">
        <f t="shared" si="30"/>
        <v>0</v>
      </c>
      <c r="H85" s="22">
        <f t="shared" si="30"/>
        <v>0</v>
      </c>
      <c r="I85" s="22">
        <f t="shared" si="30"/>
        <v>0</v>
      </c>
      <c r="J85" s="22">
        <f t="shared" si="30"/>
        <v>0</v>
      </c>
      <c r="K85" s="22">
        <f t="shared" si="30"/>
        <v>0</v>
      </c>
      <c r="L85" s="22">
        <f t="shared" si="30"/>
        <v>0</v>
      </c>
      <c r="M85" s="22">
        <f t="shared" si="30"/>
        <v>0</v>
      </c>
      <c r="N85" s="22">
        <f t="shared" si="30"/>
        <v>0</v>
      </c>
      <c r="O85" s="12">
        <f t="shared" si="31"/>
        <v>0</v>
      </c>
      <c r="R85" s="2" t="s">
        <v>10</v>
      </c>
      <c r="S85" s="35">
        <v>120205.53</v>
      </c>
      <c r="T85" s="35">
        <v>17150.61</v>
      </c>
      <c r="U85" s="35">
        <v>12363.83</v>
      </c>
      <c r="V85" s="35">
        <v>2298.65</v>
      </c>
      <c r="W85" s="35">
        <v>151002.23999999999</v>
      </c>
      <c r="X85" s="35">
        <v>1597.88</v>
      </c>
      <c r="Y85" s="35">
        <v>1277.1300000000001</v>
      </c>
      <c r="Z85" s="35">
        <f t="shared" ref="Z85:AG85" si="46">Z155*0.8</f>
        <v>0</v>
      </c>
      <c r="AA85" s="35">
        <v>3500.12</v>
      </c>
      <c r="AB85" s="37">
        <v>94.76</v>
      </c>
      <c r="AC85" s="35">
        <f t="shared" si="46"/>
        <v>0</v>
      </c>
      <c r="AD85" s="35">
        <f t="shared" si="46"/>
        <v>0</v>
      </c>
      <c r="AE85" s="35">
        <v>110.56</v>
      </c>
      <c r="AF85" s="35">
        <f t="shared" si="46"/>
        <v>0</v>
      </c>
      <c r="AG85" s="35">
        <f t="shared" si="46"/>
        <v>0</v>
      </c>
      <c r="AH85" s="4">
        <f t="shared" si="33"/>
        <v>309601.31</v>
      </c>
      <c r="AI85" s="129">
        <f t="shared" si="34"/>
        <v>137356.14000000001</v>
      </c>
      <c r="AJ85" s="129">
        <f t="shared" si="35"/>
        <v>14662.48</v>
      </c>
      <c r="AK85" s="129">
        <f t="shared" si="36"/>
        <v>151002.23999999999</v>
      </c>
      <c r="AL85" s="129">
        <f t="shared" si="37"/>
        <v>6580.4500000000007</v>
      </c>
    </row>
    <row r="86" spans="1:38">
      <c r="A86" s="1" t="s">
        <v>130</v>
      </c>
      <c r="B86" s="22">
        <f t="shared" si="30"/>
        <v>0</v>
      </c>
      <c r="C86" s="22">
        <f t="shared" si="30"/>
        <v>0</v>
      </c>
      <c r="D86" s="22">
        <f t="shared" si="30"/>
        <v>0</v>
      </c>
      <c r="E86" s="22">
        <f t="shared" si="30"/>
        <v>0</v>
      </c>
      <c r="F86" s="22">
        <f t="shared" si="30"/>
        <v>0</v>
      </c>
      <c r="G86" s="22">
        <f t="shared" si="30"/>
        <v>0</v>
      </c>
      <c r="H86" s="22">
        <f t="shared" si="30"/>
        <v>0</v>
      </c>
      <c r="I86" s="22">
        <f t="shared" si="30"/>
        <v>0</v>
      </c>
      <c r="J86" s="22">
        <f t="shared" si="30"/>
        <v>0</v>
      </c>
      <c r="K86" s="22">
        <f t="shared" si="30"/>
        <v>0</v>
      </c>
      <c r="L86" s="22">
        <f t="shared" si="30"/>
        <v>0</v>
      </c>
      <c r="M86" s="22">
        <f t="shared" si="30"/>
        <v>0</v>
      </c>
      <c r="N86" s="22">
        <f t="shared" si="30"/>
        <v>0</v>
      </c>
      <c r="O86" s="12">
        <f t="shared" si="31"/>
        <v>0</v>
      </c>
      <c r="R86" s="2" t="s">
        <v>11</v>
      </c>
      <c r="S86" s="37">
        <f>171373.08+96.69</f>
        <v>171469.77</v>
      </c>
      <c r="T86" s="37">
        <v>23304.02</v>
      </c>
      <c r="U86" s="37">
        <v>23506.92</v>
      </c>
      <c r="V86" s="37">
        <v>4342.4399999999996</v>
      </c>
      <c r="W86" s="37">
        <v>123799.38</v>
      </c>
      <c r="X86" s="37">
        <v>568.55999999999995</v>
      </c>
      <c r="Y86" s="37">
        <v>3338.47</v>
      </c>
      <c r="Z86" s="37">
        <v>533.78</v>
      </c>
      <c r="AA86" s="37">
        <v>3832.27</v>
      </c>
      <c r="AB86" s="37">
        <v>189.52</v>
      </c>
      <c r="AC86" s="37">
        <f t="shared" ref="AC86:AG86" si="47">AC156*0.8</f>
        <v>0</v>
      </c>
      <c r="AD86" s="37">
        <f t="shared" si="47"/>
        <v>0</v>
      </c>
      <c r="AE86" s="37">
        <v>108.66</v>
      </c>
      <c r="AF86" s="37">
        <v>19.73</v>
      </c>
      <c r="AG86" s="37">
        <f t="shared" si="47"/>
        <v>0</v>
      </c>
      <c r="AH86" s="38">
        <f t="shared" si="33"/>
        <v>355013.51999999996</v>
      </c>
      <c r="AI86" s="129">
        <f t="shared" si="34"/>
        <v>194773.78999999998</v>
      </c>
      <c r="AJ86" s="129">
        <f t="shared" si="35"/>
        <v>27849.359999999997</v>
      </c>
      <c r="AK86" s="129">
        <f t="shared" si="36"/>
        <v>123799.38</v>
      </c>
      <c r="AL86" s="129">
        <f t="shared" si="37"/>
        <v>8590.99</v>
      </c>
    </row>
    <row r="87" spans="1:38">
      <c r="A87" s="1" t="s">
        <v>131</v>
      </c>
      <c r="B87" s="22">
        <f t="shared" si="30"/>
        <v>0</v>
      </c>
      <c r="C87" s="22">
        <f t="shared" si="30"/>
        <v>252.11</v>
      </c>
      <c r="D87" s="22">
        <f t="shared" si="30"/>
        <v>0</v>
      </c>
      <c r="E87" s="22">
        <f t="shared" si="30"/>
        <v>0</v>
      </c>
      <c r="F87" s="22">
        <f t="shared" si="30"/>
        <v>0</v>
      </c>
      <c r="G87" s="22">
        <f t="shared" si="30"/>
        <v>0</v>
      </c>
      <c r="H87" s="22">
        <f t="shared" si="30"/>
        <v>101.74</v>
      </c>
      <c r="I87" s="22">
        <f t="shared" si="30"/>
        <v>0</v>
      </c>
      <c r="J87" s="22">
        <f t="shared" si="30"/>
        <v>0</v>
      </c>
      <c r="K87" s="22">
        <f t="shared" si="30"/>
        <v>0</v>
      </c>
      <c r="L87" s="22">
        <f t="shared" si="30"/>
        <v>0</v>
      </c>
      <c r="M87" s="22">
        <f t="shared" si="30"/>
        <v>0</v>
      </c>
      <c r="N87" s="22">
        <f t="shared" si="30"/>
        <v>0</v>
      </c>
      <c r="O87" s="12">
        <f t="shared" si="31"/>
        <v>353.85</v>
      </c>
      <c r="R87" s="2" t="s">
        <v>12</v>
      </c>
      <c r="S87" s="35">
        <v>954378.22</v>
      </c>
      <c r="T87" s="35">
        <v>152117.42000000001</v>
      </c>
      <c r="U87" s="35">
        <v>85869.61</v>
      </c>
      <c r="V87" s="35">
        <v>22418.23</v>
      </c>
      <c r="W87" s="35">
        <v>336712.72</v>
      </c>
      <c r="X87" s="35">
        <v>4738</v>
      </c>
      <c r="Y87" s="35">
        <v>31967.19</v>
      </c>
      <c r="Z87" s="35">
        <v>0</v>
      </c>
      <c r="AA87" s="35">
        <v>27837.83</v>
      </c>
      <c r="AB87" s="37">
        <v>2921.26</v>
      </c>
      <c r="AC87" s="35">
        <v>0</v>
      </c>
      <c r="AD87" s="35">
        <v>0</v>
      </c>
      <c r="AE87" s="35">
        <v>1402.99</v>
      </c>
      <c r="AF87" s="35">
        <v>0</v>
      </c>
      <c r="AG87" s="35">
        <v>0</v>
      </c>
      <c r="AH87" s="12">
        <f t="shared" ref="AH87:AH101" si="48">SUM(S87:AG87)</f>
        <v>1620363.47</v>
      </c>
      <c r="AI87" s="129">
        <f t="shared" si="34"/>
        <v>1106747.75</v>
      </c>
      <c r="AJ87" s="129">
        <f t="shared" si="35"/>
        <v>108287.84</v>
      </c>
      <c r="AK87" s="129">
        <f t="shared" si="36"/>
        <v>336712.72</v>
      </c>
      <c r="AL87" s="129">
        <f t="shared" si="37"/>
        <v>68969.010000000009</v>
      </c>
    </row>
    <row r="88" spans="1:38">
      <c r="A88" s="1" t="s">
        <v>132</v>
      </c>
      <c r="B88" s="22">
        <f t="shared" si="30"/>
        <v>0</v>
      </c>
      <c r="C88" s="22">
        <f t="shared" si="30"/>
        <v>0</v>
      </c>
      <c r="D88" s="22">
        <f t="shared" si="30"/>
        <v>0</v>
      </c>
      <c r="E88" s="22">
        <f t="shared" si="30"/>
        <v>0</v>
      </c>
      <c r="F88" s="22">
        <f t="shared" si="30"/>
        <v>448.02</v>
      </c>
      <c r="G88" s="22">
        <f t="shared" si="30"/>
        <v>0</v>
      </c>
      <c r="H88" s="22">
        <f t="shared" si="30"/>
        <v>0</v>
      </c>
      <c r="I88" s="22">
        <f t="shared" si="30"/>
        <v>0</v>
      </c>
      <c r="J88" s="22">
        <f t="shared" si="30"/>
        <v>0</v>
      </c>
      <c r="K88" s="22">
        <f t="shared" si="30"/>
        <v>0</v>
      </c>
      <c r="L88" s="22">
        <f t="shared" si="30"/>
        <v>0</v>
      </c>
      <c r="M88" s="22">
        <f t="shared" si="30"/>
        <v>0</v>
      </c>
      <c r="N88" s="22">
        <f t="shared" si="30"/>
        <v>0</v>
      </c>
      <c r="O88" s="12">
        <f t="shared" si="31"/>
        <v>448.02</v>
      </c>
      <c r="R88" s="2" t="s">
        <v>15</v>
      </c>
      <c r="S88" s="35">
        <v>102222.44</v>
      </c>
      <c r="T88" s="35">
        <v>23150.57</v>
      </c>
      <c r="U88" s="35">
        <v>9507.81</v>
      </c>
      <c r="V88" s="35">
        <v>2414.27</v>
      </c>
      <c r="W88" s="35">
        <v>42707.64</v>
      </c>
      <c r="X88" s="35">
        <v>1421.4</v>
      </c>
      <c r="Y88" s="35">
        <v>3411.82</v>
      </c>
      <c r="Z88" s="35">
        <v>0</v>
      </c>
      <c r="AA88" s="35">
        <v>3915.68</v>
      </c>
      <c r="AB88" s="37">
        <v>284.27999999999997</v>
      </c>
      <c r="AC88" s="35">
        <v>0</v>
      </c>
      <c r="AD88" s="35">
        <v>0</v>
      </c>
      <c r="AE88" s="35">
        <v>82.92</v>
      </c>
      <c r="AF88" s="35">
        <v>0</v>
      </c>
      <c r="AG88" s="35">
        <v>0</v>
      </c>
      <c r="AH88" s="12">
        <f t="shared" si="48"/>
        <v>189118.83</v>
      </c>
      <c r="AI88" s="129">
        <f t="shared" si="34"/>
        <v>125373.01000000001</v>
      </c>
      <c r="AJ88" s="129">
        <f t="shared" si="35"/>
        <v>11922.08</v>
      </c>
      <c r="AK88" s="129">
        <f t="shared" si="36"/>
        <v>43155.659999999996</v>
      </c>
      <c r="AL88" s="129">
        <f t="shared" si="37"/>
        <v>9116.1</v>
      </c>
    </row>
    <row r="89" spans="1:38">
      <c r="A89" s="1" t="s">
        <v>133</v>
      </c>
      <c r="B89" s="22">
        <f t="shared" si="30"/>
        <v>0</v>
      </c>
      <c r="C89" s="22">
        <f t="shared" si="30"/>
        <v>84.05</v>
      </c>
      <c r="D89" s="22">
        <f t="shared" si="30"/>
        <v>0</v>
      </c>
      <c r="E89" s="22">
        <f t="shared" si="30"/>
        <v>0</v>
      </c>
      <c r="F89" s="22">
        <f t="shared" si="30"/>
        <v>0</v>
      </c>
      <c r="G89" s="22">
        <f t="shared" si="30"/>
        <v>0</v>
      </c>
      <c r="H89" s="22">
        <f t="shared" si="30"/>
        <v>31</v>
      </c>
      <c r="I89" s="22">
        <f t="shared" si="30"/>
        <v>0</v>
      </c>
      <c r="J89" s="22">
        <f t="shared" si="30"/>
        <v>0</v>
      </c>
      <c r="K89" s="22">
        <f t="shared" si="30"/>
        <v>0</v>
      </c>
      <c r="L89" s="22">
        <f t="shared" si="30"/>
        <v>0</v>
      </c>
      <c r="M89" s="22">
        <f t="shared" si="30"/>
        <v>0</v>
      </c>
      <c r="N89" s="22">
        <f t="shared" si="30"/>
        <v>0</v>
      </c>
      <c r="O89" s="12">
        <f t="shared" si="31"/>
        <v>115.05</v>
      </c>
      <c r="R89" s="2" t="s">
        <v>14</v>
      </c>
      <c r="S89" s="35">
        <v>108823.86</v>
      </c>
      <c r="T89" s="35">
        <v>26140.959999999999</v>
      </c>
      <c r="U89" s="35">
        <v>6757.74</v>
      </c>
      <c r="V89" s="35">
        <v>3101.94</v>
      </c>
      <c r="W89" s="35">
        <v>56869.48</v>
      </c>
      <c r="X89" s="35">
        <v>568.55999999999995</v>
      </c>
      <c r="Y89" s="35">
        <v>3992.35</v>
      </c>
      <c r="Z89" s="35">
        <v>808.28</v>
      </c>
      <c r="AA89" s="35">
        <v>4307.7</v>
      </c>
      <c r="AB89" s="37">
        <v>0</v>
      </c>
      <c r="AC89" s="35">
        <v>0</v>
      </c>
      <c r="AD89" s="35">
        <v>0</v>
      </c>
      <c r="AE89" s="35">
        <v>193.48</v>
      </c>
      <c r="AF89" s="35">
        <v>0</v>
      </c>
      <c r="AG89" s="35">
        <v>0</v>
      </c>
      <c r="AH89" s="12">
        <f t="shared" si="48"/>
        <v>211564.35000000003</v>
      </c>
      <c r="AI89" s="129">
        <f t="shared" si="34"/>
        <v>135048.87</v>
      </c>
      <c r="AJ89" s="129">
        <f t="shared" si="35"/>
        <v>9859.68</v>
      </c>
      <c r="AK89" s="129">
        <f t="shared" si="36"/>
        <v>56869.48</v>
      </c>
      <c r="AL89" s="129">
        <f t="shared" si="37"/>
        <v>9901.369999999999</v>
      </c>
    </row>
    <row r="90" spans="1:38">
      <c r="A90" s="18" t="s">
        <v>134</v>
      </c>
      <c r="B90" s="22">
        <f t="shared" si="30"/>
        <v>0</v>
      </c>
      <c r="C90" s="22">
        <f t="shared" si="30"/>
        <v>0</v>
      </c>
      <c r="D90" s="22">
        <f t="shared" si="30"/>
        <v>0</v>
      </c>
      <c r="E90" s="22">
        <f t="shared" si="30"/>
        <v>0</v>
      </c>
      <c r="F90" s="22">
        <f t="shared" si="30"/>
        <v>0</v>
      </c>
      <c r="G90" s="22">
        <f t="shared" si="30"/>
        <v>0</v>
      </c>
      <c r="H90" s="22">
        <f t="shared" si="30"/>
        <v>0</v>
      </c>
      <c r="I90" s="22">
        <f t="shared" si="30"/>
        <v>0</v>
      </c>
      <c r="J90" s="22">
        <f t="shared" si="30"/>
        <v>0</v>
      </c>
      <c r="K90" s="22">
        <f t="shared" si="30"/>
        <v>0</v>
      </c>
      <c r="L90" s="22">
        <f t="shared" si="30"/>
        <v>0</v>
      </c>
      <c r="M90" s="22">
        <f t="shared" si="30"/>
        <v>0</v>
      </c>
      <c r="N90" s="22">
        <f t="shared" si="30"/>
        <v>0</v>
      </c>
      <c r="O90" s="12">
        <f t="shared" si="31"/>
        <v>0</v>
      </c>
      <c r="R90" s="2" t="s">
        <v>13</v>
      </c>
      <c r="S90" s="35">
        <v>798755.88</v>
      </c>
      <c r="T90" s="35">
        <v>85690.15</v>
      </c>
      <c r="U90" s="35">
        <v>110267.96</v>
      </c>
      <c r="V90" s="35">
        <v>24606</v>
      </c>
      <c r="W90" s="35">
        <v>463616.36</v>
      </c>
      <c r="X90" s="35">
        <v>4639.9799999999996</v>
      </c>
      <c r="Y90" s="35">
        <v>10912.45</v>
      </c>
      <c r="Z90" s="35">
        <v>0</v>
      </c>
      <c r="AA90" s="35">
        <v>20180.509999999998</v>
      </c>
      <c r="AB90" s="37">
        <v>1800.44</v>
      </c>
      <c r="AC90" s="35">
        <v>0</v>
      </c>
      <c r="AD90" s="35">
        <v>0</v>
      </c>
      <c r="AE90" s="35">
        <v>906.42</v>
      </c>
      <c r="AF90" s="35">
        <v>0</v>
      </c>
      <c r="AG90" s="35">
        <v>0</v>
      </c>
      <c r="AH90" s="12">
        <f t="shared" si="48"/>
        <v>1521376.15</v>
      </c>
      <c r="AI90" s="129">
        <f t="shared" si="34"/>
        <v>884446.03</v>
      </c>
      <c r="AJ90" s="129">
        <f t="shared" si="35"/>
        <v>134873.96000000002</v>
      </c>
      <c r="AK90" s="129">
        <f t="shared" si="36"/>
        <v>463616.36</v>
      </c>
      <c r="AL90" s="129">
        <f t="shared" si="37"/>
        <v>38439.800000000003</v>
      </c>
    </row>
    <row r="91" spans="1:38">
      <c r="A91" s="1" t="s">
        <v>135</v>
      </c>
      <c r="B91" s="22">
        <f t="shared" si="30"/>
        <v>0</v>
      </c>
      <c r="C91" s="22">
        <f t="shared" si="30"/>
        <v>0</v>
      </c>
      <c r="D91" s="22">
        <f t="shared" si="30"/>
        <v>0</v>
      </c>
      <c r="E91" s="22">
        <f t="shared" si="30"/>
        <v>0</v>
      </c>
      <c r="F91" s="22">
        <f t="shared" si="30"/>
        <v>0</v>
      </c>
      <c r="G91" s="22">
        <f t="shared" si="30"/>
        <v>0</v>
      </c>
      <c r="H91" s="22">
        <f t="shared" si="30"/>
        <v>0</v>
      </c>
      <c r="I91" s="22">
        <f t="shared" si="30"/>
        <v>0</v>
      </c>
      <c r="J91" s="22">
        <f t="shared" si="30"/>
        <v>0</v>
      </c>
      <c r="K91" s="22">
        <f t="shared" si="30"/>
        <v>0</v>
      </c>
      <c r="L91" s="22">
        <f t="shared" si="30"/>
        <v>0</v>
      </c>
      <c r="M91" s="22">
        <f t="shared" si="30"/>
        <v>0</v>
      </c>
      <c r="N91" s="22">
        <f t="shared" si="30"/>
        <v>0</v>
      </c>
      <c r="O91" s="12">
        <f t="shared" si="31"/>
        <v>0</v>
      </c>
      <c r="R91" s="2" t="s">
        <v>16</v>
      </c>
      <c r="S91" s="35">
        <v>234460.93</v>
      </c>
      <c r="T91" s="35">
        <v>32157.73</v>
      </c>
      <c r="U91" s="35">
        <v>29481.54</v>
      </c>
      <c r="V91" s="35">
        <v>5572.06</v>
      </c>
      <c r="W91" s="35">
        <v>109977.9</v>
      </c>
      <c r="X91" s="35">
        <v>2166.44</v>
      </c>
      <c r="Y91" s="35">
        <v>4328.79</v>
      </c>
      <c r="Z91" s="35">
        <v>5367.28</v>
      </c>
      <c r="AA91" s="35">
        <v>6141.69</v>
      </c>
      <c r="AB91" s="37">
        <v>379.04</v>
      </c>
      <c r="AC91" s="35">
        <v>0</v>
      </c>
      <c r="AD91" s="35">
        <v>0</v>
      </c>
      <c r="AE91" s="35">
        <v>272.60000000000002</v>
      </c>
      <c r="AF91" s="35">
        <v>0</v>
      </c>
      <c r="AG91" s="35">
        <v>0</v>
      </c>
      <c r="AH91" s="12">
        <f t="shared" si="48"/>
        <v>430305.99999999988</v>
      </c>
      <c r="AI91" s="129">
        <f t="shared" si="34"/>
        <v>266618.65999999997</v>
      </c>
      <c r="AJ91" s="129">
        <f t="shared" si="35"/>
        <v>35053.599999999999</v>
      </c>
      <c r="AK91" s="129">
        <f t="shared" si="36"/>
        <v>109977.9</v>
      </c>
      <c r="AL91" s="129">
        <f t="shared" si="37"/>
        <v>18655.839999999997</v>
      </c>
    </row>
    <row r="92" spans="1:38">
      <c r="A92" s="1" t="s">
        <v>136</v>
      </c>
      <c r="B92" s="22">
        <f t="shared" ref="B92:N101" si="49">B22+B57</f>
        <v>0</v>
      </c>
      <c r="C92" s="22">
        <f t="shared" si="49"/>
        <v>0</v>
      </c>
      <c r="D92" s="22">
        <f t="shared" si="49"/>
        <v>0</v>
      </c>
      <c r="E92" s="22">
        <f t="shared" si="49"/>
        <v>0</v>
      </c>
      <c r="F92" s="22">
        <f t="shared" si="49"/>
        <v>0</v>
      </c>
      <c r="G92" s="22">
        <f t="shared" si="49"/>
        <v>0</v>
      </c>
      <c r="H92" s="22">
        <f t="shared" si="49"/>
        <v>0</v>
      </c>
      <c r="I92" s="22">
        <f t="shared" si="49"/>
        <v>0</v>
      </c>
      <c r="J92" s="22">
        <f t="shared" si="49"/>
        <v>0</v>
      </c>
      <c r="K92" s="22">
        <f t="shared" si="49"/>
        <v>0</v>
      </c>
      <c r="L92" s="22">
        <f t="shared" si="49"/>
        <v>0</v>
      </c>
      <c r="M92" s="22">
        <f t="shared" si="49"/>
        <v>0</v>
      </c>
      <c r="N92" s="22">
        <f t="shared" si="49"/>
        <v>0</v>
      </c>
      <c r="O92" s="12">
        <f t="shared" si="31"/>
        <v>0</v>
      </c>
      <c r="R92" s="2" t="s">
        <v>17</v>
      </c>
      <c r="S92" s="35">
        <v>58637.599999999999</v>
      </c>
      <c r="T92" s="35">
        <v>7696.26</v>
      </c>
      <c r="U92" s="35">
        <v>5988.45</v>
      </c>
      <c r="V92" s="35">
        <v>1170.32</v>
      </c>
      <c r="W92" s="35">
        <v>30445.21</v>
      </c>
      <c r="X92" s="35">
        <v>1607.66</v>
      </c>
      <c r="Y92" s="35">
        <v>542.96</v>
      </c>
      <c r="Z92" s="35">
        <v>0</v>
      </c>
      <c r="AA92" s="35">
        <v>1648.11</v>
      </c>
      <c r="AB92" s="37">
        <v>189.52</v>
      </c>
      <c r="AC92" s="35">
        <v>0</v>
      </c>
      <c r="AD92" s="35">
        <v>0</v>
      </c>
      <c r="AE92" s="35">
        <v>0</v>
      </c>
      <c r="AF92" s="35">
        <v>0</v>
      </c>
      <c r="AG92" s="35">
        <v>0</v>
      </c>
      <c r="AH92" s="12">
        <f t="shared" si="48"/>
        <v>107926.09000000001</v>
      </c>
      <c r="AI92" s="129">
        <f t="shared" si="34"/>
        <v>66333.86</v>
      </c>
      <c r="AJ92" s="129">
        <f t="shared" si="35"/>
        <v>7158.7699999999995</v>
      </c>
      <c r="AK92" s="129">
        <f t="shared" si="36"/>
        <v>30445.21</v>
      </c>
      <c r="AL92" s="129">
        <f t="shared" si="37"/>
        <v>3988.2499999999995</v>
      </c>
    </row>
    <row r="93" spans="1:38">
      <c r="A93" s="1" t="s">
        <v>137</v>
      </c>
      <c r="B93" s="22">
        <f t="shared" si="49"/>
        <v>0</v>
      </c>
      <c r="C93" s="22">
        <f t="shared" si="49"/>
        <v>734.21</v>
      </c>
      <c r="D93" s="22">
        <f t="shared" si="49"/>
        <v>0</v>
      </c>
      <c r="E93" s="22">
        <f t="shared" si="49"/>
        <v>338.69</v>
      </c>
      <c r="F93" s="22">
        <f t="shared" si="49"/>
        <v>0</v>
      </c>
      <c r="G93" s="22">
        <f t="shared" si="49"/>
        <v>0</v>
      </c>
      <c r="H93" s="22">
        <f t="shared" si="49"/>
        <v>431.77</v>
      </c>
      <c r="I93" s="22">
        <f t="shared" si="49"/>
        <v>0</v>
      </c>
      <c r="J93" s="22">
        <f t="shared" si="49"/>
        <v>0</v>
      </c>
      <c r="K93" s="22">
        <f t="shared" si="49"/>
        <v>0</v>
      </c>
      <c r="L93" s="22">
        <f t="shared" si="49"/>
        <v>0</v>
      </c>
      <c r="M93" s="22">
        <f t="shared" si="49"/>
        <v>0</v>
      </c>
      <c r="N93" s="22">
        <f t="shared" si="49"/>
        <v>0</v>
      </c>
      <c r="O93" s="12">
        <f t="shared" si="31"/>
        <v>1504.67</v>
      </c>
      <c r="R93" s="2" t="s">
        <v>18</v>
      </c>
      <c r="S93" s="35">
        <v>1210553.2</v>
      </c>
      <c r="T93" s="35">
        <v>129988.57</v>
      </c>
      <c r="U93" s="35">
        <v>144814.26</v>
      </c>
      <c r="V93" s="35">
        <v>22611</v>
      </c>
      <c r="W93" s="35">
        <v>426189.42</v>
      </c>
      <c r="X93" s="35">
        <v>18814.86</v>
      </c>
      <c r="Y93" s="35">
        <v>18730.48</v>
      </c>
      <c r="Z93" s="35">
        <v>794.49</v>
      </c>
      <c r="AA93" s="35">
        <v>26497.54</v>
      </c>
      <c r="AB93" s="37">
        <v>1326.64</v>
      </c>
      <c r="AC93" s="35">
        <v>189.52</v>
      </c>
      <c r="AD93" s="35">
        <v>0</v>
      </c>
      <c r="AE93" s="35">
        <v>2554.37</v>
      </c>
      <c r="AF93" s="35">
        <v>0</v>
      </c>
      <c r="AG93" s="35">
        <v>0</v>
      </c>
      <c r="AH93" s="12">
        <f t="shared" si="48"/>
        <v>2003064.35</v>
      </c>
      <c r="AI93" s="129">
        <f t="shared" si="34"/>
        <v>1341275.98</v>
      </c>
      <c r="AJ93" s="129">
        <f t="shared" si="35"/>
        <v>167763.95000000001</v>
      </c>
      <c r="AK93" s="129">
        <f t="shared" si="36"/>
        <v>426189.42</v>
      </c>
      <c r="AL93" s="129">
        <f t="shared" si="37"/>
        <v>69339.67</v>
      </c>
    </row>
    <row r="94" spans="1:38">
      <c r="A94" s="1" t="s">
        <v>138</v>
      </c>
      <c r="B94" s="22">
        <f t="shared" si="49"/>
        <v>0</v>
      </c>
      <c r="C94" s="22">
        <f t="shared" si="49"/>
        <v>357.17</v>
      </c>
      <c r="D94" s="22">
        <f t="shared" si="49"/>
        <v>0</v>
      </c>
      <c r="E94" s="22">
        <f t="shared" si="49"/>
        <v>0</v>
      </c>
      <c r="F94" s="22">
        <f t="shared" si="49"/>
        <v>0</v>
      </c>
      <c r="G94" s="22">
        <f t="shared" si="49"/>
        <v>0</v>
      </c>
      <c r="H94" s="22">
        <f t="shared" si="49"/>
        <v>142.65</v>
      </c>
      <c r="I94" s="22">
        <f t="shared" si="49"/>
        <v>0</v>
      </c>
      <c r="J94" s="22">
        <f t="shared" si="49"/>
        <v>0</v>
      </c>
      <c r="K94" s="22">
        <f t="shared" si="49"/>
        <v>0</v>
      </c>
      <c r="L94" s="22">
        <f t="shared" si="49"/>
        <v>0</v>
      </c>
      <c r="M94" s="22">
        <f t="shared" si="49"/>
        <v>0</v>
      </c>
      <c r="N94" s="22">
        <f t="shared" si="49"/>
        <v>0</v>
      </c>
      <c r="O94" s="12">
        <f t="shared" si="31"/>
        <v>499.82000000000005</v>
      </c>
      <c r="R94" s="2" t="s">
        <v>20</v>
      </c>
      <c r="S94" s="35">
        <v>95692.160000000003</v>
      </c>
      <c r="T94" s="35">
        <v>19168.02</v>
      </c>
      <c r="U94" s="35">
        <v>4201.12</v>
      </c>
      <c r="V94" s="35">
        <v>1410.45</v>
      </c>
      <c r="W94" s="35">
        <v>55330.5</v>
      </c>
      <c r="X94" s="35">
        <v>1127.3399999999999</v>
      </c>
      <c r="Y94" s="35">
        <v>2607.14</v>
      </c>
      <c r="Z94" s="35">
        <v>0</v>
      </c>
      <c r="AA94" s="35">
        <v>3178.5</v>
      </c>
      <c r="AB94" s="37">
        <v>186.26</v>
      </c>
      <c r="AC94" s="35">
        <v>0</v>
      </c>
      <c r="AD94" s="35">
        <v>0</v>
      </c>
      <c r="AE94" s="35">
        <v>81.97</v>
      </c>
      <c r="AF94" s="35">
        <v>0</v>
      </c>
      <c r="AG94" s="35">
        <v>0</v>
      </c>
      <c r="AH94" s="12">
        <f t="shared" si="48"/>
        <v>182983.46000000002</v>
      </c>
      <c r="AI94" s="129">
        <f t="shared" si="34"/>
        <v>115217.35</v>
      </c>
      <c r="AJ94" s="129">
        <f t="shared" si="35"/>
        <v>5611.57</v>
      </c>
      <c r="AK94" s="129">
        <f t="shared" si="36"/>
        <v>55330.5</v>
      </c>
      <c r="AL94" s="129">
        <f t="shared" si="37"/>
        <v>7323.86</v>
      </c>
    </row>
    <row r="95" spans="1:38">
      <c r="A95" s="1" t="s">
        <v>139</v>
      </c>
      <c r="B95" s="22">
        <f t="shared" si="49"/>
        <v>0</v>
      </c>
      <c r="C95" s="22">
        <f t="shared" si="49"/>
        <v>795.86</v>
      </c>
      <c r="D95" s="22">
        <f t="shared" si="49"/>
        <v>0</v>
      </c>
      <c r="E95" s="22">
        <f t="shared" si="49"/>
        <v>168.06</v>
      </c>
      <c r="F95" s="22">
        <f t="shared" si="49"/>
        <v>0</v>
      </c>
      <c r="G95" s="22">
        <f t="shared" si="49"/>
        <v>0</v>
      </c>
      <c r="H95" s="22">
        <f t="shared" si="49"/>
        <v>440.55</v>
      </c>
      <c r="I95" s="22">
        <f t="shared" si="49"/>
        <v>742.29</v>
      </c>
      <c r="J95" s="22">
        <f t="shared" si="49"/>
        <v>121.36</v>
      </c>
      <c r="K95" s="22">
        <f t="shared" si="49"/>
        <v>0</v>
      </c>
      <c r="L95" s="22">
        <f t="shared" si="49"/>
        <v>0</v>
      </c>
      <c r="M95" s="22">
        <f t="shared" si="49"/>
        <v>0</v>
      </c>
      <c r="N95" s="22">
        <f t="shared" si="49"/>
        <v>0</v>
      </c>
      <c r="O95" s="12">
        <f t="shared" si="31"/>
        <v>2268.1200000000003</v>
      </c>
      <c r="R95" s="2" t="s">
        <v>19</v>
      </c>
      <c r="S95" s="35">
        <v>1038614.89</v>
      </c>
      <c r="T95" s="35">
        <v>140538.97</v>
      </c>
      <c r="U95" s="35">
        <v>109646.09</v>
      </c>
      <c r="V95" s="35">
        <v>26646.21</v>
      </c>
      <c r="W95" s="35">
        <v>618323.79</v>
      </c>
      <c r="X95" s="35">
        <v>7940.28</v>
      </c>
      <c r="Y95" s="35">
        <v>25497.99</v>
      </c>
      <c r="Z95" s="35">
        <v>694.12</v>
      </c>
      <c r="AA95" s="35">
        <v>26030.62</v>
      </c>
      <c r="AB95" s="37">
        <v>1891.94</v>
      </c>
      <c r="AC95" s="35">
        <v>189.52</v>
      </c>
      <c r="AD95" s="35">
        <v>0</v>
      </c>
      <c r="AE95" s="35">
        <v>953.15</v>
      </c>
      <c r="AF95" s="35">
        <v>0</v>
      </c>
      <c r="AG95" s="35">
        <v>0</v>
      </c>
      <c r="AH95" s="12">
        <f t="shared" si="48"/>
        <v>1996967.5700000003</v>
      </c>
      <c r="AI95" s="129">
        <f t="shared" si="34"/>
        <v>1179949.72</v>
      </c>
      <c r="AJ95" s="129">
        <f t="shared" si="35"/>
        <v>136460.35999999999</v>
      </c>
      <c r="AK95" s="129">
        <f t="shared" si="36"/>
        <v>618323.79</v>
      </c>
      <c r="AL95" s="129">
        <f t="shared" si="37"/>
        <v>64501.820000000007</v>
      </c>
    </row>
    <row r="96" spans="1:38">
      <c r="A96" s="18" t="s">
        <v>140</v>
      </c>
      <c r="B96" s="22">
        <f t="shared" si="49"/>
        <v>0</v>
      </c>
      <c r="C96" s="22">
        <f t="shared" si="49"/>
        <v>0</v>
      </c>
      <c r="D96" s="22">
        <f t="shared" si="49"/>
        <v>0</v>
      </c>
      <c r="E96" s="22">
        <f t="shared" si="49"/>
        <v>0</v>
      </c>
      <c r="F96" s="22">
        <f t="shared" si="49"/>
        <v>0</v>
      </c>
      <c r="G96" s="22">
        <f t="shared" si="49"/>
        <v>0</v>
      </c>
      <c r="H96" s="22">
        <f t="shared" si="49"/>
        <v>0</v>
      </c>
      <c r="I96" s="22">
        <f t="shared" si="49"/>
        <v>0</v>
      </c>
      <c r="J96" s="22">
        <f t="shared" si="49"/>
        <v>0</v>
      </c>
      <c r="K96" s="22">
        <f t="shared" si="49"/>
        <v>0</v>
      </c>
      <c r="L96" s="22">
        <f t="shared" si="49"/>
        <v>0</v>
      </c>
      <c r="M96" s="22">
        <f t="shared" si="49"/>
        <v>0</v>
      </c>
      <c r="N96" s="22">
        <f t="shared" si="49"/>
        <v>0</v>
      </c>
      <c r="O96" s="12">
        <f t="shared" si="31"/>
        <v>0</v>
      </c>
      <c r="R96" s="2" t="s">
        <v>21</v>
      </c>
      <c r="S96" s="35">
        <v>38766.699999999997</v>
      </c>
      <c r="T96" s="35">
        <v>6937.93</v>
      </c>
      <c r="U96" s="35">
        <v>5085.5600000000004</v>
      </c>
      <c r="V96" s="35">
        <v>1035.68</v>
      </c>
      <c r="W96" s="35">
        <v>43060.6</v>
      </c>
      <c r="X96" s="35">
        <v>284.27999999999997</v>
      </c>
      <c r="Y96" s="35">
        <v>650.91</v>
      </c>
      <c r="Z96" s="35">
        <v>0</v>
      </c>
      <c r="AA96" s="35">
        <v>1410.22</v>
      </c>
      <c r="AB96" s="37">
        <v>94.76</v>
      </c>
      <c r="AC96" s="35">
        <v>0</v>
      </c>
      <c r="AD96" s="35">
        <v>0</v>
      </c>
      <c r="AE96" s="35">
        <v>26.69</v>
      </c>
      <c r="AF96" s="35">
        <v>0</v>
      </c>
      <c r="AG96" s="35">
        <v>0</v>
      </c>
      <c r="AH96" s="12">
        <f t="shared" si="48"/>
        <v>97353.33</v>
      </c>
      <c r="AI96" s="129">
        <f t="shared" si="34"/>
        <v>45704.63</v>
      </c>
      <c r="AJ96" s="129">
        <f t="shared" si="35"/>
        <v>6121.2400000000007</v>
      </c>
      <c r="AK96" s="129">
        <f t="shared" si="36"/>
        <v>43060.6</v>
      </c>
      <c r="AL96" s="129">
        <f t="shared" si="37"/>
        <v>2466.86</v>
      </c>
    </row>
    <row r="97" spans="1:38">
      <c r="A97" s="2" t="s">
        <v>141</v>
      </c>
      <c r="B97" s="22">
        <f t="shared" si="49"/>
        <v>0</v>
      </c>
      <c r="C97" s="22">
        <f t="shared" si="49"/>
        <v>0</v>
      </c>
      <c r="D97" s="22">
        <f t="shared" si="49"/>
        <v>0</v>
      </c>
      <c r="E97" s="22">
        <f t="shared" si="49"/>
        <v>0</v>
      </c>
      <c r="F97" s="22">
        <f t="shared" si="49"/>
        <v>0</v>
      </c>
      <c r="G97" s="22">
        <f t="shared" si="49"/>
        <v>0</v>
      </c>
      <c r="H97" s="22">
        <f t="shared" si="49"/>
        <v>0</v>
      </c>
      <c r="I97" s="22">
        <f t="shared" si="49"/>
        <v>0</v>
      </c>
      <c r="J97" s="22">
        <f t="shared" si="49"/>
        <v>0</v>
      </c>
      <c r="K97" s="22">
        <f t="shared" si="49"/>
        <v>0</v>
      </c>
      <c r="L97" s="22">
        <f t="shared" si="49"/>
        <v>0</v>
      </c>
      <c r="M97" s="22">
        <f t="shared" si="49"/>
        <v>0</v>
      </c>
      <c r="N97" s="22">
        <f t="shared" si="49"/>
        <v>0</v>
      </c>
      <c r="O97" s="12">
        <f t="shared" si="31"/>
        <v>0</v>
      </c>
      <c r="R97" s="2" t="s">
        <v>22</v>
      </c>
      <c r="S97" s="35">
        <v>14026.77</v>
      </c>
      <c r="T97" s="35">
        <v>1942.55</v>
      </c>
      <c r="U97" s="35">
        <v>1105.56</v>
      </c>
      <c r="V97" s="35">
        <v>0</v>
      </c>
      <c r="W97" s="35">
        <v>8410.82</v>
      </c>
      <c r="X97" s="35">
        <v>94.76</v>
      </c>
      <c r="Y97" s="35">
        <v>131.88</v>
      </c>
      <c r="Z97" s="35">
        <v>0</v>
      </c>
      <c r="AA97" s="35">
        <v>414.89</v>
      </c>
      <c r="AB97" s="37">
        <v>0</v>
      </c>
      <c r="AC97" s="35">
        <v>0</v>
      </c>
      <c r="AD97" s="35">
        <v>0</v>
      </c>
      <c r="AE97" s="35">
        <v>0</v>
      </c>
      <c r="AF97" s="35">
        <v>0</v>
      </c>
      <c r="AG97" s="35">
        <v>0</v>
      </c>
      <c r="AH97" s="12">
        <f t="shared" si="48"/>
        <v>26127.23</v>
      </c>
      <c r="AI97" s="129">
        <f t="shared" si="34"/>
        <v>15969.32</v>
      </c>
      <c r="AJ97" s="129">
        <f t="shared" si="35"/>
        <v>1105.56</v>
      </c>
      <c r="AK97" s="129">
        <f t="shared" si="36"/>
        <v>8410.82</v>
      </c>
      <c r="AL97" s="129">
        <f t="shared" si="37"/>
        <v>641.53</v>
      </c>
    </row>
    <row r="98" spans="1:38">
      <c r="A98" s="1" t="s">
        <v>142</v>
      </c>
      <c r="B98" s="22">
        <f t="shared" si="49"/>
        <v>0</v>
      </c>
      <c r="C98" s="22">
        <f t="shared" si="49"/>
        <v>0</v>
      </c>
      <c r="D98" s="22">
        <f t="shared" si="49"/>
        <v>0</v>
      </c>
      <c r="E98" s="22">
        <f t="shared" si="49"/>
        <v>0</v>
      </c>
      <c r="F98" s="22">
        <f t="shared" si="49"/>
        <v>0</v>
      </c>
      <c r="G98" s="22">
        <f t="shared" si="49"/>
        <v>0</v>
      </c>
      <c r="H98" s="22">
        <f t="shared" si="49"/>
        <v>0</v>
      </c>
      <c r="I98" s="22">
        <f t="shared" si="49"/>
        <v>0</v>
      </c>
      <c r="J98" s="22">
        <f t="shared" si="49"/>
        <v>0</v>
      </c>
      <c r="K98" s="22">
        <f t="shared" si="49"/>
        <v>0</v>
      </c>
      <c r="L98" s="22">
        <f t="shared" si="49"/>
        <v>0</v>
      </c>
      <c r="M98" s="22">
        <f t="shared" si="49"/>
        <v>0</v>
      </c>
      <c r="N98" s="22">
        <f t="shared" si="49"/>
        <v>0</v>
      </c>
      <c r="O98" s="12">
        <f t="shared" si="31"/>
        <v>0</v>
      </c>
      <c r="R98" s="2" t="s">
        <v>23</v>
      </c>
      <c r="S98" s="35">
        <v>570780.80000000005</v>
      </c>
      <c r="T98" s="35">
        <v>67447.42</v>
      </c>
      <c r="U98" s="35">
        <v>55342.41</v>
      </c>
      <c r="V98" s="35">
        <v>11876.75</v>
      </c>
      <c r="W98" s="35">
        <v>283209.40000000002</v>
      </c>
      <c r="X98" s="35">
        <v>5391.54</v>
      </c>
      <c r="Y98" s="35">
        <v>7974.11</v>
      </c>
      <c r="Z98" s="35">
        <v>0</v>
      </c>
      <c r="AA98" s="35">
        <v>13323.98</v>
      </c>
      <c r="AB98" s="37">
        <v>0</v>
      </c>
      <c r="AC98" s="35">
        <v>0</v>
      </c>
      <c r="AD98" s="35">
        <v>270.42</v>
      </c>
      <c r="AE98" s="35">
        <v>356.47</v>
      </c>
      <c r="AF98" s="35">
        <v>0</v>
      </c>
      <c r="AG98" s="35">
        <v>0</v>
      </c>
      <c r="AH98" s="12">
        <f t="shared" si="48"/>
        <v>1015973.3000000002</v>
      </c>
      <c r="AI98" s="129">
        <f t="shared" si="34"/>
        <v>638228.22000000009</v>
      </c>
      <c r="AJ98" s="129">
        <f t="shared" si="35"/>
        <v>67219.16</v>
      </c>
      <c r="AK98" s="129">
        <f t="shared" si="36"/>
        <v>283209.40000000002</v>
      </c>
      <c r="AL98" s="129">
        <f t="shared" si="37"/>
        <v>27316.519999999997</v>
      </c>
    </row>
    <row r="99" spans="1:38">
      <c r="A99" s="1" t="s">
        <v>143</v>
      </c>
      <c r="B99" s="22">
        <f t="shared" si="49"/>
        <v>0</v>
      </c>
      <c r="C99" s="22">
        <f t="shared" si="49"/>
        <v>1216.75</v>
      </c>
      <c r="D99" s="22">
        <f t="shared" si="49"/>
        <v>0</v>
      </c>
      <c r="E99" s="22">
        <f t="shared" si="49"/>
        <v>105.02</v>
      </c>
      <c r="F99" s="22">
        <f t="shared" si="49"/>
        <v>530.6</v>
      </c>
      <c r="G99" s="22">
        <f t="shared" si="49"/>
        <v>18.95</v>
      </c>
      <c r="H99" s="22">
        <f t="shared" si="49"/>
        <v>505.64000000000004</v>
      </c>
      <c r="I99" s="22">
        <f t="shared" si="49"/>
        <v>0</v>
      </c>
      <c r="J99" s="22">
        <f t="shared" si="49"/>
        <v>0</v>
      </c>
      <c r="K99" s="22">
        <f t="shared" si="49"/>
        <v>0</v>
      </c>
      <c r="L99" s="22">
        <f t="shared" si="49"/>
        <v>0</v>
      </c>
      <c r="M99" s="22">
        <f t="shared" si="49"/>
        <v>0</v>
      </c>
      <c r="N99" s="22">
        <f t="shared" si="49"/>
        <v>0</v>
      </c>
      <c r="O99" s="12">
        <f t="shared" si="31"/>
        <v>2376.96</v>
      </c>
      <c r="R99" s="2" t="s">
        <v>25</v>
      </c>
      <c r="S99" s="35">
        <v>3846614.09</v>
      </c>
      <c r="T99" s="35">
        <v>445753.65</v>
      </c>
      <c r="U99" s="35">
        <v>381981.82</v>
      </c>
      <c r="V99" s="35">
        <v>49387.14</v>
      </c>
      <c r="W99" s="35">
        <v>1984127.04</v>
      </c>
      <c r="X99" s="35">
        <v>21700.04</v>
      </c>
      <c r="Y99" s="35">
        <v>74055.839999999997</v>
      </c>
      <c r="Z99" s="35">
        <v>2668.9</v>
      </c>
      <c r="AA99" s="35">
        <v>84070.54</v>
      </c>
      <c r="AB99" s="37">
        <v>5489.56</v>
      </c>
      <c r="AC99" s="35">
        <v>372.52</v>
      </c>
      <c r="AD99" s="35">
        <v>0</v>
      </c>
      <c r="AE99" s="35">
        <v>5324.16</v>
      </c>
      <c r="AF99" s="35">
        <f>248.97+439.47</f>
        <v>688.44</v>
      </c>
      <c r="AG99" s="35">
        <f>2495.13+4091.25</f>
        <v>6586.38</v>
      </c>
      <c r="AH99" s="12">
        <f t="shared" si="48"/>
        <v>6908820.1200000001</v>
      </c>
      <c r="AI99" s="129">
        <f t="shared" si="34"/>
        <v>4293584.49</v>
      </c>
      <c r="AJ99" s="129">
        <f t="shared" si="35"/>
        <v>431473.98000000004</v>
      </c>
      <c r="AK99" s="129">
        <f t="shared" si="36"/>
        <v>1984657.6400000001</v>
      </c>
      <c r="AL99" s="129">
        <f t="shared" si="37"/>
        <v>201480.97</v>
      </c>
    </row>
    <row r="100" spans="1:38">
      <c r="A100" s="1" t="s">
        <v>144</v>
      </c>
      <c r="B100" s="22">
        <f t="shared" si="49"/>
        <v>0</v>
      </c>
      <c r="C100" s="22">
        <f t="shared" si="49"/>
        <v>0</v>
      </c>
      <c r="D100" s="22">
        <f t="shared" si="49"/>
        <v>0</v>
      </c>
      <c r="E100" s="22">
        <f t="shared" si="49"/>
        <v>0</v>
      </c>
      <c r="F100" s="22">
        <f t="shared" si="49"/>
        <v>0</v>
      </c>
      <c r="G100" s="22">
        <f t="shared" si="49"/>
        <v>0</v>
      </c>
      <c r="H100" s="22">
        <f t="shared" si="49"/>
        <v>0</v>
      </c>
      <c r="I100" s="22">
        <f t="shared" si="49"/>
        <v>0</v>
      </c>
      <c r="J100" s="22">
        <f t="shared" si="49"/>
        <v>0</v>
      </c>
      <c r="K100" s="22">
        <f t="shared" si="49"/>
        <v>0</v>
      </c>
      <c r="L100" s="22">
        <f t="shared" si="49"/>
        <v>0</v>
      </c>
      <c r="M100" s="22">
        <f t="shared" si="49"/>
        <v>0</v>
      </c>
      <c r="N100" s="22">
        <f t="shared" si="49"/>
        <v>0</v>
      </c>
      <c r="O100" s="12">
        <f t="shared" si="31"/>
        <v>0</v>
      </c>
      <c r="R100" s="2" t="s">
        <v>24</v>
      </c>
      <c r="S100" s="35">
        <v>55939.76</v>
      </c>
      <c r="T100" s="35">
        <v>9041.32</v>
      </c>
      <c r="U100" s="35">
        <v>8402.24</v>
      </c>
      <c r="V100" s="35">
        <v>2027.82</v>
      </c>
      <c r="W100" s="35">
        <v>43923.22</v>
      </c>
      <c r="X100" s="35">
        <v>1231.8800000000001</v>
      </c>
      <c r="Y100" s="35">
        <v>810.96</v>
      </c>
      <c r="Z100" s="35">
        <v>0</v>
      </c>
      <c r="AA100" s="35">
        <v>2154.0500000000002</v>
      </c>
      <c r="AB100" s="37">
        <v>94.76</v>
      </c>
      <c r="AC100" s="35">
        <v>0</v>
      </c>
      <c r="AD100" s="35">
        <v>0</v>
      </c>
      <c r="AE100" s="35">
        <v>27.64</v>
      </c>
      <c r="AF100" s="35">
        <v>0</v>
      </c>
      <c r="AG100" s="35">
        <v>0</v>
      </c>
      <c r="AH100" s="12">
        <f t="shared" si="48"/>
        <v>123653.65000000002</v>
      </c>
      <c r="AI100" s="129">
        <f t="shared" si="34"/>
        <v>64981.08</v>
      </c>
      <c r="AJ100" s="129">
        <f t="shared" si="35"/>
        <v>10430.06</v>
      </c>
      <c r="AK100" s="129">
        <f t="shared" si="36"/>
        <v>43923.22</v>
      </c>
      <c r="AL100" s="129">
        <f t="shared" si="37"/>
        <v>4319.2900000000009</v>
      </c>
    </row>
    <row r="101" spans="1:38">
      <c r="A101" s="1" t="s">
        <v>145</v>
      </c>
      <c r="B101" s="22">
        <f t="shared" si="49"/>
        <v>0</v>
      </c>
      <c r="C101" s="22">
        <f t="shared" si="49"/>
        <v>0</v>
      </c>
      <c r="D101" s="22">
        <f t="shared" si="49"/>
        <v>0</v>
      </c>
      <c r="E101" s="22">
        <f t="shared" si="49"/>
        <v>0</v>
      </c>
      <c r="F101" s="22">
        <f t="shared" si="49"/>
        <v>0</v>
      </c>
      <c r="G101" s="22">
        <f t="shared" si="49"/>
        <v>0</v>
      </c>
      <c r="H101" s="22">
        <f t="shared" si="49"/>
        <v>0</v>
      </c>
      <c r="I101" s="22">
        <f t="shared" si="49"/>
        <v>0</v>
      </c>
      <c r="J101" s="22">
        <f t="shared" si="49"/>
        <v>0</v>
      </c>
      <c r="K101" s="22">
        <f t="shared" si="49"/>
        <v>0</v>
      </c>
      <c r="L101" s="22">
        <f t="shared" si="49"/>
        <v>0</v>
      </c>
      <c r="M101" s="22">
        <f t="shared" si="49"/>
        <v>0</v>
      </c>
      <c r="N101" s="22">
        <f t="shared" si="49"/>
        <v>0</v>
      </c>
      <c r="O101" s="12">
        <f t="shared" si="31"/>
        <v>0</v>
      </c>
      <c r="R101" s="2" t="s">
        <v>26</v>
      </c>
      <c r="S101" s="35">
        <v>22640.95</v>
      </c>
      <c r="T101" s="35">
        <v>8761.1299999999992</v>
      </c>
      <c r="U101" s="35">
        <v>3703.62</v>
      </c>
      <c r="V101" s="35">
        <v>3339.71</v>
      </c>
      <c r="W101" s="35">
        <v>20719.84</v>
      </c>
      <c r="X101" s="35">
        <v>284.27999999999997</v>
      </c>
      <c r="Y101" s="35">
        <v>1404.52</v>
      </c>
      <c r="Z101" s="35">
        <v>533.78</v>
      </c>
      <c r="AA101" s="35">
        <v>1875.88</v>
      </c>
      <c r="AB101" s="37">
        <v>94.76</v>
      </c>
      <c r="AC101" s="35">
        <v>183</v>
      </c>
      <c r="AD101" s="35">
        <v>0</v>
      </c>
      <c r="AE101" s="35">
        <v>27.64</v>
      </c>
      <c r="AF101" s="35">
        <v>0</v>
      </c>
      <c r="AG101" s="35">
        <v>340.21</v>
      </c>
      <c r="AH101" s="12">
        <f t="shared" si="48"/>
        <v>63909.319999999992</v>
      </c>
      <c r="AI101" s="129">
        <f t="shared" si="34"/>
        <v>31402.080000000002</v>
      </c>
      <c r="AJ101" s="129">
        <f t="shared" si="35"/>
        <v>7043.33</v>
      </c>
      <c r="AK101" s="129">
        <f t="shared" si="36"/>
        <v>20719.84</v>
      </c>
      <c r="AL101" s="129">
        <f t="shared" si="37"/>
        <v>4744.0700000000006</v>
      </c>
    </row>
    <row r="102" spans="1:38">
      <c r="A102" s="8" t="s">
        <v>37</v>
      </c>
      <c r="B102" s="23">
        <f t="shared" ref="B102:O102" si="50">SUM(B75:B101)</f>
        <v>0</v>
      </c>
      <c r="C102" s="23">
        <f t="shared" si="50"/>
        <v>3811.75</v>
      </c>
      <c r="D102" s="23">
        <f t="shared" si="50"/>
        <v>0</v>
      </c>
      <c r="E102" s="23">
        <f t="shared" si="50"/>
        <v>611.77</v>
      </c>
      <c r="F102" s="23">
        <f t="shared" si="50"/>
        <v>978.62</v>
      </c>
      <c r="G102" s="23">
        <f t="shared" si="50"/>
        <v>18.95</v>
      </c>
      <c r="H102" s="23">
        <f t="shared" si="50"/>
        <v>1807.46</v>
      </c>
      <c r="I102" s="23">
        <f t="shared" si="50"/>
        <v>742.29</v>
      </c>
      <c r="J102" s="23">
        <f t="shared" si="50"/>
        <v>121.36</v>
      </c>
      <c r="K102" s="23">
        <f t="shared" si="50"/>
        <v>0</v>
      </c>
      <c r="L102" s="23">
        <f t="shared" si="50"/>
        <v>0</v>
      </c>
      <c r="M102" s="23">
        <f t="shared" si="50"/>
        <v>0</v>
      </c>
      <c r="N102" s="23">
        <f t="shared" si="50"/>
        <v>0</v>
      </c>
      <c r="O102" s="7">
        <f t="shared" si="50"/>
        <v>8092.2000000000007</v>
      </c>
      <c r="R102" s="8" t="s">
        <v>37</v>
      </c>
      <c r="S102" s="7">
        <f t="shared" ref="S102:AH102" si="51">SUM(S75:S101)</f>
        <v>10754868.249999998</v>
      </c>
      <c r="T102" s="7">
        <f t="shared" si="51"/>
        <v>1442220.5600000003</v>
      </c>
      <c r="U102" s="7">
        <f t="shared" si="51"/>
        <v>1110920.1000000001</v>
      </c>
      <c r="V102" s="7">
        <f t="shared" si="51"/>
        <v>210345.23</v>
      </c>
      <c r="W102" s="7">
        <f t="shared" si="51"/>
        <v>5454942.879999999</v>
      </c>
      <c r="X102" s="7">
        <f t="shared" si="51"/>
        <v>91460.140000000014</v>
      </c>
      <c r="Y102" s="7">
        <f t="shared" si="51"/>
        <v>226202.98999999996</v>
      </c>
      <c r="Z102" s="7">
        <f t="shared" si="51"/>
        <v>13524.529999999999</v>
      </c>
      <c r="AA102" s="7">
        <f t="shared" si="51"/>
        <v>273783.33999999997</v>
      </c>
      <c r="AB102" s="7">
        <f t="shared" si="51"/>
        <v>17311.739999999998</v>
      </c>
      <c r="AC102" s="7">
        <f t="shared" si="51"/>
        <v>934.56</v>
      </c>
      <c r="AD102" s="7">
        <f t="shared" si="51"/>
        <v>270.42</v>
      </c>
      <c r="AE102" s="7">
        <f t="shared" si="51"/>
        <v>14269.249999999998</v>
      </c>
      <c r="AF102" s="7">
        <f t="shared" si="51"/>
        <v>736.75</v>
      </c>
      <c r="AG102" s="7">
        <f t="shared" si="51"/>
        <v>7508.53</v>
      </c>
      <c r="AH102" s="7">
        <f t="shared" si="51"/>
        <v>19619299.27</v>
      </c>
      <c r="AI102" s="129">
        <f t="shared" si="34"/>
        <v>12200900.559999999</v>
      </c>
      <c r="AJ102" s="129">
        <f t="shared" si="35"/>
        <v>1321877.1000000001</v>
      </c>
      <c r="AK102" s="129">
        <f t="shared" si="36"/>
        <v>5455921.4999999991</v>
      </c>
      <c r="AL102" s="129">
        <f t="shared" si="37"/>
        <v>648692.31000000017</v>
      </c>
    </row>
    <row r="103" spans="1:38">
      <c r="R103" s="20"/>
      <c r="AH103" s="15"/>
    </row>
    <row r="104" spans="1:38">
      <c r="O104" s="15" t="e">
        <f>O102+#REF!+#REF!+#REF!+#REF!</f>
        <v>#REF!</v>
      </c>
      <c r="R104" s="20"/>
    </row>
    <row r="105" spans="1:38" ht="46.5">
      <c r="K105" s="289" t="s">
        <v>49</v>
      </c>
      <c r="L105" s="28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</row>
    <row r="106" spans="1:38">
      <c r="K106" s="290" t="s">
        <v>33</v>
      </c>
      <c r="L106" s="287" t="s">
        <v>27</v>
      </c>
      <c r="M106" s="288"/>
      <c r="N106" s="287" t="s">
        <v>29</v>
      </c>
      <c r="O106" s="288"/>
      <c r="P106" s="285" t="s">
        <v>28</v>
      </c>
      <c r="Q106" s="285" t="s">
        <v>36</v>
      </c>
      <c r="R106" s="285" t="s">
        <v>30</v>
      </c>
      <c r="S106" s="285" t="s">
        <v>31</v>
      </c>
      <c r="T106" s="285" t="s">
        <v>41</v>
      </c>
      <c r="U106" s="285" t="s">
        <v>35</v>
      </c>
      <c r="V106" s="285" t="s">
        <v>40</v>
      </c>
      <c r="W106" s="285" t="s">
        <v>42</v>
      </c>
      <c r="X106" s="285" t="s">
        <v>45</v>
      </c>
      <c r="Y106" s="287" t="s">
        <v>52</v>
      </c>
      <c r="Z106" s="288"/>
      <c r="AA106" s="285" t="s">
        <v>34</v>
      </c>
    </row>
    <row r="107" spans="1:38" ht="30">
      <c r="K107" s="291"/>
      <c r="L107" s="56" t="s">
        <v>43</v>
      </c>
      <c r="M107" s="56" t="s">
        <v>44</v>
      </c>
      <c r="N107" s="56" t="s">
        <v>43</v>
      </c>
      <c r="O107" s="56" t="s">
        <v>44</v>
      </c>
      <c r="P107" s="286"/>
      <c r="Q107" s="286"/>
      <c r="R107" s="286"/>
      <c r="S107" s="286"/>
      <c r="T107" s="286"/>
      <c r="U107" s="286"/>
      <c r="V107" s="286"/>
      <c r="W107" s="286"/>
      <c r="X107" s="286"/>
      <c r="Y107" s="55" t="s">
        <v>53</v>
      </c>
      <c r="Z107" s="55" t="s">
        <v>54</v>
      </c>
      <c r="AA107" s="286"/>
    </row>
    <row r="108" spans="1:38">
      <c r="K108" s="1" t="s">
        <v>0</v>
      </c>
      <c r="L108" s="22">
        <f>B75+S75</f>
        <v>24229.77</v>
      </c>
      <c r="M108" s="22">
        <f t="shared" ref="M108:X123" si="52">C75+T75</f>
        <v>3179.86</v>
      </c>
      <c r="N108" s="22">
        <f t="shared" si="52"/>
        <v>3095.56</v>
      </c>
      <c r="O108" s="22">
        <f t="shared" si="52"/>
        <v>449.44</v>
      </c>
      <c r="P108" s="22">
        <f t="shared" si="52"/>
        <v>9266.92</v>
      </c>
      <c r="Q108" s="22">
        <f t="shared" si="52"/>
        <v>944.34</v>
      </c>
      <c r="R108" s="22">
        <f t="shared" si="52"/>
        <v>463.34</v>
      </c>
      <c r="S108" s="22">
        <f t="shared" si="52"/>
        <v>0</v>
      </c>
      <c r="T108" s="22">
        <f t="shared" si="52"/>
        <v>658.76</v>
      </c>
      <c r="U108" s="22">
        <f t="shared" si="52"/>
        <v>0</v>
      </c>
      <c r="V108" s="22">
        <f t="shared" si="52"/>
        <v>0</v>
      </c>
      <c r="W108" s="22">
        <f t="shared" si="52"/>
        <v>0</v>
      </c>
      <c r="X108" s="22">
        <f t="shared" si="52"/>
        <v>27.64</v>
      </c>
      <c r="Y108" s="22">
        <f>AF75</f>
        <v>0</v>
      </c>
      <c r="Z108" s="22">
        <f>AG75</f>
        <v>0</v>
      </c>
      <c r="AA108" s="12">
        <f>SUM(L108:Z108)</f>
        <v>42315.63</v>
      </c>
    </row>
    <row r="109" spans="1:38">
      <c r="K109" s="1" t="s">
        <v>1</v>
      </c>
      <c r="L109" s="22">
        <f t="shared" ref="L109:X134" si="53">B76+S76</f>
        <v>96465.34</v>
      </c>
      <c r="M109" s="22">
        <f t="shared" si="52"/>
        <v>12368.1</v>
      </c>
      <c r="N109" s="22">
        <f t="shared" si="52"/>
        <v>5085.5600000000004</v>
      </c>
      <c r="O109" s="22">
        <f t="shared" si="52"/>
        <v>213.52</v>
      </c>
      <c r="P109" s="22">
        <f t="shared" si="52"/>
        <v>38214.58</v>
      </c>
      <c r="Q109" s="22">
        <f t="shared" si="52"/>
        <v>568.55999999999995</v>
      </c>
      <c r="R109" s="22">
        <f t="shared" si="52"/>
        <v>1205.3599999999999</v>
      </c>
      <c r="S109" s="22">
        <f t="shared" si="52"/>
        <v>808.28</v>
      </c>
      <c r="T109" s="22">
        <f t="shared" si="52"/>
        <v>2141.11</v>
      </c>
      <c r="U109" s="22">
        <f t="shared" si="52"/>
        <v>94.76</v>
      </c>
      <c r="V109" s="22">
        <f t="shared" si="52"/>
        <v>0</v>
      </c>
      <c r="W109" s="22">
        <f t="shared" si="52"/>
        <v>0</v>
      </c>
      <c r="X109" s="22">
        <f t="shared" si="52"/>
        <v>165.84</v>
      </c>
      <c r="Y109" s="22">
        <f t="shared" ref="Y109:Z124" si="54">AF76</f>
        <v>0</v>
      </c>
      <c r="Z109" s="22">
        <f t="shared" si="54"/>
        <v>0</v>
      </c>
      <c r="AA109" s="12">
        <f t="shared" ref="AA109:AA134" si="55">SUM(L109:Z109)</f>
        <v>157331.00999999998</v>
      </c>
    </row>
    <row r="110" spans="1:38">
      <c r="K110" s="18" t="s">
        <v>2</v>
      </c>
      <c r="L110" s="22">
        <f t="shared" ref="L110:X111" si="56">B77+S77</f>
        <v>18914.34</v>
      </c>
      <c r="M110" s="22">
        <f t="shared" si="56"/>
        <v>10942.06</v>
      </c>
      <c r="N110" s="22">
        <f t="shared" si="56"/>
        <v>3528.58</v>
      </c>
      <c r="O110" s="22">
        <f t="shared" si="56"/>
        <v>814.38</v>
      </c>
      <c r="P110" s="22">
        <f t="shared" si="56"/>
        <v>18811.599999999999</v>
      </c>
      <c r="Q110" s="22">
        <f t="shared" si="56"/>
        <v>1512.9</v>
      </c>
      <c r="R110" s="22">
        <f t="shared" si="56"/>
        <v>1056.6099999999999</v>
      </c>
      <c r="S110" s="22">
        <f t="shared" si="56"/>
        <v>0</v>
      </c>
      <c r="T110" s="22">
        <f t="shared" si="56"/>
        <v>2070.8200000000002</v>
      </c>
      <c r="U110" s="22">
        <f t="shared" si="56"/>
        <v>0</v>
      </c>
      <c r="V110" s="22">
        <f t="shared" si="56"/>
        <v>0</v>
      </c>
      <c r="W110" s="22">
        <f t="shared" si="56"/>
        <v>0</v>
      </c>
      <c r="X110" s="22">
        <f t="shared" si="56"/>
        <v>0</v>
      </c>
      <c r="Y110" s="22">
        <f t="shared" si="54"/>
        <v>0</v>
      </c>
      <c r="Z110" s="22">
        <f t="shared" si="54"/>
        <v>0</v>
      </c>
      <c r="AA110" s="12">
        <f t="shared" si="55"/>
        <v>57651.29</v>
      </c>
    </row>
    <row r="111" spans="1:38">
      <c r="K111" s="2" t="s">
        <v>3</v>
      </c>
      <c r="L111" s="22">
        <f t="shared" si="56"/>
        <v>64402.29</v>
      </c>
      <c r="M111" s="22">
        <f t="shared" si="56"/>
        <v>17423.650000000001</v>
      </c>
      <c r="N111" s="22">
        <f t="shared" si="56"/>
        <v>5306.68</v>
      </c>
      <c r="O111" s="22">
        <f t="shared" si="56"/>
        <v>3309</v>
      </c>
      <c r="P111" s="22">
        <f t="shared" si="56"/>
        <v>33813.24</v>
      </c>
      <c r="Q111" s="22">
        <f t="shared" si="56"/>
        <v>754.82</v>
      </c>
      <c r="R111" s="22">
        <f t="shared" si="56"/>
        <v>1891.31</v>
      </c>
      <c r="S111" s="22">
        <f t="shared" si="56"/>
        <v>0</v>
      </c>
      <c r="T111" s="22">
        <f t="shared" si="56"/>
        <v>3360.88</v>
      </c>
      <c r="U111" s="22">
        <f t="shared" si="56"/>
        <v>0</v>
      </c>
      <c r="V111" s="22">
        <f t="shared" si="56"/>
        <v>0</v>
      </c>
      <c r="W111" s="22">
        <f t="shared" si="56"/>
        <v>0</v>
      </c>
      <c r="X111" s="22">
        <f t="shared" si="56"/>
        <v>55.28</v>
      </c>
      <c r="Y111" s="22">
        <f t="shared" si="54"/>
        <v>28.58</v>
      </c>
      <c r="Z111" s="22">
        <f t="shared" si="54"/>
        <v>581.94000000000005</v>
      </c>
      <c r="AA111" s="12">
        <f t="shared" si="55"/>
        <v>130927.67</v>
      </c>
    </row>
    <row r="112" spans="1:38">
      <c r="K112" s="1" t="s">
        <v>4</v>
      </c>
      <c r="L112" s="22">
        <f t="shared" si="53"/>
        <v>238012.82</v>
      </c>
      <c r="M112" s="22">
        <f t="shared" si="52"/>
        <v>45041.73</v>
      </c>
      <c r="N112" s="22">
        <f t="shared" si="52"/>
        <v>26943.37</v>
      </c>
      <c r="O112" s="22">
        <f t="shared" si="52"/>
        <v>2815.51</v>
      </c>
      <c r="P112" s="22">
        <f t="shared" si="52"/>
        <v>121496.02</v>
      </c>
      <c r="Q112" s="22">
        <f t="shared" si="52"/>
        <v>3127.08</v>
      </c>
      <c r="R112" s="22">
        <f t="shared" si="52"/>
        <v>6186.75</v>
      </c>
      <c r="S112" s="22">
        <f t="shared" si="52"/>
        <v>0</v>
      </c>
      <c r="T112" s="22">
        <f t="shared" si="52"/>
        <v>7570.81</v>
      </c>
      <c r="U112" s="22">
        <f t="shared" si="52"/>
        <v>379.04</v>
      </c>
      <c r="V112" s="22">
        <f t="shared" si="52"/>
        <v>0</v>
      </c>
      <c r="W112" s="22">
        <f t="shared" si="52"/>
        <v>0</v>
      </c>
      <c r="X112" s="22">
        <f t="shared" si="52"/>
        <v>382.21</v>
      </c>
      <c r="Y112" s="22">
        <f t="shared" si="54"/>
        <v>0</v>
      </c>
      <c r="Z112" s="22">
        <f t="shared" si="54"/>
        <v>0</v>
      </c>
      <c r="AA112" s="12">
        <f t="shared" si="55"/>
        <v>451955.34</v>
      </c>
    </row>
    <row r="113" spans="11:27">
      <c r="K113" s="1" t="s">
        <v>5</v>
      </c>
      <c r="L113" s="22">
        <f t="shared" si="53"/>
        <v>158846.41</v>
      </c>
      <c r="M113" s="22">
        <f t="shared" si="52"/>
        <v>25305.47</v>
      </c>
      <c r="N113" s="22">
        <f t="shared" si="52"/>
        <v>12824.47</v>
      </c>
      <c r="O113" s="22">
        <f t="shared" si="52"/>
        <v>2807.96</v>
      </c>
      <c r="P113" s="22">
        <f t="shared" si="52"/>
        <v>68998.759999999995</v>
      </c>
      <c r="Q113" s="22">
        <f t="shared" si="52"/>
        <v>565.29999999999995</v>
      </c>
      <c r="R113" s="22">
        <f t="shared" si="52"/>
        <v>3793.08</v>
      </c>
      <c r="S113" s="22">
        <f t="shared" si="52"/>
        <v>0</v>
      </c>
      <c r="T113" s="22">
        <f t="shared" si="52"/>
        <v>4172.6400000000003</v>
      </c>
      <c r="U113" s="22">
        <f t="shared" si="52"/>
        <v>947.6</v>
      </c>
      <c r="V113" s="22">
        <f t="shared" si="52"/>
        <v>0</v>
      </c>
      <c r="W113" s="22">
        <f t="shared" si="52"/>
        <v>0</v>
      </c>
      <c r="X113" s="22">
        <f t="shared" si="52"/>
        <v>54.33</v>
      </c>
      <c r="Y113" s="22">
        <f t="shared" si="54"/>
        <v>0</v>
      </c>
      <c r="Z113" s="22">
        <f t="shared" si="54"/>
        <v>0</v>
      </c>
      <c r="AA113" s="12">
        <f t="shared" si="55"/>
        <v>278316.02</v>
      </c>
    </row>
    <row r="114" spans="11:27">
      <c r="K114" s="1" t="s">
        <v>6</v>
      </c>
      <c r="L114" s="22">
        <f t="shared" si="53"/>
        <v>283434.44</v>
      </c>
      <c r="M114" s="22">
        <f t="shared" si="52"/>
        <v>48249.17</v>
      </c>
      <c r="N114" s="22">
        <f t="shared" si="52"/>
        <v>18610.21</v>
      </c>
      <c r="O114" s="22">
        <f t="shared" si="52"/>
        <v>3741.6</v>
      </c>
      <c r="P114" s="22">
        <f t="shared" si="52"/>
        <v>95740.86</v>
      </c>
      <c r="Q114" s="22">
        <f t="shared" si="52"/>
        <v>2176.2199999999998</v>
      </c>
      <c r="R114" s="22">
        <f t="shared" si="52"/>
        <v>7455.08</v>
      </c>
      <c r="S114" s="22">
        <f t="shared" si="52"/>
        <v>0</v>
      </c>
      <c r="T114" s="22">
        <f t="shared" si="52"/>
        <v>8092.1</v>
      </c>
      <c r="U114" s="22">
        <f t="shared" si="52"/>
        <v>284.27999999999997</v>
      </c>
      <c r="V114" s="22">
        <f t="shared" si="52"/>
        <v>0</v>
      </c>
      <c r="W114" s="22">
        <f t="shared" si="52"/>
        <v>0</v>
      </c>
      <c r="X114" s="22">
        <f t="shared" si="52"/>
        <v>823.5</v>
      </c>
      <c r="Y114" s="22">
        <f t="shared" si="54"/>
        <v>0</v>
      </c>
      <c r="Z114" s="22">
        <f t="shared" si="54"/>
        <v>0</v>
      </c>
      <c r="AA114" s="12">
        <f t="shared" si="55"/>
        <v>468607.45999999996</v>
      </c>
    </row>
    <row r="115" spans="11:27">
      <c r="K115" s="1" t="s">
        <v>7</v>
      </c>
      <c r="L115" s="22">
        <f t="shared" si="53"/>
        <v>191530.26</v>
      </c>
      <c r="M115" s="22">
        <f t="shared" si="52"/>
        <v>31234.3</v>
      </c>
      <c r="N115" s="22">
        <f t="shared" si="52"/>
        <v>16408.310000000001</v>
      </c>
      <c r="O115" s="22">
        <f t="shared" si="52"/>
        <v>5543.74</v>
      </c>
      <c r="P115" s="22">
        <f t="shared" si="52"/>
        <v>89127.22</v>
      </c>
      <c r="Q115" s="22">
        <f t="shared" si="52"/>
        <v>2708.92</v>
      </c>
      <c r="R115" s="22">
        <f t="shared" si="52"/>
        <v>4831.38</v>
      </c>
      <c r="S115" s="22">
        <f t="shared" si="52"/>
        <v>1102.1099999999999</v>
      </c>
      <c r="T115" s="22">
        <f t="shared" si="52"/>
        <v>5856.67</v>
      </c>
      <c r="U115" s="22">
        <f t="shared" si="52"/>
        <v>94.76</v>
      </c>
      <c r="V115" s="22">
        <f t="shared" si="52"/>
        <v>0</v>
      </c>
      <c r="W115" s="22">
        <f t="shared" si="52"/>
        <v>0</v>
      </c>
      <c r="X115" s="22">
        <f t="shared" si="52"/>
        <v>109.61</v>
      </c>
      <c r="Y115" s="22">
        <f t="shared" si="54"/>
        <v>0</v>
      </c>
      <c r="Z115" s="22">
        <f t="shared" si="54"/>
        <v>0</v>
      </c>
      <c r="AA115" s="12">
        <f t="shared" si="55"/>
        <v>348547.27999999991</v>
      </c>
    </row>
    <row r="116" spans="11:27">
      <c r="K116" s="1" t="s">
        <v>8</v>
      </c>
      <c r="L116" s="22">
        <f t="shared" si="53"/>
        <v>178653.97</v>
      </c>
      <c r="M116" s="22">
        <f t="shared" si="52"/>
        <v>35549.9</v>
      </c>
      <c r="N116" s="22">
        <f t="shared" si="52"/>
        <v>16101.98</v>
      </c>
      <c r="O116" s="22">
        <f t="shared" si="52"/>
        <v>4161.8100000000004</v>
      </c>
      <c r="P116" s="22">
        <f t="shared" si="52"/>
        <v>151172.42000000001</v>
      </c>
      <c r="Q116" s="22">
        <f t="shared" si="52"/>
        <v>3787.14</v>
      </c>
      <c r="R116" s="22">
        <f t="shared" si="52"/>
        <v>5090.8500000000004</v>
      </c>
      <c r="S116" s="22">
        <f t="shared" si="52"/>
        <v>213.51</v>
      </c>
      <c r="T116" s="22">
        <f t="shared" si="52"/>
        <v>6743.49</v>
      </c>
      <c r="U116" s="22">
        <f t="shared" si="52"/>
        <v>189.52</v>
      </c>
      <c r="V116" s="22">
        <f t="shared" si="52"/>
        <v>0</v>
      </c>
      <c r="W116" s="22">
        <f t="shared" si="52"/>
        <v>0</v>
      </c>
      <c r="X116" s="22">
        <f t="shared" si="52"/>
        <v>165.84</v>
      </c>
      <c r="Y116" s="22">
        <f t="shared" si="54"/>
        <v>0</v>
      </c>
      <c r="Z116" s="22">
        <f t="shared" si="54"/>
        <v>0</v>
      </c>
      <c r="AA116" s="12">
        <f t="shared" si="55"/>
        <v>401830.43000000005</v>
      </c>
    </row>
    <row r="117" spans="11:27">
      <c r="K117" s="2" t="s">
        <v>9</v>
      </c>
      <c r="L117" s="22">
        <f t="shared" si="53"/>
        <v>57795.06</v>
      </c>
      <c r="M117" s="22">
        <f t="shared" si="52"/>
        <v>16310.64</v>
      </c>
      <c r="N117" s="22">
        <f t="shared" si="52"/>
        <v>4988.84</v>
      </c>
      <c r="O117" s="22">
        <f t="shared" si="52"/>
        <v>2229.6</v>
      </c>
      <c r="P117" s="22">
        <f t="shared" si="52"/>
        <v>29875.7</v>
      </c>
      <c r="Q117" s="22">
        <f t="shared" si="52"/>
        <v>1137.1199999999999</v>
      </c>
      <c r="R117" s="22">
        <f t="shared" si="52"/>
        <v>2748.35</v>
      </c>
      <c r="S117" s="22">
        <f t="shared" si="52"/>
        <v>0</v>
      </c>
      <c r="T117" s="22">
        <f t="shared" si="52"/>
        <v>2795.93</v>
      </c>
      <c r="U117" s="22">
        <f t="shared" si="52"/>
        <v>284.27999999999997</v>
      </c>
      <c r="V117" s="22">
        <f t="shared" si="52"/>
        <v>0</v>
      </c>
      <c r="W117" s="22">
        <f t="shared" si="52"/>
        <v>0</v>
      </c>
      <c r="X117" s="22">
        <f t="shared" si="52"/>
        <v>55.28</v>
      </c>
      <c r="Y117" s="22">
        <f t="shared" si="54"/>
        <v>0</v>
      </c>
      <c r="Z117" s="22">
        <f t="shared" si="54"/>
        <v>0</v>
      </c>
      <c r="AA117" s="12">
        <f t="shared" si="55"/>
        <v>118220.79999999999</v>
      </c>
    </row>
    <row r="118" spans="11:27">
      <c r="K118" s="18" t="s">
        <v>10</v>
      </c>
      <c r="L118" s="22">
        <f t="shared" si="53"/>
        <v>120205.53</v>
      </c>
      <c r="M118" s="22">
        <f t="shared" si="52"/>
        <v>17150.61</v>
      </c>
      <c r="N118" s="22">
        <f t="shared" si="52"/>
        <v>12363.83</v>
      </c>
      <c r="O118" s="22">
        <f t="shared" si="52"/>
        <v>2298.65</v>
      </c>
      <c r="P118" s="22">
        <f t="shared" si="52"/>
        <v>151002.23999999999</v>
      </c>
      <c r="Q118" s="22">
        <f t="shared" si="52"/>
        <v>1597.88</v>
      </c>
      <c r="R118" s="22">
        <f t="shared" si="52"/>
        <v>1277.1300000000001</v>
      </c>
      <c r="S118" s="22">
        <f t="shared" si="52"/>
        <v>0</v>
      </c>
      <c r="T118" s="22">
        <f t="shared" si="52"/>
        <v>3500.12</v>
      </c>
      <c r="U118" s="22">
        <f t="shared" si="52"/>
        <v>94.76</v>
      </c>
      <c r="V118" s="22">
        <f t="shared" si="52"/>
        <v>0</v>
      </c>
      <c r="W118" s="22">
        <f t="shared" si="52"/>
        <v>0</v>
      </c>
      <c r="X118" s="22">
        <f t="shared" si="52"/>
        <v>110.56</v>
      </c>
      <c r="Y118" s="22">
        <f t="shared" si="54"/>
        <v>0</v>
      </c>
      <c r="Z118" s="22">
        <f t="shared" si="54"/>
        <v>0</v>
      </c>
      <c r="AA118" s="12">
        <f t="shared" si="55"/>
        <v>309601.31</v>
      </c>
    </row>
    <row r="119" spans="11:27">
      <c r="K119" s="1" t="s">
        <v>11</v>
      </c>
      <c r="L119" s="22">
        <f t="shared" si="53"/>
        <v>171469.77</v>
      </c>
      <c r="M119" s="22">
        <f t="shared" si="52"/>
        <v>23304.02</v>
      </c>
      <c r="N119" s="22">
        <f t="shared" si="52"/>
        <v>23506.92</v>
      </c>
      <c r="O119" s="22">
        <f t="shared" si="52"/>
        <v>4342.4399999999996</v>
      </c>
      <c r="P119" s="22">
        <f t="shared" si="52"/>
        <v>123799.38</v>
      </c>
      <c r="Q119" s="22">
        <f t="shared" si="52"/>
        <v>568.55999999999995</v>
      </c>
      <c r="R119" s="22">
        <f t="shared" si="52"/>
        <v>3338.47</v>
      </c>
      <c r="S119" s="22">
        <f t="shared" si="52"/>
        <v>533.78</v>
      </c>
      <c r="T119" s="22">
        <f t="shared" si="52"/>
        <v>3832.27</v>
      </c>
      <c r="U119" s="22">
        <f t="shared" si="52"/>
        <v>189.52</v>
      </c>
      <c r="V119" s="22">
        <f t="shared" si="52"/>
        <v>0</v>
      </c>
      <c r="W119" s="22">
        <f t="shared" si="52"/>
        <v>0</v>
      </c>
      <c r="X119" s="22">
        <f t="shared" si="52"/>
        <v>108.66</v>
      </c>
      <c r="Y119" s="22">
        <f t="shared" si="54"/>
        <v>19.73</v>
      </c>
      <c r="Z119" s="22">
        <f t="shared" si="54"/>
        <v>0</v>
      </c>
      <c r="AA119" s="12">
        <f t="shared" si="55"/>
        <v>355013.51999999996</v>
      </c>
    </row>
    <row r="120" spans="11:27">
      <c r="K120" s="1" t="s">
        <v>12</v>
      </c>
      <c r="L120" s="22">
        <f t="shared" si="53"/>
        <v>954378.22</v>
      </c>
      <c r="M120" s="22">
        <f t="shared" si="52"/>
        <v>152369.53</v>
      </c>
      <c r="N120" s="22">
        <f t="shared" si="52"/>
        <v>85869.61</v>
      </c>
      <c r="O120" s="22">
        <f t="shared" si="52"/>
        <v>22418.23</v>
      </c>
      <c r="P120" s="22">
        <f t="shared" si="52"/>
        <v>336712.72</v>
      </c>
      <c r="Q120" s="22">
        <f t="shared" si="52"/>
        <v>4738</v>
      </c>
      <c r="R120" s="22">
        <f t="shared" si="52"/>
        <v>32068.93</v>
      </c>
      <c r="S120" s="22">
        <f t="shared" si="52"/>
        <v>0</v>
      </c>
      <c r="T120" s="22">
        <f t="shared" si="52"/>
        <v>27837.83</v>
      </c>
      <c r="U120" s="22">
        <f t="shared" si="52"/>
        <v>2921.26</v>
      </c>
      <c r="V120" s="22">
        <f t="shared" si="52"/>
        <v>0</v>
      </c>
      <c r="W120" s="22">
        <f t="shared" si="52"/>
        <v>0</v>
      </c>
      <c r="X120" s="22">
        <f t="shared" si="52"/>
        <v>1402.99</v>
      </c>
      <c r="Y120" s="22">
        <f t="shared" si="54"/>
        <v>0</v>
      </c>
      <c r="Z120" s="22">
        <f t="shared" si="54"/>
        <v>0</v>
      </c>
      <c r="AA120" s="12">
        <f t="shared" si="55"/>
        <v>1620717.32</v>
      </c>
    </row>
    <row r="121" spans="11:27">
      <c r="K121" s="1" t="s">
        <v>15</v>
      </c>
      <c r="L121" s="22">
        <f t="shared" si="53"/>
        <v>102222.44</v>
      </c>
      <c r="M121" s="22">
        <f t="shared" si="52"/>
        <v>23150.57</v>
      </c>
      <c r="N121" s="22">
        <f t="shared" si="52"/>
        <v>9507.81</v>
      </c>
      <c r="O121" s="22">
        <f t="shared" si="52"/>
        <v>2414.27</v>
      </c>
      <c r="P121" s="22">
        <f t="shared" si="52"/>
        <v>43155.659999999996</v>
      </c>
      <c r="Q121" s="22">
        <f t="shared" si="52"/>
        <v>1421.4</v>
      </c>
      <c r="R121" s="22">
        <f t="shared" si="52"/>
        <v>3411.82</v>
      </c>
      <c r="S121" s="22">
        <f t="shared" si="52"/>
        <v>0</v>
      </c>
      <c r="T121" s="22">
        <f t="shared" si="52"/>
        <v>3915.68</v>
      </c>
      <c r="U121" s="22">
        <f t="shared" si="52"/>
        <v>284.27999999999997</v>
      </c>
      <c r="V121" s="22">
        <f t="shared" si="52"/>
        <v>0</v>
      </c>
      <c r="W121" s="22">
        <f t="shared" si="52"/>
        <v>0</v>
      </c>
      <c r="X121" s="22">
        <f t="shared" si="52"/>
        <v>82.92</v>
      </c>
      <c r="Y121" s="22">
        <f t="shared" si="54"/>
        <v>0</v>
      </c>
      <c r="Z121" s="22">
        <f t="shared" si="54"/>
        <v>0</v>
      </c>
      <c r="AA121" s="12">
        <f t="shared" si="55"/>
        <v>189566.85</v>
      </c>
    </row>
    <row r="122" spans="11:27">
      <c r="K122" s="1" t="s">
        <v>14</v>
      </c>
      <c r="L122" s="22">
        <f t="shared" si="53"/>
        <v>108823.86</v>
      </c>
      <c r="M122" s="22">
        <f t="shared" si="52"/>
        <v>26225.01</v>
      </c>
      <c r="N122" s="22">
        <f t="shared" si="52"/>
        <v>6757.74</v>
      </c>
      <c r="O122" s="22">
        <f t="shared" si="52"/>
        <v>3101.94</v>
      </c>
      <c r="P122" s="22">
        <f t="shared" si="52"/>
        <v>56869.48</v>
      </c>
      <c r="Q122" s="22">
        <f t="shared" si="52"/>
        <v>568.55999999999995</v>
      </c>
      <c r="R122" s="22">
        <f t="shared" si="52"/>
        <v>4023.35</v>
      </c>
      <c r="S122" s="22">
        <f t="shared" si="52"/>
        <v>808.28</v>
      </c>
      <c r="T122" s="22">
        <f t="shared" si="52"/>
        <v>4307.7</v>
      </c>
      <c r="U122" s="22">
        <f t="shared" si="52"/>
        <v>0</v>
      </c>
      <c r="V122" s="22">
        <f t="shared" si="52"/>
        <v>0</v>
      </c>
      <c r="W122" s="22">
        <f t="shared" si="52"/>
        <v>0</v>
      </c>
      <c r="X122" s="22">
        <f t="shared" si="52"/>
        <v>193.48</v>
      </c>
      <c r="Y122" s="22">
        <f t="shared" si="54"/>
        <v>0</v>
      </c>
      <c r="Z122" s="22">
        <f t="shared" si="54"/>
        <v>0</v>
      </c>
      <c r="AA122" s="12">
        <f t="shared" si="55"/>
        <v>211679.40000000002</v>
      </c>
    </row>
    <row r="123" spans="11:27">
      <c r="K123" s="18" t="s">
        <v>13</v>
      </c>
      <c r="L123" s="22">
        <f t="shared" si="53"/>
        <v>798755.88</v>
      </c>
      <c r="M123" s="22">
        <f t="shared" si="52"/>
        <v>85690.15</v>
      </c>
      <c r="N123" s="22">
        <f t="shared" si="52"/>
        <v>110267.96</v>
      </c>
      <c r="O123" s="22">
        <f t="shared" si="52"/>
        <v>24606</v>
      </c>
      <c r="P123" s="22">
        <f t="shared" si="52"/>
        <v>463616.36</v>
      </c>
      <c r="Q123" s="22">
        <f t="shared" si="52"/>
        <v>4639.9799999999996</v>
      </c>
      <c r="R123" s="22">
        <f t="shared" si="52"/>
        <v>10912.45</v>
      </c>
      <c r="S123" s="22">
        <f t="shared" si="52"/>
        <v>0</v>
      </c>
      <c r="T123" s="22">
        <f t="shared" si="52"/>
        <v>20180.509999999998</v>
      </c>
      <c r="U123" s="22">
        <f t="shared" si="52"/>
        <v>1800.44</v>
      </c>
      <c r="V123" s="22">
        <f t="shared" si="52"/>
        <v>0</v>
      </c>
      <c r="W123" s="22">
        <f t="shared" si="52"/>
        <v>0</v>
      </c>
      <c r="X123" s="22">
        <f t="shared" si="52"/>
        <v>906.42</v>
      </c>
      <c r="Y123" s="22">
        <f t="shared" si="54"/>
        <v>0</v>
      </c>
      <c r="Z123" s="22">
        <f t="shared" si="54"/>
        <v>0</v>
      </c>
      <c r="AA123" s="12">
        <f t="shared" si="55"/>
        <v>1521376.15</v>
      </c>
    </row>
    <row r="124" spans="11:27">
      <c r="K124" s="1" t="s">
        <v>16</v>
      </c>
      <c r="L124" s="22">
        <f t="shared" si="53"/>
        <v>234460.93</v>
      </c>
      <c r="M124" s="22">
        <f t="shared" si="53"/>
        <v>32157.73</v>
      </c>
      <c r="N124" s="22">
        <f t="shared" si="53"/>
        <v>29481.54</v>
      </c>
      <c r="O124" s="22">
        <f t="shared" si="53"/>
        <v>5572.06</v>
      </c>
      <c r="P124" s="22">
        <f t="shared" si="53"/>
        <v>109977.9</v>
      </c>
      <c r="Q124" s="22">
        <f t="shared" si="53"/>
        <v>2166.44</v>
      </c>
      <c r="R124" s="22">
        <f t="shared" si="53"/>
        <v>4328.79</v>
      </c>
      <c r="S124" s="22">
        <f t="shared" si="53"/>
        <v>5367.28</v>
      </c>
      <c r="T124" s="22">
        <f t="shared" si="53"/>
        <v>6141.69</v>
      </c>
      <c r="U124" s="22">
        <f t="shared" si="53"/>
        <v>379.04</v>
      </c>
      <c r="V124" s="22">
        <f t="shared" si="53"/>
        <v>0</v>
      </c>
      <c r="W124" s="22">
        <f t="shared" si="53"/>
        <v>0</v>
      </c>
      <c r="X124" s="22">
        <f t="shared" si="53"/>
        <v>272.60000000000002</v>
      </c>
      <c r="Y124" s="22">
        <f t="shared" si="54"/>
        <v>0</v>
      </c>
      <c r="Z124" s="22">
        <f t="shared" si="54"/>
        <v>0</v>
      </c>
      <c r="AA124" s="12">
        <f t="shared" si="55"/>
        <v>430305.99999999988</v>
      </c>
    </row>
    <row r="125" spans="11:27">
      <c r="K125" s="1" t="s">
        <v>17</v>
      </c>
      <c r="L125" s="22">
        <f t="shared" si="53"/>
        <v>58637.599999999999</v>
      </c>
      <c r="M125" s="22">
        <f t="shared" si="53"/>
        <v>7696.26</v>
      </c>
      <c r="N125" s="22">
        <f t="shared" si="53"/>
        <v>5988.45</v>
      </c>
      <c r="O125" s="22">
        <f t="shared" si="53"/>
        <v>1170.32</v>
      </c>
      <c r="P125" s="22">
        <f t="shared" si="53"/>
        <v>30445.21</v>
      </c>
      <c r="Q125" s="22">
        <f t="shared" si="53"/>
        <v>1607.66</v>
      </c>
      <c r="R125" s="22">
        <f t="shared" si="53"/>
        <v>542.96</v>
      </c>
      <c r="S125" s="22">
        <f t="shared" si="53"/>
        <v>0</v>
      </c>
      <c r="T125" s="22">
        <f t="shared" si="53"/>
        <v>1648.11</v>
      </c>
      <c r="U125" s="22">
        <f t="shared" si="53"/>
        <v>189.52</v>
      </c>
      <c r="V125" s="22">
        <f t="shared" si="53"/>
        <v>0</v>
      </c>
      <c r="W125" s="22">
        <f t="shared" si="53"/>
        <v>0</v>
      </c>
      <c r="X125" s="22">
        <f t="shared" si="53"/>
        <v>0</v>
      </c>
      <c r="Y125" s="22">
        <f t="shared" ref="Y125:Z134" si="57">AF92</f>
        <v>0</v>
      </c>
      <c r="Z125" s="22">
        <f t="shared" si="57"/>
        <v>0</v>
      </c>
      <c r="AA125" s="12">
        <f t="shared" si="55"/>
        <v>107926.09000000001</v>
      </c>
    </row>
    <row r="126" spans="11:27">
      <c r="K126" s="1" t="s">
        <v>18</v>
      </c>
      <c r="L126" s="22">
        <f t="shared" si="53"/>
        <v>1210553.2</v>
      </c>
      <c r="M126" s="22">
        <f t="shared" si="53"/>
        <v>130722.78000000001</v>
      </c>
      <c r="N126" s="22">
        <f t="shared" si="53"/>
        <v>144814.26</v>
      </c>
      <c r="O126" s="22">
        <f t="shared" si="53"/>
        <v>22949.69</v>
      </c>
      <c r="P126" s="22">
        <f t="shared" si="53"/>
        <v>426189.42</v>
      </c>
      <c r="Q126" s="22">
        <f t="shared" si="53"/>
        <v>18814.86</v>
      </c>
      <c r="R126" s="22">
        <f t="shared" si="53"/>
        <v>19162.25</v>
      </c>
      <c r="S126" s="22">
        <f t="shared" si="53"/>
        <v>794.49</v>
      </c>
      <c r="T126" s="22">
        <f t="shared" si="53"/>
        <v>26497.54</v>
      </c>
      <c r="U126" s="22">
        <f t="shared" si="53"/>
        <v>1326.64</v>
      </c>
      <c r="V126" s="22">
        <f t="shared" si="53"/>
        <v>189.52</v>
      </c>
      <c r="W126" s="22">
        <f t="shared" si="53"/>
        <v>0</v>
      </c>
      <c r="X126" s="22">
        <f t="shared" si="53"/>
        <v>2554.37</v>
      </c>
      <c r="Y126" s="22">
        <f t="shared" si="57"/>
        <v>0</v>
      </c>
      <c r="Z126" s="22">
        <f t="shared" si="57"/>
        <v>0</v>
      </c>
      <c r="AA126" s="12">
        <f t="shared" si="55"/>
        <v>2004569.02</v>
      </c>
    </row>
    <row r="127" spans="11:27">
      <c r="K127" s="1" t="s">
        <v>20</v>
      </c>
      <c r="L127" s="22">
        <f t="shared" si="53"/>
        <v>95692.160000000003</v>
      </c>
      <c r="M127" s="22">
        <f t="shared" si="53"/>
        <v>19525.189999999999</v>
      </c>
      <c r="N127" s="22">
        <f t="shared" si="53"/>
        <v>4201.12</v>
      </c>
      <c r="O127" s="22">
        <f t="shared" si="53"/>
        <v>1410.45</v>
      </c>
      <c r="P127" s="22">
        <f t="shared" si="53"/>
        <v>55330.5</v>
      </c>
      <c r="Q127" s="22">
        <f t="shared" si="53"/>
        <v>1127.3399999999999</v>
      </c>
      <c r="R127" s="22">
        <f t="shared" si="53"/>
        <v>2749.79</v>
      </c>
      <c r="S127" s="22">
        <f t="shared" si="53"/>
        <v>0</v>
      </c>
      <c r="T127" s="22">
        <f t="shared" si="53"/>
        <v>3178.5</v>
      </c>
      <c r="U127" s="22">
        <f t="shared" si="53"/>
        <v>186.26</v>
      </c>
      <c r="V127" s="22">
        <f t="shared" si="53"/>
        <v>0</v>
      </c>
      <c r="W127" s="22">
        <f t="shared" si="53"/>
        <v>0</v>
      </c>
      <c r="X127" s="22">
        <f t="shared" si="53"/>
        <v>81.97</v>
      </c>
      <c r="Y127" s="22">
        <f t="shared" si="57"/>
        <v>0</v>
      </c>
      <c r="Z127" s="22">
        <f t="shared" si="57"/>
        <v>0</v>
      </c>
      <c r="AA127" s="12">
        <f t="shared" si="55"/>
        <v>183483.28</v>
      </c>
    </row>
    <row r="128" spans="11:27">
      <c r="K128" s="1" t="s">
        <v>19</v>
      </c>
      <c r="L128" s="22">
        <f t="shared" si="53"/>
        <v>1038614.89</v>
      </c>
      <c r="M128" s="22">
        <f t="shared" si="53"/>
        <v>141334.82999999999</v>
      </c>
      <c r="N128" s="22">
        <f t="shared" si="53"/>
        <v>109646.09</v>
      </c>
      <c r="O128" s="22">
        <f t="shared" si="53"/>
        <v>26814.27</v>
      </c>
      <c r="P128" s="22">
        <f t="shared" si="53"/>
        <v>618323.79</v>
      </c>
      <c r="Q128" s="22">
        <f t="shared" si="53"/>
        <v>7940.28</v>
      </c>
      <c r="R128" s="22">
        <f t="shared" si="53"/>
        <v>25938.54</v>
      </c>
      <c r="S128" s="22">
        <f t="shared" si="53"/>
        <v>1436.4099999999999</v>
      </c>
      <c r="T128" s="22">
        <f t="shared" si="53"/>
        <v>26151.98</v>
      </c>
      <c r="U128" s="22">
        <f t="shared" si="53"/>
        <v>1891.94</v>
      </c>
      <c r="V128" s="22">
        <f t="shared" si="53"/>
        <v>189.52</v>
      </c>
      <c r="W128" s="22">
        <f t="shared" si="53"/>
        <v>0</v>
      </c>
      <c r="X128" s="22">
        <f t="shared" si="53"/>
        <v>953.15</v>
      </c>
      <c r="Y128" s="22">
        <f t="shared" si="57"/>
        <v>0</v>
      </c>
      <c r="Z128" s="22">
        <f t="shared" si="57"/>
        <v>0</v>
      </c>
      <c r="AA128" s="12">
        <f t="shared" si="55"/>
        <v>1999235.69</v>
      </c>
    </row>
    <row r="129" spans="11:27">
      <c r="K129" s="18" t="s">
        <v>21</v>
      </c>
      <c r="L129" s="22">
        <f t="shared" si="53"/>
        <v>38766.699999999997</v>
      </c>
      <c r="M129" s="22">
        <f t="shared" si="53"/>
        <v>6937.93</v>
      </c>
      <c r="N129" s="22">
        <f t="shared" si="53"/>
        <v>5085.5600000000004</v>
      </c>
      <c r="O129" s="22">
        <f t="shared" si="53"/>
        <v>1035.68</v>
      </c>
      <c r="P129" s="22">
        <f t="shared" si="53"/>
        <v>43060.6</v>
      </c>
      <c r="Q129" s="22">
        <f t="shared" si="53"/>
        <v>284.27999999999997</v>
      </c>
      <c r="R129" s="22">
        <f t="shared" si="53"/>
        <v>650.91</v>
      </c>
      <c r="S129" s="22">
        <f t="shared" si="53"/>
        <v>0</v>
      </c>
      <c r="T129" s="22">
        <f t="shared" si="53"/>
        <v>1410.22</v>
      </c>
      <c r="U129" s="22">
        <f t="shared" si="53"/>
        <v>94.76</v>
      </c>
      <c r="V129" s="22">
        <f t="shared" si="53"/>
        <v>0</v>
      </c>
      <c r="W129" s="22">
        <f t="shared" si="53"/>
        <v>0</v>
      </c>
      <c r="X129" s="22">
        <f t="shared" si="53"/>
        <v>26.69</v>
      </c>
      <c r="Y129" s="22">
        <f t="shared" si="57"/>
        <v>0</v>
      </c>
      <c r="Z129" s="22">
        <f t="shared" si="57"/>
        <v>0</v>
      </c>
      <c r="AA129" s="12">
        <f t="shared" si="55"/>
        <v>97353.33</v>
      </c>
    </row>
    <row r="130" spans="11:27">
      <c r="K130" s="2" t="s">
        <v>22</v>
      </c>
      <c r="L130" s="22">
        <f t="shared" si="53"/>
        <v>14026.77</v>
      </c>
      <c r="M130" s="22">
        <f t="shared" si="53"/>
        <v>1942.55</v>
      </c>
      <c r="N130" s="22">
        <f t="shared" si="53"/>
        <v>1105.56</v>
      </c>
      <c r="O130" s="22">
        <f t="shared" si="53"/>
        <v>0</v>
      </c>
      <c r="P130" s="22">
        <f t="shared" si="53"/>
        <v>8410.82</v>
      </c>
      <c r="Q130" s="22">
        <f t="shared" si="53"/>
        <v>94.76</v>
      </c>
      <c r="R130" s="22">
        <f t="shared" si="53"/>
        <v>131.88</v>
      </c>
      <c r="S130" s="22">
        <f t="shared" si="53"/>
        <v>0</v>
      </c>
      <c r="T130" s="22">
        <f t="shared" si="53"/>
        <v>414.89</v>
      </c>
      <c r="U130" s="22">
        <f t="shared" si="53"/>
        <v>0</v>
      </c>
      <c r="V130" s="22">
        <f t="shared" si="53"/>
        <v>0</v>
      </c>
      <c r="W130" s="22">
        <f t="shared" si="53"/>
        <v>0</v>
      </c>
      <c r="X130" s="22">
        <f t="shared" si="53"/>
        <v>0</v>
      </c>
      <c r="Y130" s="22">
        <f t="shared" si="57"/>
        <v>0</v>
      </c>
      <c r="Z130" s="22">
        <f t="shared" si="57"/>
        <v>0</v>
      </c>
      <c r="AA130" s="12">
        <f t="shared" si="55"/>
        <v>26127.23</v>
      </c>
    </row>
    <row r="131" spans="11:27">
      <c r="K131" s="1" t="s">
        <v>23</v>
      </c>
      <c r="L131" s="22">
        <f t="shared" si="53"/>
        <v>570780.80000000005</v>
      </c>
      <c r="M131" s="22">
        <f t="shared" si="53"/>
        <v>67447.42</v>
      </c>
      <c r="N131" s="22">
        <f t="shared" si="53"/>
        <v>55342.41</v>
      </c>
      <c r="O131" s="22">
        <f t="shared" si="53"/>
        <v>11876.75</v>
      </c>
      <c r="P131" s="22">
        <f t="shared" si="53"/>
        <v>283209.40000000002</v>
      </c>
      <c r="Q131" s="22">
        <f t="shared" si="53"/>
        <v>5391.54</v>
      </c>
      <c r="R131" s="22">
        <f t="shared" si="53"/>
        <v>7974.11</v>
      </c>
      <c r="S131" s="22">
        <f t="shared" si="53"/>
        <v>0</v>
      </c>
      <c r="T131" s="22">
        <f t="shared" si="53"/>
        <v>13323.98</v>
      </c>
      <c r="U131" s="22">
        <f t="shared" si="53"/>
        <v>0</v>
      </c>
      <c r="V131" s="22">
        <f t="shared" si="53"/>
        <v>0</v>
      </c>
      <c r="W131" s="22">
        <f t="shared" si="53"/>
        <v>270.42</v>
      </c>
      <c r="X131" s="22">
        <f t="shared" si="53"/>
        <v>356.47</v>
      </c>
      <c r="Y131" s="22">
        <f t="shared" si="57"/>
        <v>0</v>
      </c>
      <c r="Z131" s="22">
        <f t="shared" si="57"/>
        <v>0</v>
      </c>
      <c r="AA131" s="12">
        <f t="shared" si="55"/>
        <v>1015973.3000000002</v>
      </c>
    </row>
    <row r="132" spans="11:27">
      <c r="K132" s="1" t="s">
        <v>25</v>
      </c>
      <c r="L132" s="22">
        <f t="shared" si="53"/>
        <v>3846614.09</v>
      </c>
      <c r="M132" s="22">
        <f t="shared" si="53"/>
        <v>446970.4</v>
      </c>
      <c r="N132" s="22">
        <f t="shared" si="53"/>
        <v>381981.82</v>
      </c>
      <c r="O132" s="22">
        <f t="shared" si="53"/>
        <v>49492.159999999996</v>
      </c>
      <c r="P132" s="22">
        <f t="shared" si="53"/>
        <v>1984657.6400000001</v>
      </c>
      <c r="Q132" s="22">
        <f t="shared" si="53"/>
        <v>21718.99</v>
      </c>
      <c r="R132" s="22">
        <f t="shared" si="53"/>
        <v>74561.48</v>
      </c>
      <c r="S132" s="22">
        <f t="shared" si="53"/>
        <v>2668.9</v>
      </c>
      <c r="T132" s="22">
        <f t="shared" si="53"/>
        <v>84070.54</v>
      </c>
      <c r="U132" s="22">
        <f t="shared" si="53"/>
        <v>5489.56</v>
      </c>
      <c r="V132" s="22">
        <f t="shared" si="53"/>
        <v>372.52</v>
      </c>
      <c r="W132" s="22">
        <f t="shared" si="53"/>
        <v>0</v>
      </c>
      <c r="X132" s="22">
        <f t="shared" si="53"/>
        <v>5324.16</v>
      </c>
      <c r="Y132" s="22">
        <f t="shared" si="57"/>
        <v>688.44</v>
      </c>
      <c r="Z132" s="22">
        <f t="shared" si="57"/>
        <v>6586.38</v>
      </c>
      <c r="AA132" s="12">
        <f t="shared" si="55"/>
        <v>6911197.0800000019</v>
      </c>
    </row>
    <row r="133" spans="11:27">
      <c r="K133" s="1" t="s">
        <v>24</v>
      </c>
      <c r="L133" s="22">
        <f t="shared" si="53"/>
        <v>55939.76</v>
      </c>
      <c r="M133" s="22">
        <f t="shared" si="53"/>
        <v>9041.32</v>
      </c>
      <c r="N133" s="22">
        <f t="shared" si="53"/>
        <v>8402.24</v>
      </c>
      <c r="O133" s="22">
        <f t="shared" si="53"/>
        <v>2027.82</v>
      </c>
      <c r="P133" s="22">
        <f t="shared" si="53"/>
        <v>43923.22</v>
      </c>
      <c r="Q133" s="22">
        <f t="shared" si="53"/>
        <v>1231.8800000000001</v>
      </c>
      <c r="R133" s="22">
        <f t="shared" si="53"/>
        <v>810.96</v>
      </c>
      <c r="S133" s="22">
        <f t="shared" si="53"/>
        <v>0</v>
      </c>
      <c r="T133" s="22">
        <f t="shared" si="53"/>
        <v>2154.0500000000002</v>
      </c>
      <c r="U133" s="22">
        <f t="shared" si="53"/>
        <v>94.76</v>
      </c>
      <c r="V133" s="22">
        <f t="shared" si="53"/>
        <v>0</v>
      </c>
      <c r="W133" s="22">
        <f t="shared" si="53"/>
        <v>0</v>
      </c>
      <c r="X133" s="22">
        <f t="shared" si="53"/>
        <v>27.64</v>
      </c>
      <c r="Y133" s="22">
        <f t="shared" si="57"/>
        <v>0</v>
      </c>
      <c r="Z133" s="22">
        <f t="shared" si="57"/>
        <v>0</v>
      </c>
      <c r="AA133" s="12">
        <f t="shared" si="55"/>
        <v>123653.65000000002</v>
      </c>
    </row>
    <row r="134" spans="11:27">
      <c r="K134" s="1" t="s">
        <v>26</v>
      </c>
      <c r="L134" s="22">
        <f t="shared" si="53"/>
        <v>22640.95</v>
      </c>
      <c r="M134" s="22">
        <f t="shared" si="53"/>
        <v>8761.1299999999992</v>
      </c>
      <c r="N134" s="22">
        <f t="shared" si="53"/>
        <v>3703.62</v>
      </c>
      <c r="O134" s="22">
        <f t="shared" si="53"/>
        <v>3339.71</v>
      </c>
      <c r="P134" s="22">
        <f t="shared" si="53"/>
        <v>20719.84</v>
      </c>
      <c r="Q134" s="22">
        <f t="shared" si="53"/>
        <v>284.27999999999997</v>
      </c>
      <c r="R134" s="22">
        <f t="shared" si="53"/>
        <v>1404.52</v>
      </c>
      <c r="S134" s="22">
        <f t="shared" si="53"/>
        <v>533.78</v>
      </c>
      <c r="T134" s="22">
        <f t="shared" si="53"/>
        <v>1875.88</v>
      </c>
      <c r="U134" s="22">
        <f t="shared" si="53"/>
        <v>94.76</v>
      </c>
      <c r="V134" s="22">
        <f t="shared" si="53"/>
        <v>183</v>
      </c>
      <c r="W134" s="22">
        <f t="shared" si="53"/>
        <v>0</v>
      </c>
      <c r="X134" s="22">
        <f t="shared" si="53"/>
        <v>27.64</v>
      </c>
      <c r="Y134" s="22">
        <f t="shared" si="57"/>
        <v>0</v>
      </c>
      <c r="Z134" s="22">
        <f t="shared" si="57"/>
        <v>340.21</v>
      </c>
      <c r="AA134" s="12">
        <f t="shared" si="55"/>
        <v>63909.319999999992</v>
      </c>
    </row>
    <row r="135" spans="11:27">
      <c r="K135" s="8" t="s">
        <v>37</v>
      </c>
      <c r="L135" s="23">
        <f t="shared" ref="L135:AA135" si="58">SUM(L108:L134)</f>
        <v>10754868.249999998</v>
      </c>
      <c r="M135" s="23">
        <f t="shared" si="58"/>
        <v>1446032.3099999998</v>
      </c>
      <c r="N135" s="23">
        <f t="shared" si="58"/>
        <v>1110920.1000000001</v>
      </c>
      <c r="O135" s="23">
        <f t="shared" si="58"/>
        <v>210957</v>
      </c>
      <c r="P135" s="23">
        <f t="shared" si="58"/>
        <v>5455921.4999999991</v>
      </c>
      <c r="Q135" s="23">
        <f t="shared" si="58"/>
        <v>91479.090000000011</v>
      </c>
      <c r="R135" s="23">
        <f t="shared" si="58"/>
        <v>228010.44999999995</v>
      </c>
      <c r="S135" s="23">
        <f t="shared" si="58"/>
        <v>14266.819999999998</v>
      </c>
      <c r="T135" s="23">
        <f t="shared" si="58"/>
        <v>273904.7</v>
      </c>
      <c r="U135" s="23">
        <f t="shared" si="58"/>
        <v>17311.739999999998</v>
      </c>
      <c r="V135" s="23">
        <f t="shared" si="58"/>
        <v>934.56</v>
      </c>
      <c r="W135" s="23">
        <f t="shared" si="58"/>
        <v>270.42</v>
      </c>
      <c r="X135" s="23">
        <f t="shared" si="58"/>
        <v>14269.249999999998</v>
      </c>
      <c r="Y135" s="23">
        <f>SUM(Y108:Y134)</f>
        <v>736.75</v>
      </c>
      <c r="Z135" s="23">
        <f>SUM(Z108:Z134)</f>
        <v>7508.53</v>
      </c>
      <c r="AA135" s="7">
        <f t="shared" si="58"/>
        <v>19627391.469999999</v>
      </c>
    </row>
  </sheetData>
  <sortState xmlns:xlrd2="http://schemas.microsoft.com/office/spreadsheetml/2017/richdata2" ref="A5:A31">
    <sortCondition ref="A5"/>
  </sortState>
  <mergeCells count="103">
    <mergeCell ref="H3:H4"/>
    <mergeCell ref="G3:G4"/>
    <mergeCell ref="F3:F4"/>
    <mergeCell ref="N3:N4"/>
    <mergeCell ref="M3:M4"/>
    <mergeCell ref="B35:H35"/>
    <mergeCell ref="A2:O2"/>
    <mergeCell ref="A37:O37"/>
    <mergeCell ref="A38:A39"/>
    <mergeCell ref="B38:C38"/>
    <mergeCell ref="D38:E38"/>
    <mergeCell ref="F38:F39"/>
    <mergeCell ref="G38:G39"/>
    <mergeCell ref="H38:H39"/>
    <mergeCell ref="I38:I39"/>
    <mergeCell ref="J38:J39"/>
    <mergeCell ref="K38:K39"/>
    <mergeCell ref="L38:L39"/>
    <mergeCell ref="O38:O39"/>
    <mergeCell ref="N38:N39"/>
    <mergeCell ref="M38:M39"/>
    <mergeCell ref="B3:C3"/>
    <mergeCell ref="D3:E3"/>
    <mergeCell ref="A3:A4"/>
    <mergeCell ref="O3:O4"/>
    <mergeCell ref="L3:L4"/>
    <mergeCell ref="K3:K4"/>
    <mergeCell ref="J3:J4"/>
    <mergeCell ref="I3:I4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G3"/>
    <mergeCell ref="AH3:AH4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F38:AG38"/>
    <mergeCell ref="AH38:AH39"/>
    <mergeCell ref="X73:X74"/>
    <mergeCell ref="Y73:Y74"/>
    <mergeCell ref="Z73:Z74"/>
    <mergeCell ref="R72:AH72"/>
    <mergeCell ref="A73:A74"/>
    <mergeCell ref="B73:C73"/>
    <mergeCell ref="D73:E73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O73:O74"/>
    <mergeCell ref="R73:R74"/>
    <mergeCell ref="S73:T73"/>
    <mergeCell ref="A72:O72"/>
    <mergeCell ref="AA106:AA107"/>
    <mergeCell ref="AF73:AG73"/>
    <mergeCell ref="AH73:AH74"/>
    <mergeCell ref="K105:AA105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Y106:Z106"/>
    <mergeCell ref="AA73:AA74"/>
    <mergeCell ref="AB73:AB74"/>
    <mergeCell ref="AC73:AC74"/>
    <mergeCell ref="AD73:AD74"/>
    <mergeCell ref="AE73:AE74"/>
    <mergeCell ref="U73:V73"/>
    <mergeCell ref="W73:W74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1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AH135"/>
  <sheetViews>
    <sheetView topLeftCell="A42" zoomScale="80" zoomScaleNormal="80" workbookViewId="0">
      <selection activeCell="A2" sqref="A2:AC37"/>
    </sheetView>
  </sheetViews>
  <sheetFormatPr defaultRowHeight="15"/>
  <cols>
    <col min="1" max="1" width="23.140625" customWidth="1"/>
    <col min="2" max="2" width="13.85546875" bestFit="1" customWidth="1"/>
    <col min="3" max="3" width="13.7109375" bestFit="1" customWidth="1"/>
    <col min="4" max="4" width="13.28515625" customWidth="1"/>
    <col min="5" max="5" width="13.42578125" bestFit="1" customWidth="1"/>
    <col min="6" max="6" width="13.85546875" bestFit="1" customWidth="1"/>
    <col min="7" max="7" width="19.7109375" bestFit="1" customWidth="1"/>
    <col min="8" max="8" width="11.28515625" bestFit="1" customWidth="1"/>
    <col min="9" max="9" width="15.7109375" bestFit="1" customWidth="1"/>
    <col min="10" max="10" width="13.140625" customWidth="1"/>
    <col min="11" max="11" width="20.42578125" bestFit="1" customWidth="1"/>
    <col min="12" max="14" width="20.28515625" customWidth="1"/>
    <col min="15" max="15" width="15.140625" bestFit="1" customWidth="1"/>
    <col min="16" max="16" width="14.7109375" customWidth="1"/>
    <col min="17" max="17" width="11.5703125" bestFit="1" customWidth="1"/>
    <col min="18" max="18" width="24.140625" style="20" customWidth="1"/>
    <col min="19" max="19" width="13.5703125" customWidth="1"/>
    <col min="20" max="20" width="12.42578125" customWidth="1"/>
    <col min="21" max="21" width="14.7109375" customWidth="1"/>
    <col min="22" max="22" width="12.42578125" customWidth="1"/>
    <col min="23" max="23" width="14.28515625" customWidth="1"/>
    <col min="24" max="24" width="20.28515625" customWidth="1"/>
    <col min="25" max="25" width="19.140625" bestFit="1" customWidth="1"/>
    <col min="26" max="27" width="16.5703125" customWidth="1"/>
    <col min="28" max="28" width="17.7109375" customWidth="1"/>
    <col min="29" max="29" width="16.7109375" customWidth="1"/>
    <col min="30" max="30" width="11.5703125" customWidth="1"/>
    <col min="31" max="31" width="14.140625" customWidth="1"/>
    <col min="32" max="32" width="17" bestFit="1" customWidth="1"/>
    <col min="33" max="33" width="13.85546875" customWidth="1"/>
    <col min="34" max="34" width="15.140625" bestFit="1" customWidth="1"/>
  </cols>
  <sheetData>
    <row r="2" spans="1:34" ht="46.5">
      <c r="A2" s="292" t="s">
        <v>93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4"/>
      <c r="R2" s="292" t="s">
        <v>95</v>
      </c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4"/>
    </row>
    <row r="3" spans="1:34" ht="21.75" customHeight="1">
      <c r="A3" s="290" t="s">
        <v>33</v>
      </c>
      <c r="B3" s="287" t="s">
        <v>27</v>
      </c>
      <c r="C3" s="288"/>
      <c r="D3" s="287" t="s">
        <v>29</v>
      </c>
      <c r="E3" s="288"/>
      <c r="F3" s="285" t="s">
        <v>28</v>
      </c>
      <c r="G3" s="285" t="s">
        <v>36</v>
      </c>
      <c r="H3" s="285" t="s">
        <v>30</v>
      </c>
      <c r="I3" s="285" t="s">
        <v>31</v>
      </c>
      <c r="J3" s="285" t="s">
        <v>41</v>
      </c>
      <c r="K3" s="285" t="s">
        <v>35</v>
      </c>
      <c r="L3" s="285" t="s">
        <v>40</v>
      </c>
      <c r="M3" s="285" t="s">
        <v>42</v>
      </c>
      <c r="N3" s="285" t="s">
        <v>45</v>
      </c>
      <c r="O3" s="285" t="s">
        <v>34</v>
      </c>
      <c r="R3" s="290" t="s">
        <v>33</v>
      </c>
      <c r="S3" s="287" t="s">
        <v>27</v>
      </c>
      <c r="T3" s="288"/>
      <c r="U3" s="287" t="s">
        <v>29</v>
      </c>
      <c r="V3" s="288"/>
      <c r="W3" s="285" t="s">
        <v>28</v>
      </c>
      <c r="X3" s="285" t="s">
        <v>36</v>
      </c>
      <c r="Y3" s="285" t="s">
        <v>30</v>
      </c>
      <c r="Z3" s="285" t="s">
        <v>31</v>
      </c>
      <c r="AA3" s="285" t="s">
        <v>41</v>
      </c>
      <c r="AB3" s="285" t="s">
        <v>35</v>
      </c>
      <c r="AC3" s="285" t="s">
        <v>40</v>
      </c>
      <c r="AD3" s="285" t="s">
        <v>42</v>
      </c>
      <c r="AE3" s="285" t="s">
        <v>45</v>
      </c>
      <c r="AF3" s="287" t="s">
        <v>52</v>
      </c>
      <c r="AG3" s="288"/>
      <c r="AH3" s="285" t="s">
        <v>34</v>
      </c>
    </row>
    <row r="4" spans="1:34" ht="30">
      <c r="A4" s="291"/>
      <c r="B4" s="5" t="s">
        <v>43</v>
      </c>
      <c r="C4" s="5" t="s">
        <v>44</v>
      </c>
      <c r="D4" s="5" t="s">
        <v>43</v>
      </c>
      <c r="E4" s="5" t="s">
        <v>44</v>
      </c>
      <c r="F4" s="286"/>
      <c r="G4" s="286"/>
      <c r="H4" s="286"/>
      <c r="I4" s="286"/>
      <c r="J4" s="286"/>
      <c r="K4" s="286"/>
      <c r="L4" s="286"/>
      <c r="M4" s="286"/>
      <c r="N4" s="286"/>
      <c r="O4" s="286"/>
      <c r="R4" s="291"/>
      <c r="S4" s="51" t="s">
        <v>43</v>
      </c>
      <c r="T4" s="51" t="s">
        <v>44</v>
      </c>
      <c r="U4" s="51" t="s">
        <v>43</v>
      </c>
      <c r="V4" s="51" t="s">
        <v>44</v>
      </c>
      <c r="W4" s="286"/>
      <c r="X4" s="286"/>
      <c r="Y4" s="286"/>
      <c r="Z4" s="286"/>
      <c r="AA4" s="286"/>
      <c r="AB4" s="286"/>
      <c r="AC4" s="286"/>
      <c r="AD4" s="286"/>
      <c r="AE4" s="286"/>
      <c r="AF4" s="50" t="s">
        <v>53</v>
      </c>
      <c r="AG4" s="50" t="s">
        <v>54</v>
      </c>
      <c r="AH4" s="286"/>
    </row>
    <row r="5" spans="1:34">
      <c r="A5" s="1" t="s">
        <v>0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R5" s="1" t="s">
        <v>0</v>
      </c>
      <c r="S5" s="35">
        <f t="shared" ref="S5:AG5" si="0">S75*0.8</f>
        <v>0</v>
      </c>
      <c r="T5" s="35">
        <f t="shared" si="0"/>
        <v>0</v>
      </c>
      <c r="U5" s="35">
        <f t="shared" si="0"/>
        <v>0</v>
      </c>
      <c r="V5" s="35">
        <f t="shared" si="0"/>
        <v>0</v>
      </c>
      <c r="W5" s="35">
        <f t="shared" si="0"/>
        <v>0</v>
      </c>
      <c r="X5" s="35">
        <f>X75*0.8</f>
        <v>0</v>
      </c>
      <c r="Y5" s="35">
        <f t="shared" si="0"/>
        <v>0</v>
      </c>
      <c r="Z5" s="35">
        <f t="shared" si="0"/>
        <v>0</v>
      </c>
      <c r="AA5" s="35">
        <f t="shared" si="0"/>
        <v>0</v>
      </c>
      <c r="AB5" s="35">
        <f t="shared" si="0"/>
        <v>0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0</v>
      </c>
    </row>
    <row r="6" spans="1:34">
      <c r="A6" s="1" t="s">
        <v>1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R6" s="1" t="s">
        <v>1</v>
      </c>
      <c r="S6" s="35">
        <f t="shared" ref="S6:AG21" si="2">S76*0.8</f>
        <v>0</v>
      </c>
      <c r="T6" s="35">
        <f t="shared" si="2"/>
        <v>0</v>
      </c>
      <c r="U6" s="35">
        <f t="shared" si="2"/>
        <v>0</v>
      </c>
      <c r="V6" s="35">
        <f t="shared" si="2"/>
        <v>0</v>
      </c>
      <c r="W6" s="35">
        <f t="shared" si="2"/>
        <v>0</v>
      </c>
      <c r="X6" s="35">
        <f t="shared" si="2"/>
        <v>0</v>
      </c>
      <c r="Y6" s="35">
        <f t="shared" si="2"/>
        <v>0</v>
      </c>
      <c r="Z6" s="35">
        <f t="shared" si="2"/>
        <v>0</v>
      </c>
      <c r="AA6" s="35">
        <f t="shared" si="2"/>
        <v>0</v>
      </c>
      <c r="AB6" s="35">
        <f t="shared" si="2"/>
        <v>0</v>
      </c>
      <c r="AC6" s="35">
        <f t="shared" si="2"/>
        <v>0</v>
      </c>
      <c r="AD6" s="35">
        <f t="shared" si="2"/>
        <v>0</v>
      </c>
      <c r="AE6" s="35">
        <f t="shared" si="2"/>
        <v>0</v>
      </c>
      <c r="AF6" s="35">
        <f t="shared" si="2"/>
        <v>0</v>
      </c>
      <c r="AG6" s="35">
        <f t="shared" si="2"/>
        <v>0</v>
      </c>
      <c r="AH6" s="4">
        <f t="shared" ref="AH6:AH31" si="3">SUM(S6:AG6)</f>
        <v>0</v>
      </c>
    </row>
    <row r="7" spans="1:34">
      <c r="A7" s="18" t="s">
        <v>2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R7" s="18" t="s">
        <v>2</v>
      </c>
      <c r="S7" s="35">
        <f t="shared" si="2"/>
        <v>0</v>
      </c>
      <c r="T7" s="35">
        <f t="shared" si="2"/>
        <v>0</v>
      </c>
      <c r="U7" s="35">
        <f t="shared" si="2"/>
        <v>0</v>
      </c>
      <c r="V7" s="35">
        <f t="shared" si="2"/>
        <v>0</v>
      </c>
      <c r="W7" s="35">
        <f t="shared" si="2"/>
        <v>0</v>
      </c>
      <c r="X7" s="35">
        <f t="shared" si="2"/>
        <v>0</v>
      </c>
      <c r="Y7" s="35">
        <f t="shared" si="2"/>
        <v>0</v>
      </c>
      <c r="Z7" s="35">
        <f t="shared" si="2"/>
        <v>0</v>
      </c>
      <c r="AA7" s="35">
        <f t="shared" si="2"/>
        <v>0</v>
      </c>
      <c r="AB7" s="35">
        <f t="shared" si="2"/>
        <v>0</v>
      </c>
      <c r="AC7" s="35">
        <f t="shared" si="2"/>
        <v>0</v>
      </c>
      <c r="AD7" s="35">
        <f t="shared" si="2"/>
        <v>0</v>
      </c>
      <c r="AE7" s="35">
        <f t="shared" si="2"/>
        <v>0</v>
      </c>
      <c r="AF7" s="35">
        <f t="shared" si="2"/>
        <v>0</v>
      </c>
      <c r="AG7" s="35">
        <f t="shared" si="2"/>
        <v>0</v>
      </c>
      <c r="AH7" s="4">
        <f t="shared" si="3"/>
        <v>0</v>
      </c>
    </row>
    <row r="8" spans="1:34">
      <c r="A8" s="2" t="s">
        <v>3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R8" s="2" t="s">
        <v>3</v>
      </c>
      <c r="S8" s="35">
        <f t="shared" si="2"/>
        <v>0</v>
      </c>
      <c r="T8" s="35">
        <f t="shared" si="2"/>
        <v>0</v>
      </c>
      <c r="U8" s="35">
        <f t="shared" si="2"/>
        <v>0</v>
      </c>
      <c r="V8" s="35">
        <f t="shared" si="2"/>
        <v>0</v>
      </c>
      <c r="W8" s="35">
        <f t="shared" si="2"/>
        <v>0</v>
      </c>
      <c r="X8" s="35">
        <f t="shared" si="2"/>
        <v>0</v>
      </c>
      <c r="Y8" s="35">
        <f t="shared" si="2"/>
        <v>0</v>
      </c>
      <c r="Z8" s="35">
        <f t="shared" si="2"/>
        <v>0</v>
      </c>
      <c r="AA8" s="35">
        <f t="shared" si="2"/>
        <v>0</v>
      </c>
      <c r="AB8" s="35">
        <f t="shared" si="2"/>
        <v>0</v>
      </c>
      <c r="AC8" s="35">
        <f t="shared" si="2"/>
        <v>0</v>
      </c>
      <c r="AD8" s="35">
        <f t="shared" si="2"/>
        <v>0</v>
      </c>
      <c r="AE8" s="35">
        <f t="shared" si="2"/>
        <v>0</v>
      </c>
      <c r="AF8" s="35">
        <f t="shared" si="2"/>
        <v>0</v>
      </c>
      <c r="AG8" s="35">
        <f t="shared" si="2"/>
        <v>0</v>
      </c>
      <c r="AH8" s="4">
        <f t="shared" si="3"/>
        <v>0</v>
      </c>
    </row>
    <row r="9" spans="1:34">
      <c r="A9" s="1" t="s">
        <v>4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R9" s="1" t="s">
        <v>4</v>
      </c>
      <c r="S9" s="35">
        <f t="shared" si="2"/>
        <v>0</v>
      </c>
      <c r="T9" s="35">
        <f t="shared" si="2"/>
        <v>0</v>
      </c>
      <c r="U9" s="35">
        <f t="shared" si="2"/>
        <v>0</v>
      </c>
      <c r="V9" s="35">
        <f t="shared" si="2"/>
        <v>0</v>
      </c>
      <c r="W9" s="35">
        <f t="shared" si="2"/>
        <v>0</v>
      </c>
      <c r="X9" s="35">
        <f t="shared" si="2"/>
        <v>0</v>
      </c>
      <c r="Y9" s="35">
        <f t="shared" si="2"/>
        <v>0</v>
      </c>
      <c r="Z9" s="35">
        <f t="shared" si="2"/>
        <v>0</v>
      </c>
      <c r="AA9" s="35">
        <f t="shared" si="2"/>
        <v>0</v>
      </c>
      <c r="AB9" s="35">
        <f t="shared" si="2"/>
        <v>0</v>
      </c>
      <c r="AC9" s="35">
        <f t="shared" si="2"/>
        <v>0</v>
      </c>
      <c r="AD9" s="35">
        <f t="shared" si="2"/>
        <v>0</v>
      </c>
      <c r="AE9" s="35">
        <f t="shared" si="2"/>
        <v>0</v>
      </c>
      <c r="AF9" s="35">
        <f t="shared" si="2"/>
        <v>0</v>
      </c>
      <c r="AG9" s="35">
        <f t="shared" si="2"/>
        <v>0</v>
      </c>
      <c r="AH9" s="4">
        <f t="shared" si="3"/>
        <v>0</v>
      </c>
    </row>
    <row r="10" spans="1:34">
      <c r="A10" s="1" t="s">
        <v>5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R10" s="1" t="s">
        <v>5</v>
      </c>
      <c r="S10" s="35">
        <f t="shared" si="2"/>
        <v>0</v>
      </c>
      <c r="T10" s="35">
        <f t="shared" si="2"/>
        <v>0</v>
      </c>
      <c r="U10" s="35">
        <f t="shared" si="2"/>
        <v>0</v>
      </c>
      <c r="V10" s="35">
        <f t="shared" si="2"/>
        <v>0</v>
      </c>
      <c r="W10" s="35">
        <f t="shared" si="2"/>
        <v>0</v>
      </c>
      <c r="X10" s="35">
        <f t="shared" si="2"/>
        <v>0</v>
      </c>
      <c r="Y10" s="35">
        <f t="shared" si="2"/>
        <v>0</v>
      </c>
      <c r="Z10" s="35">
        <f t="shared" si="2"/>
        <v>0</v>
      </c>
      <c r="AA10" s="35">
        <f t="shared" si="2"/>
        <v>0</v>
      </c>
      <c r="AB10" s="35">
        <f t="shared" si="2"/>
        <v>0</v>
      </c>
      <c r="AC10" s="35">
        <f t="shared" si="2"/>
        <v>0</v>
      </c>
      <c r="AD10" s="35">
        <f t="shared" si="2"/>
        <v>0</v>
      </c>
      <c r="AE10" s="35">
        <f t="shared" si="2"/>
        <v>0</v>
      </c>
      <c r="AF10" s="35">
        <f t="shared" si="2"/>
        <v>0</v>
      </c>
      <c r="AG10" s="35">
        <f t="shared" si="2"/>
        <v>0</v>
      </c>
      <c r="AH10" s="4">
        <f t="shared" si="3"/>
        <v>0</v>
      </c>
    </row>
    <row r="11" spans="1:34">
      <c r="A11" s="1" t="s">
        <v>6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0</v>
      </c>
      <c r="R11" s="1" t="s">
        <v>6</v>
      </c>
      <c r="S11" s="35">
        <f t="shared" si="2"/>
        <v>0</v>
      </c>
      <c r="T11" s="35">
        <f t="shared" si="2"/>
        <v>0</v>
      </c>
      <c r="U11" s="35">
        <f t="shared" si="2"/>
        <v>0</v>
      </c>
      <c r="V11" s="35">
        <f t="shared" si="2"/>
        <v>0</v>
      </c>
      <c r="W11" s="35">
        <f t="shared" si="2"/>
        <v>0</v>
      </c>
      <c r="X11" s="35">
        <f t="shared" si="2"/>
        <v>0</v>
      </c>
      <c r="Y11" s="35">
        <f t="shared" si="2"/>
        <v>0</v>
      </c>
      <c r="Z11" s="35">
        <f t="shared" si="2"/>
        <v>0</v>
      </c>
      <c r="AA11" s="35">
        <f t="shared" si="2"/>
        <v>0</v>
      </c>
      <c r="AB11" s="35">
        <f t="shared" si="2"/>
        <v>0</v>
      </c>
      <c r="AC11" s="35">
        <f t="shared" si="2"/>
        <v>0</v>
      </c>
      <c r="AD11" s="35">
        <f t="shared" si="2"/>
        <v>0</v>
      </c>
      <c r="AE11" s="35">
        <f t="shared" si="2"/>
        <v>0</v>
      </c>
      <c r="AF11" s="35">
        <f t="shared" si="2"/>
        <v>0</v>
      </c>
      <c r="AG11" s="35">
        <f t="shared" si="2"/>
        <v>0</v>
      </c>
      <c r="AH11" s="4">
        <f t="shared" si="3"/>
        <v>0</v>
      </c>
    </row>
    <row r="12" spans="1:34">
      <c r="A12" s="1" t="s">
        <v>7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R12" s="1" t="s">
        <v>7</v>
      </c>
      <c r="S12" s="35">
        <f t="shared" si="2"/>
        <v>0</v>
      </c>
      <c r="T12" s="35">
        <f t="shared" si="2"/>
        <v>0</v>
      </c>
      <c r="U12" s="35">
        <f t="shared" si="2"/>
        <v>0</v>
      </c>
      <c r="V12" s="35">
        <f t="shared" si="2"/>
        <v>0</v>
      </c>
      <c r="W12" s="35">
        <f t="shared" si="2"/>
        <v>0</v>
      </c>
      <c r="X12" s="35">
        <f t="shared" si="2"/>
        <v>0</v>
      </c>
      <c r="Y12" s="35">
        <f t="shared" si="2"/>
        <v>0</v>
      </c>
      <c r="Z12" s="35">
        <f t="shared" si="2"/>
        <v>0</v>
      </c>
      <c r="AA12" s="35">
        <f t="shared" si="2"/>
        <v>0</v>
      </c>
      <c r="AB12" s="35">
        <f t="shared" si="2"/>
        <v>0</v>
      </c>
      <c r="AC12" s="35">
        <f t="shared" si="2"/>
        <v>0</v>
      </c>
      <c r="AD12" s="35">
        <f t="shared" si="2"/>
        <v>0</v>
      </c>
      <c r="AE12" s="35">
        <f t="shared" si="2"/>
        <v>0</v>
      </c>
      <c r="AF12" s="35">
        <f t="shared" si="2"/>
        <v>0</v>
      </c>
      <c r="AG12" s="35">
        <f t="shared" si="2"/>
        <v>0</v>
      </c>
      <c r="AH12" s="4">
        <f t="shared" si="3"/>
        <v>0</v>
      </c>
    </row>
    <row r="13" spans="1:34">
      <c r="A13" s="1" t="s">
        <v>8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R13" s="1" t="s">
        <v>8</v>
      </c>
      <c r="S13" s="35">
        <f t="shared" si="2"/>
        <v>0</v>
      </c>
      <c r="T13" s="35">
        <f t="shared" si="2"/>
        <v>0</v>
      </c>
      <c r="U13" s="35">
        <f t="shared" si="2"/>
        <v>0</v>
      </c>
      <c r="V13" s="35">
        <f t="shared" si="2"/>
        <v>0</v>
      </c>
      <c r="W13" s="35">
        <f t="shared" si="2"/>
        <v>0</v>
      </c>
      <c r="X13" s="35">
        <f t="shared" si="2"/>
        <v>0</v>
      </c>
      <c r="Y13" s="35">
        <f t="shared" si="2"/>
        <v>0</v>
      </c>
      <c r="Z13" s="35">
        <f t="shared" si="2"/>
        <v>0</v>
      </c>
      <c r="AA13" s="35">
        <f t="shared" si="2"/>
        <v>0</v>
      </c>
      <c r="AB13" s="35">
        <f t="shared" si="2"/>
        <v>0</v>
      </c>
      <c r="AC13" s="35">
        <f t="shared" si="2"/>
        <v>0</v>
      </c>
      <c r="AD13" s="35">
        <f t="shared" si="2"/>
        <v>0</v>
      </c>
      <c r="AE13" s="35">
        <f t="shared" si="2"/>
        <v>0</v>
      </c>
      <c r="AF13" s="35">
        <f t="shared" si="2"/>
        <v>0</v>
      </c>
      <c r="AG13" s="35">
        <f t="shared" si="2"/>
        <v>0</v>
      </c>
      <c r="AH13" s="4">
        <f t="shared" si="3"/>
        <v>0</v>
      </c>
    </row>
    <row r="14" spans="1:34">
      <c r="A14" s="2" t="s">
        <v>9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R14" s="2" t="s">
        <v>9</v>
      </c>
      <c r="S14" s="35">
        <f t="shared" si="2"/>
        <v>0</v>
      </c>
      <c r="T14" s="35">
        <f t="shared" si="2"/>
        <v>0</v>
      </c>
      <c r="U14" s="35">
        <f t="shared" si="2"/>
        <v>0</v>
      </c>
      <c r="V14" s="35">
        <f t="shared" si="2"/>
        <v>0</v>
      </c>
      <c r="W14" s="35">
        <f t="shared" si="2"/>
        <v>0</v>
      </c>
      <c r="X14" s="35">
        <f t="shared" si="2"/>
        <v>0</v>
      </c>
      <c r="Y14" s="35">
        <f t="shared" si="2"/>
        <v>0</v>
      </c>
      <c r="Z14" s="35">
        <f t="shared" si="2"/>
        <v>0</v>
      </c>
      <c r="AA14" s="35">
        <f t="shared" si="2"/>
        <v>0</v>
      </c>
      <c r="AB14" s="35">
        <f t="shared" si="2"/>
        <v>0</v>
      </c>
      <c r="AC14" s="35">
        <f t="shared" si="2"/>
        <v>0</v>
      </c>
      <c r="AD14" s="35">
        <f t="shared" si="2"/>
        <v>0</v>
      </c>
      <c r="AE14" s="35">
        <f t="shared" si="2"/>
        <v>0</v>
      </c>
      <c r="AF14" s="35">
        <f t="shared" si="2"/>
        <v>0</v>
      </c>
      <c r="AG14" s="35">
        <f t="shared" si="2"/>
        <v>0</v>
      </c>
      <c r="AH14" s="4">
        <f t="shared" si="3"/>
        <v>0</v>
      </c>
    </row>
    <row r="15" spans="1:34">
      <c r="A15" s="18" t="s">
        <v>10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0</v>
      </c>
      <c r="R15" s="18" t="s">
        <v>10</v>
      </c>
      <c r="S15" s="35">
        <f t="shared" si="2"/>
        <v>0</v>
      </c>
      <c r="T15" s="35">
        <f t="shared" si="2"/>
        <v>0</v>
      </c>
      <c r="U15" s="35">
        <f t="shared" si="2"/>
        <v>0</v>
      </c>
      <c r="V15" s="35">
        <f t="shared" si="2"/>
        <v>0</v>
      </c>
      <c r="W15" s="35">
        <f t="shared" si="2"/>
        <v>0</v>
      </c>
      <c r="X15" s="35">
        <f t="shared" si="2"/>
        <v>0</v>
      </c>
      <c r="Y15" s="35">
        <f t="shared" si="2"/>
        <v>0</v>
      </c>
      <c r="Z15" s="35">
        <f t="shared" si="2"/>
        <v>0</v>
      </c>
      <c r="AA15" s="35">
        <f t="shared" si="2"/>
        <v>0</v>
      </c>
      <c r="AB15" s="35">
        <f t="shared" si="2"/>
        <v>0</v>
      </c>
      <c r="AC15" s="35">
        <f t="shared" si="2"/>
        <v>0</v>
      </c>
      <c r="AD15" s="35">
        <f t="shared" si="2"/>
        <v>0</v>
      </c>
      <c r="AE15" s="35">
        <f t="shared" si="2"/>
        <v>0</v>
      </c>
      <c r="AF15" s="35">
        <f t="shared" si="2"/>
        <v>0</v>
      </c>
      <c r="AG15" s="35">
        <f t="shared" si="2"/>
        <v>0</v>
      </c>
      <c r="AH15" s="4">
        <f t="shared" si="3"/>
        <v>0</v>
      </c>
    </row>
    <row r="16" spans="1:34">
      <c r="A16" s="1" t="s">
        <v>11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R16" s="1" t="s">
        <v>11</v>
      </c>
      <c r="S16" s="35">
        <f t="shared" si="2"/>
        <v>0</v>
      </c>
      <c r="T16" s="35">
        <f t="shared" si="2"/>
        <v>0</v>
      </c>
      <c r="U16" s="35">
        <f t="shared" si="2"/>
        <v>0</v>
      </c>
      <c r="V16" s="35">
        <f t="shared" si="2"/>
        <v>0</v>
      </c>
      <c r="W16" s="35">
        <f t="shared" si="2"/>
        <v>0</v>
      </c>
      <c r="X16" s="35">
        <f t="shared" si="2"/>
        <v>0</v>
      </c>
      <c r="Y16" s="35">
        <f t="shared" si="2"/>
        <v>0</v>
      </c>
      <c r="Z16" s="35">
        <f t="shared" si="2"/>
        <v>0</v>
      </c>
      <c r="AA16" s="35">
        <f t="shared" si="2"/>
        <v>0</v>
      </c>
      <c r="AB16" s="35">
        <f t="shared" si="2"/>
        <v>0</v>
      </c>
      <c r="AC16" s="35">
        <f t="shared" si="2"/>
        <v>0</v>
      </c>
      <c r="AD16" s="35">
        <f t="shared" si="2"/>
        <v>0</v>
      </c>
      <c r="AE16" s="35">
        <f t="shared" si="2"/>
        <v>0</v>
      </c>
      <c r="AF16" s="35">
        <f t="shared" si="2"/>
        <v>0</v>
      </c>
      <c r="AG16" s="35">
        <f t="shared" si="2"/>
        <v>0</v>
      </c>
      <c r="AH16" s="4">
        <f t="shared" si="3"/>
        <v>0</v>
      </c>
    </row>
    <row r="17" spans="1:34">
      <c r="A17" s="1" t="s">
        <v>12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0</v>
      </c>
      <c r="R17" s="1" t="s">
        <v>12</v>
      </c>
      <c r="S17" s="35">
        <f t="shared" si="2"/>
        <v>0</v>
      </c>
      <c r="T17" s="35">
        <f t="shared" si="2"/>
        <v>0</v>
      </c>
      <c r="U17" s="35">
        <f t="shared" si="2"/>
        <v>0</v>
      </c>
      <c r="V17" s="35">
        <f t="shared" si="2"/>
        <v>0</v>
      </c>
      <c r="W17" s="35">
        <f t="shared" si="2"/>
        <v>0</v>
      </c>
      <c r="X17" s="35">
        <f t="shared" si="2"/>
        <v>0</v>
      </c>
      <c r="Y17" s="35">
        <f t="shared" si="2"/>
        <v>0</v>
      </c>
      <c r="Z17" s="35">
        <f t="shared" si="2"/>
        <v>0</v>
      </c>
      <c r="AA17" s="35">
        <f t="shared" si="2"/>
        <v>0</v>
      </c>
      <c r="AB17" s="35">
        <f t="shared" si="2"/>
        <v>0</v>
      </c>
      <c r="AC17" s="35">
        <f t="shared" si="2"/>
        <v>0</v>
      </c>
      <c r="AD17" s="35">
        <f t="shared" si="2"/>
        <v>0</v>
      </c>
      <c r="AE17" s="35">
        <f t="shared" si="2"/>
        <v>0</v>
      </c>
      <c r="AF17" s="35">
        <f t="shared" si="2"/>
        <v>0</v>
      </c>
      <c r="AG17" s="35">
        <f t="shared" si="2"/>
        <v>0</v>
      </c>
      <c r="AH17" s="4">
        <f t="shared" si="3"/>
        <v>0</v>
      </c>
    </row>
    <row r="18" spans="1:34">
      <c r="A18" s="1" t="s">
        <v>15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R18" s="1" t="s">
        <v>15</v>
      </c>
      <c r="S18" s="35">
        <f t="shared" si="2"/>
        <v>0</v>
      </c>
      <c r="T18" s="35">
        <f t="shared" si="2"/>
        <v>0</v>
      </c>
      <c r="U18" s="35">
        <f t="shared" si="2"/>
        <v>0</v>
      </c>
      <c r="V18" s="35">
        <f t="shared" si="2"/>
        <v>0</v>
      </c>
      <c r="W18" s="35">
        <f t="shared" si="2"/>
        <v>0</v>
      </c>
      <c r="X18" s="35">
        <f t="shared" si="2"/>
        <v>0</v>
      </c>
      <c r="Y18" s="35">
        <f t="shared" si="2"/>
        <v>0</v>
      </c>
      <c r="Z18" s="35">
        <f t="shared" si="2"/>
        <v>0</v>
      </c>
      <c r="AA18" s="35">
        <f t="shared" si="2"/>
        <v>0</v>
      </c>
      <c r="AB18" s="35">
        <f t="shared" si="2"/>
        <v>0</v>
      </c>
      <c r="AC18" s="35">
        <f t="shared" si="2"/>
        <v>0</v>
      </c>
      <c r="AD18" s="35">
        <f t="shared" si="2"/>
        <v>0</v>
      </c>
      <c r="AE18" s="35">
        <f t="shared" si="2"/>
        <v>0</v>
      </c>
      <c r="AF18" s="35">
        <f t="shared" si="2"/>
        <v>0</v>
      </c>
      <c r="AG18" s="35">
        <f t="shared" si="2"/>
        <v>0</v>
      </c>
      <c r="AH18" s="4">
        <f t="shared" si="3"/>
        <v>0</v>
      </c>
    </row>
    <row r="19" spans="1:34">
      <c r="A19" s="1" t="s">
        <v>14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0</v>
      </c>
      <c r="R19" s="1" t="s">
        <v>14</v>
      </c>
      <c r="S19" s="35">
        <f t="shared" si="2"/>
        <v>0</v>
      </c>
      <c r="T19" s="35">
        <f t="shared" si="2"/>
        <v>0</v>
      </c>
      <c r="U19" s="35">
        <f t="shared" si="2"/>
        <v>0</v>
      </c>
      <c r="V19" s="35">
        <f t="shared" si="2"/>
        <v>0</v>
      </c>
      <c r="W19" s="35">
        <f t="shared" si="2"/>
        <v>0</v>
      </c>
      <c r="X19" s="35">
        <f t="shared" si="2"/>
        <v>0</v>
      </c>
      <c r="Y19" s="35">
        <f t="shared" si="2"/>
        <v>0</v>
      </c>
      <c r="Z19" s="35">
        <f t="shared" si="2"/>
        <v>0</v>
      </c>
      <c r="AA19" s="35">
        <f t="shared" si="2"/>
        <v>0</v>
      </c>
      <c r="AB19" s="35">
        <f t="shared" si="2"/>
        <v>0</v>
      </c>
      <c r="AC19" s="35">
        <f t="shared" si="2"/>
        <v>0</v>
      </c>
      <c r="AD19" s="35">
        <f t="shared" si="2"/>
        <v>0</v>
      </c>
      <c r="AE19" s="35">
        <f t="shared" si="2"/>
        <v>0</v>
      </c>
      <c r="AF19" s="35">
        <f t="shared" si="2"/>
        <v>0</v>
      </c>
      <c r="AG19" s="35">
        <f t="shared" si="2"/>
        <v>0</v>
      </c>
      <c r="AH19" s="4">
        <f t="shared" si="3"/>
        <v>0</v>
      </c>
    </row>
    <row r="20" spans="1:34">
      <c r="A20" s="18" t="s">
        <v>13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R20" s="18" t="s">
        <v>13</v>
      </c>
      <c r="S20" s="35">
        <f t="shared" si="2"/>
        <v>0</v>
      </c>
      <c r="T20" s="35">
        <f t="shared" si="2"/>
        <v>0</v>
      </c>
      <c r="U20" s="35">
        <f t="shared" si="2"/>
        <v>0</v>
      </c>
      <c r="V20" s="35">
        <f t="shared" si="2"/>
        <v>0</v>
      </c>
      <c r="W20" s="35">
        <f t="shared" si="2"/>
        <v>0</v>
      </c>
      <c r="X20" s="35">
        <f t="shared" si="2"/>
        <v>0</v>
      </c>
      <c r="Y20" s="35">
        <f t="shared" si="2"/>
        <v>0</v>
      </c>
      <c r="Z20" s="35">
        <f t="shared" si="2"/>
        <v>0</v>
      </c>
      <c r="AA20" s="35">
        <f t="shared" si="2"/>
        <v>0</v>
      </c>
      <c r="AB20" s="35">
        <f t="shared" si="2"/>
        <v>0</v>
      </c>
      <c r="AC20" s="35">
        <f t="shared" si="2"/>
        <v>0</v>
      </c>
      <c r="AD20" s="35">
        <f t="shared" si="2"/>
        <v>0</v>
      </c>
      <c r="AE20" s="35">
        <f t="shared" si="2"/>
        <v>0</v>
      </c>
      <c r="AF20" s="35">
        <f t="shared" si="2"/>
        <v>0</v>
      </c>
      <c r="AG20" s="35">
        <f t="shared" si="2"/>
        <v>0</v>
      </c>
      <c r="AH20" s="4">
        <f t="shared" si="3"/>
        <v>0</v>
      </c>
    </row>
    <row r="21" spans="1:34">
      <c r="A21" s="1" t="s">
        <v>16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R21" s="1" t="s">
        <v>16</v>
      </c>
      <c r="S21" s="35">
        <f t="shared" si="2"/>
        <v>0</v>
      </c>
      <c r="T21" s="35">
        <f t="shared" si="2"/>
        <v>0</v>
      </c>
      <c r="U21" s="35">
        <f t="shared" si="2"/>
        <v>0</v>
      </c>
      <c r="V21" s="35">
        <f t="shared" si="2"/>
        <v>0</v>
      </c>
      <c r="W21" s="35">
        <f t="shared" si="2"/>
        <v>0</v>
      </c>
      <c r="X21" s="35">
        <f t="shared" si="2"/>
        <v>0</v>
      </c>
      <c r="Y21" s="35">
        <f t="shared" si="2"/>
        <v>0</v>
      </c>
      <c r="Z21" s="35">
        <f t="shared" si="2"/>
        <v>0</v>
      </c>
      <c r="AA21" s="35">
        <f t="shared" si="2"/>
        <v>0</v>
      </c>
      <c r="AB21" s="35">
        <f t="shared" si="2"/>
        <v>0</v>
      </c>
      <c r="AC21" s="35">
        <f t="shared" si="2"/>
        <v>0</v>
      </c>
      <c r="AD21" s="35">
        <f t="shared" si="2"/>
        <v>0</v>
      </c>
      <c r="AE21" s="35">
        <f t="shared" si="2"/>
        <v>0</v>
      </c>
      <c r="AF21" s="35">
        <f t="shared" si="2"/>
        <v>0</v>
      </c>
      <c r="AG21" s="35">
        <f t="shared" si="2"/>
        <v>0</v>
      </c>
      <c r="AH21" s="4">
        <f t="shared" si="3"/>
        <v>0</v>
      </c>
    </row>
    <row r="22" spans="1:34">
      <c r="A22" s="1" t="s">
        <v>17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R22" s="1" t="s">
        <v>17</v>
      </c>
      <c r="S22" s="35">
        <f t="shared" ref="S22:AG31" si="4">S92*0.8</f>
        <v>0</v>
      </c>
      <c r="T22" s="35">
        <f t="shared" si="4"/>
        <v>0</v>
      </c>
      <c r="U22" s="35">
        <f t="shared" si="4"/>
        <v>0</v>
      </c>
      <c r="V22" s="35">
        <f t="shared" si="4"/>
        <v>0</v>
      </c>
      <c r="W22" s="35">
        <f t="shared" si="4"/>
        <v>0</v>
      </c>
      <c r="X22" s="35">
        <f t="shared" si="4"/>
        <v>0</v>
      </c>
      <c r="Y22" s="35">
        <f t="shared" si="4"/>
        <v>0</v>
      </c>
      <c r="Z22" s="35">
        <f t="shared" si="4"/>
        <v>0</v>
      </c>
      <c r="AA22" s="35">
        <f t="shared" si="4"/>
        <v>0</v>
      </c>
      <c r="AB22" s="35">
        <f t="shared" si="4"/>
        <v>0</v>
      </c>
      <c r="AC22" s="35">
        <f t="shared" si="4"/>
        <v>0</v>
      </c>
      <c r="AD22" s="35">
        <f t="shared" si="4"/>
        <v>0</v>
      </c>
      <c r="AE22" s="35">
        <f t="shared" si="4"/>
        <v>0</v>
      </c>
      <c r="AF22" s="35">
        <f t="shared" si="4"/>
        <v>0</v>
      </c>
      <c r="AG22" s="35">
        <f t="shared" si="4"/>
        <v>0</v>
      </c>
      <c r="AH22" s="4">
        <f t="shared" si="3"/>
        <v>0</v>
      </c>
    </row>
    <row r="23" spans="1:34">
      <c r="A23" s="1" t="s">
        <v>18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0</v>
      </c>
      <c r="R23" s="1" t="s">
        <v>18</v>
      </c>
      <c r="S23" s="35">
        <f t="shared" si="4"/>
        <v>0</v>
      </c>
      <c r="T23" s="35">
        <f t="shared" si="4"/>
        <v>0</v>
      </c>
      <c r="U23" s="35">
        <f t="shared" si="4"/>
        <v>0</v>
      </c>
      <c r="V23" s="35">
        <f t="shared" si="4"/>
        <v>0</v>
      </c>
      <c r="W23" s="35">
        <f t="shared" si="4"/>
        <v>0</v>
      </c>
      <c r="X23" s="35">
        <f t="shared" si="4"/>
        <v>0</v>
      </c>
      <c r="Y23" s="35">
        <f t="shared" si="4"/>
        <v>0</v>
      </c>
      <c r="Z23" s="35">
        <f t="shared" si="4"/>
        <v>0</v>
      </c>
      <c r="AA23" s="35">
        <f t="shared" si="4"/>
        <v>0</v>
      </c>
      <c r="AB23" s="35">
        <f t="shared" si="4"/>
        <v>0</v>
      </c>
      <c r="AC23" s="35">
        <f t="shared" si="4"/>
        <v>0</v>
      </c>
      <c r="AD23" s="35">
        <f t="shared" si="4"/>
        <v>0</v>
      </c>
      <c r="AE23" s="35">
        <f t="shared" si="4"/>
        <v>0</v>
      </c>
      <c r="AF23" s="35">
        <f t="shared" si="4"/>
        <v>0</v>
      </c>
      <c r="AG23" s="35">
        <f t="shared" si="4"/>
        <v>0</v>
      </c>
      <c r="AH23" s="4">
        <f t="shared" si="3"/>
        <v>0</v>
      </c>
    </row>
    <row r="24" spans="1:34">
      <c r="A24" s="1" t="s">
        <v>20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0</v>
      </c>
      <c r="R24" s="1" t="s">
        <v>20</v>
      </c>
      <c r="S24" s="35">
        <f t="shared" si="4"/>
        <v>0</v>
      </c>
      <c r="T24" s="35">
        <f t="shared" si="4"/>
        <v>0</v>
      </c>
      <c r="U24" s="35">
        <f t="shared" si="4"/>
        <v>0</v>
      </c>
      <c r="V24" s="35">
        <f t="shared" si="4"/>
        <v>0</v>
      </c>
      <c r="W24" s="35">
        <f t="shared" si="4"/>
        <v>0</v>
      </c>
      <c r="X24" s="35">
        <f t="shared" si="4"/>
        <v>0</v>
      </c>
      <c r="Y24" s="35">
        <f t="shared" si="4"/>
        <v>0</v>
      </c>
      <c r="Z24" s="35">
        <f t="shared" si="4"/>
        <v>0</v>
      </c>
      <c r="AA24" s="35">
        <f t="shared" si="4"/>
        <v>0</v>
      </c>
      <c r="AB24" s="35">
        <f t="shared" si="4"/>
        <v>0</v>
      </c>
      <c r="AC24" s="35">
        <f t="shared" si="4"/>
        <v>0</v>
      </c>
      <c r="AD24" s="35">
        <f t="shared" si="4"/>
        <v>0</v>
      </c>
      <c r="AE24" s="35">
        <f t="shared" si="4"/>
        <v>0</v>
      </c>
      <c r="AF24" s="35">
        <f t="shared" si="4"/>
        <v>0</v>
      </c>
      <c r="AG24" s="35">
        <f t="shared" si="4"/>
        <v>0</v>
      </c>
      <c r="AH24" s="4">
        <f t="shared" si="3"/>
        <v>0</v>
      </c>
    </row>
    <row r="25" spans="1:34">
      <c r="A25" s="1" t="s">
        <v>19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 t="shared" si="1"/>
        <v>0</v>
      </c>
      <c r="R25" s="1" t="s">
        <v>19</v>
      </c>
      <c r="S25" s="35">
        <f t="shared" si="4"/>
        <v>0</v>
      </c>
      <c r="T25" s="35">
        <f t="shared" si="4"/>
        <v>0</v>
      </c>
      <c r="U25" s="35">
        <f t="shared" si="4"/>
        <v>0</v>
      </c>
      <c r="V25" s="35">
        <f t="shared" si="4"/>
        <v>0</v>
      </c>
      <c r="W25" s="35">
        <f t="shared" si="4"/>
        <v>0</v>
      </c>
      <c r="X25" s="35">
        <f t="shared" si="4"/>
        <v>0</v>
      </c>
      <c r="Y25" s="35">
        <f t="shared" si="4"/>
        <v>0</v>
      </c>
      <c r="Z25" s="35">
        <f t="shared" si="4"/>
        <v>0</v>
      </c>
      <c r="AA25" s="35">
        <f t="shared" si="4"/>
        <v>0</v>
      </c>
      <c r="AB25" s="35">
        <f t="shared" si="4"/>
        <v>0</v>
      </c>
      <c r="AC25" s="35">
        <f t="shared" si="4"/>
        <v>0</v>
      </c>
      <c r="AD25" s="35">
        <f t="shared" si="4"/>
        <v>0</v>
      </c>
      <c r="AE25" s="35">
        <f t="shared" si="4"/>
        <v>0</v>
      </c>
      <c r="AF25" s="35">
        <f t="shared" si="4"/>
        <v>0</v>
      </c>
      <c r="AG25" s="35">
        <f t="shared" si="4"/>
        <v>0</v>
      </c>
      <c r="AH25" s="4">
        <f t="shared" si="3"/>
        <v>0</v>
      </c>
    </row>
    <row r="26" spans="1:34">
      <c r="A26" s="1" t="s">
        <v>21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R26" s="1" t="s">
        <v>21</v>
      </c>
      <c r="S26" s="35">
        <f t="shared" si="4"/>
        <v>0</v>
      </c>
      <c r="T26" s="35">
        <f t="shared" si="4"/>
        <v>0</v>
      </c>
      <c r="U26" s="35">
        <f t="shared" si="4"/>
        <v>0</v>
      </c>
      <c r="V26" s="35">
        <f t="shared" si="4"/>
        <v>0</v>
      </c>
      <c r="W26" s="35">
        <f t="shared" si="4"/>
        <v>0</v>
      </c>
      <c r="X26" s="35">
        <f t="shared" si="4"/>
        <v>0</v>
      </c>
      <c r="Y26" s="35">
        <f t="shared" si="4"/>
        <v>0</v>
      </c>
      <c r="Z26" s="35">
        <f t="shared" si="4"/>
        <v>0</v>
      </c>
      <c r="AA26" s="35">
        <f t="shared" si="4"/>
        <v>0</v>
      </c>
      <c r="AB26" s="35">
        <f t="shared" si="4"/>
        <v>0</v>
      </c>
      <c r="AC26" s="35">
        <f t="shared" si="4"/>
        <v>0</v>
      </c>
      <c r="AD26" s="35">
        <f t="shared" si="4"/>
        <v>0</v>
      </c>
      <c r="AE26" s="35">
        <f t="shared" si="4"/>
        <v>0</v>
      </c>
      <c r="AF26" s="35">
        <f t="shared" si="4"/>
        <v>0</v>
      </c>
      <c r="AG26" s="35">
        <f t="shared" si="4"/>
        <v>0</v>
      </c>
      <c r="AH26" s="4">
        <f t="shared" si="3"/>
        <v>0</v>
      </c>
    </row>
    <row r="27" spans="1:34">
      <c r="A27" s="2" t="s">
        <v>22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R27" s="2" t="s">
        <v>22</v>
      </c>
      <c r="S27" s="35">
        <f t="shared" si="4"/>
        <v>0</v>
      </c>
      <c r="T27" s="35">
        <f t="shared" si="4"/>
        <v>0</v>
      </c>
      <c r="U27" s="35">
        <f t="shared" si="4"/>
        <v>0</v>
      </c>
      <c r="V27" s="35">
        <f t="shared" si="4"/>
        <v>0</v>
      </c>
      <c r="W27" s="35">
        <f t="shared" si="4"/>
        <v>0</v>
      </c>
      <c r="X27" s="35">
        <f t="shared" si="4"/>
        <v>0</v>
      </c>
      <c r="Y27" s="35">
        <f t="shared" si="4"/>
        <v>0</v>
      </c>
      <c r="Z27" s="35">
        <f t="shared" si="4"/>
        <v>0</v>
      </c>
      <c r="AA27" s="35">
        <f t="shared" si="4"/>
        <v>0</v>
      </c>
      <c r="AB27" s="35">
        <f t="shared" si="4"/>
        <v>0</v>
      </c>
      <c r="AC27" s="35">
        <f t="shared" si="4"/>
        <v>0</v>
      </c>
      <c r="AD27" s="35">
        <f t="shared" si="4"/>
        <v>0</v>
      </c>
      <c r="AE27" s="35">
        <f t="shared" si="4"/>
        <v>0</v>
      </c>
      <c r="AF27" s="35">
        <f t="shared" si="4"/>
        <v>0</v>
      </c>
      <c r="AG27" s="35">
        <f t="shared" si="4"/>
        <v>0</v>
      </c>
      <c r="AH27" s="4">
        <f t="shared" si="3"/>
        <v>0</v>
      </c>
    </row>
    <row r="28" spans="1:34">
      <c r="A28" s="1" t="s">
        <v>23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R28" s="1" t="s">
        <v>23</v>
      </c>
      <c r="S28" s="35">
        <f t="shared" si="4"/>
        <v>0</v>
      </c>
      <c r="T28" s="35">
        <f t="shared" si="4"/>
        <v>0</v>
      </c>
      <c r="U28" s="35">
        <f t="shared" si="4"/>
        <v>0</v>
      </c>
      <c r="V28" s="35">
        <f t="shared" si="4"/>
        <v>0</v>
      </c>
      <c r="W28" s="35">
        <f t="shared" si="4"/>
        <v>0</v>
      </c>
      <c r="X28" s="35">
        <f t="shared" si="4"/>
        <v>0</v>
      </c>
      <c r="Y28" s="35">
        <f t="shared" si="4"/>
        <v>0</v>
      </c>
      <c r="Z28" s="35">
        <f t="shared" si="4"/>
        <v>0</v>
      </c>
      <c r="AA28" s="35">
        <f t="shared" si="4"/>
        <v>0</v>
      </c>
      <c r="AB28" s="35">
        <f t="shared" si="4"/>
        <v>0</v>
      </c>
      <c r="AC28" s="35">
        <f t="shared" si="4"/>
        <v>0</v>
      </c>
      <c r="AD28" s="35">
        <f t="shared" si="4"/>
        <v>0</v>
      </c>
      <c r="AE28" s="35">
        <f t="shared" si="4"/>
        <v>0</v>
      </c>
      <c r="AF28" s="35">
        <f t="shared" si="4"/>
        <v>0</v>
      </c>
      <c r="AG28" s="35">
        <f t="shared" si="4"/>
        <v>0</v>
      </c>
      <c r="AH28" s="4">
        <f t="shared" si="3"/>
        <v>0</v>
      </c>
    </row>
    <row r="29" spans="1:34">
      <c r="A29" s="1" t="s">
        <v>25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R29" s="1" t="s">
        <v>25</v>
      </c>
      <c r="S29" s="35">
        <f t="shared" si="4"/>
        <v>0</v>
      </c>
      <c r="T29" s="35">
        <f t="shared" si="4"/>
        <v>0</v>
      </c>
      <c r="U29" s="35">
        <f t="shared" si="4"/>
        <v>0</v>
      </c>
      <c r="V29" s="35">
        <f t="shared" si="4"/>
        <v>0</v>
      </c>
      <c r="W29" s="35">
        <f t="shared" si="4"/>
        <v>0</v>
      </c>
      <c r="X29" s="35">
        <f t="shared" si="4"/>
        <v>0</v>
      </c>
      <c r="Y29" s="35">
        <f t="shared" si="4"/>
        <v>0</v>
      </c>
      <c r="Z29" s="35">
        <f t="shared" si="4"/>
        <v>0</v>
      </c>
      <c r="AA29" s="35">
        <f t="shared" si="4"/>
        <v>0</v>
      </c>
      <c r="AB29" s="35">
        <f t="shared" si="4"/>
        <v>0</v>
      </c>
      <c r="AC29" s="35">
        <f t="shared" si="4"/>
        <v>0</v>
      </c>
      <c r="AD29" s="35">
        <f t="shared" si="4"/>
        <v>0</v>
      </c>
      <c r="AE29" s="35">
        <f t="shared" si="4"/>
        <v>0</v>
      </c>
      <c r="AF29" s="35">
        <f>AF99</f>
        <v>0</v>
      </c>
      <c r="AG29" s="35">
        <f>AG99</f>
        <v>0</v>
      </c>
      <c r="AH29" s="4">
        <f t="shared" si="3"/>
        <v>0</v>
      </c>
    </row>
    <row r="30" spans="1:34">
      <c r="A30" s="1" t="s">
        <v>24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21"/>
      <c r="R30" s="1" t="s">
        <v>24</v>
      </c>
      <c r="S30" s="35">
        <f t="shared" si="4"/>
        <v>0</v>
      </c>
      <c r="T30" s="35">
        <f t="shared" si="4"/>
        <v>0</v>
      </c>
      <c r="U30" s="35">
        <f t="shared" si="4"/>
        <v>0</v>
      </c>
      <c r="V30" s="35">
        <f t="shared" si="4"/>
        <v>0</v>
      </c>
      <c r="W30" s="35">
        <f t="shared" si="4"/>
        <v>0</v>
      </c>
      <c r="X30" s="35">
        <f t="shared" si="4"/>
        <v>0</v>
      </c>
      <c r="Y30" s="35">
        <f t="shared" si="4"/>
        <v>0</v>
      </c>
      <c r="Z30" s="35">
        <f t="shared" si="4"/>
        <v>0</v>
      </c>
      <c r="AA30" s="35">
        <f t="shared" si="4"/>
        <v>0</v>
      </c>
      <c r="AB30" s="35">
        <f t="shared" si="4"/>
        <v>0</v>
      </c>
      <c r="AC30" s="35">
        <f t="shared" si="4"/>
        <v>0</v>
      </c>
      <c r="AD30" s="35">
        <f t="shared" si="4"/>
        <v>0</v>
      </c>
      <c r="AE30" s="35">
        <f t="shared" si="4"/>
        <v>0</v>
      </c>
      <c r="AF30" s="35">
        <f t="shared" si="4"/>
        <v>0</v>
      </c>
      <c r="AG30" s="35">
        <f t="shared" si="4"/>
        <v>0</v>
      </c>
      <c r="AH30" s="4">
        <f t="shared" si="3"/>
        <v>0</v>
      </c>
    </row>
    <row r="31" spans="1:34">
      <c r="A31" s="1" t="s">
        <v>26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R31" s="1" t="s">
        <v>26</v>
      </c>
      <c r="S31" s="35">
        <f t="shared" si="4"/>
        <v>0</v>
      </c>
      <c r="T31" s="35">
        <f t="shared" si="4"/>
        <v>0</v>
      </c>
      <c r="U31" s="35">
        <f t="shared" si="4"/>
        <v>0</v>
      </c>
      <c r="V31" s="35">
        <f t="shared" si="4"/>
        <v>0</v>
      </c>
      <c r="W31" s="35">
        <f t="shared" si="4"/>
        <v>0</v>
      </c>
      <c r="X31" s="35">
        <f t="shared" si="4"/>
        <v>0</v>
      </c>
      <c r="Y31" s="35">
        <f t="shared" si="4"/>
        <v>0</v>
      </c>
      <c r="Z31" s="35">
        <f t="shared" si="4"/>
        <v>0</v>
      </c>
      <c r="AA31" s="35">
        <f t="shared" si="4"/>
        <v>0</v>
      </c>
      <c r="AB31" s="35">
        <f t="shared" si="4"/>
        <v>0</v>
      </c>
      <c r="AC31" s="35">
        <f t="shared" si="4"/>
        <v>0</v>
      </c>
      <c r="AD31" s="35">
        <f t="shared" si="4"/>
        <v>0</v>
      </c>
      <c r="AE31" s="35">
        <f t="shared" si="4"/>
        <v>0</v>
      </c>
      <c r="AF31" s="35">
        <f t="shared" si="4"/>
        <v>0</v>
      </c>
      <c r="AG31" s="35">
        <f t="shared" si="4"/>
        <v>0</v>
      </c>
      <c r="AH31" s="4">
        <f t="shared" si="3"/>
        <v>0</v>
      </c>
    </row>
    <row r="32" spans="1:34">
      <c r="A32" s="6" t="s">
        <v>37</v>
      </c>
      <c r="B32" s="7">
        <f>SUM(B5:B31)</f>
        <v>0</v>
      </c>
      <c r="C32" s="7">
        <f>SUM(C5:C31)</f>
        <v>0</v>
      </c>
      <c r="D32" s="7">
        <f>SUM(D5:D31)</f>
        <v>0</v>
      </c>
      <c r="E32" s="7">
        <f>SUM(E5:E31)</f>
        <v>0</v>
      </c>
      <c r="F32" s="7">
        <f t="shared" ref="F32:N32" si="5">SUM(F5:F31)</f>
        <v>0</v>
      </c>
      <c r="G32" s="7">
        <f t="shared" si="5"/>
        <v>0</v>
      </c>
      <c r="H32" s="7">
        <f t="shared" si="5"/>
        <v>0</v>
      </c>
      <c r="I32" s="7">
        <f t="shared" si="5"/>
        <v>0</v>
      </c>
      <c r="J32" s="7">
        <f t="shared" si="5"/>
        <v>0</v>
      </c>
      <c r="K32" s="7">
        <f t="shared" si="5"/>
        <v>0</v>
      </c>
      <c r="L32" s="7">
        <f t="shared" si="5"/>
        <v>0</v>
      </c>
      <c r="M32" s="7">
        <f t="shared" si="5"/>
        <v>0</v>
      </c>
      <c r="N32" s="7">
        <f t="shared" si="5"/>
        <v>0</v>
      </c>
      <c r="O32" s="7">
        <f>SUM(O5:O31)</f>
        <v>0</v>
      </c>
      <c r="R32" s="6" t="s">
        <v>37</v>
      </c>
      <c r="S32" s="7">
        <f>SUM(S5:S31)</f>
        <v>0</v>
      </c>
      <c r="T32" s="7">
        <f>SUM(T5:T31)</f>
        <v>0</v>
      </c>
      <c r="U32" s="7">
        <f>SUM(U5:U31)</f>
        <v>0</v>
      </c>
      <c r="V32" s="7">
        <f>SUM(V5:V31)</f>
        <v>0</v>
      </c>
      <c r="W32" s="7">
        <f t="shared" ref="W32:AG32" si="6">SUM(W5:W31)</f>
        <v>0</v>
      </c>
      <c r="X32" s="7">
        <f t="shared" si="6"/>
        <v>0</v>
      </c>
      <c r="Y32" s="7">
        <f t="shared" si="6"/>
        <v>0</v>
      </c>
      <c r="Z32" s="7">
        <f t="shared" si="6"/>
        <v>0</v>
      </c>
      <c r="AA32" s="7">
        <f t="shared" si="6"/>
        <v>0</v>
      </c>
      <c r="AB32" s="7">
        <f t="shared" si="6"/>
        <v>0</v>
      </c>
      <c r="AC32" s="7">
        <f t="shared" si="6"/>
        <v>0</v>
      </c>
      <c r="AD32" s="7">
        <f t="shared" si="6"/>
        <v>0</v>
      </c>
      <c r="AE32" s="7">
        <f t="shared" si="6"/>
        <v>0</v>
      </c>
      <c r="AF32" s="7">
        <f t="shared" si="6"/>
        <v>0</v>
      </c>
      <c r="AG32" s="7">
        <f t="shared" si="6"/>
        <v>0</v>
      </c>
      <c r="AH32" s="7">
        <f>SUM(AH5:AH31)</f>
        <v>0</v>
      </c>
    </row>
    <row r="33" spans="1:34" ht="18.75">
      <c r="A33" s="10"/>
      <c r="B33" s="2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</row>
    <row r="34" spans="1:34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</row>
    <row r="35" spans="1:34">
      <c r="A35" s="31"/>
      <c r="B35" s="31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</row>
    <row r="36" spans="1:34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</row>
    <row r="37" spans="1:34" ht="46.5">
      <c r="A37" s="292" t="s">
        <v>94</v>
      </c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4"/>
      <c r="R37" s="292" t="s">
        <v>96</v>
      </c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4"/>
    </row>
    <row r="38" spans="1:34" ht="21.75" customHeight="1">
      <c r="A38" s="290" t="s">
        <v>33</v>
      </c>
      <c r="B38" s="287" t="s">
        <v>27</v>
      </c>
      <c r="C38" s="288"/>
      <c r="D38" s="287" t="s">
        <v>29</v>
      </c>
      <c r="E38" s="288"/>
      <c r="F38" s="285" t="s">
        <v>28</v>
      </c>
      <c r="G38" s="285" t="s">
        <v>36</v>
      </c>
      <c r="H38" s="285" t="s">
        <v>30</v>
      </c>
      <c r="I38" s="285" t="s">
        <v>31</v>
      </c>
      <c r="J38" s="285" t="s">
        <v>41</v>
      </c>
      <c r="K38" s="285" t="s">
        <v>35</v>
      </c>
      <c r="L38" s="285" t="s">
        <v>40</v>
      </c>
      <c r="M38" s="285" t="s">
        <v>42</v>
      </c>
      <c r="N38" s="285" t="s">
        <v>45</v>
      </c>
      <c r="O38" s="285" t="s">
        <v>34</v>
      </c>
      <c r="R38" s="290" t="s">
        <v>33</v>
      </c>
      <c r="S38" s="287" t="s">
        <v>27</v>
      </c>
      <c r="T38" s="288"/>
      <c r="U38" s="287" t="s">
        <v>29</v>
      </c>
      <c r="V38" s="288"/>
      <c r="W38" s="285" t="s">
        <v>28</v>
      </c>
      <c r="X38" s="285" t="s">
        <v>36</v>
      </c>
      <c r="Y38" s="285" t="s">
        <v>30</v>
      </c>
      <c r="Z38" s="285" t="s">
        <v>31</v>
      </c>
      <c r="AA38" s="285" t="s">
        <v>41</v>
      </c>
      <c r="AB38" s="285" t="s">
        <v>35</v>
      </c>
      <c r="AC38" s="285" t="s">
        <v>40</v>
      </c>
      <c r="AD38" s="285" t="s">
        <v>42</v>
      </c>
      <c r="AE38" s="285" t="s">
        <v>45</v>
      </c>
      <c r="AF38" s="287" t="s">
        <v>52</v>
      </c>
      <c r="AG38" s="288"/>
      <c r="AH38" s="285" t="s">
        <v>34</v>
      </c>
    </row>
    <row r="39" spans="1:34" ht="30">
      <c r="A39" s="291"/>
      <c r="B39" s="5" t="s">
        <v>43</v>
      </c>
      <c r="C39" s="5" t="s">
        <v>44</v>
      </c>
      <c r="D39" s="5" t="s">
        <v>43</v>
      </c>
      <c r="E39" s="5" t="s">
        <v>44</v>
      </c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R39" s="291"/>
      <c r="S39" s="51" t="s">
        <v>43</v>
      </c>
      <c r="T39" s="51" t="s">
        <v>44</v>
      </c>
      <c r="U39" s="51" t="s">
        <v>43</v>
      </c>
      <c r="V39" s="51" t="s">
        <v>44</v>
      </c>
      <c r="W39" s="286"/>
      <c r="X39" s="286"/>
      <c r="Y39" s="286"/>
      <c r="Z39" s="286"/>
      <c r="AA39" s="286"/>
      <c r="AB39" s="286"/>
      <c r="AC39" s="286"/>
      <c r="AD39" s="286"/>
      <c r="AE39" s="286"/>
      <c r="AF39" s="50" t="s">
        <v>53</v>
      </c>
      <c r="AG39" s="50" t="s">
        <v>54</v>
      </c>
      <c r="AH39" s="286"/>
    </row>
    <row r="40" spans="1:34">
      <c r="A40" s="1" t="s">
        <v>0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35">
        <f>S75*0.2</f>
        <v>0</v>
      </c>
      <c r="T40" s="35">
        <f t="shared" ref="T40:AG40" si="7">T75*0.2</f>
        <v>0</v>
      </c>
      <c r="U40" s="35">
        <f t="shared" si="7"/>
        <v>0</v>
      </c>
      <c r="V40" s="35">
        <f t="shared" si="7"/>
        <v>0</v>
      </c>
      <c r="W40" s="35">
        <f>W75*0.2</f>
        <v>0</v>
      </c>
      <c r="X40" s="35">
        <f t="shared" si="7"/>
        <v>0</v>
      </c>
      <c r="Y40" s="35">
        <f t="shared" si="7"/>
        <v>0</v>
      </c>
      <c r="Z40" s="35">
        <f t="shared" si="7"/>
        <v>0</v>
      </c>
      <c r="AA40" s="35">
        <f t="shared" si="7"/>
        <v>0</v>
      </c>
      <c r="AB40" s="35">
        <f t="shared" si="7"/>
        <v>0</v>
      </c>
      <c r="AC40" s="35">
        <f t="shared" si="7"/>
        <v>0</v>
      </c>
      <c r="AD40" s="35">
        <f t="shared" si="7"/>
        <v>0</v>
      </c>
      <c r="AE40" s="35">
        <f t="shared" si="7"/>
        <v>0</v>
      </c>
      <c r="AF40" s="35">
        <f t="shared" si="7"/>
        <v>0</v>
      </c>
      <c r="AG40" s="35">
        <f t="shared" si="7"/>
        <v>0</v>
      </c>
      <c r="AH40" s="4">
        <f>SUM(S40:AG40)</f>
        <v>0</v>
      </c>
    </row>
    <row r="41" spans="1:34">
      <c r="A41" s="1" t="s">
        <v>1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8">SUM(B41:N41)</f>
        <v>0</v>
      </c>
      <c r="R41" s="1" t="s">
        <v>1</v>
      </c>
      <c r="S41" s="35">
        <f t="shared" ref="S41:AG56" si="9">S76*0.2</f>
        <v>0</v>
      </c>
      <c r="T41" s="35">
        <f t="shared" si="9"/>
        <v>0</v>
      </c>
      <c r="U41" s="35">
        <f t="shared" si="9"/>
        <v>0</v>
      </c>
      <c r="V41" s="35">
        <f t="shared" si="9"/>
        <v>0</v>
      </c>
      <c r="W41" s="35">
        <f t="shared" si="9"/>
        <v>0</v>
      </c>
      <c r="X41" s="35">
        <f t="shared" si="9"/>
        <v>0</v>
      </c>
      <c r="Y41" s="35">
        <f t="shared" si="9"/>
        <v>0</v>
      </c>
      <c r="Z41" s="35">
        <f t="shared" si="9"/>
        <v>0</v>
      </c>
      <c r="AA41" s="35">
        <f t="shared" si="9"/>
        <v>0</v>
      </c>
      <c r="AB41" s="35">
        <f t="shared" si="9"/>
        <v>0</v>
      </c>
      <c r="AC41" s="35">
        <f t="shared" si="9"/>
        <v>0</v>
      </c>
      <c r="AD41" s="35">
        <f t="shared" si="9"/>
        <v>0</v>
      </c>
      <c r="AE41" s="35">
        <f t="shared" si="9"/>
        <v>0</v>
      </c>
      <c r="AF41" s="35">
        <f t="shared" si="9"/>
        <v>0</v>
      </c>
      <c r="AG41" s="35">
        <f t="shared" si="9"/>
        <v>0</v>
      </c>
      <c r="AH41" s="4">
        <f t="shared" ref="AH41:AH66" si="10">SUM(S41:AG41)</f>
        <v>0</v>
      </c>
    </row>
    <row r="42" spans="1:34">
      <c r="A42" s="18" t="s">
        <v>2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8"/>
        <v>0</v>
      </c>
      <c r="R42" s="18" t="s">
        <v>2</v>
      </c>
      <c r="S42" s="35">
        <f t="shared" si="9"/>
        <v>0</v>
      </c>
      <c r="T42" s="35">
        <f t="shared" si="9"/>
        <v>0</v>
      </c>
      <c r="U42" s="35">
        <f t="shared" si="9"/>
        <v>0</v>
      </c>
      <c r="V42" s="35">
        <f t="shared" si="9"/>
        <v>0</v>
      </c>
      <c r="W42" s="35">
        <f t="shared" si="9"/>
        <v>0</v>
      </c>
      <c r="X42" s="35">
        <f t="shared" si="9"/>
        <v>0</v>
      </c>
      <c r="Y42" s="35">
        <f t="shared" si="9"/>
        <v>0</v>
      </c>
      <c r="Z42" s="35">
        <f t="shared" si="9"/>
        <v>0</v>
      </c>
      <c r="AA42" s="35">
        <f t="shared" si="9"/>
        <v>0</v>
      </c>
      <c r="AB42" s="35">
        <f t="shared" si="9"/>
        <v>0</v>
      </c>
      <c r="AC42" s="35">
        <f t="shared" si="9"/>
        <v>0</v>
      </c>
      <c r="AD42" s="35">
        <f t="shared" si="9"/>
        <v>0</v>
      </c>
      <c r="AE42" s="35">
        <f t="shared" si="9"/>
        <v>0</v>
      </c>
      <c r="AF42" s="35">
        <f t="shared" si="9"/>
        <v>0</v>
      </c>
      <c r="AG42" s="35">
        <f t="shared" si="9"/>
        <v>0</v>
      </c>
      <c r="AH42" s="4">
        <f t="shared" si="10"/>
        <v>0</v>
      </c>
    </row>
    <row r="43" spans="1:34">
      <c r="A43" s="2" t="s">
        <v>3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8"/>
        <v>0</v>
      </c>
      <c r="R43" s="2" t="s">
        <v>3</v>
      </c>
      <c r="S43" s="35">
        <f t="shared" si="9"/>
        <v>0</v>
      </c>
      <c r="T43" s="35">
        <f t="shared" si="9"/>
        <v>0</v>
      </c>
      <c r="U43" s="35">
        <f t="shared" si="9"/>
        <v>0</v>
      </c>
      <c r="V43" s="35">
        <f t="shared" si="9"/>
        <v>0</v>
      </c>
      <c r="W43" s="35">
        <f t="shared" si="9"/>
        <v>0</v>
      </c>
      <c r="X43" s="35">
        <f t="shared" si="9"/>
        <v>0</v>
      </c>
      <c r="Y43" s="35">
        <f t="shared" si="9"/>
        <v>0</v>
      </c>
      <c r="Z43" s="35">
        <f t="shared" si="9"/>
        <v>0</v>
      </c>
      <c r="AA43" s="35">
        <f t="shared" si="9"/>
        <v>0</v>
      </c>
      <c r="AB43" s="35">
        <f t="shared" si="9"/>
        <v>0</v>
      </c>
      <c r="AC43" s="35">
        <f t="shared" si="9"/>
        <v>0</v>
      </c>
      <c r="AD43" s="35">
        <f t="shared" si="9"/>
        <v>0</v>
      </c>
      <c r="AE43" s="35">
        <f t="shared" si="9"/>
        <v>0</v>
      </c>
      <c r="AF43" s="35">
        <f t="shared" si="9"/>
        <v>0</v>
      </c>
      <c r="AG43" s="35">
        <f t="shared" si="9"/>
        <v>0</v>
      </c>
      <c r="AH43" s="4">
        <f t="shared" si="10"/>
        <v>0</v>
      </c>
    </row>
    <row r="44" spans="1:34">
      <c r="A44" s="1" t="s">
        <v>4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8"/>
        <v>0</v>
      </c>
      <c r="R44" s="1" t="s">
        <v>4</v>
      </c>
      <c r="S44" s="35">
        <f t="shared" si="9"/>
        <v>0</v>
      </c>
      <c r="T44" s="35">
        <f t="shared" si="9"/>
        <v>0</v>
      </c>
      <c r="U44" s="35">
        <f t="shared" si="9"/>
        <v>0</v>
      </c>
      <c r="V44" s="35">
        <f t="shared" si="9"/>
        <v>0</v>
      </c>
      <c r="W44" s="35">
        <f t="shared" si="9"/>
        <v>0</v>
      </c>
      <c r="X44" s="35">
        <f t="shared" si="9"/>
        <v>0</v>
      </c>
      <c r="Y44" s="35">
        <f t="shared" si="9"/>
        <v>0</v>
      </c>
      <c r="Z44" s="35">
        <f t="shared" si="9"/>
        <v>0</v>
      </c>
      <c r="AA44" s="35">
        <f t="shared" si="9"/>
        <v>0</v>
      </c>
      <c r="AB44" s="35">
        <f t="shared" si="9"/>
        <v>0</v>
      </c>
      <c r="AC44" s="35">
        <f t="shared" si="9"/>
        <v>0</v>
      </c>
      <c r="AD44" s="35">
        <f t="shared" si="9"/>
        <v>0</v>
      </c>
      <c r="AE44" s="35">
        <f t="shared" si="9"/>
        <v>0</v>
      </c>
      <c r="AF44" s="35">
        <f t="shared" si="9"/>
        <v>0</v>
      </c>
      <c r="AG44" s="35">
        <f t="shared" si="9"/>
        <v>0</v>
      </c>
      <c r="AH44" s="4">
        <f t="shared" si="10"/>
        <v>0</v>
      </c>
    </row>
    <row r="45" spans="1:34">
      <c r="A45" s="1" t="s">
        <v>5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8"/>
        <v>0</v>
      </c>
      <c r="R45" s="1" t="s">
        <v>5</v>
      </c>
      <c r="S45" s="35">
        <f t="shared" si="9"/>
        <v>0</v>
      </c>
      <c r="T45" s="35">
        <f t="shared" si="9"/>
        <v>0</v>
      </c>
      <c r="U45" s="35">
        <f t="shared" si="9"/>
        <v>0</v>
      </c>
      <c r="V45" s="35">
        <f t="shared" si="9"/>
        <v>0</v>
      </c>
      <c r="W45" s="35">
        <f t="shared" si="9"/>
        <v>0</v>
      </c>
      <c r="X45" s="35">
        <f t="shared" si="9"/>
        <v>0</v>
      </c>
      <c r="Y45" s="35">
        <f t="shared" si="9"/>
        <v>0</v>
      </c>
      <c r="Z45" s="35">
        <f t="shared" si="9"/>
        <v>0</v>
      </c>
      <c r="AA45" s="35">
        <f t="shared" si="9"/>
        <v>0</v>
      </c>
      <c r="AB45" s="35">
        <f t="shared" si="9"/>
        <v>0</v>
      </c>
      <c r="AC45" s="35">
        <f t="shared" si="9"/>
        <v>0</v>
      </c>
      <c r="AD45" s="35">
        <f t="shared" si="9"/>
        <v>0</v>
      </c>
      <c r="AE45" s="35">
        <f t="shared" si="9"/>
        <v>0</v>
      </c>
      <c r="AF45" s="35">
        <f t="shared" si="9"/>
        <v>0</v>
      </c>
      <c r="AG45" s="35">
        <f t="shared" si="9"/>
        <v>0</v>
      </c>
      <c r="AH45" s="4">
        <f t="shared" si="10"/>
        <v>0</v>
      </c>
    </row>
    <row r="46" spans="1:34">
      <c r="A46" s="1" t="s">
        <v>6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8"/>
        <v>0</v>
      </c>
      <c r="R46" s="1" t="s">
        <v>6</v>
      </c>
      <c r="S46" s="35">
        <f t="shared" si="9"/>
        <v>0</v>
      </c>
      <c r="T46" s="35">
        <f t="shared" si="9"/>
        <v>0</v>
      </c>
      <c r="U46" s="35">
        <f t="shared" si="9"/>
        <v>0</v>
      </c>
      <c r="V46" s="35">
        <f t="shared" si="9"/>
        <v>0</v>
      </c>
      <c r="W46" s="35">
        <f t="shared" si="9"/>
        <v>0</v>
      </c>
      <c r="X46" s="35">
        <f t="shared" si="9"/>
        <v>0</v>
      </c>
      <c r="Y46" s="35">
        <f t="shared" si="9"/>
        <v>0</v>
      </c>
      <c r="Z46" s="35">
        <f t="shared" si="9"/>
        <v>0</v>
      </c>
      <c r="AA46" s="35">
        <f t="shared" si="9"/>
        <v>0</v>
      </c>
      <c r="AB46" s="35">
        <f t="shared" si="9"/>
        <v>0</v>
      </c>
      <c r="AC46" s="35">
        <f t="shared" si="9"/>
        <v>0</v>
      </c>
      <c r="AD46" s="35">
        <f t="shared" si="9"/>
        <v>0</v>
      </c>
      <c r="AE46" s="35">
        <f t="shared" si="9"/>
        <v>0</v>
      </c>
      <c r="AF46" s="35">
        <f t="shared" si="9"/>
        <v>0</v>
      </c>
      <c r="AG46" s="35">
        <f t="shared" si="9"/>
        <v>0</v>
      </c>
      <c r="AH46" s="4">
        <f t="shared" si="10"/>
        <v>0</v>
      </c>
    </row>
    <row r="47" spans="1:34">
      <c r="A47" s="1" t="s">
        <v>7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8"/>
        <v>0</v>
      </c>
      <c r="R47" s="1" t="s">
        <v>7</v>
      </c>
      <c r="S47" s="35">
        <f t="shared" si="9"/>
        <v>0</v>
      </c>
      <c r="T47" s="35">
        <f t="shared" si="9"/>
        <v>0</v>
      </c>
      <c r="U47" s="35">
        <f t="shared" si="9"/>
        <v>0</v>
      </c>
      <c r="V47" s="35">
        <f t="shared" si="9"/>
        <v>0</v>
      </c>
      <c r="W47" s="35">
        <f t="shared" si="9"/>
        <v>0</v>
      </c>
      <c r="X47" s="35">
        <f t="shared" si="9"/>
        <v>0</v>
      </c>
      <c r="Y47" s="35">
        <f t="shared" si="9"/>
        <v>0</v>
      </c>
      <c r="Z47" s="35">
        <f t="shared" si="9"/>
        <v>0</v>
      </c>
      <c r="AA47" s="35">
        <f t="shared" si="9"/>
        <v>0</v>
      </c>
      <c r="AB47" s="35">
        <f t="shared" si="9"/>
        <v>0</v>
      </c>
      <c r="AC47" s="35">
        <f t="shared" si="9"/>
        <v>0</v>
      </c>
      <c r="AD47" s="35">
        <f t="shared" si="9"/>
        <v>0</v>
      </c>
      <c r="AE47" s="35">
        <f t="shared" si="9"/>
        <v>0</v>
      </c>
      <c r="AF47" s="35">
        <f t="shared" si="9"/>
        <v>0</v>
      </c>
      <c r="AG47" s="35">
        <f t="shared" si="9"/>
        <v>0</v>
      </c>
      <c r="AH47" s="4">
        <f t="shared" si="10"/>
        <v>0</v>
      </c>
    </row>
    <row r="48" spans="1:34">
      <c r="A48" s="1" t="s">
        <v>8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8"/>
        <v>0</v>
      </c>
      <c r="R48" s="1" t="s">
        <v>8</v>
      </c>
      <c r="S48" s="35">
        <f t="shared" si="9"/>
        <v>0</v>
      </c>
      <c r="T48" s="35">
        <f t="shared" si="9"/>
        <v>0</v>
      </c>
      <c r="U48" s="35">
        <f t="shared" si="9"/>
        <v>0</v>
      </c>
      <c r="V48" s="35">
        <f t="shared" si="9"/>
        <v>0</v>
      </c>
      <c r="W48" s="35">
        <f t="shared" si="9"/>
        <v>0</v>
      </c>
      <c r="X48" s="35">
        <f t="shared" si="9"/>
        <v>0</v>
      </c>
      <c r="Y48" s="35">
        <f t="shared" si="9"/>
        <v>0</v>
      </c>
      <c r="Z48" s="35">
        <f t="shared" si="9"/>
        <v>0</v>
      </c>
      <c r="AA48" s="35">
        <f t="shared" si="9"/>
        <v>0</v>
      </c>
      <c r="AB48" s="35">
        <f t="shared" si="9"/>
        <v>0</v>
      </c>
      <c r="AC48" s="35">
        <f t="shared" si="9"/>
        <v>0</v>
      </c>
      <c r="AD48" s="35">
        <f t="shared" si="9"/>
        <v>0</v>
      </c>
      <c r="AE48" s="35">
        <f t="shared" si="9"/>
        <v>0</v>
      </c>
      <c r="AF48" s="35">
        <f t="shared" si="9"/>
        <v>0</v>
      </c>
      <c r="AG48" s="35">
        <f t="shared" si="9"/>
        <v>0</v>
      </c>
      <c r="AH48" s="4">
        <f t="shared" si="10"/>
        <v>0</v>
      </c>
    </row>
    <row r="49" spans="1:34">
      <c r="A49" s="2" t="s">
        <v>9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8"/>
        <v>0</v>
      </c>
      <c r="R49" s="2" t="s">
        <v>9</v>
      </c>
      <c r="S49" s="35">
        <f t="shared" si="9"/>
        <v>0</v>
      </c>
      <c r="T49" s="35">
        <f t="shared" si="9"/>
        <v>0</v>
      </c>
      <c r="U49" s="35">
        <f t="shared" si="9"/>
        <v>0</v>
      </c>
      <c r="V49" s="35">
        <f t="shared" si="9"/>
        <v>0</v>
      </c>
      <c r="W49" s="35">
        <f t="shared" si="9"/>
        <v>0</v>
      </c>
      <c r="X49" s="35">
        <f t="shared" si="9"/>
        <v>0</v>
      </c>
      <c r="Y49" s="35">
        <f t="shared" si="9"/>
        <v>0</v>
      </c>
      <c r="Z49" s="35">
        <f t="shared" si="9"/>
        <v>0</v>
      </c>
      <c r="AA49" s="35">
        <f t="shared" si="9"/>
        <v>0</v>
      </c>
      <c r="AB49" s="35">
        <f t="shared" si="9"/>
        <v>0</v>
      </c>
      <c r="AC49" s="35">
        <f t="shared" si="9"/>
        <v>0</v>
      </c>
      <c r="AD49" s="35">
        <f t="shared" si="9"/>
        <v>0</v>
      </c>
      <c r="AE49" s="35">
        <f t="shared" si="9"/>
        <v>0</v>
      </c>
      <c r="AF49" s="35">
        <f t="shared" si="9"/>
        <v>0</v>
      </c>
      <c r="AG49" s="35">
        <f t="shared" si="9"/>
        <v>0</v>
      </c>
      <c r="AH49" s="4">
        <f t="shared" si="10"/>
        <v>0</v>
      </c>
    </row>
    <row r="50" spans="1:34">
      <c r="A50" s="18" t="s">
        <v>10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8"/>
        <v>0</v>
      </c>
      <c r="R50" s="18" t="s">
        <v>10</v>
      </c>
      <c r="S50" s="35">
        <f t="shared" si="9"/>
        <v>0</v>
      </c>
      <c r="T50" s="35">
        <f t="shared" si="9"/>
        <v>0</v>
      </c>
      <c r="U50" s="35">
        <f t="shared" si="9"/>
        <v>0</v>
      </c>
      <c r="V50" s="35">
        <f t="shared" si="9"/>
        <v>0</v>
      </c>
      <c r="W50" s="35">
        <f t="shared" si="9"/>
        <v>0</v>
      </c>
      <c r="X50" s="35">
        <f t="shared" si="9"/>
        <v>0</v>
      </c>
      <c r="Y50" s="35">
        <f t="shared" si="9"/>
        <v>0</v>
      </c>
      <c r="Z50" s="35">
        <f t="shared" si="9"/>
        <v>0</v>
      </c>
      <c r="AA50" s="35">
        <f t="shared" si="9"/>
        <v>0</v>
      </c>
      <c r="AB50" s="35">
        <f t="shared" si="9"/>
        <v>0</v>
      </c>
      <c r="AC50" s="35">
        <f t="shared" si="9"/>
        <v>0</v>
      </c>
      <c r="AD50" s="35">
        <f t="shared" si="9"/>
        <v>0</v>
      </c>
      <c r="AE50" s="35">
        <f t="shared" si="9"/>
        <v>0</v>
      </c>
      <c r="AF50" s="35">
        <f t="shared" si="9"/>
        <v>0</v>
      </c>
      <c r="AG50" s="35">
        <f t="shared" si="9"/>
        <v>0</v>
      </c>
      <c r="AH50" s="4">
        <f t="shared" si="10"/>
        <v>0</v>
      </c>
    </row>
    <row r="51" spans="1:34">
      <c r="A51" s="1" t="s">
        <v>11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8"/>
        <v>0</v>
      </c>
      <c r="R51" s="1" t="s">
        <v>11</v>
      </c>
      <c r="S51" s="35">
        <f t="shared" si="9"/>
        <v>0</v>
      </c>
      <c r="T51" s="35">
        <f t="shared" si="9"/>
        <v>0</v>
      </c>
      <c r="U51" s="35">
        <f t="shared" si="9"/>
        <v>0</v>
      </c>
      <c r="V51" s="35">
        <f t="shared" si="9"/>
        <v>0</v>
      </c>
      <c r="W51" s="35">
        <f t="shared" si="9"/>
        <v>0</v>
      </c>
      <c r="X51" s="35">
        <f t="shared" si="9"/>
        <v>0</v>
      </c>
      <c r="Y51" s="35">
        <f t="shared" si="9"/>
        <v>0</v>
      </c>
      <c r="Z51" s="35">
        <f t="shared" si="9"/>
        <v>0</v>
      </c>
      <c r="AA51" s="35">
        <f t="shared" si="9"/>
        <v>0</v>
      </c>
      <c r="AB51" s="35">
        <f t="shared" si="9"/>
        <v>0</v>
      </c>
      <c r="AC51" s="35">
        <f t="shared" si="9"/>
        <v>0</v>
      </c>
      <c r="AD51" s="35">
        <f t="shared" si="9"/>
        <v>0</v>
      </c>
      <c r="AE51" s="35">
        <f t="shared" si="9"/>
        <v>0</v>
      </c>
      <c r="AF51" s="35">
        <f t="shared" si="9"/>
        <v>0</v>
      </c>
      <c r="AG51" s="35">
        <f t="shared" si="9"/>
        <v>0</v>
      </c>
      <c r="AH51" s="4">
        <f t="shared" si="10"/>
        <v>0</v>
      </c>
    </row>
    <row r="52" spans="1:34">
      <c r="A52" s="1" t="s">
        <v>12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8"/>
        <v>0</v>
      </c>
      <c r="R52" s="1" t="s">
        <v>12</v>
      </c>
      <c r="S52" s="35">
        <f t="shared" si="9"/>
        <v>0</v>
      </c>
      <c r="T52" s="35">
        <f t="shared" si="9"/>
        <v>0</v>
      </c>
      <c r="U52" s="35">
        <f t="shared" si="9"/>
        <v>0</v>
      </c>
      <c r="V52" s="35">
        <f t="shared" si="9"/>
        <v>0</v>
      </c>
      <c r="W52" s="35">
        <f t="shared" si="9"/>
        <v>0</v>
      </c>
      <c r="X52" s="35">
        <f t="shared" si="9"/>
        <v>0</v>
      </c>
      <c r="Y52" s="35">
        <f t="shared" si="9"/>
        <v>0</v>
      </c>
      <c r="Z52" s="35">
        <f t="shared" si="9"/>
        <v>0</v>
      </c>
      <c r="AA52" s="35">
        <f t="shared" si="9"/>
        <v>0</v>
      </c>
      <c r="AB52" s="35">
        <f t="shared" si="9"/>
        <v>0</v>
      </c>
      <c r="AC52" s="35">
        <f t="shared" si="9"/>
        <v>0</v>
      </c>
      <c r="AD52" s="35">
        <f t="shared" si="9"/>
        <v>0</v>
      </c>
      <c r="AE52" s="35">
        <f t="shared" si="9"/>
        <v>0</v>
      </c>
      <c r="AF52" s="35">
        <f t="shared" si="9"/>
        <v>0</v>
      </c>
      <c r="AG52" s="35">
        <f t="shared" si="9"/>
        <v>0</v>
      </c>
      <c r="AH52" s="4">
        <f t="shared" si="10"/>
        <v>0</v>
      </c>
    </row>
    <row r="53" spans="1:34">
      <c r="A53" s="1" t="s">
        <v>15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8"/>
        <v>0</v>
      </c>
      <c r="R53" s="1" t="s">
        <v>15</v>
      </c>
      <c r="S53" s="35">
        <f t="shared" si="9"/>
        <v>0</v>
      </c>
      <c r="T53" s="35">
        <f t="shared" si="9"/>
        <v>0</v>
      </c>
      <c r="U53" s="35">
        <f t="shared" si="9"/>
        <v>0</v>
      </c>
      <c r="V53" s="35">
        <f t="shared" si="9"/>
        <v>0</v>
      </c>
      <c r="W53" s="35">
        <f t="shared" si="9"/>
        <v>0</v>
      </c>
      <c r="X53" s="35">
        <f t="shared" si="9"/>
        <v>0</v>
      </c>
      <c r="Y53" s="35">
        <f t="shared" si="9"/>
        <v>0</v>
      </c>
      <c r="Z53" s="35">
        <f t="shared" si="9"/>
        <v>0</v>
      </c>
      <c r="AA53" s="35">
        <f t="shared" si="9"/>
        <v>0</v>
      </c>
      <c r="AB53" s="35">
        <f t="shared" si="9"/>
        <v>0</v>
      </c>
      <c r="AC53" s="35">
        <f t="shared" si="9"/>
        <v>0</v>
      </c>
      <c r="AD53" s="35">
        <f t="shared" si="9"/>
        <v>0</v>
      </c>
      <c r="AE53" s="35">
        <f t="shared" si="9"/>
        <v>0</v>
      </c>
      <c r="AF53" s="35">
        <f t="shared" si="9"/>
        <v>0</v>
      </c>
      <c r="AG53" s="35">
        <f t="shared" si="9"/>
        <v>0</v>
      </c>
      <c r="AH53" s="4">
        <f t="shared" si="10"/>
        <v>0</v>
      </c>
    </row>
    <row r="54" spans="1:34">
      <c r="A54" s="1" t="s">
        <v>14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8"/>
        <v>0</v>
      </c>
      <c r="R54" s="1" t="s">
        <v>14</v>
      </c>
      <c r="S54" s="35">
        <f t="shared" si="9"/>
        <v>0</v>
      </c>
      <c r="T54" s="35">
        <f t="shared" si="9"/>
        <v>0</v>
      </c>
      <c r="U54" s="35">
        <f t="shared" si="9"/>
        <v>0</v>
      </c>
      <c r="V54" s="35">
        <f t="shared" si="9"/>
        <v>0</v>
      </c>
      <c r="W54" s="35">
        <f t="shared" si="9"/>
        <v>0</v>
      </c>
      <c r="X54" s="35">
        <f t="shared" si="9"/>
        <v>0</v>
      </c>
      <c r="Y54" s="35">
        <f t="shared" si="9"/>
        <v>0</v>
      </c>
      <c r="Z54" s="35">
        <f t="shared" si="9"/>
        <v>0</v>
      </c>
      <c r="AA54" s="35">
        <f t="shared" si="9"/>
        <v>0</v>
      </c>
      <c r="AB54" s="35">
        <f t="shared" si="9"/>
        <v>0</v>
      </c>
      <c r="AC54" s="35">
        <f t="shared" si="9"/>
        <v>0</v>
      </c>
      <c r="AD54" s="35">
        <f t="shared" si="9"/>
        <v>0</v>
      </c>
      <c r="AE54" s="35">
        <f t="shared" si="9"/>
        <v>0</v>
      </c>
      <c r="AF54" s="35">
        <f t="shared" si="9"/>
        <v>0</v>
      </c>
      <c r="AG54" s="35">
        <f t="shared" si="9"/>
        <v>0</v>
      </c>
      <c r="AH54" s="4">
        <f t="shared" si="10"/>
        <v>0</v>
      </c>
    </row>
    <row r="55" spans="1:34">
      <c r="A55" s="18" t="s">
        <v>13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8"/>
        <v>0</v>
      </c>
      <c r="R55" s="18" t="s">
        <v>13</v>
      </c>
      <c r="S55" s="35">
        <f t="shared" si="9"/>
        <v>0</v>
      </c>
      <c r="T55" s="35">
        <f t="shared" si="9"/>
        <v>0</v>
      </c>
      <c r="U55" s="35">
        <f t="shared" si="9"/>
        <v>0</v>
      </c>
      <c r="V55" s="35">
        <f t="shared" si="9"/>
        <v>0</v>
      </c>
      <c r="W55" s="35">
        <f t="shared" si="9"/>
        <v>0</v>
      </c>
      <c r="X55" s="35">
        <f t="shared" si="9"/>
        <v>0</v>
      </c>
      <c r="Y55" s="35">
        <f t="shared" si="9"/>
        <v>0</v>
      </c>
      <c r="Z55" s="35">
        <f t="shared" si="9"/>
        <v>0</v>
      </c>
      <c r="AA55" s="35">
        <f t="shared" si="9"/>
        <v>0</v>
      </c>
      <c r="AB55" s="35">
        <f t="shared" si="9"/>
        <v>0</v>
      </c>
      <c r="AC55" s="35">
        <f t="shared" si="9"/>
        <v>0</v>
      </c>
      <c r="AD55" s="35">
        <f t="shared" si="9"/>
        <v>0</v>
      </c>
      <c r="AE55" s="35">
        <f t="shared" si="9"/>
        <v>0</v>
      </c>
      <c r="AF55" s="35">
        <f t="shared" si="9"/>
        <v>0</v>
      </c>
      <c r="AG55" s="35">
        <f t="shared" si="9"/>
        <v>0</v>
      </c>
      <c r="AH55" s="4">
        <f t="shared" si="10"/>
        <v>0</v>
      </c>
    </row>
    <row r="56" spans="1:34">
      <c r="A56" s="1" t="s">
        <v>16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8"/>
        <v>0</v>
      </c>
      <c r="R56" s="1" t="s">
        <v>16</v>
      </c>
      <c r="S56" s="35">
        <f t="shared" si="9"/>
        <v>0</v>
      </c>
      <c r="T56" s="35">
        <f t="shared" si="9"/>
        <v>0</v>
      </c>
      <c r="U56" s="35">
        <f t="shared" si="9"/>
        <v>0</v>
      </c>
      <c r="V56" s="35">
        <f t="shared" si="9"/>
        <v>0</v>
      </c>
      <c r="W56" s="35">
        <f t="shared" si="9"/>
        <v>0</v>
      </c>
      <c r="X56" s="35">
        <f t="shared" si="9"/>
        <v>0</v>
      </c>
      <c r="Y56" s="35">
        <f t="shared" si="9"/>
        <v>0</v>
      </c>
      <c r="Z56" s="35">
        <f t="shared" si="9"/>
        <v>0</v>
      </c>
      <c r="AA56" s="35">
        <f t="shared" si="9"/>
        <v>0</v>
      </c>
      <c r="AB56" s="35">
        <f t="shared" si="9"/>
        <v>0</v>
      </c>
      <c r="AC56" s="35">
        <f t="shared" si="9"/>
        <v>0</v>
      </c>
      <c r="AD56" s="35">
        <f t="shared" si="9"/>
        <v>0</v>
      </c>
      <c r="AE56" s="35">
        <f t="shared" si="9"/>
        <v>0</v>
      </c>
      <c r="AF56" s="35">
        <f t="shared" si="9"/>
        <v>0</v>
      </c>
      <c r="AG56" s="35">
        <f t="shared" si="9"/>
        <v>0</v>
      </c>
      <c r="AH56" s="4">
        <f t="shared" si="10"/>
        <v>0</v>
      </c>
    </row>
    <row r="57" spans="1:34">
      <c r="A57" s="1" t="s">
        <v>17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8"/>
        <v>0</v>
      </c>
      <c r="R57" s="1" t="s">
        <v>17</v>
      </c>
      <c r="S57" s="35">
        <f t="shared" ref="S57:AG66" si="11">S92*0.2</f>
        <v>0</v>
      </c>
      <c r="T57" s="35">
        <f t="shared" si="11"/>
        <v>0</v>
      </c>
      <c r="U57" s="35">
        <f t="shared" si="11"/>
        <v>0</v>
      </c>
      <c r="V57" s="35">
        <f t="shared" si="11"/>
        <v>0</v>
      </c>
      <c r="W57" s="35">
        <f t="shared" si="11"/>
        <v>0</v>
      </c>
      <c r="X57" s="35">
        <f t="shared" si="11"/>
        <v>0</v>
      </c>
      <c r="Y57" s="35">
        <f t="shared" si="11"/>
        <v>0</v>
      </c>
      <c r="Z57" s="35">
        <f t="shared" si="11"/>
        <v>0</v>
      </c>
      <c r="AA57" s="35">
        <f t="shared" si="11"/>
        <v>0</v>
      </c>
      <c r="AB57" s="35">
        <f t="shared" si="11"/>
        <v>0</v>
      </c>
      <c r="AC57" s="35">
        <f t="shared" si="11"/>
        <v>0</v>
      </c>
      <c r="AD57" s="35">
        <f t="shared" si="11"/>
        <v>0</v>
      </c>
      <c r="AE57" s="35">
        <f t="shared" si="11"/>
        <v>0</v>
      </c>
      <c r="AF57" s="35">
        <f t="shared" si="11"/>
        <v>0</v>
      </c>
      <c r="AG57" s="35">
        <f t="shared" si="11"/>
        <v>0</v>
      </c>
      <c r="AH57" s="4">
        <f t="shared" si="10"/>
        <v>0</v>
      </c>
    </row>
    <row r="58" spans="1:34">
      <c r="A58" s="1" t="s">
        <v>18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8"/>
        <v>0</v>
      </c>
      <c r="R58" s="1" t="s">
        <v>18</v>
      </c>
      <c r="S58" s="35">
        <f t="shared" si="11"/>
        <v>0</v>
      </c>
      <c r="T58" s="35">
        <f t="shared" si="11"/>
        <v>0</v>
      </c>
      <c r="U58" s="35">
        <f t="shared" si="11"/>
        <v>0</v>
      </c>
      <c r="V58" s="35">
        <f t="shared" si="11"/>
        <v>0</v>
      </c>
      <c r="W58" s="35">
        <f t="shared" si="11"/>
        <v>0</v>
      </c>
      <c r="X58" s="35">
        <f t="shared" si="11"/>
        <v>0</v>
      </c>
      <c r="Y58" s="35">
        <f t="shared" si="11"/>
        <v>0</v>
      </c>
      <c r="Z58" s="35">
        <f t="shared" si="11"/>
        <v>0</v>
      </c>
      <c r="AA58" s="35">
        <f t="shared" si="11"/>
        <v>0</v>
      </c>
      <c r="AB58" s="35">
        <f t="shared" si="11"/>
        <v>0</v>
      </c>
      <c r="AC58" s="35">
        <f t="shared" si="11"/>
        <v>0</v>
      </c>
      <c r="AD58" s="35">
        <f t="shared" si="11"/>
        <v>0</v>
      </c>
      <c r="AE58" s="35">
        <f t="shared" si="11"/>
        <v>0</v>
      </c>
      <c r="AF58" s="35">
        <f t="shared" si="11"/>
        <v>0</v>
      </c>
      <c r="AG58" s="35">
        <f t="shared" si="11"/>
        <v>0</v>
      </c>
      <c r="AH58" s="4">
        <f t="shared" si="10"/>
        <v>0</v>
      </c>
    </row>
    <row r="59" spans="1:34">
      <c r="A59" s="1" t="s">
        <v>20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8"/>
        <v>0</v>
      </c>
      <c r="R59" s="1" t="s">
        <v>20</v>
      </c>
      <c r="S59" s="35">
        <f t="shared" si="11"/>
        <v>0</v>
      </c>
      <c r="T59" s="35">
        <f t="shared" si="11"/>
        <v>0</v>
      </c>
      <c r="U59" s="35">
        <f t="shared" si="11"/>
        <v>0</v>
      </c>
      <c r="V59" s="35">
        <f t="shared" si="11"/>
        <v>0</v>
      </c>
      <c r="W59" s="35">
        <f t="shared" si="11"/>
        <v>0</v>
      </c>
      <c r="X59" s="35">
        <f t="shared" si="11"/>
        <v>0</v>
      </c>
      <c r="Y59" s="35">
        <f t="shared" si="11"/>
        <v>0</v>
      </c>
      <c r="Z59" s="35">
        <f t="shared" si="11"/>
        <v>0</v>
      </c>
      <c r="AA59" s="35">
        <f t="shared" si="11"/>
        <v>0</v>
      </c>
      <c r="AB59" s="35">
        <f t="shared" si="11"/>
        <v>0</v>
      </c>
      <c r="AC59" s="35">
        <f t="shared" si="11"/>
        <v>0</v>
      </c>
      <c r="AD59" s="35">
        <f t="shared" si="11"/>
        <v>0</v>
      </c>
      <c r="AE59" s="35">
        <f t="shared" si="11"/>
        <v>0</v>
      </c>
      <c r="AF59" s="35">
        <f t="shared" si="11"/>
        <v>0</v>
      </c>
      <c r="AG59" s="35">
        <f t="shared" si="11"/>
        <v>0</v>
      </c>
      <c r="AH59" s="4">
        <f t="shared" si="10"/>
        <v>0</v>
      </c>
    </row>
    <row r="60" spans="1:34">
      <c r="A60" s="1" t="s">
        <v>19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8"/>
        <v>0</v>
      </c>
      <c r="R60" s="1" t="s">
        <v>19</v>
      </c>
      <c r="S60" s="35">
        <f t="shared" si="11"/>
        <v>0</v>
      </c>
      <c r="T60" s="35">
        <f t="shared" si="11"/>
        <v>0</v>
      </c>
      <c r="U60" s="35">
        <f t="shared" si="11"/>
        <v>0</v>
      </c>
      <c r="V60" s="35">
        <f t="shared" si="11"/>
        <v>0</v>
      </c>
      <c r="W60" s="35">
        <f t="shared" si="11"/>
        <v>0</v>
      </c>
      <c r="X60" s="35">
        <f t="shared" si="11"/>
        <v>0</v>
      </c>
      <c r="Y60" s="35">
        <f t="shared" si="11"/>
        <v>0</v>
      </c>
      <c r="Z60" s="35">
        <f t="shared" si="11"/>
        <v>0</v>
      </c>
      <c r="AA60" s="35">
        <f t="shared" si="11"/>
        <v>0</v>
      </c>
      <c r="AB60" s="35">
        <f t="shared" si="11"/>
        <v>0</v>
      </c>
      <c r="AC60" s="35">
        <f t="shared" si="11"/>
        <v>0</v>
      </c>
      <c r="AD60" s="35">
        <f t="shared" si="11"/>
        <v>0</v>
      </c>
      <c r="AE60" s="35">
        <f t="shared" si="11"/>
        <v>0</v>
      </c>
      <c r="AF60" s="35">
        <f t="shared" si="11"/>
        <v>0</v>
      </c>
      <c r="AG60" s="35">
        <f t="shared" si="11"/>
        <v>0</v>
      </c>
      <c r="AH60" s="4">
        <f t="shared" si="10"/>
        <v>0</v>
      </c>
    </row>
    <row r="61" spans="1:34">
      <c r="A61" s="18" t="s">
        <v>21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8"/>
        <v>0</v>
      </c>
      <c r="R61" s="18" t="s">
        <v>21</v>
      </c>
      <c r="S61" s="35">
        <f t="shared" si="11"/>
        <v>0</v>
      </c>
      <c r="T61" s="35">
        <f t="shared" si="11"/>
        <v>0</v>
      </c>
      <c r="U61" s="35">
        <f t="shared" si="11"/>
        <v>0</v>
      </c>
      <c r="V61" s="35">
        <f t="shared" si="11"/>
        <v>0</v>
      </c>
      <c r="W61" s="35">
        <f t="shared" si="11"/>
        <v>0</v>
      </c>
      <c r="X61" s="35">
        <f t="shared" si="11"/>
        <v>0</v>
      </c>
      <c r="Y61" s="35">
        <f t="shared" si="11"/>
        <v>0</v>
      </c>
      <c r="Z61" s="35">
        <f t="shared" si="11"/>
        <v>0</v>
      </c>
      <c r="AA61" s="35">
        <f t="shared" si="11"/>
        <v>0</v>
      </c>
      <c r="AB61" s="35">
        <f t="shared" si="11"/>
        <v>0</v>
      </c>
      <c r="AC61" s="35">
        <f t="shared" si="11"/>
        <v>0</v>
      </c>
      <c r="AD61" s="35">
        <f t="shared" si="11"/>
        <v>0</v>
      </c>
      <c r="AE61" s="35">
        <f t="shared" si="11"/>
        <v>0</v>
      </c>
      <c r="AF61" s="35">
        <f t="shared" si="11"/>
        <v>0</v>
      </c>
      <c r="AG61" s="35">
        <f t="shared" si="11"/>
        <v>0</v>
      </c>
      <c r="AH61" s="4">
        <f t="shared" si="10"/>
        <v>0</v>
      </c>
    </row>
    <row r="62" spans="1:34">
      <c r="A62" s="2" t="s">
        <v>22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8"/>
        <v>0</v>
      </c>
      <c r="R62" s="2" t="s">
        <v>22</v>
      </c>
      <c r="S62" s="35">
        <f t="shared" si="11"/>
        <v>0</v>
      </c>
      <c r="T62" s="35">
        <f t="shared" si="11"/>
        <v>0</v>
      </c>
      <c r="U62" s="35">
        <f t="shared" si="11"/>
        <v>0</v>
      </c>
      <c r="V62" s="35">
        <f t="shared" si="11"/>
        <v>0</v>
      </c>
      <c r="W62" s="35">
        <f t="shared" si="11"/>
        <v>0</v>
      </c>
      <c r="X62" s="35">
        <f t="shared" si="11"/>
        <v>0</v>
      </c>
      <c r="Y62" s="35">
        <f t="shared" si="11"/>
        <v>0</v>
      </c>
      <c r="Z62" s="35">
        <f t="shared" si="11"/>
        <v>0</v>
      </c>
      <c r="AA62" s="35">
        <f t="shared" si="11"/>
        <v>0</v>
      </c>
      <c r="AB62" s="35">
        <f t="shared" si="11"/>
        <v>0</v>
      </c>
      <c r="AC62" s="35">
        <f t="shared" si="11"/>
        <v>0</v>
      </c>
      <c r="AD62" s="35">
        <f t="shared" si="11"/>
        <v>0</v>
      </c>
      <c r="AE62" s="35">
        <f t="shared" si="11"/>
        <v>0</v>
      </c>
      <c r="AF62" s="35">
        <f t="shared" si="11"/>
        <v>0</v>
      </c>
      <c r="AG62" s="35">
        <f t="shared" si="11"/>
        <v>0</v>
      </c>
      <c r="AH62" s="4">
        <f t="shared" si="10"/>
        <v>0</v>
      </c>
    </row>
    <row r="63" spans="1:34">
      <c r="A63" s="1" t="s">
        <v>23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8"/>
        <v>0</v>
      </c>
      <c r="R63" s="1" t="s">
        <v>23</v>
      </c>
      <c r="S63" s="35">
        <f t="shared" si="11"/>
        <v>0</v>
      </c>
      <c r="T63" s="35">
        <f t="shared" si="11"/>
        <v>0</v>
      </c>
      <c r="U63" s="35">
        <f t="shared" si="11"/>
        <v>0</v>
      </c>
      <c r="V63" s="35">
        <f t="shared" si="11"/>
        <v>0</v>
      </c>
      <c r="W63" s="35">
        <f t="shared" si="11"/>
        <v>0</v>
      </c>
      <c r="X63" s="35">
        <f t="shared" si="11"/>
        <v>0</v>
      </c>
      <c r="Y63" s="35">
        <f t="shared" si="11"/>
        <v>0</v>
      </c>
      <c r="Z63" s="35">
        <f t="shared" si="11"/>
        <v>0</v>
      </c>
      <c r="AA63" s="35">
        <f t="shared" si="11"/>
        <v>0</v>
      </c>
      <c r="AB63" s="35">
        <f t="shared" si="11"/>
        <v>0</v>
      </c>
      <c r="AC63" s="35">
        <f t="shared" si="11"/>
        <v>0</v>
      </c>
      <c r="AD63" s="35">
        <f t="shared" si="11"/>
        <v>0</v>
      </c>
      <c r="AE63" s="35">
        <f t="shared" si="11"/>
        <v>0</v>
      </c>
      <c r="AF63" s="35">
        <f t="shared" si="11"/>
        <v>0</v>
      </c>
      <c r="AG63" s="35">
        <f t="shared" si="11"/>
        <v>0</v>
      </c>
      <c r="AH63" s="4">
        <f t="shared" si="10"/>
        <v>0</v>
      </c>
    </row>
    <row r="64" spans="1:34">
      <c r="A64" s="1" t="s">
        <v>25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8"/>
        <v>0</v>
      </c>
      <c r="R64" s="1" t="s">
        <v>25</v>
      </c>
      <c r="S64" s="35">
        <f t="shared" si="11"/>
        <v>0</v>
      </c>
      <c r="T64" s="35">
        <f t="shared" si="11"/>
        <v>0</v>
      </c>
      <c r="U64" s="35">
        <f t="shared" si="11"/>
        <v>0</v>
      </c>
      <c r="V64" s="35">
        <f t="shared" si="11"/>
        <v>0</v>
      </c>
      <c r="W64" s="35">
        <f t="shared" si="11"/>
        <v>0</v>
      </c>
      <c r="X64" s="35">
        <f t="shared" si="11"/>
        <v>0</v>
      </c>
      <c r="Y64" s="35">
        <f t="shared" si="11"/>
        <v>0</v>
      </c>
      <c r="Z64" s="35">
        <f t="shared" si="11"/>
        <v>0</v>
      </c>
      <c r="AA64" s="35">
        <f t="shared" si="11"/>
        <v>0</v>
      </c>
      <c r="AB64" s="35">
        <f t="shared" si="11"/>
        <v>0</v>
      </c>
      <c r="AC64" s="35">
        <f t="shared" si="11"/>
        <v>0</v>
      </c>
      <c r="AD64" s="35">
        <f t="shared" si="11"/>
        <v>0</v>
      </c>
      <c r="AE64" s="35">
        <f t="shared" si="11"/>
        <v>0</v>
      </c>
      <c r="AF64" s="35">
        <v>0</v>
      </c>
      <c r="AG64" s="35">
        <v>0</v>
      </c>
      <c r="AH64" s="4">
        <f t="shared" si="10"/>
        <v>0</v>
      </c>
    </row>
    <row r="65" spans="1:34">
      <c r="A65" s="1" t="s">
        <v>24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8"/>
        <v>0</v>
      </c>
      <c r="R65" s="1" t="s">
        <v>24</v>
      </c>
      <c r="S65" s="35">
        <f t="shared" si="11"/>
        <v>0</v>
      </c>
      <c r="T65" s="35">
        <f t="shared" si="11"/>
        <v>0</v>
      </c>
      <c r="U65" s="35">
        <f t="shared" si="11"/>
        <v>0</v>
      </c>
      <c r="V65" s="35">
        <f t="shared" si="11"/>
        <v>0</v>
      </c>
      <c r="W65" s="35">
        <f t="shared" si="11"/>
        <v>0</v>
      </c>
      <c r="X65" s="35">
        <f t="shared" si="11"/>
        <v>0</v>
      </c>
      <c r="Y65" s="35">
        <f t="shared" si="11"/>
        <v>0</v>
      </c>
      <c r="Z65" s="35">
        <f t="shared" si="11"/>
        <v>0</v>
      </c>
      <c r="AA65" s="35">
        <f t="shared" si="11"/>
        <v>0</v>
      </c>
      <c r="AB65" s="35">
        <f t="shared" si="11"/>
        <v>0</v>
      </c>
      <c r="AC65" s="35">
        <f t="shared" si="11"/>
        <v>0</v>
      </c>
      <c r="AD65" s="35">
        <f t="shared" si="11"/>
        <v>0</v>
      </c>
      <c r="AE65" s="35">
        <f t="shared" si="11"/>
        <v>0</v>
      </c>
      <c r="AF65" s="35">
        <f t="shared" si="11"/>
        <v>0</v>
      </c>
      <c r="AG65" s="35">
        <f t="shared" si="11"/>
        <v>0</v>
      </c>
      <c r="AH65" s="4">
        <f t="shared" si="10"/>
        <v>0</v>
      </c>
    </row>
    <row r="66" spans="1:34">
      <c r="A66" s="1" t="s">
        <v>26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8"/>
        <v>0</v>
      </c>
      <c r="R66" s="1" t="s">
        <v>26</v>
      </c>
      <c r="S66" s="35">
        <f t="shared" si="11"/>
        <v>0</v>
      </c>
      <c r="T66" s="35">
        <f t="shared" si="11"/>
        <v>0</v>
      </c>
      <c r="U66" s="35">
        <f t="shared" si="11"/>
        <v>0</v>
      </c>
      <c r="V66" s="35">
        <f t="shared" si="11"/>
        <v>0</v>
      </c>
      <c r="W66" s="35">
        <f t="shared" si="11"/>
        <v>0</v>
      </c>
      <c r="X66" s="35">
        <f t="shared" si="11"/>
        <v>0</v>
      </c>
      <c r="Y66" s="35">
        <f t="shared" si="11"/>
        <v>0</v>
      </c>
      <c r="Z66" s="35">
        <f t="shared" si="11"/>
        <v>0</v>
      </c>
      <c r="AA66" s="35">
        <f t="shared" si="11"/>
        <v>0</v>
      </c>
      <c r="AB66" s="35">
        <f t="shared" si="11"/>
        <v>0</v>
      </c>
      <c r="AC66" s="35">
        <f t="shared" si="11"/>
        <v>0</v>
      </c>
      <c r="AD66" s="35">
        <f t="shared" si="11"/>
        <v>0</v>
      </c>
      <c r="AE66" s="35">
        <f t="shared" si="11"/>
        <v>0</v>
      </c>
      <c r="AF66" s="35">
        <f t="shared" si="11"/>
        <v>0</v>
      </c>
      <c r="AG66" s="35">
        <f t="shared" si="11"/>
        <v>0</v>
      </c>
      <c r="AH66" s="4">
        <f t="shared" si="10"/>
        <v>0</v>
      </c>
    </row>
    <row r="67" spans="1:34">
      <c r="A67" s="8" t="s">
        <v>37</v>
      </c>
      <c r="B67" s="9">
        <f>SUM(B40:B66)</f>
        <v>0</v>
      </c>
      <c r="C67" s="9">
        <f t="shared" ref="C67:N67" si="12">SUM(C40:C66)</f>
        <v>0</v>
      </c>
      <c r="D67" s="9">
        <f t="shared" si="12"/>
        <v>0</v>
      </c>
      <c r="E67" s="9">
        <f t="shared" si="12"/>
        <v>0</v>
      </c>
      <c r="F67" s="9">
        <f t="shared" si="12"/>
        <v>0</v>
      </c>
      <c r="G67" s="9">
        <f t="shared" si="12"/>
        <v>0</v>
      </c>
      <c r="H67" s="9">
        <f t="shared" si="12"/>
        <v>0</v>
      </c>
      <c r="I67" s="9">
        <f t="shared" si="12"/>
        <v>0</v>
      </c>
      <c r="J67" s="9">
        <f t="shared" si="12"/>
        <v>0</v>
      </c>
      <c r="K67" s="9">
        <f t="shared" si="12"/>
        <v>0</v>
      </c>
      <c r="L67" s="9">
        <f t="shared" si="12"/>
        <v>0</v>
      </c>
      <c r="M67" s="9">
        <f t="shared" si="12"/>
        <v>0</v>
      </c>
      <c r="N67" s="9">
        <f t="shared" si="12"/>
        <v>0</v>
      </c>
      <c r="O67" s="13">
        <f>SUM(O40:O66)</f>
        <v>0</v>
      </c>
      <c r="R67" s="8" t="s">
        <v>37</v>
      </c>
      <c r="S67" s="9">
        <f>SUM(S40:S66)</f>
        <v>0</v>
      </c>
      <c r="T67" s="9">
        <f t="shared" ref="T67:AG67" si="13">SUM(T40:T66)</f>
        <v>0</v>
      </c>
      <c r="U67" s="9">
        <f t="shared" si="13"/>
        <v>0</v>
      </c>
      <c r="V67" s="9">
        <f t="shared" si="13"/>
        <v>0</v>
      </c>
      <c r="W67" s="9">
        <f t="shared" si="13"/>
        <v>0</v>
      </c>
      <c r="X67" s="9">
        <f t="shared" si="13"/>
        <v>0</v>
      </c>
      <c r="Y67" s="9">
        <f t="shared" si="13"/>
        <v>0</v>
      </c>
      <c r="Z67" s="9">
        <f t="shared" si="13"/>
        <v>0</v>
      </c>
      <c r="AA67" s="9">
        <f t="shared" si="13"/>
        <v>0</v>
      </c>
      <c r="AB67" s="9">
        <f t="shared" si="13"/>
        <v>0</v>
      </c>
      <c r="AC67" s="9">
        <f t="shared" si="13"/>
        <v>0</v>
      </c>
      <c r="AD67" s="9">
        <f t="shared" si="13"/>
        <v>0</v>
      </c>
      <c r="AE67" s="9">
        <f t="shared" si="13"/>
        <v>0</v>
      </c>
      <c r="AF67" s="9">
        <f t="shared" si="13"/>
        <v>0</v>
      </c>
      <c r="AG67" s="9">
        <f t="shared" si="13"/>
        <v>0</v>
      </c>
      <c r="AH67" s="13">
        <f>SUM(AH40:AH66)</f>
        <v>0</v>
      </c>
    </row>
    <row r="68" spans="1:34" ht="18.75">
      <c r="O68" s="3"/>
      <c r="R68" s="44" t="s">
        <v>50</v>
      </c>
      <c r="AH68" s="3"/>
    </row>
    <row r="69" spans="1:34" s="34" customFormat="1">
      <c r="A69" s="298" t="s">
        <v>47</v>
      </c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O69" s="33"/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</row>
    <row r="70" spans="1:34">
      <c r="A70" s="39" t="s">
        <v>14</v>
      </c>
      <c r="B70" s="40">
        <f>B19*0.2</f>
        <v>0</v>
      </c>
      <c r="C70" s="40">
        <f t="shared" ref="C70:N70" si="14">C19*0.2</f>
        <v>0</v>
      </c>
      <c r="D70" s="40">
        <f t="shared" si="14"/>
        <v>0</v>
      </c>
      <c r="E70" s="40">
        <f t="shared" si="14"/>
        <v>0</v>
      </c>
      <c r="F70" s="40">
        <f t="shared" si="14"/>
        <v>0</v>
      </c>
      <c r="G70" s="40">
        <f t="shared" si="14"/>
        <v>0</v>
      </c>
      <c r="H70" s="40">
        <f t="shared" si="14"/>
        <v>0</v>
      </c>
      <c r="I70" s="40">
        <f t="shared" si="14"/>
        <v>0</v>
      </c>
      <c r="J70" s="40">
        <f t="shared" si="14"/>
        <v>0</v>
      </c>
      <c r="K70" s="40">
        <f t="shared" si="14"/>
        <v>0</v>
      </c>
      <c r="L70" s="40">
        <f t="shared" si="14"/>
        <v>0</v>
      </c>
      <c r="M70" s="40">
        <f t="shared" si="14"/>
        <v>0</v>
      </c>
      <c r="N70" s="40">
        <f t="shared" si="14"/>
        <v>0</v>
      </c>
      <c r="O70" s="41">
        <f>SUM(B70:N70)</f>
        <v>0</v>
      </c>
      <c r="R70"/>
      <c r="AC70" s="3"/>
      <c r="AD70" s="3"/>
      <c r="AE70" s="3"/>
      <c r="AF70" s="3"/>
      <c r="AG70" s="3"/>
    </row>
    <row r="71" spans="1:34">
      <c r="R71"/>
    </row>
    <row r="72" spans="1:34" ht="46.5">
      <c r="A72" s="292" t="s">
        <v>38</v>
      </c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  <c r="R72" s="292" t="s">
        <v>48</v>
      </c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4"/>
    </row>
    <row r="73" spans="1:34" ht="21.75" customHeight="1">
      <c r="A73" s="290" t="s">
        <v>33</v>
      </c>
      <c r="B73" s="287" t="s">
        <v>27</v>
      </c>
      <c r="C73" s="288"/>
      <c r="D73" s="287" t="s">
        <v>29</v>
      </c>
      <c r="E73" s="288"/>
      <c r="F73" s="285" t="s">
        <v>28</v>
      </c>
      <c r="G73" s="285" t="s">
        <v>36</v>
      </c>
      <c r="H73" s="285" t="s">
        <v>30</v>
      </c>
      <c r="I73" s="285" t="s">
        <v>31</v>
      </c>
      <c r="J73" s="285" t="s">
        <v>41</v>
      </c>
      <c r="K73" s="285" t="s">
        <v>35</v>
      </c>
      <c r="L73" s="285" t="s">
        <v>40</v>
      </c>
      <c r="M73" s="285" t="s">
        <v>42</v>
      </c>
      <c r="N73" s="285" t="s">
        <v>45</v>
      </c>
      <c r="O73" s="285" t="s">
        <v>34</v>
      </c>
      <c r="R73" s="290" t="s">
        <v>33</v>
      </c>
      <c r="S73" s="287" t="s">
        <v>27</v>
      </c>
      <c r="T73" s="288"/>
      <c r="U73" s="287" t="s">
        <v>29</v>
      </c>
      <c r="V73" s="288"/>
      <c r="W73" s="285" t="s">
        <v>28</v>
      </c>
      <c r="X73" s="285" t="s">
        <v>36</v>
      </c>
      <c r="Y73" s="285" t="s">
        <v>30</v>
      </c>
      <c r="Z73" s="285" t="s">
        <v>31</v>
      </c>
      <c r="AA73" s="285" t="s">
        <v>41</v>
      </c>
      <c r="AB73" s="285" t="s">
        <v>35</v>
      </c>
      <c r="AC73" s="285" t="s">
        <v>40</v>
      </c>
      <c r="AD73" s="285" t="s">
        <v>42</v>
      </c>
      <c r="AE73" s="285" t="s">
        <v>45</v>
      </c>
      <c r="AF73" s="287" t="s">
        <v>52</v>
      </c>
      <c r="AG73" s="288"/>
      <c r="AH73" s="285" t="s">
        <v>34</v>
      </c>
    </row>
    <row r="74" spans="1:34" ht="30">
      <c r="A74" s="291"/>
      <c r="B74" s="5" t="s">
        <v>43</v>
      </c>
      <c r="C74" s="5" t="s">
        <v>44</v>
      </c>
      <c r="D74" s="5" t="s">
        <v>43</v>
      </c>
      <c r="E74" s="5" t="s">
        <v>44</v>
      </c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R74" s="291"/>
      <c r="S74" s="51" t="s">
        <v>43</v>
      </c>
      <c r="T74" s="51" t="s">
        <v>44</v>
      </c>
      <c r="U74" s="51" t="s">
        <v>43</v>
      </c>
      <c r="V74" s="51" t="s">
        <v>44</v>
      </c>
      <c r="W74" s="286"/>
      <c r="X74" s="286"/>
      <c r="Y74" s="286"/>
      <c r="Z74" s="286"/>
      <c r="AA74" s="286"/>
      <c r="AB74" s="286"/>
      <c r="AC74" s="286"/>
      <c r="AD74" s="286"/>
      <c r="AE74" s="286"/>
      <c r="AF74" s="50" t="s">
        <v>53</v>
      </c>
      <c r="AG74" s="50" t="s">
        <v>54</v>
      </c>
      <c r="AH74" s="286"/>
    </row>
    <row r="75" spans="1:34">
      <c r="A75" s="1" t="s">
        <v>0</v>
      </c>
      <c r="B75" s="22">
        <f>B5+B40</f>
        <v>0</v>
      </c>
      <c r="C75" s="22">
        <f t="shared" ref="C75:N75" si="15">C5+C40</f>
        <v>0</v>
      </c>
      <c r="D75" s="22">
        <f t="shared" si="15"/>
        <v>0</v>
      </c>
      <c r="E75" s="22">
        <f t="shared" si="15"/>
        <v>0</v>
      </c>
      <c r="F75" s="22">
        <f t="shared" si="15"/>
        <v>0</v>
      </c>
      <c r="G75" s="22">
        <f t="shared" si="15"/>
        <v>0</v>
      </c>
      <c r="H75" s="22">
        <f t="shared" si="15"/>
        <v>0</v>
      </c>
      <c r="I75" s="22">
        <f t="shared" si="15"/>
        <v>0</v>
      </c>
      <c r="J75" s="22">
        <f t="shared" si="15"/>
        <v>0</v>
      </c>
      <c r="K75" s="22">
        <f t="shared" si="15"/>
        <v>0</v>
      </c>
      <c r="L75" s="22">
        <f t="shared" si="15"/>
        <v>0</v>
      </c>
      <c r="M75" s="22">
        <f t="shared" si="15"/>
        <v>0</v>
      </c>
      <c r="N75" s="22">
        <f t="shared" si="15"/>
        <v>0</v>
      </c>
      <c r="O75" s="12">
        <f>SUM(B75:N75)</f>
        <v>0</v>
      </c>
      <c r="R75" s="2" t="s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12">
        <f>SUM(S75:AG75)</f>
        <v>0</v>
      </c>
    </row>
    <row r="76" spans="1:34">
      <c r="A76" s="1" t="s">
        <v>1</v>
      </c>
      <c r="B76" s="22">
        <f t="shared" ref="B76:N91" si="16">B6+B41</f>
        <v>0</v>
      </c>
      <c r="C76" s="22">
        <f t="shared" si="16"/>
        <v>0</v>
      </c>
      <c r="D76" s="22">
        <f t="shared" si="16"/>
        <v>0</v>
      </c>
      <c r="E76" s="22">
        <f t="shared" si="16"/>
        <v>0</v>
      </c>
      <c r="F76" s="22">
        <f t="shared" si="16"/>
        <v>0</v>
      </c>
      <c r="G76" s="22">
        <f t="shared" si="16"/>
        <v>0</v>
      </c>
      <c r="H76" s="22">
        <f t="shared" si="16"/>
        <v>0</v>
      </c>
      <c r="I76" s="22">
        <f t="shared" si="16"/>
        <v>0</v>
      </c>
      <c r="J76" s="22">
        <f t="shared" si="16"/>
        <v>0</v>
      </c>
      <c r="K76" s="22">
        <f t="shared" si="16"/>
        <v>0</v>
      </c>
      <c r="L76" s="22">
        <f t="shared" si="16"/>
        <v>0</v>
      </c>
      <c r="M76" s="22">
        <f t="shared" si="16"/>
        <v>0</v>
      </c>
      <c r="N76" s="22">
        <f t="shared" si="16"/>
        <v>0</v>
      </c>
      <c r="O76" s="12">
        <f t="shared" ref="O76:O101" si="17">SUM(B76:N76)</f>
        <v>0</v>
      </c>
      <c r="R76" s="2" t="s">
        <v>1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12">
        <f t="shared" ref="AH76:AH101" si="18">SUM(S76:AG76)</f>
        <v>0</v>
      </c>
    </row>
    <row r="77" spans="1:34">
      <c r="A77" s="18" t="s">
        <v>2</v>
      </c>
      <c r="B77" s="22">
        <f t="shared" si="16"/>
        <v>0</v>
      </c>
      <c r="C77" s="22">
        <f t="shared" si="16"/>
        <v>0</v>
      </c>
      <c r="D77" s="22">
        <f t="shared" si="16"/>
        <v>0</v>
      </c>
      <c r="E77" s="22">
        <f t="shared" si="16"/>
        <v>0</v>
      </c>
      <c r="F77" s="22">
        <f t="shared" si="16"/>
        <v>0</v>
      </c>
      <c r="G77" s="22">
        <f t="shared" si="16"/>
        <v>0</v>
      </c>
      <c r="H77" s="22">
        <f t="shared" si="16"/>
        <v>0</v>
      </c>
      <c r="I77" s="22">
        <f t="shared" si="16"/>
        <v>0</v>
      </c>
      <c r="J77" s="22">
        <f t="shared" si="16"/>
        <v>0</v>
      </c>
      <c r="K77" s="22">
        <f t="shared" si="16"/>
        <v>0</v>
      </c>
      <c r="L77" s="22">
        <f t="shared" si="16"/>
        <v>0</v>
      </c>
      <c r="M77" s="22">
        <f t="shared" si="16"/>
        <v>0</v>
      </c>
      <c r="N77" s="22">
        <f t="shared" si="16"/>
        <v>0</v>
      </c>
      <c r="O77" s="12">
        <f t="shared" si="17"/>
        <v>0</v>
      </c>
      <c r="R77" s="2" t="s">
        <v>2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12">
        <f t="shared" si="18"/>
        <v>0</v>
      </c>
    </row>
    <row r="78" spans="1:34">
      <c r="A78" s="2" t="s">
        <v>3</v>
      </c>
      <c r="B78" s="22">
        <f t="shared" si="16"/>
        <v>0</v>
      </c>
      <c r="C78" s="22">
        <f t="shared" si="16"/>
        <v>0</v>
      </c>
      <c r="D78" s="22">
        <f t="shared" si="16"/>
        <v>0</v>
      </c>
      <c r="E78" s="22">
        <f t="shared" si="16"/>
        <v>0</v>
      </c>
      <c r="F78" s="22">
        <f t="shared" si="16"/>
        <v>0</v>
      </c>
      <c r="G78" s="22">
        <f t="shared" si="16"/>
        <v>0</v>
      </c>
      <c r="H78" s="22">
        <f t="shared" si="16"/>
        <v>0</v>
      </c>
      <c r="I78" s="22">
        <f t="shared" si="16"/>
        <v>0</v>
      </c>
      <c r="J78" s="22">
        <f t="shared" si="16"/>
        <v>0</v>
      </c>
      <c r="K78" s="22">
        <f t="shared" si="16"/>
        <v>0</v>
      </c>
      <c r="L78" s="22">
        <f t="shared" si="16"/>
        <v>0</v>
      </c>
      <c r="M78" s="22">
        <f t="shared" si="16"/>
        <v>0</v>
      </c>
      <c r="N78" s="22">
        <f t="shared" si="16"/>
        <v>0</v>
      </c>
      <c r="O78" s="12">
        <f t="shared" si="17"/>
        <v>0</v>
      </c>
      <c r="R78" s="2" t="s">
        <v>3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12">
        <f t="shared" si="18"/>
        <v>0</v>
      </c>
    </row>
    <row r="79" spans="1:34">
      <c r="A79" s="1" t="s">
        <v>4</v>
      </c>
      <c r="B79" s="22">
        <f t="shared" si="16"/>
        <v>0</v>
      </c>
      <c r="C79" s="22">
        <f t="shared" si="16"/>
        <v>0</v>
      </c>
      <c r="D79" s="22">
        <f t="shared" si="16"/>
        <v>0</v>
      </c>
      <c r="E79" s="22">
        <f t="shared" si="16"/>
        <v>0</v>
      </c>
      <c r="F79" s="22">
        <f t="shared" si="16"/>
        <v>0</v>
      </c>
      <c r="G79" s="22">
        <f t="shared" si="16"/>
        <v>0</v>
      </c>
      <c r="H79" s="22">
        <f t="shared" si="16"/>
        <v>0</v>
      </c>
      <c r="I79" s="22">
        <f t="shared" si="16"/>
        <v>0</v>
      </c>
      <c r="J79" s="22">
        <f t="shared" si="16"/>
        <v>0</v>
      </c>
      <c r="K79" s="22">
        <f t="shared" si="16"/>
        <v>0</v>
      </c>
      <c r="L79" s="22">
        <f t="shared" si="16"/>
        <v>0</v>
      </c>
      <c r="M79" s="22">
        <f t="shared" si="16"/>
        <v>0</v>
      </c>
      <c r="N79" s="22">
        <f t="shared" si="16"/>
        <v>0</v>
      </c>
      <c r="O79" s="12">
        <f t="shared" si="17"/>
        <v>0</v>
      </c>
      <c r="R79" s="2" t="s">
        <v>4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12">
        <f t="shared" si="18"/>
        <v>0</v>
      </c>
    </row>
    <row r="80" spans="1:34">
      <c r="A80" s="1" t="s">
        <v>5</v>
      </c>
      <c r="B80" s="22">
        <f t="shared" si="16"/>
        <v>0</v>
      </c>
      <c r="C80" s="22">
        <f t="shared" si="16"/>
        <v>0</v>
      </c>
      <c r="D80" s="22">
        <f t="shared" si="16"/>
        <v>0</v>
      </c>
      <c r="E80" s="22">
        <f t="shared" si="16"/>
        <v>0</v>
      </c>
      <c r="F80" s="22">
        <f t="shared" si="16"/>
        <v>0</v>
      </c>
      <c r="G80" s="22">
        <f t="shared" si="16"/>
        <v>0</v>
      </c>
      <c r="H80" s="22">
        <f t="shared" si="16"/>
        <v>0</v>
      </c>
      <c r="I80" s="22">
        <f t="shared" si="16"/>
        <v>0</v>
      </c>
      <c r="J80" s="22">
        <f t="shared" si="16"/>
        <v>0</v>
      </c>
      <c r="K80" s="22">
        <f t="shared" si="16"/>
        <v>0</v>
      </c>
      <c r="L80" s="22">
        <f t="shared" si="16"/>
        <v>0</v>
      </c>
      <c r="M80" s="22">
        <f t="shared" si="16"/>
        <v>0</v>
      </c>
      <c r="N80" s="22">
        <f t="shared" si="16"/>
        <v>0</v>
      </c>
      <c r="O80" s="12">
        <f t="shared" si="17"/>
        <v>0</v>
      </c>
      <c r="R80" s="2" t="s">
        <v>5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12">
        <f t="shared" si="18"/>
        <v>0</v>
      </c>
    </row>
    <row r="81" spans="1:34">
      <c r="A81" s="1" t="s">
        <v>6</v>
      </c>
      <c r="B81" s="22">
        <f t="shared" si="16"/>
        <v>0</v>
      </c>
      <c r="C81" s="22">
        <f t="shared" si="16"/>
        <v>0</v>
      </c>
      <c r="D81" s="22">
        <f t="shared" si="16"/>
        <v>0</v>
      </c>
      <c r="E81" s="22">
        <f t="shared" si="16"/>
        <v>0</v>
      </c>
      <c r="F81" s="22">
        <f t="shared" si="16"/>
        <v>0</v>
      </c>
      <c r="G81" s="22">
        <f t="shared" si="16"/>
        <v>0</v>
      </c>
      <c r="H81" s="22">
        <f t="shared" si="16"/>
        <v>0</v>
      </c>
      <c r="I81" s="22">
        <f t="shared" si="16"/>
        <v>0</v>
      </c>
      <c r="J81" s="22">
        <f t="shared" si="16"/>
        <v>0</v>
      </c>
      <c r="K81" s="22">
        <f t="shared" si="16"/>
        <v>0</v>
      </c>
      <c r="L81" s="22">
        <f t="shared" si="16"/>
        <v>0</v>
      </c>
      <c r="M81" s="22">
        <f t="shared" si="16"/>
        <v>0</v>
      </c>
      <c r="N81" s="22">
        <f t="shared" si="16"/>
        <v>0</v>
      </c>
      <c r="O81" s="12">
        <f t="shared" si="17"/>
        <v>0</v>
      </c>
      <c r="R81" s="2" t="s">
        <v>6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12">
        <f t="shared" si="18"/>
        <v>0</v>
      </c>
    </row>
    <row r="82" spans="1:34">
      <c r="A82" s="1" t="s">
        <v>7</v>
      </c>
      <c r="B82" s="22">
        <f t="shared" si="16"/>
        <v>0</v>
      </c>
      <c r="C82" s="22">
        <f t="shared" si="16"/>
        <v>0</v>
      </c>
      <c r="D82" s="22">
        <f t="shared" si="16"/>
        <v>0</v>
      </c>
      <c r="E82" s="22">
        <f t="shared" si="16"/>
        <v>0</v>
      </c>
      <c r="F82" s="22">
        <f t="shared" si="16"/>
        <v>0</v>
      </c>
      <c r="G82" s="22">
        <f t="shared" si="16"/>
        <v>0</v>
      </c>
      <c r="H82" s="22">
        <f t="shared" si="16"/>
        <v>0</v>
      </c>
      <c r="I82" s="22">
        <f t="shared" si="16"/>
        <v>0</v>
      </c>
      <c r="J82" s="22">
        <f>J12+J47</f>
        <v>0</v>
      </c>
      <c r="K82" s="22">
        <f t="shared" si="16"/>
        <v>0</v>
      </c>
      <c r="L82" s="22">
        <f t="shared" si="16"/>
        <v>0</v>
      </c>
      <c r="M82" s="22">
        <f t="shared" si="16"/>
        <v>0</v>
      </c>
      <c r="N82" s="22">
        <f t="shared" si="16"/>
        <v>0</v>
      </c>
      <c r="O82" s="12">
        <f t="shared" si="17"/>
        <v>0</v>
      </c>
      <c r="R82" s="2" t="s">
        <v>7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12">
        <f t="shared" si="18"/>
        <v>0</v>
      </c>
    </row>
    <row r="83" spans="1:34">
      <c r="A83" s="1" t="s">
        <v>8</v>
      </c>
      <c r="B83" s="22">
        <f t="shared" si="16"/>
        <v>0</v>
      </c>
      <c r="C83" s="22">
        <f t="shared" si="16"/>
        <v>0</v>
      </c>
      <c r="D83" s="22">
        <f t="shared" si="16"/>
        <v>0</v>
      </c>
      <c r="E83" s="22">
        <f t="shared" si="16"/>
        <v>0</v>
      </c>
      <c r="F83" s="22">
        <f t="shared" si="16"/>
        <v>0</v>
      </c>
      <c r="G83" s="22">
        <f t="shared" si="16"/>
        <v>0</v>
      </c>
      <c r="H83" s="22">
        <f t="shared" si="16"/>
        <v>0</v>
      </c>
      <c r="I83" s="22">
        <f t="shared" si="16"/>
        <v>0</v>
      </c>
      <c r="J83" s="22">
        <f t="shared" si="16"/>
        <v>0</v>
      </c>
      <c r="K83" s="22">
        <f t="shared" si="16"/>
        <v>0</v>
      </c>
      <c r="L83" s="22">
        <f t="shared" si="16"/>
        <v>0</v>
      </c>
      <c r="M83" s="22">
        <f t="shared" si="16"/>
        <v>0</v>
      </c>
      <c r="N83" s="22">
        <f t="shared" si="16"/>
        <v>0</v>
      </c>
      <c r="O83" s="12">
        <f t="shared" si="17"/>
        <v>0</v>
      </c>
      <c r="R83" s="2" t="s">
        <v>8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12">
        <f t="shared" si="18"/>
        <v>0</v>
      </c>
    </row>
    <row r="84" spans="1:34">
      <c r="A84" s="2" t="s">
        <v>9</v>
      </c>
      <c r="B84" s="22">
        <f t="shared" si="16"/>
        <v>0</v>
      </c>
      <c r="C84" s="22">
        <f t="shared" si="16"/>
        <v>0</v>
      </c>
      <c r="D84" s="22">
        <f t="shared" si="16"/>
        <v>0</v>
      </c>
      <c r="E84" s="22">
        <f t="shared" si="16"/>
        <v>0</v>
      </c>
      <c r="F84" s="22">
        <f t="shared" si="16"/>
        <v>0</v>
      </c>
      <c r="G84" s="22">
        <f t="shared" si="16"/>
        <v>0</v>
      </c>
      <c r="H84" s="22">
        <f t="shared" si="16"/>
        <v>0</v>
      </c>
      <c r="I84" s="22">
        <f t="shared" si="16"/>
        <v>0</v>
      </c>
      <c r="J84" s="22">
        <f t="shared" si="16"/>
        <v>0</v>
      </c>
      <c r="K84" s="22">
        <f t="shared" si="16"/>
        <v>0</v>
      </c>
      <c r="L84" s="22">
        <f t="shared" si="16"/>
        <v>0</v>
      </c>
      <c r="M84" s="22">
        <f t="shared" si="16"/>
        <v>0</v>
      </c>
      <c r="N84" s="22">
        <f t="shared" si="16"/>
        <v>0</v>
      </c>
      <c r="O84" s="12">
        <f t="shared" si="17"/>
        <v>0</v>
      </c>
      <c r="R84" s="2" t="s">
        <v>9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12">
        <f t="shared" si="18"/>
        <v>0</v>
      </c>
    </row>
    <row r="85" spans="1:34">
      <c r="A85" s="18" t="s">
        <v>10</v>
      </c>
      <c r="B85" s="22">
        <f t="shared" si="16"/>
        <v>0</v>
      </c>
      <c r="C85" s="22">
        <f t="shared" si="16"/>
        <v>0</v>
      </c>
      <c r="D85" s="22">
        <f t="shared" si="16"/>
        <v>0</v>
      </c>
      <c r="E85" s="22">
        <f t="shared" si="16"/>
        <v>0</v>
      </c>
      <c r="F85" s="22">
        <f t="shared" si="16"/>
        <v>0</v>
      </c>
      <c r="G85" s="22">
        <f t="shared" si="16"/>
        <v>0</v>
      </c>
      <c r="H85" s="22">
        <f t="shared" si="16"/>
        <v>0</v>
      </c>
      <c r="I85" s="22">
        <f t="shared" si="16"/>
        <v>0</v>
      </c>
      <c r="J85" s="22">
        <f t="shared" si="16"/>
        <v>0</v>
      </c>
      <c r="K85" s="22">
        <f t="shared" si="16"/>
        <v>0</v>
      </c>
      <c r="L85" s="22">
        <f t="shared" si="16"/>
        <v>0</v>
      </c>
      <c r="M85" s="22">
        <f t="shared" si="16"/>
        <v>0</v>
      </c>
      <c r="N85" s="22">
        <f t="shared" si="16"/>
        <v>0</v>
      </c>
      <c r="O85" s="12">
        <f t="shared" si="17"/>
        <v>0</v>
      </c>
      <c r="R85" s="2" t="s">
        <v>10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12">
        <f t="shared" si="18"/>
        <v>0</v>
      </c>
    </row>
    <row r="86" spans="1:34">
      <c r="A86" s="1" t="s">
        <v>11</v>
      </c>
      <c r="B86" s="22">
        <f t="shared" si="16"/>
        <v>0</v>
      </c>
      <c r="C86" s="22">
        <f t="shared" si="16"/>
        <v>0</v>
      </c>
      <c r="D86" s="22">
        <f t="shared" si="16"/>
        <v>0</v>
      </c>
      <c r="E86" s="22">
        <f t="shared" si="16"/>
        <v>0</v>
      </c>
      <c r="F86" s="22">
        <f t="shared" si="16"/>
        <v>0</v>
      </c>
      <c r="G86" s="22">
        <f t="shared" si="16"/>
        <v>0</v>
      </c>
      <c r="H86" s="22">
        <f t="shared" si="16"/>
        <v>0</v>
      </c>
      <c r="I86" s="22">
        <f t="shared" si="16"/>
        <v>0</v>
      </c>
      <c r="J86" s="22">
        <f t="shared" si="16"/>
        <v>0</v>
      </c>
      <c r="K86" s="22">
        <f t="shared" si="16"/>
        <v>0</v>
      </c>
      <c r="L86" s="22">
        <f t="shared" si="16"/>
        <v>0</v>
      </c>
      <c r="M86" s="22">
        <f t="shared" si="16"/>
        <v>0</v>
      </c>
      <c r="N86" s="22">
        <f t="shared" si="16"/>
        <v>0</v>
      </c>
      <c r="O86" s="12">
        <f t="shared" si="17"/>
        <v>0</v>
      </c>
      <c r="R86" s="2" t="s">
        <v>11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12">
        <f t="shared" si="18"/>
        <v>0</v>
      </c>
    </row>
    <row r="87" spans="1:34">
      <c r="A87" s="1" t="s">
        <v>12</v>
      </c>
      <c r="B87" s="22">
        <f t="shared" si="16"/>
        <v>0</v>
      </c>
      <c r="C87" s="22">
        <f t="shared" si="16"/>
        <v>0</v>
      </c>
      <c r="D87" s="22">
        <f t="shared" si="16"/>
        <v>0</v>
      </c>
      <c r="E87" s="22">
        <f t="shared" si="16"/>
        <v>0</v>
      </c>
      <c r="F87" s="22">
        <f t="shared" si="16"/>
        <v>0</v>
      </c>
      <c r="G87" s="22">
        <f t="shared" si="16"/>
        <v>0</v>
      </c>
      <c r="H87" s="22">
        <f t="shared" si="16"/>
        <v>0</v>
      </c>
      <c r="I87" s="22">
        <f t="shared" si="16"/>
        <v>0</v>
      </c>
      <c r="J87" s="22">
        <f t="shared" si="16"/>
        <v>0</v>
      </c>
      <c r="K87" s="22">
        <f t="shared" si="16"/>
        <v>0</v>
      </c>
      <c r="L87" s="22">
        <f t="shared" si="16"/>
        <v>0</v>
      </c>
      <c r="M87" s="22">
        <f t="shared" si="16"/>
        <v>0</v>
      </c>
      <c r="N87" s="22">
        <f t="shared" si="16"/>
        <v>0</v>
      </c>
      <c r="O87" s="12">
        <f t="shared" si="17"/>
        <v>0</v>
      </c>
      <c r="R87" s="2" t="s">
        <v>12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12">
        <f t="shared" si="18"/>
        <v>0</v>
      </c>
    </row>
    <row r="88" spans="1:34">
      <c r="A88" s="1" t="s">
        <v>15</v>
      </c>
      <c r="B88" s="22">
        <f t="shared" si="16"/>
        <v>0</v>
      </c>
      <c r="C88" s="22">
        <f t="shared" si="16"/>
        <v>0</v>
      </c>
      <c r="D88" s="22">
        <f t="shared" si="16"/>
        <v>0</v>
      </c>
      <c r="E88" s="22">
        <f t="shared" si="16"/>
        <v>0</v>
      </c>
      <c r="F88" s="22">
        <f t="shared" si="16"/>
        <v>0</v>
      </c>
      <c r="G88" s="22">
        <f t="shared" si="16"/>
        <v>0</v>
      </c>
      <c r="H88" s="22">
        <f t="shared" si="16"/>
        <v>0</v>
      </c>
      <c r="I88" s="22">
        <f t="shared" si="16"/>
        <v>0</v>
      </c>
      <c r="J88" s="22">
        <f t="shared" si="16"/>
        <v>0</v>
      </c>
      <c r="K88" s="22">
        <f t="shared" si="16"/>
        <v>0</v>
      </c>
      <c r="L88" s="22">
        <f t="shared" si="16"/>
        <v>0</v>
      </c>
      <c r="M88" s="22">
        <f t="shared" si="16"/>
        <v>0</v>
      </c>
      <c r="N88" s="22">
        <f t="shared" si="16"/>
        <v>0</v>
      </c>
      <c r="O88" s="12">
        <f t="shared" si="17"/>
        <v>0</v>
      </c>
      <c r="R88" s="2" t="s">
        <v>15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12">
        <f t="shared" si="18"/>
        <v>0</v>
      </c>
    </row>
    <row r="89" spans="1:34">
      <c r="A89" s="1" t="s">
        <v>14</v>
      </c>
      <c r="B89" s="22">
        <f t="shared" si="16"/>
        <v>0</v>
      </c>
      <c r="C89" s="22">
        <f t="shared" si="16"/>
        <v>0</v>
      </c>
      <c r="D89" s="22">
        <f t="shared" si="16"/>
        <v>0</v>
      </c>
      <c r="E89" s="22">
        <f t="shared" si="16"/>
        <v>0</v>
      </c>
      <c r="F89" s="22">
        <f t="shared" si="16"/>
        <v>0</v>
      </c>
      <c r="G89" s="22">
        <f t="shared" si="16"/>
        <v>0</v>
      </c>
      <c r="H89" s="22">
        <f t="shared" si="16"/>
        <v>0</v>
      </c>
      <c r="I89" s="22">
        <f t="shared" si="16"/>
        <v>0</v>
      </c>
      <c r="J89" s="22">
        <f t="shared" si="16"/>
        <v>0</v>
      </c>
      <c r="K89" s="22">
        <f t="shared" si="16"/>
        <v>0</v>
      </c>
      <c r="L89" s="22">
        <f t="shared" si="16"/>
        <v>0</v>
      </c>
      <c r="M89" s="22">
        <f t="shared" si="16"/>
        <v>0</v>
      </c>
      <c r="N89" s="22">
        <f t="shared" si="16"/>
        <v>0</v>
      </c>
      <c r="O89" s="12">
        <f t="shared" si="17"/>
        <v>0</v>
      </c>
      <c r="R89" s="2" t="s">
        <v>14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12">
        <f t="shared" si="18"/>
        <v>0</v>
      </c>
    </row>
    <row r="90" spans="1:34">
      <c r="A90" s="18" t="s">
        <v>13</v>
      </c>
      <c r="B90" s="22">
        <f t="shared" si="16"/>
        <v>0</v>
      </c>
      <c r="C90" s="22">
        <f t="shared" si="16"/>
        <v>0</v>
      </c>
      <c r="D90" s="22">
        <f t="shared" si="16"/>
        <v>0</v>
      </c>
      <c r="E90" s="22">
        <f t="shared" si="16"/>
        <v>0</v>
      </c>
      <c r="F90" s="22">
        <f t="shared" si="16"/>
        <v>0</v>
      </c>
      <c r="G90" s="22">
        <f t="shared" si="16"/>
        <v>0</v>
      </c>
      <c r="H90" s="22">
        <f t="shared" si="16"/>
        <v>0</v>
      </c>
      <c r="I90" s="22">
        <f t="shared" si="16"/>
        <v>0</v>
      </c>
      <c r="J90" s="22">
        <f t="shared" si="16"/>
        <v>0</v>
      </c>
      <c r="K90" s="22">
        <f t="shared" si="16"/>
        <v>0</v>
      </c>
      <c r="L90" s="22">
        <f t="shared" si="16"/>
        <v>0</v>
      </c>
      <c r="M90" s="22">
        <f t="shared" si="16"/>
        <v>0</v>
      </c>
      <c r="N90" s="22">
        <f t="shared" si="16"/>
        <v>0</v>
      </c>
      <c r="O90" s="12">
        <f t="shared" si="17"/>
        <v>0</v>
      </c>
      <c r="R90" s="2" t="s">
        <v>13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12">
        <f t="shared" si="18"/>
        <v>0</v>
      </c>
    </row>
    <row r="91" spans="1:34">
      <c r="A91" s="1" t="s">
        <v>16</v>
      </c>
      <c r="B91" s="22">
        <f t="shared" si="16"/>
        <v>0</v>
      </c>
      <c r="C91" s="22">
        <f t="shared" si="16"/>
        <v>0</v>
      </c>
      <c r="D91" s="22">
        <f t="shared" si="16"/>
        <v>0</v>
      </c>
      <c r="E91" s="22">
        <f t="shared" si="16"/>
        <v>0</v>
      </c>
      <c r="F91" s="22">
        <f t="shared" si="16"/>
        <v>0</v>
      </c>
      <c r="G91" s="22">
        <f t="shared" si="16"/>
        <v>0</v>
      </c>
      <c r="H91" s="22">
        <f t="shared" si="16"/>
        <v>0</v>
      </c>
      <c r="I91" s="22">
        <f t="shared" si="16"/>
        <v>0</v>
      </c>
      <c r="J91" s="22">
        <f t="shared" si="16"/>
        <v>0</v>
      </c>
      <c r="K91" s="22">
        <f t="shared" si="16"/>
        <v>0</v>
      </c>
      <c r="L91" s="22">
        <f t="shared" si="16"/>
        <v>0</v>
      </c>
      <c r="M91" s="22">
        <f t="shared" si="16"/>
        <v>0</v>
      </c>
      <c r="N91" s="22">
        <f t="shared" si="16"/>
        <v>0</v>
      </c>
      <c r="O91" s="12">
        <f t="shared" si="17"/>
        <v>0</v>
      </c>
      <c r="R91" s="2" t="s">
        <v>16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12">
        <f t="shared" si="18"/>
        <v>0</v>
      </c>
    </row>
    <row r="92" spans="1:34">
      <c r="A92" s="1" t="s">
        <v>17</v>
      </c>
      <c r="B92" s="22">
        <f t="shared" ref="B92:N101" si="19">B22+B57</f>
        <v>0</v>
      </c>
      <c r="C92" s="22">
        <f t="shared" si="19"/>
        <v>0</v>
      </c>
      <c r="D92" s="22">
        <f t="shared" si="19"/>
        <v>0</v>
      </c>
      <c r="E92" s="22">
        <f t="shared" si="19"/>
        <v>0</v>
      </c>
      <c r="F92" s="22">
        <f t="shared" si="19"/>
        <v>0</v>
      </c>
      <c r="G92" s="22">
        <f t="shared" si="19"/>
        <v>0</v>
      </c>
      <c r="H92" s="22">
        <f t="shared" si="19"/>
        <v>0</v>
      </c>
      <c r="I92" s="22">
        <f t="shared" si="19"/>
        <v>0</v>
      </c>
      <c r="J92" s="22">
        <f t="shared" si="19"/>
        <v>0</v>
      </c>
      <c r="K92" s="22">
        <f t="shared" si="19"/>
        <v>0</v>
      </c>
      <c r="L92" s="22">
        <f t="shared" si="19"/>
        <v>0</v>
      </c>
      <c r="M92" s="22">
        <f t="shared" si="19"/>
        <v>0</v>
      </c>
      <c r="N92" s="22">
        <f t="shared" si="19"/>
        <v>0</v>
      </c>
      <c r="O92" s="12">
        <f t="shared" si="17"/>
        <v>0</v>
      </c>
      <c r="R92" s="2" t="s">
        <v>17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12">
        <f t="shared" si="18"/>
        <v>0</v>
      </c>
    </row>
    <row r="93" spans="1:34">
      <c r="A93" s="1" t="s">
        <v>18</v>
      </c>
      <c r="B93" s="22">
        <f t="shared" si="19"/>
        <v>0</v>
      </c>
      <c r="C93" s="22">
        <f t="shared" si="19"/>
        <v>0</v>
      </c>
      <c r="D93" s="22">
        <f t="shared" si="19"/>
        <v>0</v>
      </c>
      <c r="E93" s="22">
        <f t="shared" si="19"/>
        <v>0</v>
      </c>
      <c r="F93" s="22">
        <f t="shared" si="19"/>
        <v>0</v>
      </c>
      <c r="G93" s="22">
        <f t="shared" si="19"/>
        <v>0</v>
      </c>
      <c r="H93" s="22">
        <f t="shared" si="19"/>
        <v>0</v>
      </c>
      <c r="I93" s="22">
        <f t="shared" si="19"/>
        <v>0</v>
      </c>
      <c r="J93" s="22">
        <f t="shared" si="19"/>
        <v>0</v>
      </c>
      <c r="K93" s="22">
        <f t="shared" si="19"/>
        <v>0</v>
      </c>
      <c r="L93" s="22">
        <f t="shared" si="19"/>
        <v>0</v>
      </c>
      <c r="M93" s="22">
        <f t="shared" si="19"/>
        <v>0</v>
      </c>
      <c r="N93" s="22">
        <f t="shared" si="19"/>
        <v>0</v>
      </c>
      <c r="O93" s="12">
        <f t="shared" si="17"/>
        <v>0</v>
      </c>
      <c r="R93" s="2" t="s">
        <v>18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12">
        <f t="shared" si="18"/>
        <v>0</v>
      </c>
    </row>
    <row r="94" spans="1:34">
      <c r="A94" s="1" t="s">
        <v>20</v>
      </c>
      <c r="B94" s="22">
        <f t="shared" si="19"/>
        <v>0</v>
      </c>
      <c r="C94" s="22">
        <f t="shared" si="19"/>
        <v>0</v>
      </c>
      <c r="D94" s="22">
        <f t="shared" si="19"/>
        <v>0</v>
      </c>
      <c r="E94" s="22">
        <f t="shared" si="19"/>
        <v>0</v>
      </c>
      <c r="F94" s="22">
        <f t="shared" si="19"/>
        <v>0</v>
      </c>
      <c r="G94" s="22">
        <f t="shared" si="19"/>
        <v>0</v>
      </c>
      <c r="H94" s="22">
        <f t="shared" si="19"/>
        <v>0</v>
      </c>
      <c r="I94" s="22">
        <f t="shared" si="19"/>
        <v>0</v>
      </c>
      <c r="J94" s="22">
        <f t="shared" si="19"/>
        <v>0</v>
      </c>
      <c r="K94" s="22">
        <f t="shared" si="19"/>
        <v>0</v>
      </c>
      <c r="L94" s="22">
        <f t="shared" si="19"/>
        <v>0</v>
      </c>
      <c r="M94" s="22">
        <f t="shared" si="19"/>
        <v>0</v>
      </c>
      <c r="N94" s="22">
        <f t="shared" si="19"/>
        <v>0</v>
      </c>
      <c r="O94" s="12">
        <f t="shared" si="17"/>
        <v>0</v>
      </c>
      <c r="R94" s="2" t="s">
        <v>20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12">
        <f t="shared" si="18"/>
        <v>0</v>
      </c>
    </row>
    <row r="95" spans="1:34">
      <c r="A95" s="1" t="s">
        <v>19</v>
      </c>
      <c r="B95" s="22">
        <f t="shared" si="19"/>
        <v>0</v>
      </c>
      <c r="C95" s="22">
        <f t="shared" si="19"/>
        <v>0</v>
      </c>
      <c r="D95" s="22">
        <f t="shared" si="19"/>
        <v>0</v>
      </c>
      <c r="E95" s="22">
        <f t="shared" si="19"/>
        <v>0</v>
      </c>
      <c r="F95" s="22">
        <f t="shared" si="19"/>
        <v>0</v>
      </c>
      <c r="G95" s="22">
        <f t="shared" si="19"/>
        <v>0</v>
      </c>
      <c r="H95" s="22">
        <f t="shared" si="19"/>
        <v>0</v>
      </c>
      <c r="I95" s="22">
        <f t="shared" si="19"/>
        <v>0</v>
      </c>
      <c r="J95" s="22">
        <f t="shared" si="19"/>
        <v>0</v>
      </c>
      <c r="K95" s="22">
        <f t="shared" si="19"/>
        <v>0</v>
      </c>
      <c r="L95" s="22">
        <f t="shared" si="19"/>
        <v>0</v>
      </c>
      <c r="M95" s="22">
        <f t="shared" si="19"/>
        <v>0</v>
      </c>
      <c r="N95" s="22">
        <f t="shared" si="19"/>
        <v>0</v>
      </c>
      <c r="O95" s="12">
        <f t="shared" si="17"/>
        <v>0</v>
      </c>
      <c r="R95" s="2" t="s">
        <v>19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12">
        <f t="shared" si="18"/>
        <v>0</v>
      </c>
    </row>
    <row r="96" spans="1:34">
      <c r="A96" s="18" t="s">
        <v>21</v>
      </c>
      <c r="B96" s="22">
        <f t="shared" si="19"/>
        <v>0</v>
      </c>
      <c r="C96" s="22">
        <f t="shared" si="19"/>
        <v>0</v>
      </c>
      <c r="D96" s="22">
        <f t="shared" si="19"/>
        <v>0</v>
      </c>
      <c r="E96" s="22">
        <f t="shared" si="19"/>
        <v>0</v>
      </c>
      <c r="F96" s="22">
        <f t="shared" si="19"/>
        <v>0</v>
      </c>
      <c r="G96" s="22">
        <f t="shared" si="19"/>
        <v>0</v>
      </c>
      <c r="H96" s="22">
        <f t="shared" si="19"/>
        <v>0</v>
      </c>
      <c r="I96" s="22">
        <f t="shared" si="19"/>
        <v>0</v>
      </c>
      <c r="J96" s="22">
        <f t="shared" si="19"/>
        <v>0</v>
      </c>
      <c r="K96" s="22">
        <f t="shared" si="19"/>
        <v>0</v>
      </c>
      <c r="L96" s="22">
        <f t="shared" si="19"/>
        <v>0</v>
      </c>
      <c r="M96" s="22">
        <f t="shared" si="19"/>
        <v>0</v>
      </c>
      <c r="N96" s="22">
        <f t="shared" si="19"/>
        <v>0</v>
      </c>
      <c r="O96" s="12">
        <f t="shared" si="17"/>
        <v>0</v>
      </c>
      <c r="R96" s="2" t="s">
        <v>21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12">
        <f t="shared" si="18"/>
        <v>0</v>
      </c>
    </row>
    <row r="97" spans="1:34">
      <c r="A97" s="2" t="s">
        <v>22</v>
      </c>
      <c r="B97" s="22">
        <f t="shared" si="19"/>
        <v>0</v>
      </c>
      <c r="C97" s="22">
        <f t="shared" si="19"/>
        <v>0</v>
      </c>
      <c r="D97" s="22">
        <f t="shared" si="19"/>
        <v>0</v>
      </c>
      <c r="E97" s="22">
        <f t="shared" si="19"/>
        <v>0</v>
      </c>
      <c r="F97" s="22">
        <f t="shared" si="19"/>
        <v>0</v>
      </c>
      <c r="G97" s="22">
        <f t="shared" si="19"/>
        <v>0</v>
      </c>
      <c r="H97" s="22">
        <f t="shared" si="19"/>
        <v>0</v>
      </c>
      <c r="I97" s="22">
        <f t="shared" si="19"/>
        <v>0</v>
      </c>
      <c r="J97" s="22">
        <f t="shared" si="19"/>
        <v>0</v>
      </c>
      <c r="K97" s="22">
        <f t="shared" si="19"/>
        <v>0</v>
      </c>
      <c r="L97" s="22">
        <f t="shared" si="19"/>
        <v>0</v>
      </c>
      <c r="M97" s="22">
        <f t="shared" si="19"/>
        <v>0</v>
      </c>
      <c r="N97" s="22">
        <f t="shared" si="19"/>
        <v>0</v>
      </c>
      <c r="O97" s="12">
        <f t="shared" si="17"/>
        <v>0</v>
      </c>
      <c r="R97" s="2" t="s">
        <v>22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12">
        <f t="shared" si="18"/>
        <v>0</v>
      </c>
    </row>
    <row r="98" spans="1:34">
      <c r="A98" s="1" t="s">
        <v>23</v>
      </c>
      <c r="B98" s="22">
        <f t="shared" si="19"/>
        <v>0</v>
      </c>
      <c r="C98" s="22">
        <f t="shared" si="19"/>
        <v>0</v>
      </c>
      <c r="D98" s="22">
        <f t="shared" si="19"/>
        <v>0</v>
      </c>
      <c r="E98" s="22">
        <f t="shared" si="19"/>
        <v>0</v>
      </c>
      <c r="F98" s="22">
        <f t="shared" si="19"/>
        <v>0</v>
      </c>
      <c r="G98" s="22">
        <f t="shared" si="19"/>
        <v>0</v>
      </c>
      <c r="H98" s="22">
        <f t="shared" si="19"/>
        <v>0</v>
      </c>
      <c r="I98" s="22">
        <f t="shared" si="19"/>
        <v>0</v>
      </c>
      <c r="J98" s="22">
        <f t="shared" si="19"/>
        <v>0</v>
      </c>
      <c r="K98" s="22">
        <f t="shared" si="19"/>
        <v>0</v>
      </c>
      <c r="L98" s="22">
        <f t="shared" si="19"/>
        <v>0</v>
      </c>
      <c r="M98" s="22">
        <f t="shared" si="19"/>
        <v>0</v>
      </c>
      <c r="N98" s="22">
        <f t="shared" si="19"/>
        <v>0</v>
      </c>
      <c r="O98" s="12">
        <f t="shared" si="17"/>
        <v>0</v>
      </c>
      <c r="R98" s="2" t="s">
        <v>23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12">
        <f t="shared" si="18"/>
        <v>0</v>
      </c>
    </row>
    <row r="99" spans="1:34">
      <c r="A99" s="1" t="s">
        <v>25</v>
      </c>
      <c r="B99" s="22">
        <f t="shared" si="19"/>
        <v>0</v>
      </c>
      <c r="C99" s="22">
        <f t="shared" si="19"/>
        <v>0</v>
      </c>
      <c r="D99" s="22">
        <f t="shared" si="19"/>
        <v>0</v>
      </c>
      <c r="E99" s="22">
        <f t="shared" si="19"/>
        <v>0</v>
      </c>
      <c r="F99" s="22">
        <f t="shared" si="19"/>
        <v>0</v>
      </c>
      <c r="G99" s="22">
        <f t="shared" si="19"/>
        <v>0</v>
      </c>
      <c r="H99" s="22">
        <f t="shared" si="19"/>
        <v>0</v>
      </c>
      <c r="I99" s="22">
        <f t="shared" si="19"/>
        <v>0</v>
      </c>
      <c r="J99" s="22">
        <f t="shared" si="19"/>
        <v>0</v>
      </c>
      <c r="K99" s="22">
        <f t="shared" si="19"/>
        <v>0</v>
      </c>
      <c r="L99" s="22">
        <f t="shared" si="19"/>
        <v>0</v>
      </c>
      <c r="M99" s="22">
        <f t="shared" si="19"/>
        <v>0</v>
      </c>
      <c r="N99" s="22">
        <f t="shared" si="19"/>
        <v>0</v>
      </c>
      <c r="O99" s="12">
        <f t="shared" si="17"/>
        <v>0</v>
      </c>
      <c r="R99" s="2" t="s">
        <v>25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12">
        <f t="shared" si="18"/>
        <v>0</v>
      </c>
    </row>
    <row r="100" spans="1:34">
      <c r="A100" s="1" t="s">
        <v>24</v>
      </c>
      <c r="B100" s="22">
        <f t="shared" si="19"/>
        <v>0</v>
      </c>
      <c r="C100" s="22">
        <f t="shared" si="19"/>
        <v>0</v>
      </c>
      <c r="D100" s="22">
        <f t="shared" si="19"/>
        <v>0</v>
      </c>
      <c r="E100" s="22">
        <f t="shared" si="19"/>
        <v>0</v>
      </c>
      <c r="F100" s="22">
        <f t="shared" si="19"/>
        <v>0</v>
      </c>
      <c r="G100" s="22">
        <f t="shared" si="19"/>
        <v>0</v>
      </c>
      <c r="H100" s="22">
        <f t="shared" si="19"/>
        <v>0</v>
      </c>
      <c r="I100" s="22">
        <f t="shared" si="19"/>
        <v>0</v>
      </c>
      <c r="J100" s="22">
        <f t="shared" si="19"/>
        <v>0</v>
      </c>
      <c r="K100" s="22">
        <f t="shared" si="19"/>
        <v>0</v>
      </c>
      <c r="L100" s="22">
        <f t="shared" si="19"/>
        <v>0</v>
      </c>
      <c r="M100" s="22">
        <f t="shared" si="19"/>
        <v>0</v>
      </c>
      <c r="N100" s="22">
        <f t="shared" si="19"/>
        <v>0</v>
      </c>
      <c r="O100" s="12">
        <f t="shared" si="17"/>
        <v>0</v>
      </c>
      <c r="R100" s="2" t="s">
        <v>24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12">
        <f t="shared" si="18"/>
        <v>0</v>
      </c>
    </row>
    <row r="101" spans="1:34">
      <c r="A101" s="1" t="s">
        <v>26</v>
      </c>
      <c r="B101" s="22">
        <f t="shared" si="19"/>
        <v>0</v>
      </c>
      <c r="C101" s="22">
        <f t="shared" si="19"/>
        <v>0</v>
      </c>
      <c r="D101" s="22">
        <f t="shared" si="19"/>
        <v>0</v>
      </c>
      <c r="E101" s="22">
        <f t="shared" si="19"/>
        <v>0</v>
      </c>
      <c r="F101" s="22">
        <f t="shared" si="19"/>
        <v>0</v>
      </c>
      <c r="G101" s="22">
        <f t="shared" si="19"/>
        <v>0</v>
      </c>
      <c r="H101" s="22">
        <f t="shared" si="19"/>
        <v>0</v>
      </c>
      <c r="I101" s="22">
        <f t="shared" si="19"/>
        <v>0</v>
      </c>
      <c r="J101" s="22">
        <f t="shared" si="19"/>
        <v>0</v>
      </c>
      <c r="K101" s="22">
        <f t="shared" si="19"/>
        <v>0</v>
      </c>
      <c r="L101" s="22">
        <f t="shared" si="19"/>
        <v>0</v>
      </c>
      <c r="M101" s="22">
        <f t="shared" si="19"/>
        <v>0</v>
      </c>
      <c r="N101" s="22">
        <f t="shared" si="19"/>
        <v>0</v>
      </c>
      <c r="O101" s="12">
        <f t="shared" si="17"/>
        <v>0</v>
      </c>
      <c r="R101" s="2" t="s">
        <v>26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12">
        <f t="shared" si="18"/>
        <v>0</v>
      </c>
    </row>
    <row r="102" spans="1:34">
      <c r="A102" s="8" t="s">
        <v>37</v>
      </c>
      <c r="B102" s="16">
        <f t="shared" ref="B102:O102" si="20">SUM(B75:B101)</f>
        <v>0</v>
      </c>
      <c r="C102" s="16">
        <f t="shared" si="20"/>
        <v>0</v>
      </c>
      <c r="D102" s="16">
        <f t="shared" si="20"/>
        <v>0</v>
      </c>
      <c r="E102" s="16">
        <f t="shared" si="20"/>
        <v>0</v>
      </c>
      <c r="F102" s="16">
        <f t="shared" si="20"/>
        <v>0</v>
      </c>
      <c r="G102" s="16">
        <f t="shared" si="20"/>
        <v>0</v>
      </c>
      <c r="H102" s="16">
        <f t="shared" si="20"/>
        <v>0</v>
      </c>
      <c r="I102" s="16">
        <f t="shared" si="20"/>
        <v>0</v>
      </c>
      <c r="J102" s="16">
        <f t="shared" si="20"/>
        <v>0</v>
      </c>
      <c r="K102" s="16">
        <f t="shared" si="20"/>
        <v>0</v>
      </c>
      <c r="L102" s="16">
        <f t="shared" si="20"/>
        <v>0</v>
      </c>
      <c r="M102" s="16">
        <f t="shared" si="20"/>
        <v>0</v>
      </c>
      <c r="N102" s="16">
        <f t="shared" si="20"/>
        <v>0</v>
      </c>
      <c r="O102" s="7">
        <f t="shared" si="20"/>
        <v>0</v>
      </c>
      <c r="R102" s="8" t="s">
        <v>37</v>
      </c>
      <c r="S102" s="45">
        <f t="shared" ref="S102:AH102" si="21">SUM(S75:S101)</f>
        <v>0</v>
      </c>
      <c r="T102" s="45">
        <f t="shared" si="21"/>
        <v>0</v>
      </c>
      <c r="U102" s="45">
        <f t="shared" si="21"/>
        <v>0</v>
      </c>
      <c r="V102" s="45">
        <f t="shared" si="21"/>
        <v>0</v>
      </c>
      <c r="W102" s="45">
        <f>SUM(W75:W101)</f>
        <v>0</v>
      </c>
      <c r="X102" s="45">
        <f t="shared" si="21"/>
        <v>0</v>
      </c>
      <c r="Y102" s="45">
        <f t="shared" si="21"/>
        <v>0</v>
      </c>
      <c r="Z102" s="45">
        <f t="shared" si="21"/>
        <v>0</v>
      </c>
      <c r="AA102" s="45">
        <f t="shared" si="21"/>
        <v>0</v>
      </c>
      <c r="AB102" s="45">
        <f t="shared" si="21"/>
        <v>0</v>
      </c>
      <c r="AC102" s="45">
        <f t="shared" si="21"/>
        <v>0</v>
      </c>
      <c r="AD102" s="45">
        <f t="shared" si="21"/>
        <v>0</v>
      </c>
      <c r="AE102" s="45">
        <f t="shared" si="21"/>
        <v>0</v>
      </c>
      <c r="AF102" s="45">
        <f t="shared" si="21"/>
        <v>0</v>
      </c>
      <c r="AG102" s="45">
        <f t="shared" si="21"/>
        <v>0</v>
      </c>
      <c r="AH102" s="7">
        <f t="shared" si="21"/>
        <v>0</v>
      </c>
    </row>
    <row r="104" spans="1:34">
      <c r="O104" s="15" t="e">
        <f>O102+#REF!+#REF!+#REF!+#REF!</f>
        <v>#REF!</v>
      </c>
    </row>
    <row r="105" spans="1:34" ht="46.5">
      <c r="K105" s="296" t="s">
        <v>49</v>
      </c>
      <c r="L105" s="297"/>
      <c r="M105" s="297"/>
      <c r="N105" s="297"/>
      <c r="O105" s="297"/>
      <c r="P105" s="297"/>
      <c r="Q105" s="297"/>
      <c r="R105" s="297"/>
      <c r="S105" s="297"/>
      <c r="T105" s="297"/>
      <c r="U105" s="297"/>
      <c r="V105" s="297"/>
      <c r="W105" s="297"/>
      <c r="X105" s="297"/>
      <c r="Y105" s="297"/>
      <c r="Z105" s="297"/>
      <c r="AA105" s="297"/>
    </row>
    <row r="106" spans="1:34" ht="15" customHeight="1">
      <c r="K106" s="290" t="s">
        <v>33</v>
      </c>
      <c r="L106" s="287" t="s">
        <v>27</v>
      </c>
      <c r="M106" s="288"/>
      <c r="N106" s="287" t="s">
        <v>29</v>
      </c>
      <c r="O106" s="288"/>
      <c r="P106" s="285" t="s">
        <v>28</v>
      </c>
      <c r="Q106" s="285" t="s">
        <v>36</v>
      </c>
      <c r="R106" s="285" t="s">
        <v>30</v>
      </c>
      <c r="S106" s="285" t="s">
        <v>31</v>
      </c>
      <c r="T106" s="285" t="s">
        <v>41</v>
      </c>
      <c r="U106" s="285" t="s">
        <v>35</v>
      </c>
      <c r="V106" s="285" t="s">
        <v>40</v>
      </c>
      <c r="W106" s="285" t="s">
        <v>42</v>
      </c>
      <c r="X106" s="285" t="s">
        <v>45</v>
      </c>
      <c r="Y106" s="287" t="s">
        <v>52</v>
      </c>
      <c r="Z106" s="288"/>
      <c r="AA106" s="285" t="s">
        <v>34</v>
      </c>
    </row>
    <row r="107" spans="1:34" ht="30">
      <c r="K107" s="291"/>
      <c r="L107" s="51" t="s">
        <v>43</v>
      </c>
      <c r="M107" s="51" t="s">
        <v>44</v>
      </c>
      <c r="N107" s="51" t="s">
        <v>43</v>
      </c>
      <c r="O107" s="51" t="s">
        <v>44</v>
      </c>
      <c r="P107" s="286"/>
      <c r="Q107" s="286"/>
      <c r="R107" s="286"/>
      <c r="S107" s="286"/>
      <c r="T107" s="286"/>
      <c r="U107" s="286"/>
      <c r="V107" s="286"/>
      <c r="W107" s="286"/>
      <c r="X107" s="286"/>
      <c r="Y107" s="50" t="s">
        <v>53</v>
      </c>
      <c r="Z107" s="50" t="s">
        <v>54</v>
      </c>
      <c r="AA107" s="286"/>
    </row>
    <row r="108" spans="1:34">
      <c r="K108" s="1" t="s">
        <v>0</v>
      </c>
      <c r="L108" s="22">
        <f>B75+S75</f>
        <v>0</v>
      </c>
      <c r="M108" s="22">
        <f t="shared" ref="M108:X123" si="22">C75+T75</f>
        <v>0</v>
      </c>
      <c r="N108" s="22">
        <f t="shared" si="22"/>
        <v>0</v>
      </c>
      <c r="O108" s="22">
        <f t="shared" si="22"/>
        <v>0</v>
      </c>
      <c r="P108" s="22">
        <f t="shared" si="22"/>
        <v>0</v>
      </c>
      <c r="Q108" s="22">
        <f t="shared" si="22"/>
        <v>0</v>
      </c>
      <c r="R108" s="22">
        <f t="shared" si="22"/>
        <v>0</v>
      </c>
      <c r="S108" s="22">
        <f t="shared" si="22"/>
        <v>0</v>
      </c>
      <c r="T108" s="22">
        <f t="shared" si="22"/>
        <v>0</v>
      </c>
      <c r="U108" s="22">
        <f t="shared" si="22"/>
        <v>0</v>
      </c>
      <c r="V108" s="22">
        <f t="shared" si="22"/>
        <v>0</v>
      </c>
      <c r="W108" s="22">
        <f t="shared" si="22"/>
        <v>0</v>
      </c>
      <c r="X108" s="22">
        <f t="shared" si="22"/>
        <v>0</v>
      </c>
      <c r="Y108" s="22">
        <f>AF75</f>
        <v>0</v>
      </c>
      <c r="Z108" s="22">
        <f>AG75</f>
        <v>0</v>
      </c>
      <c r="AA108" s="12">
        <f>SUM(L108:Z108)</f>
        <v>0</v>
      </c>
    </row>
    <row r="109" spans="1:34">
      <c r="K109" s="1" t="s">
        <v>1</v>
      </c>
      <c r="L109" s="22">
        <f t="shared" ref="L109:X134" si="23">B76+S76</f>
        <v>0</v>
      </c>
      <c r="M109" s="22">
        <f t="shared" si="22"/>
        <v>0</v>
      </c>
      <c r="N109" s="22">
        <f t="shared" si="22"/>
        <v>0</v>
      </c>
      <c r="O109" s="22">
        <f t="shared" si="22"/>
        <v>0</v>
      </c>
      <c r="P109" s="22">
        <f t="shared" si="22"/>
        <v>0</v>
      </c>
      <c r="Q109" s="22">
        <f t="shared" si="22"/>
        <v>0</v>
      </c>
      <c r="R109" s="22">
        <f t="shared" si="22"/>
        <v>0</v>
      </c>
      <c r="S109" s="22">
        <f t="shared" si="22"/>
        <v>0</v>
      </c>
      <c r="T109" s="22">
        <f t="shared" si="22"/>
        <v>0</v>
      </c>
      <c r="U109" s="22">
        <f t="shared" si="22"/>
        <v>0</v>
      </c>
      <c r="V109" s="22">
        <f t="shared" si="22"/>
        <v>0</v>
      </c>
      <c r="W109" s="22">
        <f t="shared" si="22"/>
        <v>0</v>
      </c>
      <c r="X109" s="22">
        <f t="shared" si="22"/>
        <v>0</v>
      </c>
      <c r="Y109" s="22">
        <f t="shared" ref="Y109:Z134" si="24">AF76</f>
        <v>0</v>
      </c>
      <c r="Z109" s="22">
        <f t="shared" si="24"/>
        <v>0</v>
      </c>
      <c r="AA109" s="12">
        <f t="shared" ref="AA109:AA134" si="25">SUM(L109:Z109)</f>
        <v>0</v>
      </c>
    </row>
    <row r="110" spans="1:34">
      <c r="K110" s="18" t="s">
        <v>2</v>
      </c>
      <c r="L110" s="22">
        <f t="shared" si="23"/>
        <v>0</v>
      </c>
      <c r="M110" s="22">
        <f t="shared" si="22"/>
        <v>0</v>
      </c>
      <c r="N110" s="22">
        <f t="shared" si="22"/>
        <v>0</v>
      </c>
      <c r="O110" s="22">
        <f t="shared" si="22"/>
        <v>0</v>
      </c>
      <c r="P110" s="22">
        <f t="shared" si="22"/>
        <v>0</v>
      </c>
      <c r="Q110" s="22">
        <f t="shared" si="22"/>
        <v>0</v>
      </c>
      <c r="R110" s="22">
        <f t="shared" si="22"/>
        <v>0</v>
      </c>
      <c r="S110" s="22">
        <f t="shared" si="22"/>
        <v>0</v>
      </c>
      <c r="T110" s="22">
        <f t="shared" si="22"/>
        <v>0</v>
      </c>
      <c r="U110" s="22">
        <f t="shared" si="22"/>
        <v>0</v>
      </c>
      <c r="V110" s="22">
        <f t="shared" si="22"/>
        <v>0</v>
      </c>
      <c r="W110" s="22">
        <f t="shared" si="22"/>
        <v>0</v>
      </c>
      <c r="X110" s="22">
        <f t="shared" si="22"/>
        <v>0</v>
      </c>
      <c r="Y110" s="22">
        <f t="shared" si="24"/>
        <v>0</v>
      </c>
      <c r="Z110" s="22">
        <f t="shared" si="24"/>
        <v>0</v>
      </c>
      <c r="AA110" s="12">
        <f t="shared" si="25"/>
        <v>0</v>
      </c>
    </row>
    <row r="111" spans="1:34">
      <c r="K111" s="2" t="s">
        <v>3</v>
      </c>
      <c r="L111" s="22">
        <f t="shared" si="23"/>
        <v>0</v>
      </c>
      <c r="M111" s="22">
        <f t="shared" si="22"/>
        <v>0</v>
      </c>
      <c r="N111" s="22">
        <f t="shared" si="22"/>
        <v>0</v>
      </c>
      <c r="O111" s="22">
        <f t="shared" si="22"/>
        <v>0</v>
      </c>
      <c r="P111" s="22">
        <f t="shared" si="22"/>
        <v>0</v>
      </c>
      <c r="Q111" s="22">
        <f t="shared" si="22"/>
        <v>0</v>
      </c>
      <c r="R111" s="22">
        <f t="shared" si="22"/>
        <v>0</v>
      </c>
      <c r="S111" s="22">
        <f t="shared" si="22"/>
        <v>0</v>
      </c>
      <c r="T111" s="22">
        <f t="shared" si="22"/>
        <v>0</v>
      </c>
      <c r="U111" s="22">
        <f t="shared" si="22"/>
        <v>0</v>
      </c>
      <c r="V111" s="22">
        <f t="shared" si="22"/>
        <v>0</v>
      </c>
      <c r="W111" s="22">
        <f t="shared" si="22"/>
        <v>0</v>
      </c>
      <c r="X111" s="22">
        <f t="shared" si="22"/>
        <v>0</v>
      </c>
      <c r="Y111" s="22">
        <f t="shared" si="24"/>
        <v>0</v>
      </c>
      <c r="Z111" s="22">
        <f t="shared" si="24"/>
        <v>0</v>
      </c>
      <c r="AA111" s="12">
        <f t="shared" si="25"/>
        <v>0</v>
      </c>
    </row>
    <row r="112" spans="1:34">
      <c r="K112" s="1" t="s">
        <v>4</v>
      </c>
      <c r="L112" s="22">
        <f t="shared" si="23"/>
        <v>0</v>
      </c>
      <c r="M112" s="22">
        <f t="shared" si="22"/>
        <v>0</v>
      </c>
      <c r="N112" s="22">
        <f t="shared" si="22"/>
        <v>0</v>
      </c>
      <c r="O112" s="22">
        <f t="shared" si="22"/>
        <v>0</v>
      </c>
      <c r="P112" s="22">
        <f t="shared" si="22"/>
        <v>0</v>
      </c>
      <c r="Q112" s="22">
        <f t="shared" si="22"/>
        <v>0</v>
      </c>
      <c r="R112" s="22">
        <f t="shared" si="22"/>
        <v>0</v>
      </c>
      <c r="S112" s="22">
        <f t="shared" si="22"/>
        <v>0</v>
      </c>
      <c r="T112" s="22">
        <f t="shared" si="22"/>
        <v>0</v>
      </c>
      <c r="U112" s="22">
        <f t="shared" si="22"/>
        <v>0</v>
      </c>
      <c r="V112" s="22">
        <f t="shared" si="22"/>
        <v>0</v>
      </c>
      <c r="W112" s="22">
        <f t="shared" si="22"/>
        <v>0</v>
      </c>
      <c r="X112" s="22">
        <f t="shared" si="22"/>
        <v>0</v>
      </c>
      <c r="Y112" s="22">
        <f t="shared" si="24"/>
        <v>0</v>
      </c>
      <c r="Z112" s="22">
        <f t="shared" si="24"/>
        <v>0</v>
      </c>
      <c r="AA112" s="12">
        <f t="shared" si="25"/>
        <v>0</v>
      </c>
    </row>
    <row r="113" spans="11:27">
      <c r="K113" s="1" t="s">
        <v>5</v>
      </c>
      <c r="L113" s="22">
        <f t="shared" si="23"/>
        <v>0</v>
      </c>
      <c r="M113" s="22">
        <f t="shared" si="22"/>
        <v>0</v>
      </c>
      <c r="N113" s="22">
        <f t="shared" si="22"/>
        <v>0</v>
      </c>
      <c r="O113" s="22">
        <f t="shared" si="22"/>
        <v>0</v>
      </c>
      <c r="P113" s="22">
        <f t="shared" si="22"/>
        <v>0</v>
      </c>
      <c r="Q113" s="22">
        <f t="shared" si="22"/>
        <v>0</v>
      </c>
      <c r="R113" s="22">
        <f t="shared" si="22"/>
        <v>0</v>
      </c>
      <c r="S113" s="22">
        <f t="shared" si="22"/>
        <v>0</v>
      </c>
      <c r="T113" s="22">
        <f t="shared" si="22"/>
        <v>0</v>
      </c>
      <c r="U113" s="22">
        <f t="shared" si="22"/>
        <v>0</v>
      </c>
      <c r="V113" s="22">
        <f t="shared" si="22"/>
        <v>0</v>
      </c>
      <c r="W113" s="22">
        <f t="shared" si="22"/>
        <v>0</v>
      </c>
      <c r="X113" s="22">
        <f t="shared" si="22"/>
        <v>0</v>
      </c>
      <c r="Y113" s="22">
        <f t="shared" si="24"/>
        <v>0</v>
      </c>
      <c r="Z113" s="22">
        <f t="shared" si="24"/>
        <v>0</v>
      </c>
      <c r="AA113" s="12">
        <f t="shared" si="25"/>
        <v>0</v>
      </c>
    </row>
    <row r="114" spans="11:27">
      <c r="K114" s="1" t="s">
        <v>6</v>
      </c>
      <c r="L114" s="22">
        <f t="shared" si="23"/>
        <v>0</v>
      </c>
      <c r="M114" s="22">
        <f t="shared" si="22"/>
        <v>0</v>
      </c>
      <c r="N114" s="22">
        <f t="shared" si="22"/>
        <v>0</v>
      </c>
      <c r="O114" s="22">
        <f t="shared" si="22"/>
        <v>0</v>
      </c>
      <c r="P114" s="22">
        <f t="shared" si="22"/>
        <v>0</v>
      </c>
      <c r="Q114" s="22">
        <f t="shared" si="22"/>
        <v>0</v>
      </c>
      <c r="R114" s="22">
        <f t="shared" si="22"/>
        <v>0</v>
      </c>
      <c r="S114" s="22">
        <f t="shared" si="22"/>
        <v>0</v>
      </c>
      <c r="T114" s="22">
        <f t="shared" si="22"/>
        <v>0</v>
      </c>
      <c r="U114" s="22">
        <f t="shared" si="22"/>
        <v>0</v>
      </c>
      <c r="V114" s="22">
        <f t="shared" si="22"/>
        <v>0</v>
      </c>
      <c r="W114" s="22">
        <f t="shared" si="22"/>
        <v>0</v>
      </c>
      <c r="X114" s="22">
        <f t="shared" si="22"/>
        <v>0</v>
      </c>
      <c r="Y114" s="22">
        <f t="shared" si="24"/>
        <v>0</v>
      </c>
      <c r="Z114" s="22">
        <f t="shared" si="24"/>
        <v>0</v>
      </c>
      <c r="AA114" s="12">
        <f t="shared" si="25"/>
        <v>0</v>
      </c>
    </row>
    <row r="115" spans="11:27">
      <c r="K115" s="1" t="s">
        <v>7</v>
      </c>
      <c r="L115" s="22">
        <f t="shared" si="23"/>
        <v>0</v>
      </c>
      <c r="M115" s="22">
        <f t="shared" si="22"/>
        <v>0</v>
      </c>
      <c r="N115" s="22">
        <f t="shared" si="22"/>
        <v>0</v>
      </c>
      <c r="O115" s="22">
        <f t="shared" si="22"/>
        <v>0</v>
      </c>
      <c r="P115" s="22">
        <f t="shared" si="22"/>
        <v>0</v>
      </c>
      <c r="Q115" s="22">
        <f t="shared" si="22"/>
        <v>0</v>
      </c>
      <c r="R115" s="22">
        <f t="shared" si="22"/>
        <v>0</v>
      </c>
      <c r="S115" s="22">
        <f t="shared" si="22"/>
        <v>0</v>
      </c>
      <c r="T115" s="22">
        <f t="shared" si="22"/>
        <v>0</v>
      </c>
      <c r="U115" s="22">
        <f t="shared" si="22"/>
        <v>0</v>
      </c>
      <c r="V115" s="22">
        <f t="shared" si="22"/>
        <v>0</v>
      </c>
      <c r="W115" s="22">
        <f t="shared" si="22"/>
        <v>0</v>
      </c>
      <c r="X115" s="22">
        <f t="shared" si="22"/>
        <v>0</v>
      </c>
      <c r="Y115" s="22">
        <f t="shared" si="24"/>
        <v>0</v>
      </c>
      <c r="Z115" s="22">
        <f t="shared" si="24"/>
        <v>0</v>
      </c>
      <c r="AA115" s="12">
        <f t="shared" si="25"/>
        <v>0</v>
      </c>
    </row>
    <row r="116" spans="11:27">
      <c r="K116" s="1" t="s">
        <v>8</v>
      </c>
      <c r="L116" s="22">
        <f t="shared" si="23"/>
        <v>0</v>
      </c>
      <c r="M116" s="22">
        <f t="shared" si="22"/>
        <v>0</v>
      </c>
      <c r="N116" s="22">
        <f t="shared" si="22"/>
        <v>0</v>
      </c>
      <c r="O116" s="22">
        <f t="shared" si="22"/>
        <v>0</v>
      </c>
      <c r="P116" s="22">
        <f t="shared" si="22"/>
        <v>0</v>
      </c>
      <c r="Q116" s="22">
        <f t="shared" si="22"/>
        <v>0</v>
      </c>
      <c r="R116" s="22">
        <f t="shared" si="22"/>
        <v>0</v>
      </c>
      <c r="S116" s="22">
        <f t="shared" si="22"/>
        <v>0</v>
      </c>
      <c r="T116" s="22">
        <f t="shared" si="22"/>
        <v>0</v>
      </c>
      <c r="U116" s="22">
        <f t="shared" si="22"/>
        <v>0</v>
      </c>
      <c r="V116" s="22">
        <f t="shared" si="22"/>
        <v>0</v>
      </c>
      <c r="W116" s="22">
        <f t="shared" si="22"/>
        <v>0</v>
      </c>
      <c r="X116" s="22">
        <f t="shared" si="22"/>
        <v>0</v>
      </c>
      <c r="Y116" s="22">
        <f t="shared" si="24"/>
        <v>0</v>
      </c>
      <c r="Z116" s="22">
        <f t="shared" si="24"/>
        <v>0</v>
      </c>
      <c r="AA116" s="12">
        <f t="shared" si="25"/>
        <v>0</v>
      </c>
    </row>
    <row r="117" spans="11:27">
      <c r="K117" s="2" t="s">
        <v>9</v>
      </c>
      <c r="L117" s="22">
        <f t="shared" si="23"/>
        <v>0</v>
      </c>
      <c r="M117" s="22">
        <f t="shared" si="22"/>
        <v>0</v>
      </c>
      <c r="N117" s="22">
        <f t="shared" si="22"/>
        <v>0</v>
      </c>
      <c r="O117" s="22">
        <f t="shared" si="22"/>
        <v>0</v>
      </c>
      <c r="P117" s="22">
        <f t="shared" si="22"/>
        <v>0</v>
      </c>
      <c r="Q117" s="22">
        <f t="shared" si="22"/>
        <v>0</v>
      </c>
      <c r="R117" s="22">
        <f t="shared" si="22"/>
        <v>0</v>
      </c>
      <c r="S117" s="22">
        <f t="shared" si="22"/>
        <v>0</v>
      </c>
      <c r="T117" s="22">
        <f t="shared" si="22"/>
        <v>0</v>
      </c>
      <c r="U117" s="22">
        <f t="shared" si="22"/>
        <v>0</v>
      </c>
      <c r="V117" s="22">
        <f t="shared" si="22"/>
        <v>0</v>
      </c>
      <c r="W117" s="22">
        <f t="shared" si="22"/>
        <v>0</v>
      </c>
      <c r="X117" s="22">
        <f t="shared" si="22"/>
        <v>0</v>
      </c>
      <c r="Y117" s="22">
        <f t="shared" si="24"/>
        <v>0</v>
      </c>
      <c r="Z117" s="22">
        <f t="shared" si="24"/>
        <v>0</v>
      </c>
      <c r="AA117" s="12">
        <f t="shared" si="25"/>
        <v>0</v>
      </c>
    </row>
    <row r="118" spans="11:27">
      <c r="K118" s="18" t="s">
        <v>10</v>
      </c>
      <c r="L118" s="22">
        <f t="shared" si="23"/>
        <v>0</v>
      </c>
      <c r="M118" s="22">
        <f t="shared" si="22"/>
        <v>0</v>
      </c>
      <c r="N118" s="22">
        <f t="shared" si="22"/>
        <v>0</v>
      </c>
      <c r="O118" s="22">
        <f t="shared" si="22"/>
        <v>0</v>
      </c>
      <c r="P118" s="22">
        <f t="shared" si="22"/>
        <v>0</v>
      </c>
      <c r="Q118" s="22">
        <f t="shared" si="22"/>
        <v>0</v>
      </c>
      <c r="R118" s="22">
        <f t="shared" si="22"/>
        <v>0</v>
      </c>
      <c r="S118" s="22">
        <f t="shared" si="22"/>
        <v>0</v>
      </c>
      <c r="T118" s="22">
        <f t="shared" si="22"/>
        <v>0</v>
      </c>
      <c r="U118" s="22">
        <f t="shared" si="22"/>
        <v>0</v>
      </c>
      <c r="V118" s="22">
        <f t="shared" si="22"/>
        <v>0</v>
      </c>
      <c r="W118" s="22">
        <f t="shared" si="22"/>
        <v>0</v>
      </c>
      <c r="X118" s="22">
        <f t="shared" si="22"/>
        <v>0</v>
      </c>
      <c r="Y118" s="22">
        <f t="shared" si="24"/>
        <v>0</v>
      </c>
      <c r="Z118" s="22">
        <f t="shared" si="24"/>
        <v>0</v>
      </c>
      <c r="AA118" s="12">
        <f t="shared" si="25"/>
        <v>0</v>
      </c>
    </row>
    <row r="119" spans="11:27">
      <c r="K119" s="1" t="s">
        <v>11</v>
      </c>
      <c r="L119" s="22">
        <f t="shared" si="23"/>
        <v>0</v>
      </c>
      <c r="M119" s="22">
        <f t="shared" si="22"/>
        <v>0</v>
      </c>
      <c r="N119" s="22">
        <f t="shared" si="22"/>
        <v>0</v>
      </c>
      <c r="O119" s="22">
        <f t="shared" si="22"/>
        <v>0</v>
      </c>
      <c r="P119" s="22">
        <f t="shared" si="22"/>
        <v>0</v>
      </c>
      <c r="Q119" s="22">
        <f t="shared" si="22"/>
        <v>0</v>
      </c>
      <c r="R119" s="22">
        <f t="shared" si="22"/>
        <v>0</v>
      </c>
      <c r="S119" s="22">
        <f t="shared" si="22"/>
        <v>0</v>
      </c>
      <c r="T119" s="22">
        <f t="shared" si="22"/>
        <v>0</v>
      </c>
      <c r="U119" s="22">
        <f t="shared" si="22"/>
        <v>0</v>
      </c>
      <c r="V119" s="22">
        <f t="shared" si="22"/>
        <v>0</v>
      </c>
      <c r="W119" s="22">
        <f t="shared" si="22"/>
        <v>0</v>
      </c>
      <c r="X119" s="22">
        <f t="shared" si="22"/>
        <v>0</v>
      </c>
      <c r="Y119" s="22">
        <f t="shared" si="24"/>
        <v>0</v>
      </c>
      <c r="Z119" s="22">
        <f t="shared" si="24"/>
        <v>0</v>
      </c>
      <c r="AA119" s="12">
        <f t="shared" si="25"/>
        <v>0</v>
      </c>
    </row>
    <row r="120" spans="11:27">
      <c r="K120" s="1" t="s">
        <v>12</v>
      </c>
      <c r="L120" s="22">
        <f t="shared" si="23"/>
        <v>0</v>
      </c>
      <c r="M120" s="22">
        <f t="shared" si="22"/>
        <v>0</v>
      </c>
      <c r="N120" s="22">
        <f t="shared" si="22"/>
        <v>0</v>
      </c>
      <c r="O120" s="22">
        <f t="shared" si="22"/>
        <v>0</v>
      </c>
      <c r="P120" s="22">
        <f t="shared" si="22"/>
        <v>0</v>
      </c>
      <c r="Q120" s="22">
        <f t="shared" si="22"/>
        <v>0</v>
      </c>
      <c r="R120" s="22">
        <f t="shared" si="22"/>
        <v>0</v>
      </c>
      <c r="S120" s="22">
        <f t="shared" si="22"/>
        <v>0</v>
      </c>
      <c r="T120" s="22">
        <f t="shared" si="22"/>
        <v>0</v>
      </c>
      <c r="U120" s="22">
        <f t="shared" si="22"/>
        <v>0</v>
      </c>
      <c r="V120" s="22">
        <f t="shared" si="22"/>
        <v>0</v>
      </c>
      <c r="W120" s="22">
        <f t="shared" si="22"/>
        <v>0</v>
      </c>
      <c r="X120" s="22">
        <f t="shared" si="22"/>
        <v>0</v>
      </c>
      <c r="Y120" s="22">
        <f t="shared" si="24"/>
        <v>0</v>
      </c>
      <c r="Z120" s="22">
        <f t="shared" si="24"/>
        <v>0</v>
      </c>
      <c r="AA120" s="12">
        <f t="shared" si="25"/>
        <v>0</v>
      </c>
    </row>
    <row r="121" spans="11:27">
      <c r="K121" s="1" t="s">
        <v>15</v>
      </c>
      <c r="L121" s="22">
        <f t="shared" si="23"/>
        <v>0</v>
      </c>
      <c r="M121" s="22">
        <f t="shared" si="22"/>
        <v>0</v>
      </c>
      <c r="N121" s="22">
        <f t="shared" si="22"/>
        <v>0</v>
      </c>
      <c r="O121" s="22">
        <f t="shared" si="22"/>
        <v>0</v>
      </c>
      <c r="P121" s="22">
        <f t="shared" si="22"/>
        <v>0</v>
      </c>
      <c r="Q121" s="22">
        <f t="shared" si="22"/>
        <v>0</v>
      </c>
      <c r="R121" s="22">
        <f t="shared" si="22"/>
        <v>0</v>
      </c>
      <c r="S121" s="22">
        <f t="shared" si="22"/>
        <v>0</v>
      </c>
      <c r="T121" s="22">
        <f t="shared" si="22"/>
        <v>0</v>
      </c>
      <c r="U121" s="22">
        <f t="shared" si="22"/>
        <v>0</v>
      </c>
      <c r="V121" s="22">
        <f t="shared" si="22"/>
        <v>0</v>
      </c>
      <c r="W121" s="22">
        <f t="shared" si="22"/>
        <v>0</v>
      </c>
      <c r="X121" s="22">
        <f t="shared" si="22"/>
        <v>0</v>
      </c>
      <c r="Y121" s="22">
        <f t="shared" si="24"/>
        <v>0</v>
      </c>
      <c r="Z121" s="22">
        <f t="shared" si="24"/>
        <v>0</v>
      </c>
      <c r="AA121" s="12">
        <f t="shared" si="25"/>
        <v>0</v>
      </c>
    </row>
    <row r="122" spans="11:27">
      <c r="K122" s="1" t="s">
        <v>14</v>
      </c>
      <c r="L122" s="22">
        <f t="shared" si="23"/>
        <v>0</v>
      </c>
      <c r="M122" s="22">
        <f t="shared" si="22"/>
        <v>0</v>
      </c>
      <c r="N122" s="22">
        <f t="shared" si="22"/>
        <v>0</v>
      </c>
      <c r="O122" s="22">
        <f t="shared" si="22"/>
        <v>0</v>
      </c>
      <c r="P122" s="22">
        <f t="shared" si="22"/>
        <v>0</v>
      </c>
      <c r="Q122" s="22">
        <f t="shared" si="22"/>
        <v>0</v>
      </c>
      <c r="R122" s="22">
        <f t="shared" si="22"/>
        <v>0</v>
      </c>
      <c r="S122" s="22">
        <f t="shared" si="22"/>
        <v>0</v>
      </c>
      <c r="T122" s="22">
        <f t="shared" si="22"/>
        <v>0</v>
      </c>
      <c r="U122" s="22">
        <f t="shared" si="22"/>
        <v>0</v>
      </c>
      <c r="V122" s="22">
        <f t="shared" si="22"/>
        <v>0</v>
      </c>
      <c r="W122" s="22">
        <f t="shared" si="22"/>
        <v>0</v>
      </c>
      <c r="X122" s="22">
        <f t="shared" si="22"/>
        <v>0</v>
      </c>
      <c r="Y122" s="22">
        <f t="shared" si="24"/>
        <v>0</v>
      </c>
      <c r="Z122" s="22">
        <f t="shared" si="24"/>
        <v>0</v>
      </c>
      <c r="AA122" s="12">
        <f t="shared" si="25"/>
        <v>0</v>
      </c>
    </row>
    <row r="123" spans="11:27">
      <c r="K123" s="18" t="s">
        <v>13</v>
      </c>
      <c r="L123" s="22">
        <f t="shared" si="23"/>
        <v>0</v>
      </c>
      <c r="M123" s="22">
        <f t="shared" si="22"/>
        <v>0</v>
      </c>
      <c r="N123" s="22">
        <f t="shared" si="22"/>
        <v>0</v>
      </c>
      <c r="O123" s="22">
        <f t="shared" si="22"/>
        <v>0</v>
      </c>
      <c r="P123" s="22">
        <f t="shared" si="22"/>
        <v>0</v>
      </c>
      <c r="Q123" s="22">
        <f t="shared" si="22"/>
        <v>0</v>
      </c>
      <c r="R123" s="22">
        <f t="shared" si="22"/>
        <v>0</v>
      </c>
      <c r="S123" s="22">
        <f t="shared" si="22"/>
        <v>0</v>
      </c>
      <c r="T123" s="22">
        <f t="shared" si="22"/>
        <v>0</v>
      </c>
      <c r="U123" s="22">
        <f t="shared" si="22"/>
        <v>0</v>
      </c>
      <c r="V123" s="22">
        <f t="shared" si="22"/>
        <v>0</v>
      </c>
      <c r="W123" s="22">
        <f t="shared" si="22"/>
        <v>0</v>
      </c>
      <c r="X123" s="22">
        <f t="shared" si="22"/>
        <v>0</v>
      </c>
      <c r="Y123" s="22">
        <f t="shared" si="24"/>
        <v>0</v>
      </c>
      <c r="Z123" s="22">
        <f t="shared" si="24"/>
        <v>0</v>
      </c>
      <c r="AA123" s="12">
        <f t="shared" si="25"/>
        <v>0</v>
      </c>
    </row>
    <row r="124" spans="11:27">
      <c r="K124" s="1" t="s">
        <v>16</v>
      </c>
      <c r="L124" s="22">
        <f t="shared" si="23"/>
        <v>0</v>
      </c>
      <c r="M124" s="22">
        <f t="shared" si="23"/>
        <v>0</v>
      </c>
      <c r="N124" s="22">
        <f t="shared" si="23"/>
        <v>0</v>
      </c>
      <c r="O124" s="22">
        <f t="shared" si="23"/>
        <v>0</v>
      </c>
      <c r="P124" s="22">
        <f t="shared" si="23"/>
        <v>0</v>
      </c>
      <c r="Q124" s="22">
        <f t="shared" si="23"/>
        <v>0</v>
      </c>
      <c r="R124" s="22">
        <f t="shared" si="23"/>
        <v>0</v>
      </c>
      <c r="S124" s="22">
        <f t="shared" si="23"/>
        <v>0</v>
      </c>
      <c r="T124" s="22">
        <f t="shared" si="23"/>
        <v>0</v>
      </c>
      <c r="U124" s="22">
        <f t="shared" si="23"/>
        <v>0</v>
      </c>
      <c r="V124" s="22">
        <f t="shared" si="23"/>
        <v>0</v>
      </c>
      <c r="W124" s="22">
        <f t="shared" si="23"/>
        <v>0</v>
      </c>
      <c r="X124" s="22">
        <f t="shared" si="23"/>
        <v>0</v>
      </c>
      <c r="Y124" s="22">
        <f t="shared" si="24"/>
        <v>0</v>
      </c>
      <c r="Z124" s="22">
        <f t="shared" si="24"/>
        <v>0</v>
      </c>
      <c r="AA124" s="12">
        <f t="shared" si="25"/>
        <v>0</v>
      </c>
    </row>
    <row r="125" spans="11:27">
      <c r="K125" s="1" t="s">
        <v>17</v>
      </c>
      <c r="L125" s="22">
        <f t="shared" si="23"/>
        <v>0</v>
      </c>
      <c r="M125" s="22">
        <f t="shared" si="23"/>
        <v>0</v>
      </c>
      <c r="N125" s="22">
        <f t="shared" si="23"/>
        <v>0</v>
      </c>
      <c r="O125" s="22">
        <f t="shared" si="23"/>
        <v>0</v>
      </c>
      <c r="P125" s="22">
        <f t="shared" si="23"/>
        <v>0</v>
      </c>
      <c r="Q125" s="22">
        <f t="shared" si="23"/>
        <v>0</v>
      </c>
      <c r="R125" s="22">
        <f t="shared" si="23"/>
        <v>0</v>
      </c>
      <c r="S125" s="22">
        <f t="shared" si="23"/>
        <v>0</v>
      </c>
      <c r="T125" s="22">
        <f t="shared" si="23"/>
        <v>0</v>
      </c>
      <c r="U125" s="22">
        <f t="shared" si="23"/>
        <v>0</v>
      </c>
      <c r="V125" s="22">
        <f t="shared" si="23"/>
        <v>0</v>
      </c>
      <c r="W125" s="22">
        <f t="shared" si="23"/>
        <v>0</v>
      </c>
      <c r="X125" s="22">
        <f t="shared" si="23"/>
        <v>0</v>
      </c>
      <c r="Y125" s="22">
        <f t="shared" si="24"/>
        <v>0</v>
      </c>
      <c r="Z125" s="22">
        <f t="shared" si="24"/>
        <v>0</v>
      </c>
      <c r="AA125" s="12">
        <f t="shared" si="25"/>
        <v>0</v>
      </c>
    </row>
    <row r="126" spans="11:27">
      <c r="K126" s="1" t="s">
        <v>18</v>
      </c>
      <c r="L126" s="22">
        <f t="shared" si="23"/>
        <v>0</v>
      </c>
      <c r="M126" s="22">
        <f t="shared" si="23"/>
        <v>0</v>
      </c>
      <c r="N126" s="22">
        <f t="shared" si="23"/>
        <v>0</v>
      </c>
      <c r="O126" s="22">
        <f t="shared" si="23"/>
        <v>0</v>
      </c>
      <c r="P126" s="22">
        <f t="shared" si="23"/>
        <v>0</v>
      </c>
      <c r="Q126" s="22">
        <f t="shared" si="23"/>
        <v>0</v>
      </c>
      <c r="R126" s="22">
        <f t="shared" si="23"/>
        <v>0</v>
      </c>
      <c r="S126" s="22">
        <f t="shared" si="23"/>
        <v>0</v>
      </c>
      <c r="T126" s="22">
        <f t="shared" si="23"/>
        <v>0</v>
      </c>
      <c r="U126" s="22">
        <f t="shared" si="23"/>
        <v>0</v>
      </c>
      <c r="V126" s="22">
        <f t="shared" si="23"/>
        <v>0</v>
      </c>
      <c r="W126" s="22">
        <f t="shared" si="23"/>
        <v>0</v>
      </c>
      <c r="X126" s="22">
        <f t="shared" si="23"/>
        <v>0</v>
      </c>
      <c r="Y126" s="22">
        <f t="shared" si="24"/>
        <v>0</v>
      </c>
      <c r="Z126" s="22">
        <f t="shared" si="24"/>
        <v>0</v>
      </c>
      <c r="AA126" s="12">
        <f t="shared" si="25"/>
        <v>0</v>
      </c>
    </row>
    <row r="127" spans="11:27">
      <c r="K127" s="1" t="s">
        <v>20</v>
      </c>
      <c r="L127" s="22">
        <f t="shared" si="23"/>
        <v>0</v>
      </c>
      <c r="M127" s="22">
        <f t="shared" si="23"/>
        <v>0</v>
      </c>
      <c r="N127" s="22">
        <f t="shared" si="23"/>
        <v>0</v>
      </c>
      <c r="O127" s="22">
        <f t="shared" si="23"/>
        <v>0</v>
      </c>
      <c r="P127" s="22">
        <f t="shared" si="23"/>
        <v>0</v>
      </c>
      <c r="Q127" s="22">
        <f t="shared" si="23"/>
        <v>0</v>
      </c>
      <c r="R127" s="22">
        <f t="shared" si="23"/>
        <v>0</v>
      </c>
      <c r="S127" s="22">
        <f t="shared" si="23"/>
        <v>0</v>
      </c>
      <c r="T127" s="22">
        <f t="shared" si="23"/>
        <v>0</v>
      </c>
      <c r="U127" s="22">
        <f t="shared" si="23"/>
        <v>0</v>
      </c>
      <c r="V127" s="22">
        <f t="shared" si="23"/>
        <v>0</v>
      </c>
      <c r="W127" s="22">
        <f t="shared" si="23"/>
        <v>0</v>
      </c>
      <c r="X127" s="22">
        <f t="shared" si="23"/>
        <v>0</v>
      </c>
      <c r="Y127" s="22">
        <f t="shared" si="24"/>
        <v>0</v>
      </c>
      <c r="Z127" s="22">
        <f t="shared" si="24"/>
        <v>0</v>
      </c>
      <c r="AA127" s="12">
        <f t="shared" si="25"/>
        <v>0</v>
      </c>
    </row>
    <row r="128" spans="11:27">
      <c r="K128" s="1" t="s">
        <v>19</v>
      </c>
      <c r="L128" s="22">
        <f t="shared" si="23"/>
        <v>0</v>
      </c>
      <c r="M128" s="22">
        <f t="shared" si="23"/>
        <v>0</v>
      </c>
      <c r="N128" s="22">
        <f t="shared" si="23"/>
        <v>0</v>
      </c>
      <c r="O128" s="22">
        <f t="shared" si="23"/>
        <v>0</v>
      </c>
      <c r="P128" s="22">
        <f t="shared" si="23"/>
        <v>0</v>
      </c>
      <c r="Q128" s="22">
        <f t="shared" si="23"/>
        <v>0</v>
      </c>
      <c r="R128" s="22">
        <f t="shared" si="23"/>
        <v>0</v>
      </c>
      <c r="S128" s="22">
        <f t="shared" si="23"/>
        <v>0</v>
      </c>
      <c r="T128" s="22">
        <f t="shared" si="23"/>
        <v>0</v>
      </c>
      <c r="U128" s="22">
        <f t="shared" si="23"/>
        <v>0</v>
      </c>
      <c r="V128" s="22">
        <f t="shared" si="23"/>
        <v>0</v>
      </c>
      <c r="W128" s="22">
        <f t="shared" si="23"/>
        <v>0</v>
      </c>
      <c r="X128" s="22">
        <f t="shared" si="23"/>
        <v>0</v>
      </c>
      <c r="Y128" s="22">
        <f t="shared" si="24"/>
        <v>0</v>
      </c>
      <c r="Z128" s="22">
        <f t="shared" si="24"/>
        <v>0</v>
      </c>
      <c r="AA128" s="12">
        <f t="shared" si="25"/>
        <v>0</v>
      </c>
    </row>
    <row r="129" spans="11:27">
      <c r="K129" s="18" t="s">
        <v>21</v>
      </c>
      <c r="L129" s="22">
        <f t="shared" si="23"/>
        <v>0</v>
      </c>
      <c r="M129" s="22">
        <f t="shared" si="23"/>
        <v>0</v>
      </c>
      <c r="N129" s="22">
        <f t="shared" si="23"/>
        <v>0</v>
      </c>
      <c r="O129" s="22">
        <f t="shared" si="23"/>
        <v>0</v>
      </c>
      <c r="P129" s="22">
        <f t="shared" si="23"/>
        <v>0</v>
      </c>
      <c r="Q129" s="22">
        <f t="shared" si="23"/>
        <v>0</v>
      </c>
      <c r="R129" s="22">
        <f t="shared" si="23"/>
        <v>0</v>
      </c>
      <c r="S129" s="22">
        <f t="shared" si="23"/>
        <v>0</v>
      </c>
      <c r="T129" s="22">
        <f t="shared" si="23"/>
        <v>0</v>
      </c>
      <c r="U129" s="22">
        <f t="shared" si="23"/>
        <v>0</v>
      </c>
      <c r="V129" s="22">
        <f t="shared" si="23"/>
        <v>0</v>
      </c>
      <c r="W129" s="22">
        <f t="shared" si="23"/>
        <v>0</v>
      </c>
      <c r="X129" s="22">
        <f t="shared" si="23"/>
        <v>0</v>
      </c>
      <c r="Y129" s="22">
        <f t="shared" si="24"/>
        <v>0</v>
      </c>
      <c r="Z129" s="22">
        <f t="shared" si="24"/>
        <v>0</v>
      </c>
      <c r="AA129" s="12">
        <f t="shared" si="25"/>
        <v>0</v>
      </c>
    </row>
    <row r="130" spans="11:27">
      <c r="K130" s="2" t="s">
        <v>22</v>
      </c>
      <c r="L130" s="22">
        <f t="shared" si="23"/>
        <v>0</v>
      </c>
      <c r="M130" s="22">
        <f t="shared" si="23"/>
        <v>0</v>
      </c>
      <c r="N130" s="22">
        <f t="shared" si="23"/>
        <v>0</v>
      </c>
      <c r="O130" s="22">
        <f t="shared" si="23"/>
        <v>0</v>
      </c>
      <c r="P130" s="22">
        <f t="shared" si="23"/>
        <v>0</v>
      </c>
      <c r="Q130" s="22">
        <f t="shared" si="23"/>
        <v>0</v>
      </c>
      <c r="R130" s="22">
        <f t="shared" si="23"/>
        <v>0</v>
      </c>
      <c r="S130" s="22">
        <f t="shared" si="23"/>
        <v>0</v>
      </c>
      <c r="T130" s="22">
        <f t="shared" si="23"/>
        <v>0</v>
      </c>
      <c r="U130" s="22">
        <f t="shared" si="23"/>
        <v>0</v>
      </c>
      <c r="V130" s="22">
        <f t="shared" si="23"/>
        <v>0</v>
      </c>
      <c r="W130" s="22">
        <f t="shared" si="23"/>
        <v>0</v>
      </c>
      <c r="X130" s="22">
        <f t="shared" si="23"/>
        <v>0</v>
      </c>
      <c r="Y130" s="22">
        <f t="shared" si="24"/>
        <v>0</v>
      </c>
      <c r="Z130" s="22">
        <f t="shared" si="24"/>
        <v>0</v>
      </c>
      <c r="AA130" s="12">
        <f t="shared" si="25"/>
        <v>0</v>
      </c>
    </row>
    <row r="131" spans="11:27">
      <c r="K131" s="1" t="s">
        <v>23</v>
      </c>
      <c r="L131" s="22">
        <f t="shared" si="23"/>
        <v>0</v>
      </c>
      <c r="M131" s="22">
        <f t="shared" si="23"/>
        <v>0</v>
      </c>
      <c r="N131" s="22">
        <f t="shared" si="23"/>
        <v>0</v>
      </c>
      <c r="O131" s="22">
        <f t="shared" si="23"/>
        <v>0</v>
      </c>
      <c r="P131" s="22">
        <f t="shared" si="23"/>
        <v>0</v>
      </c>
      <c r="Q131" s="22">
        <f t="shared" si="23"/>
        <v>0</v>
      </c>
      <c r="R131" s="22">
        <f t="shared" si="23"/>
        <v>0</v>
      </c>
      <c r="S131" s="22">
        <f t="shared" si="23"/>
        <v>0</v>
      </c>
      <c r="T131" s="22">
        <f t="shared" si="23"/>
        <v>0</v>
      </c>
      <c r="U131" s="22">
        <f t="shared" si="23"/>
        <v>0</v>
      </c>
      <c r="V131" s="22">
        <f t="shared" si="23"/>
        <v>0</v>
      </c>
      <c r="W131" s="22">
        <f t="shared" si="23"/>
        <v>0</v>
      </c>
      <c r="X131" s="22">
        <f t="shared" si="23"/>
        <v>0</v>
      </c>
      <c r="Y131" s="22">
        <f t="shared" si="24"/>
        <v>0</v>
      </c>
      <c r="Z131" s="22">
        <f t="shared" si="24"/>
        <v>0</v>
      </c>
      <c r="AA131" s="12">
        <f t="shared" si="25"/>
        <v>0</v>
      </c>
    </row>
    <row r="132" spans="11:27">
      <c r="K132" s="1" t="s">
        <v>25</v>
      </c>
      <c r="L132" s="22">
        <f t="shared" si="23"/>
        <v>0</v>
      </c>
      <c r="M132" s="22">
        <f t="shared" si="23"/>
        <v>0</v>
      </c>
      <c r="N132" s="22">
        <f t="shared" si="23"/>
        <v>0</v>
      </c>
      <c r="O132" s="22">
        <f t="shared" si="23"/>
        <v>0</v>
      </c>
      <c r="P132" s="22">
        <f t="shared" si="23"/>
        <v>0</v>
      </c>
      <c r="Q132" s="22">
        <f t="shared" si="23"/>
        <v>0</v>
      </c>
      <c r="R132" s="22">
        <f t="shared" si="23"/>
        <v>0</v>
      </c>
      <c r="S132" s="22">
        <f t="shared" si="23"/>
        <v>0</v>
      </c>
      <c r="T132" s="22">
        <f t="shared" si="23"/>
        <v>0</v>
      </c>
      <c r="U132" s="22">
        <f t="shared" si="23"/>
        <v>0</v>
      </c>
      <c r="V132" s="22">
        <f t="shared" si="23"/>
        <v>0</v>
      </c>
      <c r="W132" s="22">
        <f t="shared" si="23"/>
        <v>0</v>
      </c>
      <c r="X132" s="22">
        <f t="shared" si="23"/>
        <v>0</v>
      </c>
      <c r="Y132" s="22">
        <f t="shared" si="24"/>
        <v>0</v>
      </c>
      <c r="Z132" s="22">
        <f t="shared" si="24"/>
        <v>0</v>
      </c>
      <c r="AA132" s="12">
        <f t="shared" si="25"/>
        <v>0</v>
      </c>
    </row>
    <row r="133" spans="11:27">
      <c r="K133" s="1" t="s">
        <v>24</v>
      </c>
      <c r="L133" s="22">
        <f t="shared" si="23"/>
        <v>0</v>
      </c>
      <c r="M133" s="22">
        <f t="shared" si="23"/>
        <v>0</v>
      </c>
      <c r="N133" s="22">
        <f t="shared" si="23"/>
        <v>0</v>
      </c>
      <c r="O133" s="22">
        <f t="shared" si="23"/>
        <v>0</v>
      </c>
      <c r="P133" s="22">
        <f t="shared" si="23"/>
        <v>0</v>
      </c>
      <c r="Q133" s="22">
        <f t="shared" si="23"/>
        <v>0</v>
      </c>
      <c r="R133" s="22">
        <f t="shared" si="23"/>
        <v>0</v>
      </c>
      <c r="S133" s="22">
        <f t="shared" si="23"/>
        <v>0</v>
      </c>
      <c r="T133" s="22">
        <f t="shared" si="23"/>
        <v>0</v>
      </c>
      <c r="U133" s="22">
        <f t="shared" si="23"/>
        <v>0</v>
      </c>
      <c r="V133" s="22">
        <f t="shared" si="23"/>
        <v>0</v>
      </c>
      <c r="W133" s="22">
        <f t="shared" si="23"/>
        <v>0</v>
      </c>
      <c r="X133" s="22">
        <f t="shared" si="23"/>
        <v>0</v>
      </c>
      <c r="Y133" s="22">
        <f t="shared" si="24"/>
        <v>0</v>
      </c>
      <c r="Z133" s="22">
        <f t="shared" si="24"/>
        <v>0</v>
      </c>
      <c r="AA133" s="12">
        <f t="shared" si="25"/>
        <v>0</v>
      </c>
    </row>
    <row r="134" spans="11:27">
      <c r="K134" s="1" t="s">
        <v>26</v>
      </c>
      <c r="L134" s="22">
        <f t="shared" si="23"/>
        <v>0</v>
      </c>
      <c r="M134" s="22">
        <f t="shared" si="23"/>
        <v>0</v>
      </c>
      <c r="N134" s="22">
        <f t="shared" si="23"/>
        <v>0</v>
      </c>
      <c r="O134" s="22">
        <f t="shared" si="23"/>
        <v>0</v>
      </c>
      <c r="P134" s="22">
        <f t="shared" si="23"/>
        <v>0</v>
      </c>
      <c r="Q134" s="22">
        <f t="shared" si="23"/>
        <v>0</v>
      </c>
      <c r="R134" s="22">
        <f t="shared" si="23"/>
        <v>0</v>
      </c>
      <c r="S134" s="22">
        <f t="shared" si="23"/>
        <v>0</v>
      </c>
      <c r="T134" s="22">
        <f t="shared" si="23"/>
        <v>0</v>
      </c>
      <c r="U134" s="22">
        <f t="shared" si="23"/>
        <v>0</v>
      </c>
      <c r="V134" s="22">
        <f t="shared" si="23"/>
        <v>0</v>
      </c>
      <c r="W134" s="22">
        <f t="shared" si="23"/>
        <v>0</v>
      </c>
      <c r="X134" s="22">
        <f t="shared" si="23"/>
        <v>0</v>
      </c>
      <c r="Y134" s="22">
        <f t="shared" si="24"/>
        <v>0</v>
      </c>
      <c r="Z134" s="22">
        <f t="shared" si="24"/>
        <v>0</v>
      </c>
      <c r="AA134" s="12">
        <f t="shared" si="25"/>
        <v>0</v>
      </c>
    </row>
    <row r="135" spans="11:27">
      <c r="K135" s="8" t="s">
        <v>37</v>
      </c>
      <c r="L135" s="16">
        <f t="shared" ref="L135:AA135" si="26">SUM(L108:L134)</f>
        <v>0</v>
      </c>
      <c r="M135" s="16">
        <f t="shared" si="26"/>
        <v>0</v>
      </c>
      <c r="N135" s="16">
        <f t="shared" si="26"/>
        <v>0</v>
      </c>
      <c r="O135" s="16">
        <f t="shared" si="26"/>
        <v>0</v>
      </c>
      <c r="P135" s="16">
        <f t="shared" si="26"/>
        <v>0</v>
      </c>
      <c r="Q135" s="16">
        <f t="shared" si="26"/>
        <v>0</v>
      </c>
      <c r="R135" s="16">
        <f t="shared" si="26"/>
        <v>0</v>
      </c>
      <c r="S135" s="16">
        <f t="shared" si="26"/>
        <v>0</v>
      </c>
      <c r="T135" s="16">
        <f t="shared" si="26"/>
        <v>0</v>
      </c>
      <c r="U135" s="16">
        <f t="shared" si="26"/>
        <v>0</v>
      </c>
      <c r="V135" s="16">
        <f t="shared" si="26"/>
        <v>0</v>
      </c>
      <c r="W135" s="16">
        <f t="shared" si="26"/>
        <v>0</v>
      </c>
      <c r="X135" s="16">
        <f>SUM(X108:X134)</f>
        <v>0</v>
      </c>
      <c r="Y135" s="16">
        <f t="shared" ref="Y135:Z135" si="27">SUM(Y108:Y134)</f>
        <v>0</v>
      </c>
      <c r="Z135" s="16">
        <f t="shared" si="27"/>
        <v>0</v>
      </c>
      <c r="AA135" s="7">
        <f t="shared" si="26"/>
        <v>0</v>
      </c>
    </row>
  </sheetData>
  <mergeCells count="103">
    <mergeCell ref="AH73:AH74"/>
    <mergeCell ref="K105:AA105"/>
    <mergeCell ref="Y106:Z106"/>
    <mergeCell ref="AA106:AA107"/>
    <mergeCell ref="A69:K69"/>
    <mergeCell ref="AH3:AH4"/>
    <mergeCell ref="R37:AH37"/>
    <mergeCell ref="AF38:AG38"/>
    <mergeCell ref="AH38:AH39"/>
    <mergeCell ref="R72:AH72"/>
    <mergeCell ref="M38:M39"/>
    <mergeCell ref="A37:O37"/>
    <mergeCell ref="A38:A39"/>
    <mergeCell ref="B38:C38"/>
    <mergeCell ref="D38:E38"/>
    <mergeCell ref="F38:F39"/>
    <mergeCell ref="G38:G39"/>
    <mergeCell ref="O73:O74"/>
    <mergeCell ref="N38:N39"/>
    <mergeCell ref="O38:O39"/>
    <mergeCell ref="A72:O72"/>
    <mergeCell ref="A73:A74"/>
    <mergeCell ref="B73:C73"/>
    <mergeCell ref="D73:E73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73:F74"/>
    <mergeCell ref="G73:G74"/>
    <mergeCell ref="H73:H74"/>
    <mergeCell ref="I73:I74"/>
    <mergeCell ref="H38:H39"/>
    <mergeCell ref="I38:I39"/>
    <mergeCell ref="J38:J39"/>
    <mergeCell ref="K38:K39"/>
    <mergeCell ref="L38:L39"/>
    <mergeCell ref="J73:J74"/>
    <mergeCell ref="K73:K74"/>
    <mergeCell ref="L73:L74"/>
    <mergeCell ref="M73:M74"/>
    <mergeCell ref="N73:N74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R3:R4"/>
    <mergeCell ref="S3:T3"/>
    <mergeCell ref="U3:V3"/>
    <mergeCell ref="W3:W4"/>
    <mergeCell ref="X3:X4"/>
    <mergeCell ref="R38:R39"/>
    <mergeCell ref="S38:T38"/>
    <mergeCell ref="U38:V38"/>
    <mergeCell ref="W38:W39"/>
    <mergeCell ref="X38:X39"/>
    <mergeCell ref="Y3:Y4"/>
    <mergeCell ref="Z3:Z4"/>
    <mergeCell ref="AA3:AA4"/>
    <mergeCell ref="AB3:AB4"/>
    <mergeCell ref="AC3:AC4"/>
    <mergeCell ref="AD3:AD4"/>
    <mergeCell ref="AE3:AE4"/>
    <mergeCell ref="R2:AH2"/>
    <mergeCell ref="AF3:AG3"/>
    <mergeCell ref="AF73:AG73"/>
    <mergeCell ref="Y38:Y39"/>
    <mergeCell ref="Z38:Z39"/>
    <mergeCell ref="AA38:AA39"/>
    <mergeCell ref="AB38:AB39"/>
    <mergeCell ref="AC38:AC39"/>
    <mergeCell ref="AD38:AD39"/>
    <mergeCell ref="AE38:AE39"/>
    <mergeCell ref="R73:R74"/>
    <mergeCell ref="S73:T73"/>
    <mergeCell ref="U73:V73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1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AH135"/>
  <sheetViews>
    <sheetView topLeftCell="A50" zoomScale="70" zoomScaleNormal="70" workbookViewId="0">
      <selection activeCell="A2" sqref="A2:AC37"/>
    </sheetView>
  </sheetViews>
  <sheetFormatPr defaultRowHeight="15"/>
  <cols>
    <col min="1" max="1" width="23.140625" customWidth="1"/>
    <col min="2" max="2" width="13.85546875" bestFit="1" customWidth="1"/>
    <col min="3" max="3" width="13.7109375" bestFit="1" customWidth="1"/>
    <col min="4" max="4" width="13.28515625" customWidth="1"/>
    <col min="5" max="5" width="13.42578125" bestFit="1" customWidth="1"/>
    <col min="6" max="6" width="13.85546875" bestFit="1" customWidth="1"/>
    <col min="7" max="7" width="19.7109375" bestFit="1" customWidth="1"/>
    <col min="8" max="8" width="14" bestFit="1" customWidth="1"/>
    <col min="9" max="9" width="15.7109375" bestFit="1" customWidth="1"/>
    <col min="10" max="10" width="13.140625" customWidth="1"/>
    <col min="11" max="11" width="20.42578125" bestFit="1" customWidth="1"/>
    <col min="12" max="14" width="20.28515625" customWidth="1"/>
    <col min="15" max="15" width="15.140625" bestFit="1" customWidth="1"/>
    <col min="16" max="16" width="13.85546875" bestFit="1" customWidth="1"/>
    <col min="17" max="17" width="11.5703125" bestFit="1" customWidth="1"/>
    <col min="18" max="18" width="23.140625" style="20" customWidth="1"/>
    <col min="19" max="19" width="16.28515625" customWidth="1"/>
    <col min="20" max="20" width="17.85546875" customWidth="1"/>
    <col min="21" max="21" width="15.7109375" customWidth="1"/>
    <col min="22" max="22" width="16" customWidth="1"/>
    <col min="23" max="23" width="20.42578125" customWidth="1"/>
    <col min="24" max="24" width="16.28515625" customWidth="1"/>
    <col min="25" max="25" width="18" customWidth="1"/>
    <col min="26" max="26" width="14.140625" customWidth="1"/>
    <col min="27" max="27" width="17.28515625" customWidth="1"/>
    <col min="28" max="28" width="16" customWidth="1"/>
    <col min="29" max="29" width="12.5703125" customWidth="1"/>
    <col min="30" max="30" width="8.42578125" customWidth="1"/>
    <col min="31" max="31" width="14.7109375" customWidth="1"/>
    <col min="32" max="32" width="12.5703125" customWidth="1"/>
    <col min="33" max="33" width="14.140625" customWidth="1"/>
    <col min="34" max="34" width="20.140625" bestFit="1" customWidth="1"/>
  </cols>
  <sheetData>
    <row r="2" spans="1:34" ht="46.5">
      <c r="A2" s="292" t="s">
        <v>97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4"/>
      <c r="R2" s="292" t="s">
        <v>99</v>
      </c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4"/>
    </row>
    <row r="3" spans="1:34" ht="21.75" customHeight="1">
      <c r="A3" s="290" t="s">
        <v>33</v>
      </c>
      <c r="B3" s="287" t="s">
        <v>27</v>
      </c>
      <c r="C3" s="288"/>
      <c r="D3" s="287" t="s">
        <v>29</v>
      </c>
      <c r="E3" s="288"/>
      <c r="F3" s="285" t="s">
        <v>28</v>
      </c>
      <c r="G3" s="285" t="s">
        <v>36</v>
      </c>
      <c r="H3" s="285" t="s">
        <v>30</v>
      </c>
      <c r="I3" s="285" t="s">
        <v>31</v>
      </c>
      <c r="J3" s="285" t="s">
        <v>41</v>
      </c>
      <c r="K3" s="285" t="s">
        <v>35</v>
      </c>
      <c r="L3" s="285" t="s">
        <v>40</v>
      </c>
      <c r="M3" s="285" t="s">
        <v>42</v>
      </c>
      <c r="N3" s="285" t="s">
        <v>45</v>
      </c>
      <c r="O3" s="285" t="s">
        <v>34</v>
      </c>
      <c r="R3" s="290" t="s">
        <v>33</v>
      </c>
      <c r="S3" s="287" t="s">
        <v>27</v>
      </c>
      <c r="T3" s="288"/>
      <c r="U3" s="287" t="s">
        <v>29</v>
      </c>
      <c r="V3" s="288"/>
      <c r="W3" s="285" t="s">
        <v>28</v>
      </c>
      <c r="X3" s="285" t="s">
        <v>36</v>
      </c>
      <c r="Y3" s="285" t="s">
        <v>30</v>
      </c>
      <c r="Z3" s="285" t="s">
        <v>31</v>
      </c>
      <c r="AA3" s="285" t="s">
        <v>41</v>
      </c>
      <c r="AB3" s="285" t="s">
        <v>35</v>
      </c>
      <c r="AC3" s="285" t="s">
        <v>40</v>
      </c>
      <c r="AD3" s="285" t="s">
        <v>42</v>
      </c>
      <c r="AE3" s="285" t="s">
        <v>45</v>
      </c>
      <c r="AF3" s="287" t="s">
        <v>52</v>
      </c>
      <c r="AG3" s="288"/>
      <c r="AH3" s="285" t="s">
        <v>34</v>
      </c>
    </row>
    <row r="4" spans="1:34" ht="30">
      <c r="A4" s="291"/>
      <c r="B4" s="5" t="s">
        <v>43</v>
      </c>
      <c r="C4" s="5" t="s">
        <v>44</v>
      </c>
      <c r="D4" s="5" t="s">
        <v>43</v>
      </c>
      <c r="E4" s="5" t="s">
        <v>44</v>
      </c>
      <c r="F4" s="286"/>
      <c r="G4" s="286"/>
      <c r="H4" s="286"/>
      <c r="I4" s="286"/>
      <c r="J4" s="286"/>
      <c r="K4" s="286"/>
      <c r="L4" s="286"/>
      <c r="M4" s="286"/>
      <c r="N4" s="286"/>
      <c r="O4" s="286"/>
      <c r="R4" s="291"/>
      <c r="S4" s="46" t="s">
        <v>43</v>
      </c>
      <c r="T4" s="46" t="s">
        <v>44</v>
      </c>
      <c r="U4" s="46" t="s">
        <v>43</v>
      </c>
      <c r="V4" s="46" t="s">
        <v>44</v>
      </c>
      <c r="W4" s="286"/>
      <c r="X4" s="286"/>
      <c r="Y4" s="286"/>
      <c r="Z4" s="286"/>
      <c r="AA4" s="286"/>
      <c r="AB4" s="286"/>
      <c r="AC4" s="286"/>
      <c r="AD4" s="286"/>
      <c r="AE4" s="286"/>
      <c r="AF4" s="52" t="s">
        <v>53</v>
      </c>
      <c r="AG4" s="52" t="s">
        <v>54</v>
      </c>
      <c r="AH4" s="286"/>
    </row>
    <row r="5" spans="1:34">
      <c r="A5" s="1" t="s">
        <v>0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R5" s="1" t="s">
        <v>0</v>
      </c>
      <c r="S5" s="35">
        <f>S75*0.8</f>
        <v>0</v>
      </c>
      <c r="T5" s="35">
        <f t="shared" ref="T5:AG5" si="0">T75*0.8</f>
        <v>0</v>
      </c>
      <c r="U5" s="35">
        <f t="shared" si="0"/>
        <v>0</v>
      </c>
      <c r="V5" s="35">
        <f t="shared" si="0"/>
        <v>0</v>
      </c>
      <c r="W5" s="35">
        <f t="shared" si="0"/>
        <v>0</v>
      </c>
      <c r="X5" s="35">
        <f t="shared" si="0"/>
        <v>0</v>
      </c>
      <c r="Y5" s="35">
        <f t="shared" si="0"/>
        <v>0</v>
      </c>
      <c r="Z5" s="35">
        <f t="shared" si="0"/>
        <v>0</v>
      </c>
      <c r="AA5" s="35">
        <f t="shared" si="0"/>
        <v>0</v>
      </c>
      <c r="AB5" s="35">
        <f t="shared" si="0"/>
        <v>0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0</v>
      </c>
    </row>
    <row r="6" spans="1:34">
      <c r="A6" s="1" t="s">
        <v>1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R6" s="1" t="s">
        <v>1</v>
      </c>
      <c r="S6" s="35">
        <f t="shared" ref="S6:AG21" si="2">S76*0.8</f>
        <v>0</v>
      </c>
      <c r="T6" s="35">
        <f t="shared" si="2"/>
        <v>0</v>
      </c>
      <c r="U6" s="35">
        <f t="shared" si="2"/>
        <v>0</v>
      </c>
      <c r="V6" s="35">
        <f t="shared" si="2"/>
        <v>0</v>
      </c>
      <c r="W6" s="35">
        <f t="shared" si="2"/>
        <v>0</v>
      </c>
      <c r="X6" s="35">
        <f t="shared" si="2"/>
        <v>0</v>
      </c>
      <c r="Y6" s="35">
        <f t="shared" si="2"/>
        <v>0</v>
      </c>
      <c r="Z6" s="35">
        <f t="shared" si="2"/>
        <v>0</v>
      </c>
      <c r="AA6" s="35">
        <f t="shared" si="2"/>
        <v>0</v>
      </c>
      <c r="AB6" s="35">
        <f t="shared" si="2"/>
        <v>0</v>
      </c>
      <c r="AC6" s="35">
        <f t="shared" si="2"/>
        <v>0</v>
      </c>
      <c r="AD6" s="35">
        <f t="shared" si="2"/>
        <v>0</v>
      </c>
      <c r="AE6" s="35">
        <f t="shared" si="2"/>
        <v>0</v>
      </c>
      <c r="AF6" s="35">
        <f t="shared" si="2"/>
        <v>0</v>
      </c>
      <c r="AG6" s="35">
        <f t="shared" si="2"/>
        <v>0</v>
      </c>
      <c r="AH6" s="4">
        <f t="shared" ref="AH6:AH31" si="3">SUM(S6:AG6)</f>
        <v>0</v>
      </c>
    </row>
    <row r="7" spans="1:34">
      <c r="A7" s="18" t="s">
        <v>2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R7" s="18" t="s">
        <v>2</v>
      </c>
      <c r="S7" s="35">
        <f t="shared" si="2"/>
        <v>0</v>
      </c>
      <c r="T7" s="35">
        <f t="shared" si="2"/>
        <v>0</v>
      </c>
      <c r="U7" s="35">
        <f t="shared" si="2"/>
        <v>0</v>
      </c>
      <c r="V7" s="35">
        <f t="shared" si="2"/>
        <v>0</v>
      </c>
      <c r="W7" s="35">
        <f t="shared" si="2"/>
        <v>0</v>
      </c>
      <c r="X7" s="35">
        <f t="shared" si="2"/>
        <v>0</v>
      </c>
      <c r="Y7" s="35">
        <f t="shared" si="2"/>
        <v>0</v>
      </c>
      <c r="Z7" s="35">
        <f t="shared" si="2"/>
        <v>0</v>
      </c>
      <c r="AA7" s="35">
        <f t="shared" si="2"/>
        <v>0</v>
      </c>
      <c r="AB7" s="35">
        <f t="shared" si="2"/>
        <v>0</v>
      </c>
      <c r="AC7" s="35">
        <f t="shared" si="2"/>
        <v>0</v>
      </c>
      <c r="AD7" s="35">
        <f t="shared" si="2"/>
        <v>0</v>
      </c>
      <c r="AE7" s="35">
        <f t="shared" si="2"/>
        <v>0</v>
      </c>
      <c r="AF7" s="35">
        <f t="shared" si="2"/>
        <v>0</v>
      </c>
      <c r="AG7" s="35">
        <f t="shared" si="2"/>
        <v>0</v>
      </c>
      <c r="AH7" s="4">
        <f t="shared" si="3"/>
        <v>0</v>
      </c>
    </row>
    <row r="8" spans="1:34">
      <c r="A8" s="2" t="s">
        <v>3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R8" s="2" t="s">
        <v>3</v>
      </c>
      <c r="S8" s="35">
        <f t="shared" si="2"/>
        <v>0</v>
      </c>
      <c r="T8" s="35">
        <f t="shared" si="2"/>
        <v>0</v>
      </c>
      <c r="U8" s="35">
        <f t="shared" si="2"/>
        <v>0</v>
      </c>
      <c r="V8" s="35">
        <f t="shared" si="2"/>
        <v>0</v>
      </c>
      <c r="W8" s="35">
        <f t="shared" si="2"/>
        <v>0</v>
      </c>
      <c r="X8" s="35">
        <f t="shared" si="2"/>
        <v>0</v>
      </c>
      <c r="Y8" s="35">
        <f t="shared" si="2"/>
        <v>0</v>
      </c>
      <c r="Z8" s="35">
        <f t="shared" si="2"/>
        <v>0</v>
      </c>
      <c r="AA8" s="35">
        <f t="shared" si="2"/>
        <v>0</v>
      </c>
      <c r="AB8" s="35">
        <f t="shared" si="2"/>
        <v>0</v>
      </c>
      <c r="AC8" s="35">
        <f t="shared" si="2"/>
        <v>0</v>
      </c>
      <c r="AD8" s="35">
        <f t="shared" si="2"/>
        <v>0</v>
      </c>
      <c r="AE8" s="35">
        <f t="shared" si="2"/>
        <v>0</v>
      </c>
      <c r="AF8" s="35">
        <f>AF78</f>
        <v>0</v>
      </c>
      <c r="AG8" s="35">
        <f>AG78</f>
        <v>0</v>
      </c>
      <c r="AH8" s="4">
        <f t="shared" si="3"/>
        <v>0</v>
      </c>
    </row>
    <row r="9" spans="1:34">
      <c r="A9" s="1" t="s">
        <v>4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R9" s="1" t="s">
        <v>4</v>
      </c>
      <c r="S9" s="35">
        <f t="shared" si="2"/>
        <v>0</v>
      </c>
      <c r="T9" s="35">
        <f t="shared" si="2"/>
        <v>0</v>
      </c>
      <c r="U9" s="35">
        <f t="shared" si="2"/>
        <v>0</v>
      </c>
      <c r="V9" s="35">
        <f t="shared" si="2"/>
        <v>0</v>
      </c>
      <c r="W9" s="35">
        <f t="shared" si="2"/>
        <v>0</v>
      </c>
      <c r="X9" s="35">
        <f t="shared" si="2"/>
        <v>0</v>
      </c>
      <c r="Y9" s="35">
        <f t="shared" si="2"/>
        <v>0</v>
      </c>
      <c r="Z9" s="35">
        <f t="shared" si="2"/>
        <v>0</v>
      </c>
      <c r="AA9" s="35">
        <f t="shared" si="2"/>
        <v>0</v>
      </c>
      <c r="AB9" s="35">
        <f t="shared" si="2"/>
        <v>0</v>
      </c>
      <c r="AC9" s="35">
        <f t="shared" si="2"/>
        <v>0</v>
      </c>
      <c r="AD9" s="35">
        <f t="shared" si="2"/>
        <v>0</v>
      </c>
      <c r="AE9" s="35">
        <f t="shared" si="2"/>
        <v>0</v>
      </c>
      <c r="AF9" s="35">
        <f t="shared" si="2"/>
        <v>0</v>
      </c>
      <c r="AG9" s="35">
        <f t="shared" si="2"/>
        <v>0</v>
      </c>
      <c r="AH9" s="4">
        <f t="shared" si="3"/>
        <v>0</v>
      </c>
    </row>
    <row r="10" spans="1:34">
      <c r="A10" s="1" t="s">
        <v>5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R10" s="1" t="s">
        <v>5</v>
      </c>
      <c r="S10" s="35">
        <f t="shared" si="2"/>
        <v>0</v>
      </c>
      <c r="T10" s="35">
        <f t="shared" si="2"/>
        <v>0</v>
      </c>
      <c r="U10" s="35">
        <f t="shared" si="2"/>
        <v>0</v>
      </c>
      <c r="V10" s="35">
        <f t="shared" si="2"/>
        <v>0</v>
      </c>
      <c r="W10" s="35">
        <f t="shared" si="2"/>
        <v>0</v>
      </c>
      <c r="X10" s="35">
        <f t="shared" si="2"/>
        <v>0</v>
      </c>
      <c r="Y10" s="35">
        <f t="shared" si="2"/>
        <v>0</v>
      </c>
      <c r="Z10" s="35">
        <f t="shared" si="2"/>
        <v>0</v>
      </c>
      <c r="AA10" s="35">
        <f t="shared" si="2"/>
        <v>0</v>
      </c>
      <c r="AB10" s="35">
        <f t="shared" si="2"/>
        <v>0</v>
      </c>
      <c r="AC10" s="35">
        <f t="shared" si="2"/>
        <v>0</v>
      </c>
      <c r="AD10" s="35">
        <f t="shared" si="2"/>
        <v>0</v>
      </c>
      <c r="AE10" s="35">
        <f t="shared" si="2"/>
        <v>0</v>
      </c>
      <c r="AF10" s="35">
        <f t="shared" si="2"/>
        <v>0</v>
      </c>
      <c r="AG10" s="35">
        <f t="shared" si="2"/>
        <v>0</v>
      </c>
      <c r="AH10" s="4">
        <f t="shared" si="3"/>
        <v>0</v>
      </c>
    </row>
    <row r="11" spans="1:34">
      <c r="A11" s="1" t="s">
        <v>6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0</v>
      </c>
      <c r="R11" s="1" t="s">
        <v>6</v>
      </c>
      <c r="S11" s="35">
        <f t="shared" si="2"/>
        <v>0</v>
      </c>
      <c r="T11" s="35">
        <f t="shared" si="2"/>
        <v>0</v>
      </c>
      <c r="U11" s="35">
        <f t="shared" si="2"/>
        <v>0</v>
      </c>
      <c r="V11" s="35">
        <f t="shared" si="2"/>
        <v>0</v>
      </c>
      <c r="W11" s="35">
        <f t="shared" si="2"/>
        <v>0</v>
      </c>
      <c r="X11" s="35">
        <f t="shared" si="2"/>
        <v>0</v>
      </c>
      <c r="Y11" s="35">
        <f t="shared" si="2"/>
        <v>0</v>
      </c>
      <c r="Z11" s="35">
        <f t="shared" si="2"/>
        <v>0</v>
      </c>
      <c r="AA11" s="35">
        <f t="shared" si="2"/>
        <v>0</v>
      </c>
      <c r="AB11" s="35">
        <f t="shared" si="2"/>
        <v>0</v>
      </c>
      <c r="AC11" s="35">
        <f t="shared" si="2"/>
        <v>0</v>
      </c>
      <c r="AD11" s="35">
        <f t="shared" si="2"/>
        <v>0</v>
      </c>
      <c r="AE11" s="35">
        <f t="shared" si="2"/>
        <v>0</v>
      </c>
      <c r="AF11" s="35">
        <f t="shared" si="2"/>
        <v>0</v>
      </c>
      <c r="AG11" s="35">
        <f t="shared" si="2"/>
        <v>0</v>
      </c>
      <c r="AH11" s="4">
        <f t="shared" si="3"/>
        <v>0</v>
      </c>
    </row>
    <row r="12" spans="1:34">
      <c r="A12" s="1" t="s">
        <v>7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R12" s="1" t="s">
        <v>7</v>
      </c>
      <c r="S12" s="35">
        <f t="shared" si="2"/>
        <v>0</v>
      </c>
      <c r="T12" s="35">
        <f t="shared" si="2"/>
        <v>0</v>
      </c>
      <c r="U12" s="35">
        <f t="shared" si="2"/>
        <v>0</v>
      </c>
      <c r="V12" s="35">
        <f t="shared" si="2"/>
        <v>0</v>
      </c>
      <c r="W12" s="35">
        <f t="shared" si="2"/>
        <v>0</v>
      </c>
      <c r="X12" s="35">
        <f t="shared" si="2"/>
        <v>0</v>
      </c>
      <c r="Y12" s="35">
        <f t="shared" si="2"/>
        <v>0</v>
      </c>
      <c r="Z12" s="35">
        <f t="shared" si="2"/>
        <v>0</v>
      </c>
      <c r="AA12" s="35">
        <f t="shared" si="2"/>
        <v>0</v>
      </c>
      <c r="AB12" s="35">
        <f t="shared" si="2"/>
        <v>0</v>
      </c>
      <c r="AC12" s="35">
        <f t="shared" si="2"/>
        <v>0</v>
      </c>
      <c r="AD12" s="35">
        <f t="shared" si="2"/>
        <v>0</v>
      </c>
      <c r="AE12" s="35">
        <f t="shared" si="2"/>
        <v>0</v>
      </c>
      <c r="AF12" s="35">
        <f t="shared" si="2"/>
        <v>0</v>
      </c>
      <c r="AG12" s="35">
        <f t="shared" si="2"/>
        <v>0</v>
      </c>
      <c r="AH12" s="4">
        <f t="shared" si="3"/>
        <v>0</v>
      </c>
    </row>
    <row r="13" spans="1:34">
      <c r="A13" s="1" t="s">
        <v>8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R13" s="1" t="s">
        <v>8</v>
      </c>
      <c r="S13" s="35">
        <f t="shared" si="2"/>
        <v>0</v>
      </c>
      <c r="T13" s="35">
        <f t="shared" si="2"/>
        <v>0</v>
      </c>
      <c r="U13" s="35">
        <f t="shared" si="2"/>
        <v>0</v>
      </c>
      <c r="V13" s="35">
        <f t="shared" si="2"/>
        <v>0</v>
      </c>
      <c r="W13" s="35">
        <f t="shared" si="2"/>
        <v>0</v>
      </c>
      <c r="X13" s="35">
        <f t="shared" si="2"/>
        <v>0</v>
      </c>
      <c r="Y13" s="35">
        <f t="shared" si="2"/>
        <v>0</v>
      </c>
      <c r="Z13" s="35">
        <f t="shared" si="2"/>
        <v>0</v>
      </c>
      <c r="AA13" s="35">
        <f t="shared" si="2"/>
        <v>0</v>
      </c>
      <c r="AB13" s="35">
        <f t="shared" si="2"/>
        <v>0</v>
      </c>
      <c r="AC13" s="35">
        <f t="shared" si="2"/>
        <v>0</v>
      </c>
      <c r="AD13" s="35">
        <f t="shared" si="2"/>
        <v>0</v>
      </c>
      <c r="AE13" s="35">
        <f t="shared" si="2"/>
        <v>0</v>
      </c>
      <c r="AF13" s="35">
        <f t="shared" si="2"/>
        <v>0</v>
      </c>
      <c r="AG13" s="35">
        <f t="shared" si="2"/>
        <v>0</v>
      </c>
      <c r="AH13" s="4">
        <f t="shared" si="3"/>
        <v>0</v>
      </c>
    </row>
    <row r="14" spans="1:34">
      <c r="A14" s="2" t="s">
        <v>9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R14" s="2" t="s">
        <v>9</v>
      </c>
      <c r="S14" s="35">
        <f t="shared" si="2"/>
        <v>0</v>
      </c>
      <c r="T14" s="35">
        <f t="shared" si="2"/>
        <v>0</v>
      </c>
      <c r="U14" s="35">
        <f t="shared" si="2"/>
        <v>0</v>
      </c>
      <c r="V14" s="35">
        <f t="shared" si="2"/>
        <v>0</v>
      </c>
      <c r="W14" s="35">
        <f t="shared" si="2"/>
        <v>0</v>
      </c>
      <c r="X14" s="35">
        <f t="shared" si="2"/>
        <v>0</v>
      </c>
      <c r="Y14" s="35">
        <f t="shared" si="2"/>
        <v>0</v>
      </c>
      <c r="Z14" s="35">
        <f t="shared" si="2"/>
        <v>0</v>
      </c>
      <c r="AA14" s="35">
        <f t="shared" si="2"/>
        <v>0</v>
      </c>
      <c r="AB14" s="35">
        <f t="shared" si="2"/>
        <v>0</v>
      </c>
      <c r="AC14" s="35">
        <f t="shared" si="2"/>
        <v>0</v>
      </c>
      <c r="AD14" s="35">
        <f t="shared" si="2"/>
        <v>0</v>
      </c>
      <c r="AE14" s="35">
        <f t="shared" si="2"/>
        <v>0</v>
      </c>
      <c r="AF14" s="35">
        <f t="shared" si="2"/>
        <v>0</v>
      </c>
      <c r="AG14" s="35">
        <f t="shared" si="2"/>
        <v>0</v>
      </c>
      <c r="AH14" s="4">
        <f t="shared" si="3"/>
        <v>0</v>
      </c>
    </row>
    <row r="15" spans="1:34">
      <c r="A15" s="18" t="s">
        <v>10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0</v>
      </c>
      <c r="R15" s="18" t="s">
        <v>10</v>
      </c>
      <c r="S15" s="35">
        <f t="shared" si="2"/>
        <v>0</v>
      </c>
      <c r="T15" s="35">
        <f t="shared" si="2"/>
        <v>0</v>
      </c>
      <c r="U15" s="35">
        <f t="shared" si="2"/>
        <v>0</v>
      </c>
      <c r="V15" s="35">
        <f t="shared" si="2"/>
        <v>0</v>
      </c>
      <c r="W15" s="35">
        <f t="shared" si="2"/>
        <v>0</v>
      </c>
      <c r="X15" s="35">
        <f t="shared" si="2"/>
        <v>0</v>
      </c>
      <c r="Y15" s="35">
        <f t="shared" si="2"/>
        <v>0</v>
      </c>
      <c r="Z15" s="35">
        <f t="shared" si="2"/>
        <v>0</v>
      </c>
      <c r="AA15" s="35">
        <f t="shared" si="2"/>
        <v>0</v>
      </c>
      <c r="AB15" s="35">
        <f t="shared" si="2"/>
        <v>0</v>
      </c>
      <c r="AC15" s="35">
        <f t="shared" si="2"/>
        <v>0</v>
      </c>
      <c r="AD15" s="35">
        <f t="shared" si="2"/>
        <v>0</v>
      </c>
      <c r="AE15" s="35">
        <f t="shared" si="2"/>
        <v>0</v>
      </c>
      <c r="AF15" s="35">
        <f t="shared" si="2"/>
        <v>0</v>
      </c>
      <c r="AG15" s="35">
        <f t="shared" si="2"/>
        <v>0</v>
      </c>
      <c r="AH15" s="4">
        <f t="shared" si="3"/>
        <v>0</v>
      </c>
    </row>
    <row r="16" spans="1:34">
      <c r="A16" s="1" t="s">
        <v>11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R16" s="1" t="s">
        <v>11</v>
      </c>
      <c r="S16" s="35">
        <f t="shared" si="2"/>
        <v>0</v>
      </c>
      <c r="T16" s="35">
        <f t="shared" si="2"/>
        <v>0</v>
      </c>
      <c r="U16" s="35">
        <f t="shared" si="2"/>
        <v>0</v>
      </c>
      <c r="V16" s="35">
        <f t="shared" si="2"/>
        <v>0</v>
      </c>
      <c r="W16" s="35">
        <f t="shared" si="2"/>
        <v>0</v>
      </c>
      <c r="X16" s="35">
        <f t="shared" si="2"/>
        <v>0</v>
      </c>
      <c r="Y16" s="35">
        <f t="shared" si="2"/>
        <v>0</v>
      </c>
      <c r="Z16" s="35">
        <f t="shared" si="2"/>
        <v>0</v>
      </c>
      <c r="AA16" s="35">
        <f t="shared" si="2"/>
        <v>0</v>
      </c>
      <c r="AB16" s="35">
        <f t="shared" si="2"/>
        <v>0</v>
      </c>
      <c r="AC16" s="35">
        <f t="shared" si="2"/>
        <v>0</v>
      </c>
      <c r="AD16" s="35">
        <f t="shared" si="2"/>
        <v>0</v>
      </c>
      <c r="AE16" s="35">
        <f t="shared" si="2"/>
        <v>0</v>
      </c>
      <c r="AF16" s="35">
        <f t="shared" si="2"/>
        <v>0</v>
      </c>
      <c r="AG16" s="35">
        <f t="shared" si="2"/>
        <v>0</v>
      </c>
      <c r="AH16" s="4">
        <f t="shared" si="3"/>
        <v>0</v>
      </c>
    </row>
    <row r="17" spans="1:34">
      <c r="A17" s="1" t="s">
        <v>12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0</v>
      </c>
      <c r="R17" s="1" t="s">
        <v>12</v>
      </c>
      <c r="S17" s="35">
        <f t="shared" si="2"/>
        <v>0</v>
      </c>
      <c r="T17" s="35">
        <f t="shared" si="2"/>
        <v>0</v>
      </c>
      <c r="U17" s="35">
        <f t="shared" si="2"/>
        <v>0</v>
      </c>
      <c r="V17" s="35">
        <f t="shared" si="2"/>
        <v>0</v>
      </c>
      <c r="W17" s="35">
        <f t="shared" si="2"/>
        <v>0</v>
      </c>
      <c r="X17" s="35">
        <f t="shared" si="2"/>
        <v>0</v>
      </c>
      <c r="Y17" s="35">
        <f t="shared" si="2"/>
        <v>0</v>
      </c>
      <c r="Z17" s="35">
        <f t="shared" si="2"/>
        <v>0</v>
      </c>
      <c r="AA17" s="35">
        <f t="shared" si="2"/>
        <v>0</v>
      </c>
      <c r="AB17" s="35">
        <f t="shared" si="2"/>
        <v>0</v>
      </c>
      <c r="AC17" s="35">
        <f t="shared" si="2"/>
        <v>0</v>
      </c>
      <c r="AD17" s="35">
        <f t="shared" si="2"/>
        <v>0</v>
      </c>
      <c r="AE17" s="35">
        <f t="shared" si="2"/>
        <v>0</v>
      </c>
      <c r="AF17" s="35">
        <f t="shared" si="2"/>
        <v>0</v>
      </c>
      <c r="AG17" s="35">
        <f t="shared" si="2"/>
        <v>0</v>
      </c>
      <c r="AH17" s="4">
        <f t="shared" si="3"/>
        <v>0</v>
      </c>
    </row>
    <row r="18" spans="1:34">
      <c r="A18" s="1" t="s">
        <v>15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R18" s="1" t="s">
        <v>15</v>
      </c>
      <c r="S18" s="35">
        <f t="shared" si="2"/>
        <v>0</v>
      </c>
      <c r="T18" s="35">
        <f t="shared" si="2"/>
        <v>0</v>
      </c>
      <c r="U18" s="35">
        <f t="shared" si="2"/>
        <v>0</v>
      </c>
      <c r="V18" s="35">
        <f t="shared" si="2"/>
        <v>0</v>
      </c>
      <c r="W18" s="35">
        <f t="shared" si="2"/>
        <v>0</v>
      </c>
      <c r="X18" s="35">
        <f t="shared" si="2"/>
        <v>0</v>
      </c>
      <c r="Y18" s="35">
        <f t="shared" si="2"/>
        <v>0</v>
      </c>
      <c r="Z18" s="35">
        <f t="shared" si="2"/>
        <v>0</v>
      </c>
      <c r="AA18" s="35">
        <f t="shared" si="2"/>
        <v>0</v>
      </c>
      <c r="AB18" s="35">
        <f t="shared" si="2"/>
        <v>0</v>
      </c>
      <c r="AC18" s="35">
        <f t="shared" si="2"/>
        <v>0</v>
      </c>
      <c r="AD18" s="35">
        <f t="shared" si="2"/>
        <v>0</v>
      </c>
      <c r="AE18" s="35">
        <f t="shared" si="2"/>
        <v>0</v>
      </c>
      <c r="AF18" s="35">
        <f t="shared" si="2"/>
        <v>0</v>
      </c>
      <c r="AG18" s="35">
        <f t="shared" si="2"/>
        <v>0</v>
      </c>
      <c r="AH18" s="4">
        <f t="shared" si="3"/>
        <v>0</v>
      </c>
    </row>
    <row r="19" spans="1:34">
      <c r="A19" s="39" t="s">
        <v>14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0</v>
      </c>
      <c r="R19" s="1" t="s">
        <v>14</v>
      </c>
      <c r="S19" s="35">
        <f t="shared" si="2"/>
        <v>0</v>
      </c>
      <c r="T19" s="35">
        <f t="shared" si="2"/>
        <v>0</v>
      </c>
      <c r="U19" s="35">
        <f t="shared" si="2"/>
        <v>0</v>
      </c>
      <c r="V19" s="35">
        <f t="shared" si="2"/>
        <v>0</v>
      </c>
      <c r="W19" s="35">
        <f t="shared" si="2"/>
        <v>0</v>
      </c>
      <c r="X19" s="35">
        <f t="shared" si="2"/>
        <v>0</v>
      </c>
      <c r="Y19" s="35">
        <f t="shared" si="2"/>
        <v>0</v>
      </c>
      <c r="Z19" s="35">
        <f t="shared" si="2"/>
        <v>0</v>
      </c>
      <c r="AA19" s="35">
        <f t="shared" si="2"/>
        <v>0</v>
      </c>
      <c r="AB19" s="35">
        <f t="shared" si="2"/>
        <v>0</v>
      </c>
      <c r="AC19" s="35">
        <f t="shared" si="2"/>
        <v>0</v>
      </c>
      <c r="AD19" s="35">
        <f t="shared" si="2"/>
        <v>0</v>
      </c>
      <c r="AE19" s="35">
        <f t="shared" si="2"/>
        <v>0</v>
      </c>
      <c r="AF19" s="35">
        <f t="shared" si="2"/>
        <v>0</v>
      </c>
      <c r="AG19" s="35">
        <f t="shared" si="2"/>
        <v>0</v>
      </c>
      <c r="AH19" s="4">
        <f t="shared" si="3"/>
        <v>0</v>
      </c>
    </row>
    <row r="20" spans="1:34">
      <c r="A20" s="18" t="s">
        <v>13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R20" s="18" t="s">
        <v>13</v>
      </c>
      <c r="S20" s="35">
        <f t="shared" si="2"/>
        <v>0</v>
      </c>
      <c r="T20" s="35">
        <f t="shared" si="2"/>
        <v>0</v>
      </c>
      <c r="U20" s="35">
        <f t="shared" si="2"/>
        <v>0</v>
      </c>
      <c r="V20" s="35">
        <f t="shared" si="2"/>
        <v>0</v>
      </c>
      <c r="W20" s="35">
        <f t="shared" si="2"/>
        <v>0</v>
      </c>
      <c r="X20" s="35">
        <f t="shared" si="2"/>
        <v>0</v>
      </c>
      <c r="Y20" s="35">
        <f t="shared" si="2"/>
        <v>0</v>
      </c>
      <c r="Z20" s="35">
        <f t="shared" si="2"/>
        <v>0</v>
      </c>
      <c r="AA20" s="35">
        <f t="shared" si="2"/>
        <v>0</v>
      </c>
      <c r="AB20" s="35">
        <f t="shared" si="2"/>
        <v>0</v>
      </c>
      <c r="AC20" s="35">
        <f t="shared" si="2"/>
        <v>0</v>
      </c>
      <c r="AD20" s="35">
        <f t="shared" si="2"/>
        <v>0</v>
      </c>
      <c r="AE20" s="35">
        <f t="shared" si="2"/>
        <v>0</v>
      </c>
      <c r="AF20" s="35">
        <f t="shared" si="2"/>
        <v>0</v>
      </c>
      <c r="AG20" s="35">
        <f t="shared" si="2"/>
        <v>0</v>
      </c>
      <c r="AH20" s="4">
        <f t="shared" si="3"/>
        <v>0</v>
      </c>
    </row>
    <row r="21" spans="1:34">
      <c r="A21" s="1" t="s">
        <v>16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R21" s="1" t="s">
        <v>16</v>
      </c>
      <c r="S21" s="35">
        <f t="shared" si="2"/>
        <v>0</v>
      </c>
      <c r="T21" s="35">
        <f t="shared" si="2"/>
        <v>0</v>
      </c>
      <c r="U21" s="35">
        <f t="shared" si="2"/>
        <v>0</v>
      </c>
      <c r="V21" s="35">
        <f t="shared" si="2"/>
        <v>0</v>
      </c>
      <c r="W21" s="35">
        <f t="shared" si="2"/>
        <v>0</v>
      </c>
      <c r="X21" s="35">
        <f t="shared" si="2"/>
        <v>0</v>
      </c>
      <c r="Y21" s="35">
        <f t="shared" si="2"/>
        <v>0</v>
      </c>
      <c r="Z21" s="35">
        <f t="shared" si="2"/>
        <v>0</v>
      </c>
      <c r="AA21" s="35">
        <f t="shared" si="2"/>
        <v>0</v>
      </c>
      <c r="AB21" s="35">
        <f t="shared" si="2"/>
        <v>0</v>
      </c>
      <c r="AC21" s="35">
        <f t="shared" si="2"/>
        <v>0</v>
      </c>
      <c r="AD21" s="35">
        <f t="shared" si="2"/>
        <v>0</v>
      </c>
      <c r="AE21" s="35">
        <f t="shared" si="2"/>
        <v>0</v>
      </c>
      <c r="AF21" s="35">
        <f t="shared" si="2"/>
        <v>0</v>
      </c>
      <c r="AG21" s="35">
        <f t="shared" si="2"/>
        <v>0</v>
      </c>
      <c r="AH21" s="4">
        <f t="shared" si="3"/>
        <v>0</v>
      </c>
    </row>
    <row r="22" spans="1:34">
      <c r="A22" s="1" t="s">
        <v>17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R22" s="1" t="s">
        <v>17</v>
      </c>
      <c r="S22" s="35">
        <f t="shared" ref="S22:AG31" si="4">S92*0.8</f>
        <v>0</v>
      </c>
      <c r="T22" s="35">
        <f t="shared" si="4"/>
        <v>0</v>
      </c>
      <c r="U22" s="35">
        <f t="shared" si="4"/>
        <v>0</v>
      </c>
      <c r="V22" s="35">
        <f t="shared" si="4"/>
        <v>0</v>
      </c>
      <c r="W22" s="35">
        <f t="shared" si="4"/>
        <v>0</v>
      </c>
      <c r="X22" s="35">
        <f t="shared" si="4"/>
        <v>0</v>
      </c>
      <c r="Y22" s="35">
        <f t="shared" si="4"/>
        <v>0</v>
      </c>
      <c r="Z22" s="35">
        <f t="shared" si="4"/>
        <v>0</v>
      </c>
      <c r="AA22" s="35">
        <f t="shared" si="4"/>
        <v>0</v>
      </c>
      <c r="AB22" s="35">
        <f t="shared" si="4"/>
        <v>0</v>
      </c>
      <c r="AC22" s="35">
        <f t="shared" si="4"/>
        <v>0</v>
      </c>
      <c r="AD22" s="35">
        <f t="shared" si="4"/>
        <v>0</v>
      </c>
      <c r="AE22" s="35">
        <f t="shared" si="4"/>
        <v>0</v>
      </c>
      <c r="AF22" s="35">
        <f t="shared" si="4"/>
        <v>0</v>
      </c>
      <c r="AG22" s="35">
        <f t="shared" si="4"/>
        <v>0</v>
      </c>
      <c r="AH22" s="4">
        <f t="shared" si="3"/>
        <v>0</v>
      </c>
    </row>
    <row r="23" spans="1:34">
      <c r="A23" s="1" t="s">
        <v>18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0</v>
      </c>
      <c r="R23" s="1" t="s">
        <v>18</v>
      </c>
      <c r="S23" s="35">
        <f t="shared" si="4"/>
        <v>0</v>
      </c>
      <c r="T23" s="35">
        <f t="shared" si="4"/>
        <v>0</v>
      </c>
      <c r="U23" s="35">
        <f t="shared" si="4"/>
        <v>0</v>
      </c>
      <c r="V23" s="35">
        <f t="shared" si="4"/>
        <v>0</v>
      </c>
      <c r="W23" s="35">
        <f t="shared" si="4"/>
        <v>0</v>
      </c>
      <c r="X23" s="35">
        <f t="shared" si="4"/>
        <v>0</v>
      </c>
      <c r="Y23" s="35">
        <f t="shared" si="4"/>
        <v>0</v>
      </c>
      <c r="Z23" s="35">
        <f t="shared" si="4"/>
        <v>0</v>
      </c>
      <c r="AA23" s="35">
        <f t="shared" si="4"/>
        <v>0</v>
      </c>
      <c r="AB23" s="35">
        <f t="shared" si="4"/>
        <v>0</v>
      </c>
      <c r="AC23" s="35">
        <f t="shared" si="4"/>
        <v>0</v>
      </c>
      <c r="AD23" s="35">
        <f t="shared" si="4"/>
        <v>0</v>
      </c>
      <c r="AE23" s="35">
        <f t="shared" si="4"/>
        <v>0</v>
      </c>
      <c r="AF23" s="35">
        <f t="shared" si="4"/>
        <v>0</v>
      </c>
      <c r="AG23" s="35">
        <f t="shared" si="4"/>
        <v>0</v>
      </c>
      <c r="AH23" s="4">
        <f t="shared" si="3"/>
        <v>0</v>
      </c>
    </row>
    <row r="24" spans="1:34">
      <c r="A24" s="1" t="s">
        <v>20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0</v>
      </c>
      <c r="R24" s="1" t="s">
        <v>20</v>
      </c>
      <c r="S24" s="35">
        <f t="shared" si="4"/>
        <v>0</v>
      </c>
      <c r="T24" s="35">
        <f t="shared" si="4"/>
        <v>0</v>
      </c>
      <c r="U24" s="35">
        <f t="shared" si="4"/>
        <v>0</v>
      </c>
      <c r="V24" s="35">
        <f t="shared" si="4"/>
        <v>0</v>
      </c>
      <c r="W24" s="35">
        <f t="shared" si="4"/>
        <v>0</v>
      </c>
      <c r="X24" s="35">
        <f t="shared" si="4"/>
        <v>0</v>
      </c>
      <c r="Y24" s="35">
        <f t="shared" si="4"/>
        <v>0</v>
      </c>
      <c r="Z24" s="35">
        <f t="shared" si="4"/>
        <v>0</v>
      </c>
      <c r="AA24" s="35">
        <f t="shared" si="4"/>
        <v>0</v>
      </c>
      <c r="AB24" s="35">
        <f t="shared" si="4"/>
        <v>0</v>
      </c>
      <c r="AC24" s="35">
        <f t="shared" si="4"/>
        <v>0</v>
      </c>
      <c r="AD24" s="35">
        <f t="shared" si="4"/>
        <v>0</v>
      </c>
      <c r="AE24" s="35">
        <f t="shared" si="4"/>
        <v>0</v>
      </c>
      <c r="AF24" s="35">
        <f t="shared" si="4"/>
        <v>0</v>
      </c>
      <c r="AG24" s="35">
        <f t="shared" si="4"/>
        <v>0</v>
      </c>
      <c r="AH24" s="4">
        <f t="shared" si="3"/>
        <v>0</v>
      </c>
    </row>
    <row r="25" spans="1:34">
      <c r="A25" s="1" t="s">
        <v>19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 t="shared" si="1"/>
        <v>0</v>
      </c>
      <c r="R25" s="1" t="s">
        <v>19</v>
      </c>
      <c r="S25" s="35">
        <f t="shared" si="4"/>
        <v>0</v>
      </c>
      <c r="T25" s="35">
        <f t="shared" si="4"/>
        <v>0</v>
      </c>
      <c r="U25" s="35">
        <f t="shared" si="4"/>
        <v>0</v>
      </c>
      <c r="V25" s="35">
        <f t="shared" si="4"/>
        <v>0</v>
      </c>
      <c r="W25" s="35">
        <f t="shared" si="4"/>
        <v>0</v>
      </c>
      <c r="X25" s="35">
        <f t="shared" si="4"/>
        <v>0</v>
      </c>
      <c r="Y25" s="35">
        <f t="shared" si="4"/>
        <v>0</v>
      </c>
      <c r="Z25" s="35">
        <f t="shared" si="4"/>
        <v>0</v>
      </c>
      <c r="AA25" s="35">
        <f t="shared" si="4"/>
        <v>0</v>
      </c>
      <c r="AB25" s="35">
        <f t="shared" si="4"/>
        <v>0</v>
      </c>
      <c r="AC25" s="35">
        <f t="shared" si="4"/>
        <v>0</v>
      </c>
      <c r="AD25" s="35">
        <f t="shared" si="4"/>
        <v>0</v>
      </c>
      <c r="AE25" s="35">
        <f t="shared" si="4"/>
        <v>0</v>
      </c>
      <c r="AF25" s="35">
        <f t="shared" si="4"/>
        <v>0</v>
      </c>
      <c r="AG25" s="35">
        <f t="shared" si="4"/>
        <v>0</v>
      </c>
      <c r="AH25" s="4">
        <f t="shared" si="3"/>
        <v>0</v>
      </c>
    </row>
    <row r="26" spans="1:34">
      <c r="A26" s="1" t="s">
        <v>21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R26" s="1" t="s">
        <v>21</v>
      </c>
      <c r="S26" s="35">
        <f t="shared" si="4"/>
        <v>0</v>
      </c>
      <c r="T26" s="35">
        <f t="shared" si="4"/>
        <v>0</v>
      </c>
      <c r="U26" s="35">
        <f t="shared" si="4"/>
        <v>0</v>
      </c>
      <c r="V26" s="35">
        <f t="shared" si="4"/>
        <v>0</v>
      </c>
      <c r="W26" s="35">
        <f t="shared" si="4"/>
        <v>0</v>
      </c>
      <c r="X26" s="35">
        <f t="shared" si="4"/>
        <v>0</v>
      </c>
      <c r="Y26" s="35">
        <f t="shared" si="4"/>
        <v>0</v>
      </c>
      <c r="Z26" s="35">
        <f t="shared" si="4"/>
        <v>0</v>
      </c>
      <c r="AA26" s="35">
        <f t="shared" si="4"/>
        <v>0</v>
      </c>
      <c r="AB26" s="35">
        <f t="shared" si="4"/>
        <v>0</v>
      </c>
      <c r="AC26" s="35">
        <f t="shared" si="4"/>
        <v>0</v>
      </c>
      <c r="AD26" s="35">
        <f t="shared" si="4"/>
        <v>0</v>
      </c>
      <c r="AE26" s="35">
        <f t="shared" si="4"/>
        <v>0</v>
      </c>
      <c r="AF26" s="35">
        <f t="shared" si="4"/>
        <v>0</v>
      </c>
      <c r="AG26" s="35">
        <f t="shared" si="4"/>
        <v>0</v>
      </c>
      <c r="AH26" s="4">
        <f t="shared" si="3"/>
        <v>0</v>
      </c>
    </row>
    <row r="27" spans="1:34">
      <c r="A27" s="2" t="s">
        <v>22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R27" s="2" t="s">
        <v>22</v>
      </c>
      <c r="S27" s="35">
        <f t="shared" si="4"/>
        <v>0</v>
      </c>
      <c r="T27" s="35">
        <f t="shared" si="4"/>
        <v>0</v>
      </c>
      <c r="U27" s="35">
        <f t="shared" si="4"/>
        <v>0</v>
      </c>
      <c r="V27" s="35">
        <f t="shared" si="4"/>
        <v>0</v>
      </c>
      <c r="W27" s="35">
        <f t="shared" si="4"/>
        <v>0</v>
      </c>
      <c r="X27" s="35">
        <f t="shared" si="4"/>
        <v>0</v>
      </c>
      <c r="Y27" s="35">
        <f t="shared" si="4"/>
        <v>0</v>
      </c>
      <c r="Z27" s="35">
        <f t="shared" si="4"/>
        <v>0</v>
      </c>
      <c r="AA27" s="35">
        <f t="shared" si="4"/>
        <v>0</v>
      </c>
      <c r="AB27" s="35">
        <f t="shared" si="4"/>
        <v>0</v>
      </c>
      <c r="AC27" s="35">
        <f t="shared" si="4"/>
        <v>0</v>
      </c>
      <c r="AD27" s="35">
        <f t="shared" si="4"/>
        <v>0</v>
      </c>
      <c r="AE27" s="35">
        <f t="shared" si="4"/>
        <v>0</v>
      </c>
      <c r="AF27" s="35">
        <f t="shared" si="4"/>
        <v>0</v>
      </c>
      <c r="AG27" s="35">
        <f t="shared" si="4"/>
        <v>0</v>
      </c>
      <c r="AH27" s="4">
        <f t="shared" si="3"/>
        <v>0</v>
      </c>
    </row>
    <row r="28" spans="1:34">
      <c r="A28" s="1" t="s">
        <v>23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R28" s="1" t="s">
        <v>23</v>
      </c>
      <c r="S28" s="35">
        <f t="shared" si="4"/>
        <v>0</v>
      </c>
      <c r="T28" s="35">
        <f t="shared" si="4"/>
        <v>0</v>
      </c>
      <c r="U28" s="35">
        <f t="shared" si="4"/>
        <v>0</v>
      </c>
      <c r="V28" s="35">
        <f t="shared" si="4"/>
        <v>0</v>
      </c>
      <c r="W28" s="35">
        <f t="shared" si="4"/>
        <v>0</v>
      </c>
      <c r="X28" s="35">
        <f t="shared" si="4"/>
        <v>0</v>
      </c>
      <c r="Y28" s="35">
        <f t="shared" si="4"/>
        <v>0</v>
      </c>
      <c r="Z28" s="35">
        <f t="shared" si="4"/>
        <v>0</v>
      </c>
      <c r="AA28" s="35">
        <f t="shared" si="4"/>
        <v>0</v>
      </c>
      <c r="AB28" s="35">
        <f t="shared" si="4"/>
        <v>0</v>
      </c>
      <c r="AC28" s="35">
        <f t="shared" si="4"/>
        <v>0</v>
      </c>
      <c r="AD28" s="35">
        <f t="shared" si="4"/>
        <v>0</v>
      </c>
      <c r="AE28" s="35">
        <f t="shared" si="4"/>
        <v>0</v>
      </c>
      <c r="AF28" s="35">
        <f t="shared" si="4"/>
        <v>0</v>
      </c>
      <c r="AG28" s="35">
        <f t="shared" si="4"/>
        <v>0</v>
      </c>
      <c r="AH28" s="4">
        <f t="shared" si="3"/>
        <v>0</v>
      </c>
    </row>
    <row r="29" spans="1:34">
      <c r="A29" s="1" t="s">
        <v>25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R29" s="1" t="s">
        <v>25</v>
      </c>
      <c r="S29" s="35">
        <f t="shared" si="4"/>
        <v>0</v>
      </c>
      <c r="T29" s="35">
        <f t="shared" si="4"/>
        <v>0</v>
      </c>
      <c r="U29" s="35">
        <f t="shared" si="4"/>
        <v>0</v>
      </c>
      <c r="V29" s="35">
        <f t="shared" si="4"/>
        <v>0</v>
      </c>
      <c r="W29" s="35">
        <f t="shared" si="4"/>
        <v>0</v>
      </c>
      <c r="X29" s="35">
        <f t="shared" si="4"/>
        <v>0</v>
      </c>
      <c r="Y29" s="35">
        <f t="shared" si="4"/>
        <v>0</v>
      </c>
      <c r="Z29" s="35">
        <f t="shared" si="4"/>
        <v>0</v>
      </c>
      <c r="AA29" s="35">
        <f t="shared" si="4"/>
        <v>0</v>
      </c>
      <c r="AB29" s="35">
        <f t="shared" si="4"/>
        <v>0</v>
      </c>
      <c r="AC29" s="35">
        <f t="shared" si="4"/>
        <v>0</v>
      </c>
      <c r="AD29" s="35">
        <f t="shared" si="4"/>
        <v>0</v>
      </c>
      <c r="AE29" s="35">
        <f t="shared" si="4"/>
        <v>0</v>
      </c>
      <c r="AF29" s="35">
        <f>AF99</f>
        <v>0</v>
      </c>
      <c r="AG29" s="35">
        <f>AG99</f>
        <v>0</v>
      </c>
      <c r="AH29" s="4">
        <f t="shared" si="3"/>
        <v>0</v>
      </c>
    </row>
    <row r="30" spans="1:34">
      <c r="A30" s="1" t="s">
        <v>24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21"/>
      <c r="R30" s="1" t="s">
        <v>24</v>
      </c>
      <c r="S30" s="35">
        <f t="shared" si="4"/>
        <v>0</v>
      </c>
      <c r="T30" s="35">
        <f t="shared" si="4"/>
        <v>0</v>
      </c>
      <c r="U30" s="35">
        <f t="shared" si="4"/>
        <v>0</v>
      </c>
      <c r="V30" s="35">
        <f t="shared" si="4"/>
        <v>0</v>
      </c>
      <c r="W30" s="35">
        <f t="shared" si="4"/>
        <v>0</v>
      </c>
      <c r="X30" s="35">
        <f t="shared" si="4"/>
        <v>0</v>
      </c>
      <c r="Y30" s="35">
        <f t="shared" si="4"/>
        <v>0</v>
      </c>
      <c r="Z30" s="35">
        <f t="shared" si="4"/>
        <v>0</v>
      </c>
      <c r="AA30" s="35">
        <f t="shared" si="4"/>
        <v>0</v>
      </c>
      <c r="AB30" s="35">
        <f t="shared" si="4"/>
        <v>0</v>
      </c>
      <c r="AC30" s="35">
        <f t="shared" si="4"/>
        <v>0</v>
      </c>
      <c r="AD30" s="35">
        <f t="shared" si="4"/>
        <v>0</v>
      </c>
      <c r="AE30" s="35">
        <f t="shared" si="4"/>
        <v>0</v>
      </c>
      <c r="AF30" s="35">
        <f t="shared" si="4"/>
        <v>0</v>
      </c>
      <c r="AG30" s="35">
        <f t="shared" si="4"/>
        <v>0</v>
      </c>
      <c r="AH30" s="4">
        <f t="shared" si="3"/>
        <v>0</v>
      </c>
    </row>
    <row r="31" spans="1:34">
      <c r="A31" s="1" t="s">
        <v>26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R31" s="1" t="s">
        <v>26</v>
      </c>
      <c r="S31" s="35">
        <f t="shared" si="4"/>
        <v>0</v>
      </c>
      <c r="T31" s="35">
        <f t="shared" si="4"/>
        <v>0</v>
      </c>
      <c r="U31" s="35">
        <f t="shared" si="4"/>
        <v>0</v>
      </c>
      <c r="V31" s="35">
        <f t="shared" si="4"/>
        <v>0</v>
      </c>
      <c r="W31" s="35">
        <f t="shared" si="4"/>
        <v>0</v>
      </c>
      <c r="X31" s="35">
        <f t="shared" si="4"/>
        <v>0</v>
      </c>
      <c r="Y31" s="35">
        <f t="shared" si="4"/>
        <v>0</v>
      </c>
      <c r="Z31" s="35">
        <f t="shared" si="4"/>
        <v>0</v>
      </c>
      <c r="AA31" s="35">
        <f t="shared" si="4"/>
        <v>0</v>
      </c>
      <c r="AB31" s="35">
        <f t="shared" si="4"/>
        <v>0</v>
      </c>
      <c r="AC31" s="35">
        <f t="shared" si="4"/>
        <v>0</v>
      </c>
      <c r="AD31" s="35">
        <f t="shared" si="4"/>
        <v>0</v>
      </c>
      <c r="AE31" s="35">
        <f t="shared" si="4"/>
        <v>0</v>
      </c>
      <c r="AF31" s="35">
        <f t="shared" si="4"/>
        <v>0</v>
      </c>
      <c r="AG31" s="35">
        <f t="shared" si="4"/>
        <v>0</v>
      </c>
      <c r="AH31" s="4">
        <f t="shared" si="3"/>
        <v>0</v>
      </c>
    </row>
    <row r="32" spans="1:34">
      <c r="A32" s="6" t="s">
        <v>37</v>
      </c>
      <c r="B32" s="7">
        <f>SUM(B5:B31)</f>
        <v>0</v>
      </c>
      <c r="C32" s="7">
        <f>SUM(C5:C31)</f>
        <v>0</v>
      </c>
      <c r="D32" s="7">
        <f>SUM(D5:D31)</f>
        <v>0</v>
      </c>
      <c r="E32" s="7">
        <f>SUM(E5:E31)</f>
        <v>0</v>
      </c>
      <c r="F32" s="7">
        <f t="shared" ref="F32:N32" si="5">SUM(F5:F31)</f>
        <v>0</v>
      </c>
      <c r="G32" s="7">
        <f t="shared" si="5"/>
        <v>0</v>
      </c>
      <c r="H32" s="7">
        <f t="shared" si="5"/>
        <v>0</v>
      </c>
      <c r="I32" s="7">
        <f t="shared" si="5"/>
        <v>0</v>
      </c>
      <c r="J32" s="7">
        <f t="shared" si="5"/>
        <v>0</v>
      </c>
      <c r="K32" s="7">
        <f t="shared" si="5"/>
        <v>0</v>
      </c>
      <c r="L32" s="7">
        <f t="shared" si="5"/>
        <v>0</v>
      </c>
      <c r="M32" s="7">
        <f t="shared" si="5"/>
        <v>0</v>
      </c>
      <c r="N32" s="7">
        <f t="shared" si="5"/>
        <v>0</v>
      </c>
      <c r="O32" s="7">
        <f>SUM(O5:O31)</f>
        <v>0</v>
      </c>
      <c r="R32" s="6" t="s">
        <v>37</v>
      </c>
      <c r="S32" s="7">
        <f>SUM(S5:S31)</f>
        <v>0</v>
      </c>
      <c r="T32" s="7">
        <f>SUM(T5:T31)</f>
        <v>0</v>
      </c>
      <c r="U32" s="7">
        <f>SUM(U5:U31)</f>
        <v>0</v>
      </c>
      <c r="V32" s="7">
        <f>SUM(V5:V31)</f>
        <v>0</v>
      </c>
      <c r="W32" s="7">
        <f t="shared" ref="W32:AD32" si="6">SUM(W5:W31)</f>
        <v>0</v>
      </c>
      <c r="X32" s="7">
        <f t="shared" si="6"/>
        <v>0</v>
      </c>
      <c r="Y32" s="7">
        <f t="shared" si="6"/>
        <v>0</v>
      </c>
      <c r="Z32" s="7">
        <f t="shared" si="6"/>
        <v>0</v>
      </c>
      <c r="AA32" s="7">
        <f t="shared" si="6"/>
        <v>0</v>
      </c>
      <c r="AB32" s="7">
        <f t="shared" si="6"/>
        <v>0</v>
      </c>
      <c r="AC32" s="7">
        <f t="shared" si="6"/>
        <v>0</v>
      </c>
      <c r="AD32" s="7">
        <f t="shared" si="6"/>
        <v>0</v>
      </c>
      <c r="AE32" s="7">
        <f>SUM(AE5:AE31)</f>
        <v>0</v>
      </c>
      <c r="AF32" s="7">
        <f t="shared" ref="AF32:AG32" si="7">SUM(AF5:AF31)</f>
        <v>0</v>
      </c>
      <c r="AG32" s="7">
        <f t="shared" si="7"/>
        <v>0</v>
      </c>
      <c r="AH32" s="7">
        <f>SUM(AH5:AH31)</f>
        <v>0</v>
      </c>
    </row>
    <row r="33" spans="1:34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</row>
    <row r="34" spans="1:34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</row>
    <row r="35" spans="1:34">
      <c r="A35" s="31"/>
      <c r="B35" s="31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</row>
    <row r="36" spans="1:34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</row>
    <row r="37" spans="1:34" ht="46.5">
      <c r="A37" s="292" t="s">
        <v>98</v>
      </c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4"/>
      <c r="R37" s="292" t="s">
        <v>100</v>
      </c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4"/>
    </row>
    <row r="38" spans="1:34" ht="21.75" customHeight="1">
      <c r="A38" s="290" t="s">
        <v>33</v>
      </c>
      <c r="B38" s="287" t="s">
        <v>27</v>
      </c>
      <c r="C38" s="288"/>
      <c r="D38" s="287" t="s">
        <v>29</v>
      </c>
      <c r="E38" s="288"/>
      <c r="F38" s="285" t="s">
        <v>28</v>
      </c>
      <c r="G38" s="285" t="s">
        <v>36</v>
      </c>
      <c r="H38" s="285" t="s">
        <v>30</v>
      </c>
      <c r="I38" s="285" t="s">
        <v>31</v>
      </c>
      <c r="J38" s="285" t="s">
        <v>41</v>
      </c>
      <c r="K38" s="285" t="s">
        <v>35</v>
      </c>
      <c r="L38" s="285" t="s">
        <v>40</v>
      </c>
      <c r="M38" s="285" t="s">
        <v>42</v>
      </c>
      <c r="N38" s="285" t="s">
        <v>45</v>
      </c>
      <c r="O38" s="285" t="s">
        <v>34</v>
      </c>
      <c r="R38" s="290" t="s">
        <v>33</v>
      </c>
      <c r="S38" s="287" t="s">
        <v>27</v>
      </c>
      <c r="T38" s="288"/>
      <c r="U38" s="287" t="s">
        <v>29</v>
      </c>
      <c r="V38" s="288"/>
      <c r="W38" s="285" t="s">
        <v>28</v>
      </c>
      <c r="X38" s="285" t="s">
        <v>36</v>
      </c>
      <c r="Y38" s="285" t="s">
        <v>30</v>
      </c>
      <c r="Z38" s="285" t="s">
        <v>31</v>
      </c>
      <c r="AA38" s="285" t="s">
        <v>41</v>
      </c>
      <c r="AB38" s="285" t="s">
        <v>35</v>
      </c>
      <c r="AC38" s="285" t="s">
        <v>40</v>
      </c>
      <c r="AD38" s="285" t="s">
        <v>42</v>
      </c>
      <c r="AE38" s="285" t="s">
        <v>45</v>
      </c>
      <c r="AF38" s="287" t="s">
        <v>52</v>
      </c>
      <c r="AG38" s="288"/>
      <c r="AH38" s="285" t="s">
        <v>34</v>
      </c>
    </row>
    <row r="39" spans="1:34" ht="30">
      <c r="A39" s="291"/>
      <c r="B39" s="5" t="s">
        <v>43</v>
      </c>
      <c r="C39" s="5" t="s">
        <v>44</v>
      </c>
      <c r="D39" s="5" t="s">
        <v>43</v>
      </c>
      <c r="E39" s="5" t="s">
        <v>44</v>
      </c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R39" s="291"/>
      <c r="S39" s="46" t="s">
        <v>43</v>
      </c>
      <c r="T39" s="46" t="s">
        <v>44</v>
      </c>
      <c r="U39" s="46" t="s">
        <v>43</v>
      </c>
      <c r="V39" s="46" t="s">
        <v>44</v>
      </c>
      <c r="W39" s="286"/>
      <c r="X39" s="286"/>
      <c r="Y39" s="286"/>
      <c r="Z39" s="286"/>
      <c r="AA39" s="286"/>
      <c r="AB39" s="286"/>
      <c r="AC39" s="286"/>
      <c r="AD39" s="286"/>
      <c r="AE39" s="286"/>
      <c r="AF39" s="52" t="s">
        <v>53</v>
      </c>
      <c r="AG39" s="52" t="s">
        <v>54</v>
      </c>
      <c r="AH39" s="286"/>
    </row>
    <row r="40" spans="1:34">
      <c r="A40" s="1" t="s">
        <v>0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35">
        <f>S75*0.2</f>
        <v>0</v>
      </c>
      <c r="T40" s="35">
        <f t="shared" ref="T40:AG40" si="8">T75*0.2</f>
        <v>0</v>
      </c>
      <c r="U40" s="35">
        <f t="shared" si="8"/>
        <v>0</v>
      </c>
      <c r="V40" s="35">
        <f t="shared" si="8"/>
        <v>0</v>
      </c>
      <c r="W40" s="35">
        <f t="shared" si="8"/>
        <v>0</v>
      </c>
      <c r="X40" s="35">
        <f t="shared" si="8"/>
        <v>0</v>
      </c>
      <c r="Y40" s="35">
        <f t="shared" si="8"/>
        <v>0</v>
      </c>
      <c r="Z40" s="35">
        <f t="shared" si="8"/>
        <v>0</v>
      </c>
      <c r="AA40" s="35">
        <f t="shared" si="8"/>
        <v>0</v>
      </c>
      <c r="AB40" s="35">
        <f t="shared" si="8"/>
        <v>0</v>
      </c>
      <c r="AC40" s="35">
        <f t="shared" si="8"/>
        <v>0</v>
      </c>
      <c r="AD40" s="35">
        <f t="shared" si="8"/>
        <v>0</v>
      </c>
      <c r="AE40" s="35">
        <f t="shared" si="8"/>
        <v>0</v>
      </c>
      <c r="AF40" s="35">
        <f t="shared" si="8"/>
        <v>0</v>
      </c>
      <c r="AG40" s="35">
        <f t="shared" si="8"/>
        <v>0</v>
      </c>
      <c r="AH40" s="4">
        <f>SUM(S40:AG40)</f>
        <v>0</v>
      </c>
    </row>
    <row r="41" spans="1:34">
      <c r="A41" s="1" t="s">
        <v>1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9">SUM(B41:N41)</f>
        <v>0</v>
      </c>
      <c r="R41" s="1" t="s">
        <v>1</v>
      </c>
      <c r="S41" s="35">
        <f t="shared" ref="S41:AG56" si="10">S76*0.2</f>
        <v>0</v>
      </c>
      <c r="T41" s="35">
        <f t="shared" si="10"/>
        <v>0</v>
      </c>
      <c r="U41" s="35">
        <f t="shared" si="10"/>
        <v>0</v>
      </c>
      <c r="V41" s="35">
        <f t="shared" si="10"/>
        <v>0</v>
      </c>
      <c r="W41" s="35">
        <f t="shared" si="10"/>
        <v>0</v>
      </c>
      <c r="X41" s="35">
        <f t="shared" si="10"/>
        <v>0</v>
      </c>
      <c r="Y41" s="35">
        <f t="shared" si="10"/>
        <v>0</v>
      </c>
      <c r="Z41" s="35">
        <f t="shared" si="10"/>
        <v>0</v>
      </c>
      <c r="AA41" s="35">
        <f t="shared" si="10"/>
        <v>0</v>
      </c>
      <c r="AB41" s="35">
        <f t="shared" si="10"/>
        <v>0</v>
      </c>
      <c r="AC41" s="35">
        <f t="shared" si="10"/>
        <v>0</v>
      </c>
      <c r="AD41" s="35">
        <f t="shared" si="10"/>
        <v>0</v>
      </c>
      <c r="AE41" s="35">
        <f t="shared" si="10"/>
        <v>0</v>
      </c>
      <c r="AF41" s="35">
        <f t="shared" si="10"/>
        <v>0</v>
      </c>
      <c r="AG41" s="35">
        <f t="shared" si="10"/>
        <v>0</v>
      </c>
      <c r="AH41" s="4">
        <f t="shared" ref="AH41:AH66" si="11">SUM(S41:AG41)</f>
        <v>0</v>
      </c>
    </row>
    <row r="42" spans="1:34">
      <c r="A42" s="18" t="s">
        <v>2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9"/>
        <v>0</v>
      </c>
      <c r="R42" s="18" t="s">
        <v>2</v>
      </c>
      <c r="S42" s="35">
        <f t="shared" si="10"/>
        <v>0</v>
      </c>
      <c r="T42" s="35">
        <f t="shared" si="10"/>
        <v>0</v>
      </c>
      <c r="U42" s="35">
        <f t="shared" si="10"/>
        <v>0</v>
      </c>
      <c r="V42" s="35">
        <f t="shared" si="10"/>
        <v>0</v>
      </c>
      <c r="W42" s="35">
        <f t="shared" si="10"/>
        <v>0</v>
      </c>
      <c r="X42" s="35">
        <f t="shared" si="10"/>
        <v>0</v>
      </c>
      <c r="Y42" s="35">
        <f t="shared" si="10"/>
        <v>0</v>
      </c>
      <c r="Z42" s="35">
        <f t="shared" si="10"/>
        <v>0</v>
      </c>
      <c r="AA42" s="35">
        <f t="shared" si="10"/>
        <v>0</v>
      </c>
      <c r="AB42" s="35">
        <f t="shared" si="10"/>
        <v>0</v>
      </c>
      <c r="AC42" s="35">
        <f t="shared" si="10"/>
        <v>0</v>
      </c>
      <c r="AD42" s="35">
        <f t="shared" si="10"/>
        <v>0</v>
      </c>
      <c r="AE42" s="35">
        <f t="shared" si="10"/>
        <v>0</v>
      </c>
      <c r="AF42" s="35">
        <f t="shared" si="10"/>
        <v>0</v>
      </c>
      <c r="AG42" s="35">
        <f t="shared" si="10"/>
        <v>0</v>
      </c>
      <c r="AH42" s="4">
        <f t="shared" si="11"/>
        <v>0</v>
      </c>
    </row>
    <row r="43" spans="1:34">
      <c r="A43" s="2" t="s">
        <v>3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9"/>
        <v>0</v>
      </c>
      <c r="R43" s="2" t="s">
        <v>3</v>
      </c>
      <c r="S43" s="35">
        <f t="shared" si="10"/>
        <v>0</v>
      </c>
      <c r="T43" s="35">
        <f t="shared" si="10"/>
        <v>0</v>
      </c>
      <c r="U43" s="35">
        <f t="shared" si="10"/>
        <v>0</v>
      </c>
      <c r="V43" s="35">
        <f t="shared" si="10"/>
        <v>0</v>
      </c>
      <c r="W43" s="35">
        <f t="shared" si="10"/>
        <v>0</v>
      </c>
      <c r="X43" s="35">
        <f t="shared" si="10"/>
        <v>0</v>
      </c>
      <c r="Y43" s="35">
        <f t="shared" si="10"/>
        <v>0</v>
      </c>
      <c r="Z43" s="35">
        <f t="shared" si="10"/>
        <v>0</v>
      </c>
      <c r="AA43" s="35">
        <f t="shared" si="10"/>
        <v>0</v>
      </c>
      <c r="AB43" s="35">
        <f t="shared" si="10"/>
        <v>0</v>
      </c>
      <c r="AC43" s="35">
        <f t="shared" si="10"/>
        <v>0</v>
      </c>
      <c r="AD43" s="35">
        <f t="shared" si="10"/>
        <v>0</v>
      </c>
      <c r="AE43" s="35">
        <f t="shared" si="10"/>
        <v>0</v>
      </c>
      <c r="AF43" s="35">
        <v>0</v>
      </c>
      <c r="AG43" s="35">
        <v>0</v>
      </c>
      <c r="AH43" s="4">
        <f t="shared" si="11"/>
        <v>0</v>
      </c>
    </row>
    <row r="44" spans="1:34">
      <c r="A44" s="1" t="s">
        <v>4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9"/>
        <v>0</v>
      </c>
      <c r="R44" s="1" t="s">
        <v>4</v>
      </c>
      <c r="S44" s="35">
        <f t="shared" si="10"/>
        <v>0</v>
      </c>
      <c r="T44" s="35">
        <f t="shared" si="10"/>
        <v>0</v>
      </c>
      <c r="U44" s="35">
        <f t="shared" si="10"/>
        <v>0</v>
      </c>
      <c r="V44" s="35">
        <f t="shared" si="10"/>
        <v>0</v>
      </c>
      <c r="W44" s="35">
        <f t="shared" si="10"/>
        <v>0</v>
      </c>
      <c r="X44" s="35">
        <f t="shared" si="10"/>
        <v>0</v>
      </c>
      <c r="Y44" s="35">
        <f t="shared" si="10"/>
        <v>0</v>
      </c>
      <c r="Z44" s="35">
        <f t="shared" si="10"/>
        <v>0</v>
      </c>
      <c r="AA44" s="35">
        <f t="shared" si="10"/>
        <v>0</v>
      </c>
      <c r="AB44" s="35">
        <f t="shared" si="10"/>
        <v>0</v>
      </c>
      <c r="AC44" s="35">
        <f t="shared" si="10"/>
        <v>0</v>
      </c>
      <c r="AD44" s="35">
        <f t="shared" si="10"/>
        <v>0</v>
      </c>
      <c r="AE44" s="35">
        <f t="shared" si="10"/>
        <v>0</v>
      </c>
      <c r="AF44" s="35">
        <f t="shared" si="10"/>
        <v>0</v>
      </c>
      <c r="AG44" s="35">
        <f t="shared" si="10"/>
        <v>0</v>
      </c>
      <c r="AH44" s="4">
        <f t="shared" si="11"/>
        <v>0</v>
      </c>
    </row>
    <row r="45" spans="1:34">
      <c r="A45" s="1" t="s">
        <v>5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9"/>
        <v>0</v>
      </c>
      <c r="R45" s="1" t="s">
        <v>5</v>
      </c>
      <c r="S45" s="35">
        <f t="shared" si="10"/>
        <v>0</v>
      </c>
      <c r="T45" s="35">
        <f t="shared" si="10"/>
        <v>0</v>
      </c>
      <c r="U45" s="35">
        <f t="shared" si="10"/>
        <v>0</v>
      </c>
      <c r="V45" s="35">
        <f t="shared" si="10"/>
        <v>0</v>
      </c>
      <c r="W45" s="35">
        <f t="shared" si="10"/>
        <v>0</v>
      </c>
      <c r="X45" s="35">
        <f t="shared" si="10"/>
        <v>0</v>
      </c>
      <c r="Y45" s="35">
        <f t="shared" si="10"/>
        <v>0</v>
      </c>
      <c r="Z45" s="35">
        <f t="shared" si="10"/>
        <v>0</v>
      </c>
      <c r="AA45" s="35">
        <f t="shared" si="10"/>
        <v>0</v>
      </c>
      <c r="AB45" s="35">
        <f t="shared" si="10"/>
        <v>0</v>
      </c>
      <c r="AC45" s="35">
        <f t="shared" si="10"/>
        <v>0</v>
      </c>
      <c r="AD45" s="35">
        <f t="shared" si="10"/>
        <v>0</v>
      </c>
      <c r="AE45" s="35">
        <f t="shared" si="10"/>
        <v>0</v>
      </c>
      <c r="AF45" s="35">
        <f t="shared" si="10"/>
        <v>0</v>
      </c>
      <c r="AG45" s="35">
        <f t="shared" si="10"/>
        <v>0</v>
      </c>
      <c r="AH45" s="4">
        <f t="shared" si="11"/>
        <v>0</v>
      </c>
    </row>
    <row r="46" spans="1:34">
      <c r="A46" s="1" t="s">
        <v>6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9"/>
        <v>0</v>
      </c>
      <c r="R46" s="1" t="s">
        <v>6</v>
      </c>
      <c r="S46" s="35">
        <f t="shared" si="10"/>
        <v>0</v>
      </c>
      <c r="T46" s="35">
        <f t="shared" si="10"/>
        <v>0</v>
      </c>
      <c r="U46" s="35">
        <f t="shared" si="10"/>
        <v>0</v>
      </c>
      <c r="V46" s="35">
        <f t="shared" si="10"/>
        <v>0</v>
      </c>
      <c r="W46" s="35">
        <f t="shared" si="10"/>
        <v>0</v>
      </c>
      <c r="X46" s="35">
        <f t="shared" si="10"/>
        <v>0</v>
      </c>
      <c r="Y46" s="35">
        <f t="shared" si="10"/>
        <v>0</v>
      </c>
      <c r="Z46" s="35">
        <f t="shared" si="10"/>
        <v>0</v>
      </c>
      <c r="AA46" s="35">
        <f t="shared" si="10"/>
        <v>0</v>
      </c>
      <c r="AB46" s="35">
        <f t="shared" si="10"/>
        <v>0</v>
      </c>
      <c r="AC46" s="35">
        <f t="shared" si="10"/>
        <v>0</v>
      </c>
      <c r="AD46" s="35">
        <f t="shared" si="10"/>
        <v>0</v>
      </c>
      <c r="AE46" s="35">
        <f t="shared" si="10"/>
        <v>0</v>
      </c>
      <c r="AF46" s="35">
        <f t="shared" si="10"/>
        <v>0</v>
      </c>
      <c r="AG46" s="35">
        <f t="shared" si="10"/>
        <v>0</v>
      </c>
      <c r="AH46" s="4">
        <f t="shared" si="11"/>
        <v>0</v>
      </c>
    </row>
    <row r="47" spans="1:34">
      <c r="A47" s="1" t="s">
        <v>7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9"/>
        <v>0</v>
      </c>
      <c r="R47" s="1" t="s">
        <v>7</v>
      </c>
      <c r="S47" s="35">
        <f t="shared" si="10"/>
        <v>0</v>
      </c>
      <c r="T47" s="35">
        <f t="shared" si="10"/>
        <v>0</v>
      </c>
      <c r="U47" s="35">
        <f t="shared" si="10"/>
        <v>0</v>
      </c>
      <c r="V47" s="35">
        <f t="shared" si="10"/>
        <v>0</v>
      </c>
      <c r="W47" s="35">
        <f t="shared" si="10"/>
        <v>0</v>
      </c>
      <c r="X47" s="35">
        <f t="shared" si="10"/>
        <v>0</v>
      </c>
      <c r="Y47" s="35">
        <f t="shared" si="10"/>
        <v>0</v>
      </c>
      <c r="Z47" s="35">
        <f t="shared" si="10"/>
        <v>0</v>
      </c>
      <c r="AA47" s="35">
        <f t="shared" si="10"/>
        <v>0</v>
      </c>
      <c r="AB47" s="35">
        <f t="shared" si="10"/>
        <v>0</v>
      </c>
      <c r="AC47" s="35">
        <f t="shared" si="10"/>
        <v>0</v>
      </c>
      <c r="AD47" s="35">
        <f t="shared" si="10"/>
        <v>0</v>
      </c>
      <c r="AE47" s="35">
        <f t="shared" si="10"/>
        <v>0</v>
      </c>
      <c r="AF47" s="35">
        <f t="shared" si="10"/>
        <v>0</v>
      </c>
      <c r="AG47" s="35">
        <f t="shared" si="10"/>
        <v>0</v>
      </c>
      <c r="AH47" s="4">
        <f t="shared" si="11"/>
        <v>0</v>
      </c>
    </row>
    <row r="48" spans="1:34">
      <c r="A48" s="1" t="s">
        <v>8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9"/>
        <v>0</v>
      </c>
      <c r="R48" s="1" t="s">
        <v>8</v>
      </c>
      <c r="S48" s="35">
        <f t="shared" si="10"/>
        <v>0</v>
      </c>
      <c r="T48" s="35">
        <f t="shared" si="10"/>
        <v>0</v>
      </c>
      <c r="U48" s="35">
        <f t="shared" si="10"/>
        <v>0</v>
      </c>
      <c r="V48" s="35">
        <f t="shared" si="10"/>
        <v>0</v>
      </c>
      <c r="W48" s="35">
        <f t="shared" si="10"/>
        <v>0</v>
      </c>
      <c r="X48" s="35">
        <f t="shared" si="10"/>
        <v>0</v>
      </c>
      <c r="Y48" s="35">
        <f t="shared" si="10"/>
        <v>0</v>
      </c>
      <c r="Z48" s="35">
        <f t="shared" si="10"/>
        <v>0</v>
      </c>
      <c r="AA48" s="35">
        <f t="shared" si="10"/>
        <v>0</v>
      </c>
      <c r="AB48" s="35">
        <f t="shared" si="10"/>
        <v>0</v>
      </c>
      <c r="AC48" s="35">
        <f t="shared" si="10"/>
        <v>0</v>
      </c>
      <c r="AD48" s="35">
        <f t="shared" si="10"/>
        <v>0</v>
      </c>
      <c r="AE48" s="35">
        <f t="shared" si="10"/>
        <v>0</v>
      </c>
      <c r="AF48" s="35">
        <f t="shared" si="10"/>
        <v>0</v>
      </c>
      <c r="AG48" s="35">
        <f t="shared" si="10"/>
        <v>0</v>
      </c>
      <c r="AH48" s="4">
        <f t="shared" si="11"/>
        <v>0</v>
      </c>
    </row>
    <row r="49" spans="1:34">
      <c r="A49" s="2" t="s">
        <v>9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9"/>
        <v>0</v>
      </c>
      <c r="R49" s="2" t="s">
        <v>9</v>
      </c>
      <c r="S49" s="35">
        <f t="shared" si="10"/>
        <v>0</v>
      </c>
      <c r="T49" s="35">
        <f t="shared" si="10"/>
        <v>0</v>
      </c>
      <c r="U49" s="35">
        <f t="shared" si="10"/>
        <v>0</v>
      </c>
      <c r="V49" s="35">
        <f t="shared" si="10"/>
        <v>0</v>
      </c>
      <c r="W49" s="35">
        <f t="shared" si="10"/>
        <v>0</v>
      </c>
      <c r="X49" s="35">
        <f t="shared" si="10"/>
        <v>0</v>
      </c>
      <c r="Y49" s="35">
        <f t="shared" si="10"/>
        <v>0</v>
      </c>
      <c r="Z49" s="35">
        <f t="shared" si="10"/>
        <v>0</v>
      </c>
      <c r="AA49" s="35">
        <f t="shared" si="10"/>
        <v>0</v>
      </c>
      <c r="AB49" s="35">
        <f t="shared" si="10"/>
        <v>0</v>
      </c>
      <c r="AC49" s="35">
        <f t="shared" si="10"/>
        <v>0</v>
      </c>
      <c r="AD49" s="35">
        <f t="shared" si="10"/>
        <v>0</v>
      </c>
      <c r="AE49" s="35">
        <f t="shared" si="10"/>
        <v>0</v>
      </c>
      <c r="AF49" s="35">
        <f t="shared" si="10"/>
        <v>0</v>
      </c>
      <c r="AG49" s="35">
        <f t="shared" si="10"/>
        <v>0</v>
      </c>
      <c r="AH49" s="4">
        <f t="shared" si="11"/>
        <v>0</v>
      </c>
    </row>
    <row r="50" spans="1:34">
      <c r="A50" s="18" t="s">
        <v>10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9"/>
        <v>0</v>
      </c>
      <c r="R50" s="18" t="s">
        <v>10</v>
      </c>
      <c r="S50" s="35">
        <f t="shared" si="10"/>
        <v>0</v>
      </c>
      <c r="T50" s="35">
        <f t="shared" si="10"/>
        <v>0</v>
      </c>
      <c r="U50" s="35">
        <f t="shared" si="10"/>
        <v>0</v>
      </c>
      <c r="V50" s="35">
        <f t="shared" si="10"/>
        <v>0</v>
      </c>
      <c r="W50" s="35">
        <f t="shared" si="10"/>
        <v>0</v>
      </c>
      <c r="X50" s="35">
        <f t="shared" si="10"/>
        <v>0</v>
      </c>
      <c r="Y50" s="35">
        <f t="shared" si="10"/>
        <v>0</v>
      </c>
      <c r="Z50" s="35">
        <f t="shared" si="10"/>
        <v>0</v>
      </c>
      <c r="AA50" s="35">
        <f t="shared" si="10"/>
        <v>0</v>
      </c>
      <c r="AB50" s="35">
        <f t="shared" si="10"/>
        <v>0</v>
      </c>
      <c r="AC50" s="35">
        <f t="shared" si="10"/>
        <v>0</v>
      </c>
      <c r="AD50" s="35">
        <f t="shared" si="10"/>
        <v>0</v>
      </c>
      <c r="AE50" s="35">
        <f t="shared" si="10"/>
        <v>0</v>
      </c>
      <c r="AF50" s="35">
        <f t="shared" si="10"/>
        <v>0</v>
      </c>
      <c r="AG50" s="35">
        <f t="shared" si="10"/>
        <v>0</v>
      </c>
      <c r="AH50" s="4">
        <f t="shared" si="11"/>
        <v>0</v>
      </c>
    </row>
    <row r="51" spans="1:34">
      <c r="A51" s="1" t="s">
        <v>11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9"/>
        <v>0</v>
      </c>
      <c r="R51" s="1" t="s">
        <v>11</v>
      </c>
      <c r="S51" s="35">
        <f t="shared" si="10"/>
        <v>0</v>
      </c>
      <c r="T51" s="35">
        <f t="shared" si="10"/>
        <v>0</v>
      </c>
      <c r="U51" s="35">
        <f t="shared" si="10"/>
        <v>0</v>
      </c>
      <c r="V51" s="35">
        <f t="shared" si="10"/>
        <v>0</v>
      </c>
      <c r="W51" s="35">
        <f t="shared" si="10"/>
        <v>0</v>
      </c>
      <c r="X51" s="35">
        <f t="shared" si="10"/>
        <v>0</v>
      </c>
      <c r="Y51" s="35">
        <f t="shared" si="10"/>
        <v>0</v>
      </c>
      <c r="Z51" s="35">
        <f t="shared" si="10"/>
        <v>0</v>
      </c>
      <c r="AA51" s="35">
        <f t="shared" si="10"/>
        <v>0</v>
      </c>
      <c r="AB51" s="35">
        <f t="shared" si="10"/>
        <v>0</v>
      </c>
      <c r="AC51" s="35">
        <f t="shared" si="10"/>
        <v>0</v>
      </c>
      <c r="AD51" s="35">
        <f t="shared" si="10"/>
        <v>0</v>
      </c>
      <c r="AE51" s="35">
        <f t="shared" si="10"/>
        <v>0</v>
      </c>
      <c r="AF51" s="35">
        <f t="shared" si="10"/>
        <v>0</v>
      </c>
      <c r="AG51" s="35">
        <f t="shared" si="10"/>
        <v>0</v>
      </c>
      <c r="AH51" s="4">
        <f t="shared" si="11"/>
        <v>0</v>
      </c>
    </row>
    <row r="52" spans="1:34">
      <c r="A52" s="1" t="s">
        <v>12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9"/>
        <v>0</v>
      </c>
      <c r="R52" s="1" t="s">
        <v>12</v>
      </c>
      <c r="S52" s="35">
        <f t="shared" si="10"/>
        <v>0</v>
      </c>
      <c r="T52" s="35">
        <f t="shared" si="10"/>
        <v>0</v>
      </c>
      <c r="U52" s="35">
        <f t="shared" si="10"/>
        <v>0</v>
      </c>
      <c r="V52" s="35">
        <f t="shared" si="10"/>
        <v>0</v>
      </c>
      <c r="W52" s="35">
        <f t="shared" si="10"/>
        <v>0</v>
      </c>
      <c r="X52" s="35">
        <f t="shared" si="10"/>
        <v>0</v>
      </c>
      <c r="Y52" s="35">
        <f t="shared" si="10"/>
        <v>0</v>
      </c>
      <c r="Z52" s="35">
        <f t="shared" si="10"/>
        <v>0</v>
      </c>
      <c r="AA52" s="35">
        <f t="shared" si="10"/>
        <v>0</v>
      </c>
      <c r="AB52" s="35">
        <f t="shared" si="10"/>
        <v>0</v>
      </c>
      <c r="AC52" s="35">
        <f t="shared" si="10"/>
        <v>0</v>
      </c>
      <c r="AD52" s="35">
        <f t="shared" si="10"/>
        <v>0</v>
      </c>
      <c r="AE52" s="35">
        <f t="shared" si="10"/>
        <v>0</v>
      </c>
      <c r="AF52" s="35">
        <f t="shared" si="10"/>
        <v>0</v>
      </c>
      <c r="AG52" s="35">
        <f t="shared" si="10"/>
        <v>0</v>
      </c>
      <c r="AH52" s="4">
        <f t="shared" si="11"/>
        <v>0</v>
      </c>
    </row>
    <row r="53" spans="1:34">
      <c r="A53" s="1" t="s">
        <v>15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9"/>
        <v>0</v>
      </c>
      <c r="R53" s="1" t="s">
        <v>15</v>
      </c>
      <c r="S53" s="35">
        <f t="shared" si="10"/>
        <v>0</v>
      </c>
      <c r="T53" s="35">
        <f t="shared" si="10"/>
        <v>0</v>
      </c>
      <c r="U53" s="35">
        <f t="shared" si="10"/>
        <v>0</v>
      </c>
      <c r="V53" s="35">
        <f t="shared" si="10"/>
        <v>0</v>
      </c>
      <c r="W53" s="35">
        <f t="shared" si="10"/>
        <v>0</v>
      </c>
      <c r="X53" s="35">
        <f t="shared" si="10"/>
        <v>0</v>
      </c>
      <c r="Y53" s="35">
        <f t="shared" si="10"/>
        <v>0</v>
      </c>
      <c r="Z53" s="35">
        <f t="shared" si="10"/>
        <v>0</v>
      </c>
      <c r="AA53" s="35">
        <f t="shared" si="10"/>
        <v>0</v>
      </c>
      <c r="AB53" s="35">
        <f t="shared" si="10"/>
        <v>0</v>
      </c>
      <c r="AC53" s="35">
        <f t="shared" si="10"/>
        <v>0</v>
      </c>
      <c r="AD53" s="35">
        <f t="shared" si="10"/>
        <v>0</v>
      </c>
      <c r="AE53" s="35">
        <f t="shared" si="10"/>
        <v>0</v>
      </c>
      <c r="AF53" s="35">
        <f t="shared" si="10"/>
        <v>0</v>
      </c>
      <c r="AG53" s="35">
        <f t="shared" si="10"/>
        <v>0</v>
      </c>
      <c r="AH53" s="4">
        <f t="shared" si="11"/>
        <v>0</v>
      </c>
    </row>
    <row r="54" spans="1:34">
      <c r="A54" s="39" t="s">
        <v>14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9"/>
        <v>0</v>
      </c>
      <c r="R54" s="1" t="s">
        <v>14</v>
      </c>
      <c r="S54" s="35">
        <f t="shared" si="10"/>
        <v>0</v>
      </c>
      <c r="T54" s="35">
        <f t="shared" si="10"/>
        <v>0</v>
      </c>
      <c r="U54" s="35">
        <f t="shared" si="10"/>
        <v>0</v>
      </c>
      <c r="V54" s="35">
        <f t="shared" si="10"/>
        <v>0</v>
      </c>
      <c r="W54" s="35">
        <f t="shared" si="10"/>
        <v>0</v>
      </c>
      <c r="X54" s="35">
        <f t="shared" si="10"/>
        <v>0</v>
      </c>
      <c r="Y54" s="35">
        <f t="shared" si="10"/>
        <v>0</v>
      </c>
      <c r="Z54" s="35">
        <f t="shared" si="10"/>
        <v>0</v>
      </c>
      <c r="AA54" s="35">
        <f t="shared" si="10"/>
        <v>0</v>
      </c>
      <c r="AB54" s="35">
        <f t="shared" si="10"/>
        <v>0</v>
      </c>
      <c r="AC54" s="35">
        <f t="shared" si="10"/>
        <v>0</v>
      </c>
      <c r="AD54" s="35">
        <f t="shared" si="10"/>
        <v>0</v>
      </c>
      <c r="AE54" s="35">
        <f t="shared" si="10"/>
        <v>0</v>
      </c>
      <c r="AF54" s="35">
        <f t="shared" si="10"/>
        <v>0</v>
      </c>
      <c r="AG54" s="35">
        <f t="shared" si="10"/>
        <v>0</v>
      </c>
      <c r="AH54" s="4">
        <f t="shared" si="11"/>
        <v>0</v>
      </c>
    </row>
    <row r="55" spans="1:34">
      <c r="A55" s="18" t="s">
        <v>13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9"/>
        <v>0</v>
      </c>
      <c r="R55" s="18" t="s">
        <v>13</v>
      </c>
      <c r="S55" s="35">
        <f t="shared" si="10"/>
        <v>0</v>
      </c>
      <c r="T55" s="35">
        <f t="shared" si="10"/>
        <v>0</v>
      </c>
      <c r="U55" s="35">
        <f t="shared" si="10"/>
        <v>0</v>
      </c>
      <c r="V55" s="35">
        <f t="shared" si="10"/>
        <v>0</v>
      </c>
      <c r="W55" s="35">
        <f t="shared" si="10"/>
        <v>0</v>
      </c>
      <c r="X55" s="35">
        <f t="shared" si="10"/>
        <v>0</v>
      </c>
      <c r="Y55" s="35">
        <f t="shared" si="10"/>
        <v>0</v>
      </c>
      <c r="Z55" s="35">
        <f t="shared" si="10"/>
        <v>0</v>
      </c>
      <c r="AA55" s="35">
        <f t="shared" si="10"/>
        <v>0</v>
      </c>
      <c r="AB55" s="35">
        <f t="shared" si="10"/>
        <v>0</v>
      </c>
      <c r="AC55" s="35">
        <f t="shared" si="10"/>
        <v>0</v>
      </c>
      <c r="AD55" s="35">
        <f t="shared" si="10"/>
        <v>0</v>
      </c>
      <c r="AE55" s="35">
        <f t="shared" si="10"/>
        <v>0</v>
      </c>
      <c r="AF55" s="35">
        <f t="shared" si="10"/>
        <v>0</v>
      </c>
      <c r="AG55" s="35">
        <f t="shared" si="10"/>
        <v>0</v>
      </c>
      <c r="AH55" s="4">
        <f t="shared" si="11"/>
        <v>0</v>
      </c>
    </row>
    <row r="56" spans="1:34">
      <c r="A56" s="1" t="s">
        <v>16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9"/>
        <v>0</v>
      </c>
      <c r="R56" s="1" t="s">
        <v>16</v>
      </c>
      <c r="S56" s="35">
        <f t="shared" si="10"/>
        <v>0</v>
      </c>
      <c r="T56" s="35">
        <f t="shared" si="10"/>
        <v>0</v>
      </c>
      <c r="U56" s="35">
        <f t="shared" si="10"/>
        <v>0</v>
      </c>
      <c r="V56" s="35">
        <f t="shared" si="10"/>
        <v>0</v>
      </c>
      <c r="W56" s="35">
        <f t="shared" si="10"/>
        <v>0</v>
      </c>
      <c r="X56" s="35">
        <f t="shared" si="10"/>
        <v>0</v>
      </c>
      <c r="Y56" s="35">
        <f t="shared" si="10"/>
        <v>0</v>
      </c>
      <c r="Z56" s="35">
        <f t="shared" si="10"/>
        <v>0</v>
      </c>
      <c r="AA56" s="35">
        <f t="shared" si="10"/>
        <v>0</v>
      </c>
      <c r="AB56" s="35">
        <f t="shared" si="10"/>
        <v>0</v>
      </c>
      <c r="AC56" s="35">
        <f t="shared" si="10"/>
        <v>0</v>
      </c>
      <c r="AD56" s="35">
        <f t="shared" si="10"/>
        <v>0</v>
      </c>
      <c r="AE56" s="35">
        <f t="shared" si="10"/>
        <v>0</v>
      </c>
      <c r="AF56" s="35">
        <f t="shared" si="10"/>
        <v>0</v>
      </c>
      <c r="AG56" s="35">
        <f t="shared" ref="AG56" si="12">AG91*0.2</f>
        <v>0</v>
      </c>
      <c r="AH56" s="4">
        <f t="shared" si="11"/>
        <v>0</v>
      </c>
    </row>
    <row r="57" spans="1:34">
      <c r="A57" s="1" t="s">
        <v>17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9"/>
        <v>0</v>
      </c>
      <c r="R57" s="1" t="s">
        <v>17</v>
      </c>
      <c r="S57" s="35">
        <f t="shared" ref="S57:AG66" si="13">S92*0.2</f>
        <v>0</v>
      </c>
      <c r="T57" s="35">
        <f t="shared" si="13"/>
        <v>0</v>
      </c>
      <c r="U57" s="35">
        <f t="shared" si="13"/>
        <v>0</v>
      </c>
      <c r="V57" s="35">
        <f t="shared" si="13"/>
        <v>0</v>
      </c>
      <c r="W57" s="35">
        <f t="shared" si="13"/>
        <v>0</v>
      </c>
      <c r="X57" s="35">
        <f t="shared" si="13"/>
        <v>0</v>
      </c>
      <c r="Y57" s="35">
        <f t="shared" si="13"/>
        <v>0</v>
      </c>
      <c r="Z57" s="35">
        <f t="shared" si="13"/>
        <v>0</v>
      </c>
      <c r="AA57" s="35">
        <f t="shared" si="13"/>
        <v>0</v>
      </c>
      <c r="AB57" s="35">
        <f t="shared" si="13"/>
        <v>0</v>
      </c>
      <c r="AC57" s="35">
        <f t="shared" si="13"/>
        <v>0</v>
      </c>
      <c r="AD57" s="35">
        <f t="shared" si="13"/>
        <v>0</v>
      </c>
      <c r="AE57" s="35">
        <f t="shared" si="13"/>
        <v>0</v>
      </c>
      <c r="AF57" s="35">
        <f t="shared" si="13"/>
        <v>0</v>
      </c>
      <c r="AG57" s="35">
        <f t="shared" si="13"/>
        <v>0</v>
      </c>
      <c r="AH57" s="4">
        <f t="shared" si="11"/>
        <v>0</v>
      </c>
    </row>
    <row r="58" spans="1:34">
      <c r="A58" s="1" t="s">
        <v>18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9"/>
        <v>0</v>
      </c>
      <c r="R58" s="1" t="s">
        <v>18</v>
      </c>
      <c r="S58" s="35">
        <f t="shared" si="13"/>
        <v>0</v>
      </c>
      <c r="T58" s="35">
        <f t="shared" si="13"/>
        <v>0</v>
      </c>
      <c r="U58" s="35">
        <f t="shared" si="13"/>
        <v>0</v>
      </c>
      <c r="V58" s="35">
        <f t="shared" si="13"/>
        <v>0</v>
      </c>
      <c r="W58" s="35">
        <f t="shared" si="13"/>
        <v>0</v>
      </c>
      <c r="X58" s="35">
        <f t="shared" si="13"/>
        <v>0</v>
      </c>
      <c r="Y58" s="35">
        <f t="shared" si="13"/>
        <v>0</v>
      </c>
      <c r="Z58" s="35">
        <f t="shared" si="13"/>
        <v>0</v>
      </c>
      <c r="AA58" s="35">
        <f t="shared" si="13"/>
        <v>0</v>
      </c>
      <c r="AB58" s="35">
        <f t="shared" si="13"/>
        <v>0</v>
      </c>
      <c r="AC58" s="35">
        <f t="shared" si="13"/>
        <v>0</v>
      </c>
      <c r="AD58" s="35">
        <f t="shared" si="13"/>
        <v>0</v>
      </c>
      <c r="AE58" s="35">
        <f t="shared" si="13"/>
        <v>0</v>
      </c>
      <c r="AF58" s="35">
        <f t="shared" si="13"/>
        <v>0</v>
      </c>
      <c r="AG58" s="35">
        <f t="shared" si="13"/>
        <v>0</v>
      </c>
      <c r="AH58" s="4">
        <f t="shared" si="11"/>
        <v>0</v>
      </c>
    </row>
    <row r="59" spans="1:34">
      <c r="A59" s="1" t="s">
        <v>20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9"/>
        <v>0</v>
      </c>
      <c r="R59" s="1" t="s">
        <v>20</v>
      </c>
      <c r="S59" s="35">
        <f t="shared" si="13"/>
        <v>0</v>
      </c>
      <c r="T59" s="35">
        <f t="shared" si="13"/>
        <v>0</v>
      </c>
      <c r="U59" s="35">
        <f t="shared" si="13"/>
        <v>0</v>
      </c>
      <c r="V59" s="35">
        <f t="shared" si="13"/>
        <v>0</v>
      </c>
      <c r="W59" s="35">
        <f t="shared" si="13"/>
        <v>0</v>
      </c>
      <c r="X59" s="35">
        <f t="shared" si="13"/>
        <v>0</v>
      </c>
      <c r="Y59" s="35">
        <f t="shared" si="13"/>
        <v>0</v>
      </c>
      <c r="Z59" s="35">
        <f t="shared" si="13"/>
        <v>0</v>
      </c>
      <c r="AA59" s="35">
        <f t="shared" si="13"/>
        <v>0</v>
      </c>
      <c r="AB59" s="35">
        <f t="shared" si="13"/>
        <v>0</v>
      </c>
      <c r="AC59" s="35">
        <f t="shared" si="13"/>
        <v>0</v>
      </c>
      <c r="AD59" s="35">
        <f t="shared" si="13"/>
        <v>0</v>
      </c>
      <c r="AE59" s="35">
        <f t="shared" si="13"/>
        <v>0</v>
      </c>
      <c r="AF59" s="35">
        <f t="shared" si="13"/>
        <v>0</v>
      </c>
      <c r="AG59" s="35">
        <f t="shared" si="13"/>
        <v>0</v>
      </c>
      <c r="AH59" s="4">
        <f t="shared" si="11"/>
        <v>0</v>
      </c>
    </row>
    <row r="60" spans="1:34">
      <c r="A60" s="1" t="s">
        <v>19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9"/>
        <v>0</v>
      </c>
      <c r="R60" s="1" t="s">
        <v>19</v>
      </c>
      <c r="S60" s="35">
        <f t="shared" si="13"/>
        <v>0</v>
      </c>
      <c r="T60" s="35">
        <f t="shared" si="13"/>
        <v>0</v>
      </c>
      <c r="U60" s="35">
        <f t="shared" si="13"/>
        <v>0</v>
      </c>
      <c r="V60" s="35">
        <f t="shared" si="13"/>
        <v>0</v>
      </c>
      <c r="W60" s="35">
        <f t="shared" si="13"/>
        <v>0</v>
      </c>
      <c r="X60" s="35">
        <f t="shared" si="13"/>
        <v>0</v>
      </c>
      <c r="Y60" s="35">
        <f t="shared" si="13"/>
        <v>0</v>
      </c>
      <c r="Z60" s="35">
        <f t="shared" si="13"/>
        <v>0</v>
      </c>
      <c r="AA60" s="35">
        <f t="shared" si="13"/>
        <v>0</v>
      </c>
      <c r="AB60" s="35">
        <f t="shared" si="13"/>
        <v>0</v>
      </c>
      <c r="AC60" s="35">
        <f t="shared" si="13"/>
        <v>0</v>
      </c>
      <c r="AD60" s="35">
        <f t="shared" si="13"/>
        <v>0</v>
      </c>
      <c r="AE60" s="35">
        <f t="shared" si="13"/>
        <v>0</v>
      </c>
      <c r="AF60" s="35">
        <f t="shared" si="13"/>
        <v>0</v>
      </c>
      <c r="AG60" s="35">
        <f t="shared" si="13"/>
        <v>0</v>
      </c>
      <c r="AH60" s="4">
        <f t="shared" si="11"/>
        <v>0</v>
      </c>
    </row>
    <row r="61" spans="1:34">
      <c r="A61" s="18" t="s">
        <v>21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9"/>
        <v>0</v>
      </c>
      <c r="R61" s="18" t="s">
        <v>21</v>
      </c>
      <c r="S61" s="35">
        <f t="shared" si="13"/>
        <v>0</v>
      </c>
      <c r="T61" s="35">
        <f t="shared" si="13"/>
        <v>0</v>
      </c>
      <c r="U61" s="35">
        <f t="shared" si="13"/>
        <v>0</v>
      </c>
      <c r="V61" s="35">
        <f t="shared" si="13"/>
        <v>0</v>
      </c>
      <c r="W61" s="35">
        <f t="shared" si="13"/>
        <v>0</v>
      </c>
      <c r="X61" s="35">
        <f t="shared" si="13"/>
        <v>0</v>
      </c>
      <c r="Y61" s="35">
        <f t="shared" si="13"/>
        <v>0</v>
      </c>
      <c r="Z61" s="35">
        <f t="shared" si="13"/>
        <v>0</v>
      </c>
      <c r="AA61" s="35">
        <f t="shared" si="13"/>
        <v>0</v>
      </c>
      <c r="AB61" s="35">
        <f t="shared" si="13"/>
        <v>0</v>
      </c>
      <c r="AC61" s="35">
        <f t="shared" si="13"/>
        <v>0</v>
      </c>
      <c r="AD61" s="35">
        <f t="shared" si="13"/>
        <v>0</v>
      </c>
      <c r="AE61" s="35">
        <f t="shared" si="13"/>
        <v>0</v>
      </c>
      <c r="AF61" s="35">
        <f t="shared" si="13"/>
        <v>0</v>
      </c>
      <c r="AG61" s="35">
        <f t="shared" si="13"/>
        <v>0</v>
      </c>
      <c r="AH61" s="4">
        <f t="shared" si="11"/>
        <v>0</v>
      </c>
    </row>
    <row r="62" spans="1:34">
      <c r="A62" s="2" t="s">
        <v>22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9"/>
        <v>0</v>
      </c>
      <c r="R62" s="2" t="s">
        <v>22</v>
      </c>
      <c r="S62" s="35">
        <f t="shared" si="13"/>
        <v>0</v>
      </c>
      <c r="T62" s="35">
        <f t="shared" si="13"/>
        <v>0</v>
      </c>
      <c r="U62" s="35">
        <f t="shared" si="13"/>
        <v>0</v>
      </c>
      <c r="V62" s="35">
        <f t="shared" si="13"/>
        <v>0</v>
      </c>
      <c r="W62" s="35">
        <f t="shared" si="13"/>
        <v>0</v>
      </c>
      <c r="X62" s="35">
        <f t="shared" si="13"/>
        <v>0</v>
      </c>
      <c r="Y62" s="35">
        <f t="shared" si="13"/>
        <v>0</v>
      </c>
      <c r="Z62" s="35">
        <f t="shared" si="13"/>
        <v>0</v>
      </c>
      <c r="AA62" s="35">
        <f t="shared" si="13"/>
        <v>0</v>
      </c>
      <c r="AB62" s="35">
        <f t="shared" si="13"/>
        <v>0</v>
      </c>
      <c r="AC62" s="35">
        <f t="shared" si="13"/>
        <v>0</v>
      </c>
      <c r="AD62" s="35">
        <f t="shared" si="13"/>
        <v>0</v>
      </c>
      <c r="AE62" s="35">
        <f t="shared" si="13"/>
        <v>0</v>
      </c>
      <c r="AF62" s="35">
        <f t="shared" si="13"/>
        <v>0</v>
      </c>
      <c r="AG62" s="35">
        <f t="shared" si="13"/>
        <v>0</v>
      </c>
      <c r="AH62" s="4">
        <f t="shared" si="11"/>
        <v>0</v>
      </c>
    </row>
    <row r="63" spans="1:34">
      <c r="A63" s="1" t="s">
        <v>23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9"/>
        <v>0</v>
      </c>
      <c r="R63" s="1" t="s">
        <v>23</v>
      </c>
      <c r="S63" s="35">
        <f t="shared" si="13"/>
        <v>0</v>
      </c>
      <c r="T63" s="35">
        <f t="shared" si="13"/>
        <v>0</v>
      </c>
      <c r="U63" s="35">
        <f t="shared" si="13"/>
        <v>0</v>
      </c>
      <c r="V63" s="35">
        <f t="shared" si="13"/>
        <v>0</v>
      </c>
      <c r="W63" s="35">
        <f t="shared" si="13"/>
        <v>0</v>
      </c>
      <c r="X63" s="35">
        <f t="shared" si="13"/>
        <v>0</v>
      </c>
      <c r="Y63" s="35">
        <f t="shared" si="13"/>
        <v>0</v>
      </c>
      <c r="Z63" s="35">
        <f t="shared" si="13"/>
        <v>0</v>
      </c>
      <c r="AA63" s="35">
        <f t="shared" si="13"/>
        <v>0</v>
      </c>
      <c r="AB63" s="35">
        <f t="shared" si="13"/>
        <v>0</v>
      </c>
      <c r="AC63" s="35">
        <f t="shared" si="13"/>
        <v>0</v>
      </c>
      <c r="AD63" s="35">
        <f t="shared" si="13"/>
        <v>0</v>
      </c>
      <c r="AE63" s="35">
        <f t="shared" si="13"/>
        <v>0</v>
      </c>
      <c r="AF63" s="35">
        <f t="shared" si="13"/>
        <v>0</v>
      </c>
      <c r="AG63" s="35">
        <f t="shared" si="13"/>
        <v>0</v>
      </c>
      <c r="AH63" s="4">
        <f t="shared" si="11"/>
        <v>0</v>
      </c>
    </row>
    <row r="64" spans="1:34">
      <c r="A64" s="1" t="s">
        <v>25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9"/>
        <v>0</v>
      </c>
      <c r="R64" s="1" t="s">
        <v>25</v>
      </c>
      <c r="S64" s="35">
        <f>S99*0.2</f>
        <v>0</v>
      </c>
      <c r="T64" s="35">
        <f t="shared" ref="T64:AE64" si="14">T99*0.2</f>
        <v>0</v>
      </c>
      <c r="U64" s="35">
        <f t="shared" si="14"/>
        <v>0</v>
      </c>
      <c r="V64" s="35">
        <f t="shared" si="14"/>
        <v>0</v>
      </c>
      <c r="W64" s="35">
        <f t="shared" si="14"/>
        <v>0</v>
      </c>
      <c r="X64" s="35">
        <f t="shared" si="14"/>
        <v>0</v>
      </c>
      <c r="Y64" s="35">
        <f t="shared" si="14"/>
        <v>0</v>
      </c>
      <c r="Z64" s="35">
        <f t="shared" si="14"/>
        <v>0</v>
      </c>
      <c r="AA64" s="35">
        <f t="shared" si="14"/>
        <v>0</v>
      </c>
      <c r="AB64" s="35">
        <f t="shared" si="14"/>
        <v>0</v>
      </c>
      <c r="AC64" s="35">
        <f t="shared" si="14"/>
        <v>0</v>
      </c>
      <c r="AD64" s="35">
        <f t="shared" si="14"/>
        <v>0</v>
      </c>
      <c r="AE64" s="35">
        <f t="shared" si="14"/>
        <v>0</v>
      </c>
      <c r="AF64" s="35">
        <v>0</v>
      </c>
      <c r="AG64" s="35">
        <v>0</v>
      </c>
      <c r="AH64" s="4">
        <f t="shared" si="11"/>
        <v>0</v>
      </c>
    </row>
    <row r="65" spans="1:34">
      <c r="A65" s="1" t="s">
        <v>24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9"/>
        <v>0</v>
      </c>
      <c r="R65" s="1" t="s">
        <v>24</v>
      </c>
      <c r="S65" s="35">
        <f t="shared" si="13"/>
        <v>0</v>
      </c>
      <c r="T65" s="35">
        <f t="shared" si="13"/>
        <v>0</v>
      </c>
      <c r="U65" s="35">
        <f t="shared" si="13"/>
        <v>0</v>
      </c>
      <c r="V65" s="35">
        <f t="shared" si="13"/>
        <v>0</v>
      </c>
      <c r="W65" s="35">
        <f t="shared" si="13"/>
        <v>0</v>
      </c>
      <c r="X65" s="35">
        <f t="shared" si="13"/>
        <v>0</v>
      </c>
      <c r="Y65" s="35">
        <f t="shared" si="13"/>
        <v>0</v>
      </c>
      <c r="Z65" s="35">
        <f t="shared" si="13"/>
        <v>0</v>
      </c>
      <c r="AA65" s="35">
        <f t="shared" si="13"/>
        <v>0</v>
      </c>
      <c r="AB65" s="35">
        <f t="shared" si="13"/>
        <v>0</v>
      </c>
      <c r="AC65" s="35">
        <f t="shared" si="13"/>
        <v>0</v>
      </c>
      <c r="AD65" s="35">
        <f t="shared" si="13"/>
        <v>0</v>
      </c>
      <c r="AE65" s="35">
        <f t="shared" si="13"/>
        <v>0</v>
      </c>
      <c r="AF65" s="35">
        <f t="shared" si="13"/>
        <v>0</v>
      </c>
      <c r="AG65" s="35">
        <f t="shared" si="13"/>
        <v>0</v>
      </c>
      <c r="AH65" s="4">
        <f t="shared" si="11"/>
        <v>0</v>
      </c>
    </row>
    <row r="66" spans="1:34">
      <c r="A66" s="1" t="s">
        <v>26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9"/>
        <v>0</v>
      </c>
      <c r="R66" s="1" t="s">
        <v>26</v>
      </c>
      <c r="S66" s="35">
        <f t="shared" si="13"/>
        <v>0</v>
      </c>
      <c r="T66" s="35">
        <f t="shared" si="13"/>
        <v>0</v>
      </c>
      <c r="U66" s="35">
        <f t="shared" si="13"/>
        <v>0</v>
      </c>
      <c r="V66" s="35">
        <f t="shared" si="13"/>
        <v>0</v>
      </c>
      <c r="W66" s="35">
        <f t="shared" si="13"/>
        <v>0</v>
      </c>
      <c r="X66" s="35">
        <f t="shared" si="13"/>
        <v>0</v>
      </c>
      <c r="Y66" s="35">
        <f t="shared" si="13"/>
        <v>0</v>
      </c>
      <c r="Z66" s="35">
        <f t="shared" si="13"/>
        <v>0</v>
      </c>
      <c r="AA66" s="35">
        <f t="shared" si="13"/>
        <v>0</v>
      </c>
      <c r="AB66" s="35">
        <f t="shared" si="13"/>
        <v>0</v>
      </c>
      <c r="AC66" s="35">
        <f t="shared" si="13"/>
        <v>0</v>
      </c>
      <c r="AD66" s="35">
        <f t="shared" si="13"/>
        <v>0</v>
      </c>
      <c r="AE66" s="35">
        <f t="shared" si="13"/>
        <v>0</v>
      </c>
      <c r="AF66" s="35">
        <f t="shared" si="13"/>
        <v>0</v>
      </c>
      <c r="AG66" s="35">
        <f t="shared" si="13"/>
        <v>0</v>
      </c>
      <c r="AH66" s="4">
        <f t="shared" si="11"/>
        <v>0</v>
      </c>
    </row>
    <row r="67" spans="1:34">
      <c r="A67" s="8" t="s">
        <v>37</v>
      </c>
      <c r="B67" s="9">
        <f>SUM(B40:B66)</f>
        <v>0</v>
      </c>
      <c r="C67" s="9">
        <f t="shared" ref="C67:N67" si="15">SUM(C40:C66)</f>
        <v>0</v>
      </c>
      <c r="D67" s="9">
        <f t="shared" si="15"/>
        <v>0</v>
      </c>
      <c r="E67" s="9">
        <f t="shared" si="15"/>
        <v>0</v>
      </c>
      <c r="F67" s="9">
        <f t="shared" si="15"/>
        <v>0</v>
      </c>
      <c r="G67" s="9">
        <f t="shared" si="15"/>
        <v>0</v>
      </c>
      <c r="H67" s="9">
        <f t="shared" si="15"/>
        <v>0</v>
      </c>
      <c r="I67" s="9">
        <f t="shared" si="15"/>
        <v>0</v>
      </c>
      <c r="J67" s="9">
        <f t="shared" si="15"/>
        <v>0</v>
      </c>
      <c r="K67" s="9">
        <f t="shared" si="15"/>
        <v>0</v>
      </c>
      <c r="L67" s="9">
        <f t="shared" si="15"/>
        <v>0</v>
      </c>
      <c r="M67" s="9">
        <f t="shared" si="15"/>
        <v>0</v>
      </c>
      <c r="N67" s="9">
        <f t="shared" si="15"/>
        <v>0</v>
      </c>
      <c r="O67" s="13">
        <f>SUM(O40:O66)</f>
        <v>0</v>
      </c>
      <c r="R67" s="8" t="s">
        <v>37</v>
      </c>
      <c r="S67" s="9">
        <f>SUM(S40:S66)</f>
        <v>0</v>
      </c>
      <c r="T67" s="9">
        <f t="shared" ref="T67:AG67" si="16">SUM(T40:T66)</f>
        <v>0</v>
      </c>
      <c r="U67" s="9">
        <f t="shared" si="16"/>
        <v>0</v>
      </c>
      <c r="V67" s="9">
        <f t="shared" si="16"/>
        <v>0</v>
      </c>
      <c r="W67" s="9">
        <f t="shared" si="16"/>
        <v>0</v>
      </c>
      <c r="X67" s="9">
        <f t="shared" si="16"/>
        <v>0</v>
      </c>
      <c r="Y67" s="9">
        <f t="shared" si="16"/>
        <v>0</v>
      </c>
      <c r="Z67" s="9">
        <f t="shared" si="16"/>
        <v>0</v>
      </c>
      <c r="AA67" s="9">
        <f t="shared" si="16"/>
        <v>0</v>
      </c>
      <c r="AB67" s="9">
        <f t="shared" si="16"/>
        <v>0</v>
      </c>
      <c r="AC67" s="9">
        <f t="shared" si="16"/>
        <v>0</v>
      </c>
      <c r="AD67" s="9">
        <f t="shared" si="16"/>
        <v>0</v>
      </c>
      <c r="AE67" s="9">
        <f t="shared" si="16"/>
        <v>0</v>
      </c>
      <c r="AF67" s="9">
        <f t="shared" si="16"/>
        <v>0</v>
      </c>
      <c r="AG67" s="9">
        <f t="shared" si="16"/>
        <v>0</v>
      </c>
      <c r="AH67" s="13">
        <f>SUM(AH40:AH66)</f>
        <v>0</v>
      </c>
    </row>
    <row r="68" spans="1:34" ht="18.75">
      <c r="O68" s="3"/>
      <c r="R68" s="44" t="s">
        <v>50</v>
      </c>
      <c r="AH68" s="43">
        <f>AH67+O67</f>
        <v>0</v>
      </c>
    </row>
    <row r="69" spans="1:34" s="34" customFormat="1">
      <c r="A69" s="298" t="s">
        <v>47</v>
      </c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O69" s="33"/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</row>
    <row r="70" spans="1:34">
      <c r="A70" s="39" t="s">
        <v>14</v>
      </c>
      <c r="B70" s="40">
        <f>B19*0.2</f>
        <v>0</v>
      </c>
      <c r="C70" s="40">
        <f t="shared" ref="C70:N70" si="17">C19*0.2</f>
        <v>0</v>
      </c>
      <c r="D70" s="40">
        <f t="shared" si="17"/>
        <v>0</v>
      </c>
      <c r="E70" s="40">
        <f t="shared" si="17"/>
        <v>0</v>
      </c>
      <c r="F70" s="40">
        <f t="shared" si="17"/>
        <v>0</v>
      </c>
      <c r="G70" s="40">
        <f t="shared" si="17"/>
        <v>0</v>
      </c>
      <c r="H70" s="40">
        <f t="shared" si="17"/>
        <v>0</v>
      </c>
      <c r="I70" s="40">
        <f t="shared" si="17"/>
        <v>0</v>
      </c>
      <c r="J70" s="40">
        <f t="shared" si="17"/>
        <v>0</v>
      </c>
      <c r="K70" s="40">
        <f t="shared" si="17"/>
        <v>0</v>
      </c>
      <c r="L70" s="40">
        <f t="shared" si="17"/>
        <v>0</v>
      </c>
      <c r="M70" s="40">
        <f t="shared" si="17"/>
        <v>0</v>
      </c>
      <c r="N70" s="40">
        <f t="shared" si="17"/>
        <v>0</v>
      </c>
      <c r="O70" s="41">
        <f>SUM(B70:N70)</f>
        <v>0</v>
      </c>
      <c r="R70"/>
      <c r="AC70" s="3"/>
      <c r="AD70" s="3"/>
      <c r="AE70" s="3"/>
      <c r="AF70" s="3"/>
      <c r="AG70" s="3"/>
    </row>
    <row r="71" spans="1:34">
      <c r="R71"/>
    </row>
    <row r="72" spans="1:34" ht="46.5">
      <c r="A72" s="292" t="s">
        <v>38</v>
      </c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  <c r="R72" s="292" t="s">
        <v>48</v>
      </c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4"/>
    </row>
    <row r="73" spans="1:34" ht="21.75" customHeight="1">
      <c r="A73" s="290" t="s">
        <v>33</v>
      </c>
      <c r="B73" s="287" t="s">
        <v>27</v>
      </c>
      <c r="C73" s="288"/>
      <c r="D73" s="287" t="s">
        <v>29</v>
      </c>
      <c r="E73" s="288"/>
      <c r="F73" s="285" t="s">
        <v>28</v>
      </c>
      <c r="G73" s="285" t="s">
        <v>36</v>
      </c>
      <c r="H73" s="285" t="s">
        <v>30</v>
      </c>
      <c r="I73" s="285" t="s">
        <v>31</v>
      </c>
      <c r="J73" s="285" t="s">
        <v>41</v>
      </c>
      <c r="K73" s="285" t="s">
        <v>35</v>
      </c>
      <c r="L73" s="285" t="s">
        <v>40</v>
      </c>
      <c r="M73" s="285" t="s">
        <v>42</v>
      </c>
      <c r="N73" s="285" t="s">
        <v>45</v>
      </c>
      <c r="O73" s="285" t="s">
        <v>34</v>
      </c>
      <c r="R73" s="290" t="s">
        <v>33</v>
      </c>
      <c r="S73" s="287" t="s">
        <v>27</v>
      </c>
      <c r="T73" s="288"/>
      <c r="U73" s="287" t="s">
        <v>29</v>
      </c>
      <c r="V73" s="288"/>
      <c r="W73" s="285" t="s">
        <v>28</v>
      </c>
      <c r="X73" s="285" t="s">
        <v>36</v>
      </c>
      <c r="Y73" s="285" t="s">
        <v>30</v>
      </c>
      <c r="Z73" s="285" t="s">
        <v>31</v>
      </c>
      <c r="AA73" s="285" t="s">
        <v>41</v>
      </c>
      <c r="AB73" s="285" t="s">
        <v>35</v>
      </c>
      <c r="AC73" s="285" t="s">
        <v>40</v>
      </c>
      <c r="AD73" s="285" t="s">
        <v>42</v>
      </c>
      <c r="AE73" s="285" t="s">
        <v>45</v>
      </c>
      <c r="AF73" s="287" t="s">
        <v>52</v>
      </c>
      <c r="AG73" s="288"/>
      <c r="AH73" s="285" t="s">
        <v>34</v>
      </c>
    </row>
    <row r="74" spans="1:34" ht="30">
      <c r="A74" s="291"/>
      <c r="B74" s="5" t="s">
        <v>43</v>
      </c>
      <c r="C74" s="5" t="s">
        <v>44</v>
      </c>
      <c r="D74" s="5" t="s">
        <v>43</v>
      </c>
      <c r="E74" s="5" t="s">
        <v>44</v>
      </c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R74" s="291"/>
      <c r="S74" s="46" t="s">
        <v>43</v>
      </c>
      <c r="T74" s="46" t="s">
        <v>44</v>
      </c>
      <c r="U74" s="46" t="s">
        <v>43</v>
      </c>
      <c r="V74" s="46" t="s">
        <v>44</v>
      </c>
      <c r="W74" s="286"/>
      <c r="X74" s="286"/>
      <c r="Y74" s="286"/>
      <c r="Z74" s="286"/>
      <c r="AA74" s="286"/>
      <c r="AB74" s="286"/>
      <c r="AC74" s="286"/>
      <c r="AD74" s="286"/>
      <c r="AE74" s="286"/>
      <c r="AF74" s="52" t="s">
        <v>53</v>
      </c>
      <c r="AG74" s="52" t="s">
        <v>54</v>
      </c>
      <c r="AH74" s="286"/>
    </row>
    <row r="75" spans="1:34">
      <c r="A75" s="1" t="s">
        <v>0</v>
      </c>
      <c r="B75" s="22">
        <f>B5+B40</f>
        <v>0</v>
      </c>
      <c r="C75" s="22">
        <f t="shared" ref="C75:N75" si="18">C5+C40</f>
        <v>0</v>
      </c>
      <c r="D75" s="22">
        <f t="shared" si="18"/>
        <v>0</v>
      </c>
      <c r="E75" s="22">
        <f t="shared" si="18"/>
        <v>0</v>
      </c>
      <c r="F75" s="22">
        <f t="shared" si="18"/>
        <v>0</v>
      </c>
      <c r="G75" s="22">
        <f t="shared" si="18"/>
        <v>0</v>
      </c>
      <c r="H75" s="22">
        <f t="shared" si="18"/>
        <v>0</v>
      </c>
      <c r="I75" s="22">
        <f t="shared" si="18"/>
        <v>0</v>
      </c>
      <c r="J75" s="22">
        <f t="shared" si="18"/>
        <v>0</v>
      </c>
      <c r="K75" s="22">
        <f t="shared" si="18"/>
        <v>0</v>
      </c>
      <c r="L75" s="22">
        <f t="shared" si="18"/>
        <v>0</v>
      </c>
      <c r="M75" s="22">
        <f t="shared" si="18"/>
        <v>0</v>
      </c>
      <c r="N75" s="22">
        <f t="shared" si="18"/>
        <v>0</v>
      </c>
      <c r="O75" s="12">
        <f>SUM(B75:N75)</f>
        <v>0</v>
      </c>
      <c r="R75" s="2" t="s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12">
        <f>SUM(S75:AG75)</f>
        <v>0</v>
      </c>
    </row>
    <row r="76" spans="1:34">
      <c r="A76" s="1" t="s">
        <v>1</v>
      </c>
      <c r="B76" s="22">
        <f t="shared" ref="B76:N91" si="19">B6+B41</f>
        <v>0</v>
      </c>
      <c r="C76" s="22">
        <f t="shared" si="19"/>
        <v>0</v>
      </c>
      <c r="D76" s="22">
        <f t="shared" si="19"/>
        <v>0</v>
      </c>
      <c r="E76" s="22">
        <f t="shared" si="19"/>
        <v>0</v>
      </c>
      <c r="F76" s="22">
        <f t="shared" si="19"/>
        <v>0</v>
      </c>
      <c r="G76" s="22">
        <f t="shared" si="19"/>
        <v>0</v>
      </c>
      <c r="H76" s="22">
        <f t="shared" si="19"/>
        <v>0</v>
      </c>
      <c r="I76" s="22">
        <f t="shared" si="19"/>
        <v>0</v>
      </c>
      <c r="J76" s="22">
        <f t="shared" si="19"/>
        <v>0</v>
      </c>
      <c r="K76" s="22">
        <f t="shared" si="19"/>
        <v>0</v>
      </c>
      <c r="L76" s="22">
        <f t="shared" si="19"/>
        <v>0</v>
      </c>
      <c r="M76" s="22">
        <f t="shared" si="19"/>
        <v>0</v>
      </c>
      <c r="N76" s="22">
        <f t="shared" si="19"/>
        <v>0</v>
      </c>
      <c r="O76" s="12">
        <f t="shared" ref="O76:O101" si="20">SUM(B76:N76)</f>
        <v>0</v>
      </c>
      <c r="R76" s="2" t="s">
        <v>1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12">
        <f t="shared" ref="AH76:AH101" si="21">SUM(S76:AG76)</f>
        <v>0</v>
      </c>
    </row>
    <row r="77" spans="1:34">
      <c r="A77" s="18" t="s">
        <v>2</v>
      </c>
      <c r="B77" s="22">
        <f t="shared" si="19"/>
        <v>0</v>
      </c>
      <c r="C77" s="22">
        <f t="shared" si="19"/>
        <v>0</v>
      </c>
      <c r="D77" s="22">
        <f t="shared" si="19"/>
        <v>0</v>
      </c>
      <c r="E77" s="22">
        <f t="shared" si="19"/>
        <v>0</v>
      </c>
      <c r="F77" s="22">
        <f t="shared" si="19"/>
        <v>0</v>
      </c>
      <c r="G77" s="22">
        <f t="shared" si="19"/>
        <v>0</v>
      </c>
      <c r="H77" s="22">
        <f t="shared" si="19"/>
        <v>0</v>
      </c>
      <c r="I77" s="22">
        <f t="shared" si="19"/>
        <v>0</v>
      </c>
      <c r="J77" s="22">
        <f t="shared" si="19"/>
        <v>0</v>
      </c>
      <c r="K77" s="22">
        <f t="shared" si="19"/>
        <v>0</v>
      </c>
      <c r="L77" s="22">
        <f t="shared" si="19"/>
        <v>0</v>
      </c>
      <c r="M77" s="22">
        <f t="shared" si="19"/>
        <v>0</v>
      </c>
      <c r="N77" s="22">
        <f t="shared" si="19"/>
        <v>0</v>
      </c>
      <c r="O77" s="12">
        <f t="shared" si="20"/>
        <v>0</v>
      </c>
      <c r="R77" s="2" t="s">
        <v>2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12">
        <f t="shared" si="21"/>
        <v>0</v>
      </c>
    </row>
    <row r="78" spans="1:34">
      <c r="A78" s="2" t="s">
        <v>3</v>
      </c>
      <c r="B78" s="22">
        <f t="shared" si="19"/>
        <v>0</v>
      </c>
      <c r="C78" s="22">
        <f t="shared" si="19"/>
        <v>0</v>
      </c>
      <c r="D78" s="22">
        <f t="shared" si="19"/>
        <v>0</v>
      </c>
      <c r="E78" s="22">
        <f t="shared" si="19"/>
        <v>0</v>
      </c>
      <c r="F78" s="22">
        <f t="shared" si="19"/>
        <v>0</v>
      </c>
      <c r="G78" s="22">
        <f t="shared" si="19"/>
        <v>0</v>
      </c>
      <c r="H78" s="22">
        <f t="shared" si="19"/>
        <v>0</v>
      </c>
      <c r="I78" s="22">
        <f t="shared" si="19"/>
        <v>0</v>
      </c>
      <c r="J78" s="22">
        <f t="shared" si="19"/>
        <v>0</v>
      </c>
      <c r="K78" s="22">
        <f t="shared" si="19"/>
        <v>0</v>
      </c>
      <c r="L78" s="22">
        <f t="shared" si="19"/>
        <v>0</v>
      </c>
      <c r="M78" s="22">
        <f t="shared" si="19"/>
        <v>0</v>
      </c>
      <c r="N78" s="22">
        <f t="shared" si="19"/>
        <v>0</v>
      </c>
      <c r="O78" s="12">
        <f t="shared" si="20"/>
        <v>0</v>
      </c>
      <c r="R78" s="2" t="s">
        <v>3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12">
        <f t="shared" si="21"/>
        <v>0</v>
      </c>
    </row>
    <row r="79" spans="1:34">
      <c r="A79" s="1" t="s">
        <v>4</v>
      </c>
      <c r="B79" s="22">
        <f t="shared" si="19"/>
        <v>0</v>
      </c>
      <c r="C79" s="22">
        <f t="shared" si="19"/>
        <v>0</v>
      </c>
      <c r="D79" s="22">
        <f t="shared" si="19"/>
        <v>0</v>
      </c>
      <c r="E79" s="22">
        <f t="shared" si="19"/>
        <v>0</v>
      </c>
      <c r="F79" s="22">
        <f t="shared" si="19"/>
        <v>0</v>
      </c>
      <c r="G79" s="22">
        <f t="shared" si="19"/>
        <v>0</v>
      </c>
      <c r="H79" s="22">
        <f t="shared" si="19"/>
        <v>0</v>
      </c>
      <c r="I79" s="22">
        <f t="shared" si="19"/>
        <v>0</v>
      </c>
      <c r="J79" s="22">
        <f t="shared" si="19"/>
        <v>0</v>
      </c>
      <c r="K79" s="22">
        <f t="shared" si="19"/>
        <v>0</v>
      </c>
      <c r="L79" s="22">
        <f t="shared" si="19"/>
        <v>0</v>
      </c>
      <c r="M79" s="22">
        <f t="shared" si="19"/>
        <v>0</v>
      </c>
      <c r="N79" s="22">
        <f t="shared" si="19"/>
        <v>0</v>
      </c>
      <c r="O79" s="12">
        <f t="shared" si="20"/>
        <v>0</v>
      </c>
      <c r="R79" s="2" t="s">
        <v>4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12">
        <f t="shared" si="21"/>
        <v>0</v>
      </c>
    </row>
    <row r="80" spans="1:34">
      <c r="A80" s="1" t="s">
        <v>5</v>
      </c>
      <c r="B80" s="22">
        <f t="shared" si="19"/>
        <v>0</v>
      </c>
      <c r="C80" s="22">
        <f t="shared" si="19"/>
        <v>0</v>
      </c>
      <c r="D80" s="22">
        <f t="shared" si="19"/>
        <v>0</v>
      </c>
      <c r="E80" s="22">
        <f t="shared" si="19"/>
        <v>0</v>
      </c>
      <c r="F80" s="22">
        <f t="shared" si="19"/>
        <v>0</v>
      </c>
      <c r="G80" s="22">
        <f t="shared" si="19"/>
        <v>0</v>
      </c>
      <c r="H80" s="22">
        <f t="shared" si="19"/>
        <v>0</v>
      </c>
      <c r="I80" s="22">
        <f t="shared" si="19"/>
        <v>0</v>
      </c>
      <c r="J80" s="22">
        <f t="shared" si="19"/>
        <v>0</v>
      </c>
      <c r="K80" s="22">
        <f t="shared" si="19"/>
        <v>0</v>
      </c>
      <c r="L80" s="22">
        <f t="shared" si="19"/>
        <v>0</v>
      </c>
      <c r="M80" s="22">
        <f t="shared" si="19"/>
        <v>0</v>
      </c>
      <c r="N80" s="22">
        <f t="shared" si="19"/>
        <v>0</v>
      </c>
      <c r="O80" s="12">
        <f t="shared" si="20"/>
        <v>0</v>
      </c>
      <c r="R80" s="2" t="s">
        <v>5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12">
        <f t="shared" si="21"/>
        <v>0</v>
      </c>
    </row>
    <row r="81" spans="1:34">
      <c r="A81" s="1" t="s">
        <v>6</v>
      </c>
      <c r="B81" s="22">
        <f t="shared" si="19"/>
        <v>0</v>
      </c>
      <c r="C81" s="22">
        <f t="shared" si="19"/>
        <v>0</v>
      </c>
      <c r="D81" s="22">
        <f t="shared" si="19"/>
        <v>0</v>
      </c>
      <c r="E81" s="22">
        <f t="shared" si="19"/>
        <v>0</v>
      </c>
      <c r="F81" s="22">
        <f t="shared" si="19"/>
        <v>0</v>
      </c>
      <c r="G81" s="22">
        <f t="shared" si="19"/>
        <v>0</v>
      </c>
      <c r="H81" s="22">
        <f t="shared" si="19"/>
        <v>0</v>
      </c>
      <c r="I81" s="22">
        <f t="shared" si="19"/>
        <v>0</v>
      </c>
      <c r="J81" s="22">
        <f t="shared" si="19"/>
        <v>0</v>
      </c>
      <c r="K81" s="22">
        <f t="shared" si="19"/>
        <v>0</v>
      </c>
      <c r="L81" s="22">
        <f t="shared" si="19"/>
        <v>0</v>
      </c>
      <c r="M81" s="22">
        <f t="shared" si="19"/>
        <v>0</v>
      </c>
      <c r="N81" s="22">
        <f t="shared" si="19"/>
        <v>0</v>
      </c>
      <c r="O81" s="12">
        <f t="shared" si="20"/>
        <v>0</v>
      </c>
      <c r="R81" s="2" t="s">
        <v>6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12">
        <f t="shared" si="21"/>
        <v>0</v>
      </c>
    </row>
    <row r="82" spans="1:34">
      <c r="A82" s="1" t="s">
        <v>7</v>
      </c>
      <c r="B82" s="22">
        <f t="shared" si="19"/>
        <v>0</v>
      </c>
      <c r="C82" s="22">
        <f t="shared" si="19"/>
        <v>0</v>
      </c>
      <c r="D82" s="22">
        <f t="shared" si="19"/>
        <v>0</v>
      </c>
      <c r="E82" s="22">
        <f t="shared" si="19"/>
        <v>0</v>
      </c>
      <c r="F82" s="22">
        <f t="shared" si="19"/>
        <v>0</v>
      </c>
      <c r="G82" s="22">
        <f t="shared" si="19"/>
        <v>0</v>
      </c>
      <c r="H82" s="22">
        <f t="shared" si="19"/>
        <v>0</v>
      </c>
      <c r="I82" s="22">
        <f t="shared" si="19"/>
        <v>0</v>
      </c>
      <c r="J82" s="22">
        <f>J12+J47</f>
        <v>0</v>
      </c>
      <c r="K82" s="22">
        <f t="shared" si="19"/>
        <v>0</v>
      </c>
      <c r="L82" s="22">
        <f t="shared" si="19"/>
        <v>0</v>
      </c>
      <c r="M82" s="22">
        <f t="shared" si="19"/>
        <v>0</v>
      </c>
      <c r="N82" s="22">
        <f t="shared" si="19"/>
        <v>0</v>
      </c>
      <c r="O82" s="12">
        <f t="shared" si="20"/>
        <v>0</v>
      </c>
      <c r="R82" s="2" t="s">
        <v>7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12">
        <f t="shared" si="21"/>
        <v>0</v>
      </c>
    </row>
    <row r="83" spans="1:34">
      <c r="A83" s="1" t="s">
        <v>8</v>
      </c>
      <c r="B83" s="22">
        <f t="shared" si="19"/>
        <v>0</v>
      </c>
      <c r="C83" s="22">
        <f t="shared" si="19"/>
        <v>0</v>
      </c>
      <c r="D83" s="22">
        <f t="shared" si="19"/>
        <v>0</v>
      </c>
      <c r="E83" s="22">
        <f t="shared" si="19"/>
        <v>0</v>
      </c>
      <c r="F83" s="22">
        <f t="shared" si="19"/>
        <v>0</v>
      </c>
      <c r="G83" s="22">
        <f t="shared" si="19"/>
        <v>0</v>
      </c>
      <c r="H83" s="22">
        <f t="shared" si="19"/>
        <v>0</v>
      </c>
      <c r="I83" s="22">
        <f t="shared" si="19"/>
        <v>0</v>
      </c>
      <c r="J83" s="22">
        <f t="shared" si="19"/>
        <v>0</v>
      </c>
      <c r="K83" s="22">
        <f t="shared" si="19"/>
        <v>0</v>
      </c>
      <c r="L83" s="22">
        <f t="shared" si="19"/>
        <v>0</v>
      </c>
      <c r="M83" s="22">
        <f t="shared" si="19"/>
        <v>0</v>
      </c>
      <c r="N83" s="22">
        <f t="shared" si="19"/>
        <v>0</v>
      </c>
      <c r="O83" s="12">
        <f t="shared" si="20"/>
        <v>0</v>
      </c>
      <c r="R83" s="2" t="s">
        <v>8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12">
        <f t="shared" si="21"/>
        <v>0</v>
      </c>
    </row>
    <row r="84" spans="1:34">
      <c r="A84" s="2" t="s">
        <v>9</v>
      </c>
      <c r="B84" s="22">
        <f t="shared" si="19"/>
        <v>0</v>
      </c>
      <c r="C84" s="22">
        <f t="shared" si="19"/>
        <v>0</v>
      </c>
      <c r="D84" s="22">
        <f t="shared" si="19"/>
        <v>0</v>
      </c>
      <c r="E84" s="22">
        <f t="shared" si="19"/>
        <v>0</v>
      </c>
      <c r="F84" s="22">
        <f t="shared" si="19"/>
        <v>0</v>
      </c>
      <c r="G84" s="22">
        <f t="shared" si="19"/>
        <v>0</v>
      </c>
      <c r="H84" s="22">
        <f t="shared" si="19"/>
        <v>0</v>
      </c>
      <c r="I84" s="22">
        <f t="shared" si="19"/>
        <v>0</v>
      </c>
      <c r="J84" s="22">
        <f t="shared" si="19"/>
        <v>0</v>
      </c>
      <c r="K84" s="22">
        <f t="shared" si="19"/>
        <v>0</v>
      </c>
      <c r="L84" s="22">
        <f t="shared" si="19"/>
        <v>0</v>
      </c>
      <c r="M84" s="22">
        <f t="shared" si="19"/>
        <v>0</v>
      </c>
      <c r="N84" s="22">
        <f t="shared" si="19"/>
        <v>0</v>
      </c>
      <c r="O84" s="12">
        <f t="shared" si="20"/>
        <v>0</v>
      </c>
      <c r="R84" s="2" t="s">
        <v>9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12">
        <f t="shared" si="21"/>
        <v>0</v>
      </c>
    </row>
    <row r="85" spans="1:34">
      <c r="A85" s="18" t="s">
        <v>10</v>
      </c>
      <c r="B85" s="22">
        <f t="shared" si="19"/>
        <v>0</v>
      </c>
      <c r="C85" s="22">
        <f t="shared" si="19"/>
        <v>0</v>
      </c>
      <c r="D85" s="22">
        <f t="shared" si="19"/>
        <v>0</v>
      </c>
      <c r="E85" s="22">
        <f t="shared" si="19"/>
        <v>0</v>
      </c>
      <c r="F85" s="22">
        <f t="shared" si="19"/>
        <v>0</v>
      </c>
      <c r="G85" s="22">
        <f t="shared" si="19"/>
        <v>0</v>
      </c>
      <c r="H85" s="22">
        <f t="shared" si="19"/>
        <v>0</v>
      </c>
      <c r="I85" s="22">
        <f t="shared" si="19"/>
        <v>0</v>
      </c>
      <c r="J85" s="22">
        <f t="shared" si="19"/>
        <v>0</v>
      </c>
      <c r="K85" s="22">
        <f t="shared" si="19"/>
        <v>0</v>
      </c>
      <c r="L85" s="22">
        <f t="shared" si="19"/>
        <v>0</v>
      </c>
      <c r="M85" s="22">
        <f t="shared" si="19"/>
        <v>0</v>
      </c>
      <c r="N85" s="22">
        <f t="shared" si="19"/>
        <v>0</v>
      </c>
      <c r="O85" s="12">
        <f t="shared" si="20"/>
        <v>0</v>
      </c>
      <c r="R85" s="2" t="s">
        <v>10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12">
        <f t="shared" si="21"/>
        <v>0</v>
      </c>
    </row>
    <row r="86" spans="1:34">
      <c r="A86" s="1" t="s">
        <v>11</v>
      </c>
      <c r="B86" s="22">
        <f t="shared" si="19"/>
        <v>0</v>
      </c>
      <c r="C86" s="22">
        <f t="shared" si="19"/>
        <v>0</v>
      </c>
      <c r="D86" s="22">
        <f t="shared" si="19"/>
        <v>0</v>
      </c>
      <c r="E86" s="22">
        <f t="shared" si="19"/>
        <v>0</v>
      </c>
      <c r="F86" s="22">
        <f t="shared" si="19"/>
        <v>0</v>
      </c>
      <c r="G86" s="22">
        <f t="shared" si="19"/>
        <v>0</v>
      </c>
      <c r="H86" s="22">
        <f t="shared" si="19"/>
        <v>0</v>
      </c>
      <c r="I86" s="22">
        <f t="shared" si="19"/>
        <v>0</v>
      </c>
      <c r="J86" s="22">
        <f t="shared" si="19"/>
        <v>0</v>
      </c>
      <c r="K86" s="22">
        <f t="shared" si="19"/>
        <v>0</v>
      </c>
      <c r="L86" s="22">
        <f t="shared" si="19"/>
        <v>0</v>
      </c>
      <c r="M86" s="22">
        <f t="shared" si="19"/>
        <v>0</v>
      </c>
      <c r="N86" s="22">
        <f t="shared" si="19"/>
        <v>0</v>
      </c>
      <c r="O86" s="12">
        <f t="shared" si="20"/>
        <v>0</v>
      </c>
      <c r="R86" s="2" t="s">
        <v>11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12">
        <f t="shared" si="21"/>
        <v>0</v>
      </c>
    </row>
    <row r="87" spans="1:34">
      <c r="A87" s="1" t="s">
        <v>12</v>
      </c>
      <c r="B87" s="22">
        <f t="shared" si="19"/>
        <v>0</v>
      </c>
      <c r="C87" s="22">
        <f t="shared" si="19"/>
        <v>0</v>
      </c>
      <c r="D87" s="22">
        <f t="shared" si="19"/>
        <v>0</v>
      </c>
      <c r="E87" s="22">
        <f t="shared" si="19"/>
        <v>0</v>
      </c>
      <c r="F87" s="22">
        <f t="shared" si="19"/>
        <v>0</v>
      </c>
      <c r="G87" s="22">
        <f t="shared" si="19"/>
        <v>0</v>
      </c>
      <c r="H87" s="22">
        <f t="shared" si="19"/>
        <v>0</v>
      </c>
      <c r="I87" s="22">
        <f t="shared" si="19"/>
        <v>0</v>
      </c>
      <c r="J87" s="22">
        <f t="shared" si="19"/>
        <v>0</v>
      </c>
      <c r="K87" s="22">
        <f t="shared" si="19"/>
        <v>0</v>
      </c>
      <c r="L87" s="22">
        <f t="shared" si="19"/>
        <v>0</v>
      </c>
      <c r="M87" s="22">
        <f t="shared" si="19"/>
        <v>0</v>
      </c>
      <c r="N87" s="22">
        <f t="shared" si="19"/>
        <v>0</v>
      </c>
      <c r="O87" s="12">
        <f t="shared" si="20"/>
        <v>0</v>
      </c>
      <c r="R87" s="2" t="s">
        <v>12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12">
        <f t="shared" si="21"/>
        <v>0</v>
      </c>
    </row>
    <row r="88" spans="1:34">
      <c r="A88" s="1" t="s">
        <v>15</v>
      </c>
      <c r="B88" s="22">
        <f t="shared" si="19"/>
        <v>0</v>
      </c>
      <c r="C88" s="22">
        <f t="shared" si="19"/>
        <v>0</v>
      </c>
      <c r="D88" s="22">
        <f t="shared" si="19"/>
        <v>0</v>
      </c>
      <c r="E88" s="22">
        <f t="shared" si="19"/>
        <v>0</v>
      </c>
      <c r="F88" s="22">
        <f t="shared" si="19"/>
        <v>0</v>
      </c>
      <c r="G88" s="22">
        <f t="shared" si="19"/>
        <v>0</v>
      </c>
      <c r="H88" s="22">
        <f t="shared" si="19"/>
        <v>0</v>
      </c>
      <c r="I88" s="22">
        <f t="shared" si="19"/>
        <v>0</v>
      </c>
      <c r="J88" s="22">
        <f t="shared" si="19"/>
        <v>0</v>
      </c>
      <c r="K88" s="22">
        <f t="shared" si="19"/>
        <v>0</v>
      </c>
      <c r="L88" s="22">
        <f t="shared" si="19"/>
        <v>0</v>
      </c>
      <c r="M88" s="22">
        <f t="shared" si="19"/>
        <v>0</v>
      </c>
      <c r="N88" s="22">
        <f t="shared" si="19"/>
        <v>0</v>
      </c>
      <c r="O88" s="12">
        <f t="shared" si="20"/>
        <v>0</v>
      </c>
      <c r="R88" s="2" t="s">
        <v>15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12">
        <f t="shared" si="21"/>
        <v>0</v>
      </c>
    </row>
    <row r="89" spans="1:34">
      <c r="A89" s="1" t="s">
        <v>14</v>
      </c>
      <c r="B89" s="22">
        <f t="shared" si="19"/>
        <v>0</v>
      </c>
      <c r="C89" s="22">
        <f t="shared" si="19"/>
        <v>0</v>
      </c>
      <c r="D89" s="22">
        <f t="shared" si="19"/>
        <v>0</v>
      </c>
      <c r="E89" s="22">
        <f t="shared" si="19"/>
        <v>0</v>
      </c>
      <c r="F89" s="22">
        <f t="shared" si="19"/>
        <v>0</v>
      </c>
      <c r="G89" s="22">
        <f t="shared" si="19"/>
        <v>0</v>
      </c>
      <c r="H89" s="22">
        <f t="shared" si="19"/>
        <v>0</v>
      </c>
      <c r="I89" s="22">
        <f t="shared" si="19"/>
        <v>0</v>
      </c>
      <c r="J89" s="22">
        <f t="shared" si="19"/>
        <v>0</v>
      </c>
      <c r="K89" s="22">
        <f t="shared" si="19"/>
        <v>0</v>
      </c>
      <c r="L89" s="22">
        <f t="shared" si="19"/>
        <v>0</v>
      </c>
      <c r="M89" s="22">
        <f t="shared" si="19"/>
        <v>0</v>
      </c>
      <c r="N89" s="22">
        <f t="shared" si="19"/>
        <v>0</v>
      </c>
      <c r="O89" s="12">
        <f t="shared" si="20"/>
        <v>0</v>
      </c>
      <c r="R89" s="2" t="s">
        <v>14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12">
        <f t="shared" si="21"/>
        <v>0</v>
      </c>
    </row>
    <row r="90" spans="1:34">
      <c r="A90" s="18" t="s">
        <v>13</v>
      </c>
      <c r="B90" s="22">
        <f t="shared" si="19"/>
        <v>0</v>
      </c>
      <c r="C90" s="22">
        <f t="shared" si="19"/>
        <v>0</v>
      </c>
      <c r="D90" s="22">
        <f t="shared" si="19"/>
        <v>0</v>
      </c>
      <c r="E90" s="22">
        <f t="shared" si="19"/>
        <v>0</v>
      </c>
      <c r="F90" s="22">
        <f t="shared" si="19"/>
        <v>0</v>
      </c>
      <c r="G90" s="22">
        <f t="shared" si="19"/>
        <v>0</v>
      </c>
      <c r="H90" s="22">
        <f t="shared" si="19"/>
        <v>0</v>
      </c>
      <c r="I90" s="22">
        <f t="shared" si="19"/>
        <v>0</v>
      </c>
      <c r="J90" s="22">
        <f t="shared" si="19"/>
        <v>0</v>
      </c>
      <c r="K90" s="22">
        <f t="shared" si="19"/>
        <v>0</v>
      </c>
      <c r="L90" s="22">
        <f t="shared" si="19"/>
        <v>0</v>
      </c>
      <c r="M90" s="22">
        <f t="shared" si="19"/>
        <v>0</v>
      </c>
      <c r="N90" s="22">
        <f t="shared" si="19"/>
        <v>0</v>
      </c>
      <c r="O90" s="12">
        <f t="shared" si="20"/>
        <v>0</v>
      </c>
      <c r="R90" s="2" t="s">
        <v>13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12">
        <f t="shared" si="21"/>
        <v>0</v>
      </c>
    </row>
    <row r="91" spans="1:34">
      <c r="A91" s="1" t="s">
        <v>16</v>
      </c>
      <c r="B91" s="22">
        <f t="shared" si="19"/>
        <v>0</v>
      </c>
      <c r="C91" s="22">
        <f t="shared" si="19"/>
        <v>0</v>
      </c>
      <c r="D91" s="22">
        <f t="shared" si="19"/>
        <v>0</v>
      </c>
      <c r="E91" s="22">
        <f t="shared" si="19"/>
        <v>0</v>
      </c>
      <c r="F91" s="22">
        <f t="shared" si="19"/>
        <v>0</v>
      </c>
      <c r="G91" s="22">
        <f t="shared" si="19"/>
        <v>0</v>
      </c>
      <c r="H91" s="22">
        <f t="shared" si="19"/>
        <v>0</v>
      </c>
      <c r="I91" s="22">
        <f t="shared" si="19"/>
        <v>0</v>
      </c>
      <c r="J91" s="22">
        <f t="shared" si="19"/>
        <v>0</v>
      </c>
      <c r="K91" s="22">
        <f t="shared" si="19"/>
        <v>0</v>
      </c>
      <c r="L91" s="22">
        <f t="shared" si="19"/>
        <v>0</v>
      </c>
      <c r="M91" s="22">
        <f t="shared" si="19"/>
        <v>0</v>
      </c>
      <c r="N91" s="22">
        <f t="shared" si="19"/>
        <v>0</v>
      </c>
      <c r="O91" s="12">
        <f t="shared" si="20"/>
        <v>0</v>
      </c>
      <c r="R91" s="2" t="s">
        <v>16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12">
        <f t="shared" si="21"/>
        <v>0</v>
      </c>
    </row>
    <row r="92" spans="1:34">
      <c r="A92" s="1" t="s">
        <v>17</v>
      </c>
      <c r="B92" s="22">
        <f t="shared" ref="B92:N101" si="22">B22+B57</f>
        <v>0</v>
      </c>
      <c r="C92" s="22">
        <f t="shared" si="22"/>
        <v>0</v>
      </c>
      <c r="D92" s="22">
        <f t="shared" si="22"/>
        <v>0</v>
      </c>
      <c r="E92" s="22">
        <f t="shared" si="22"/>
        <v>0</v>
      </c>
      <c r="F92" s="22">
        <f t="shared" si="22"/>
        <v>0</v>
      </c>
      <c r="G92" s="22">
        <f t="shared" si="22"/>
        <v>0</v>
      </c>
      <c r="H92" s="22">
        <f t="shared" si="22"/>
        <v>0</v>
      </c>
      <c r="I92" s="22">
        <f t="shared" si="22"/>
        <v>0</v>
      </c>
      <c r="J92" s="22">
        <f t="shared" si="22"/>
        <v>0</v>
      </c>
      <c r="K92" s="22">
        <f t="shared" si="22"/>
        <v>0</v>
      </c>
      <c r="L92" s="22">
        <f t="shared" si="22"/>
        <v>0</v>
      </c>
      <c r="M92" s="22">
        <f t="shared" si="22"/>
        <v>0</v>
      </c>
      <c r="N92" s="22">
        <f t="shared" si="22"/>
        <v>0</v>
      </c>
      <c r="O92" s="12">
        <f t="shared" si="20"/>
        <v>0</v>
      </c>
      <c r="R92" s="2" t="s">
        <v>17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12">
        <f t="shared" si="21"/>
        <v>0</v>
      </c>
    </row>
    <row r="93" spans="1:34">
      <c r="A93" s="1" t="s">
        <v>18</v>
      </c>
      <c r="B93" s="22">
        <f t="shared" si="22"/>
        <v>0</v>
      </c>
      <c r="C93" s="22">
        <f t="shared" si="22"/>
        <v>0</v>
      </c>
      <c r="D93" s="22">
        <f t="shared" si="22"/>
        <v>0</v>
      </c>
      <c r="E93" s="22">
        <f t="shared" si="22"/>
        <v>0</v>
      </c>
      <c r="F93" s="22">
        <f t="shared" si="22"/>
        <v>0</v>
      </c>
      <c r="G93" s="22">
        <f t="shared" si="22"/>
        <v>0</v>
      </c>
      <c r="H93" s="22">
        <f t="shared" si="22"/>
        <v>0</v>
      </c>
      <c r="I93" s="22">
        <f t="shared" si="22"/>
        <v>0</v>
      </c>
      <c r="J93" s="22">
        <f t="shared" si="22"/>
        <v>0</v>
      </c>
      <c r="K93" s="22">
        <f t="shared" si="22"/>
        <v>0</v>
      </c>
      <c r="L93" s="22">
        <f t="shared" si="22"/>
        <v>0</v>
      </c>
      <c r="M93" s="22">
        <f t="shared" si="22"/>
        <v>0</v>
      </c>
      <c r="N93" s="22">
        <f t="shared" si="22"/>
        <v>0</v>
      </c>
      <c r="O93" s="12">
        <f t="shared" si="20"/>
        <v>0</v>
      </c>
      <c r="R93" s="2" t="s">
        <v>18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12">
        <f t="shared" si="21"/>
        <v>0</v>
      </c>
    </row>
    <row r="94" spans="1:34">
      <c r="A94" s="1" t="s">
        <v>20</v>
      </c>
      <c r="B94" s="22">
        <f t="shared" si="22"/>
        <v>0</v>
      </c>
      <c r="C94" s="22">
        <f t="shared" si="22"/>
        <v>0</v>
      </c>
      <c r="D94" s="22">
        <f t="shared" si="22"/>
        <v>0</v>
      </c>
      <c r="E94" s="22">
        <f t="shared" si="22"/>
        <v>0</v>
      </c>
      <c r="F94" s="22">
        <f t="shared" si="22"/>
        <v>0</v>
      </c>
      <c r="G94" s="22">
        <f t="shared" si="22"/>
        <v>0</v>
      </c>
      <c r="H94" s="22">
        <f t="shared" si="22"/>
        <v>0</v>
      </c>
      <c r="I94" s="22">
        <f t="shared" si="22"/>
        <v>0</v>
      </c>
      <c r="J94" s="22">
        <f t="shared" si="22"/>
        <v>0</v>
      </c>
      <c r="K94" s="22">
        <f t="shared" si="22"/>
        <v>0</v>
      </c>
      <c r="L94" s="22">
        <f t="shared" si="22"/>
        <v>0</v>
      </c>
      <c r="M94" s="22">
        <f t="shared" si="22"/>
        <v>0</v>
      </c>
      <c r="N94" s="22">
        <f t="shared" si="22"/>
        <v>0</v>
      </c>
      <c r="O94" s="12">
        <f t="shared" si="20"/>
        <v>0</v>
      </c>
      <c r="R94" s="2" t="s">
        <v>20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12">
        <f t="shared" si="21"/>
        <v>0</v>
      </c>
    </row>
    <row r="95" spans="1:34">
      <c r="A95" s="1" t="s">
        <v>19</v>
      </c>
      <c r="B95" s="22">
        <f t="shared" si="22"/>
        <v>0</v>
      </c>
      <c r="C95" s="22">
        <f t="shared" si="22"/>
        <v>0</v>
      </c>
      <c r="D95" s="22">
        <f t="shared" si="22"/>
        <v>0</v>
      </c>
      <c r="E95" s="22">
        <f t="shared" si="22"/>
        <v>0</v>
      </c>
      <c r="F95" s="22">
        <f t="shared" si="22"/>
        <v>0</v>
      </c>
      <c r="G95" s="22">
        <f t="shared" si="22"/>
        <v>0</v>
      </c>
      <c r="H95" s="22">
        <f t="shared" si="22"/>
        <v>0</v>
      </c>
      <c r="I95" s="22">
        <f t="shared" si="22"/>
        <v>0</v>
      </c>
      <c r="J95" s="22">
        <f t="shared" si="22"/>
        <v>0</v>
      </c>
      <c r="K95" s="22">
        <f t="shared" si="22"/>
        <v>0</v>
      </c>
      <c r="L95" s="22">
        <f t="shared" si="22"/>
        <v>0</v>
      </c>
      <c r="M95" s="22">
        <f t="shared" si="22"/>
        <v>0</v>
      </c>
      <c r="N95" s="22">
        <f t="shared" si="22"/>
        <v>0</v>
      </c>
      <c r="O95" s="12">
        <f t="shared" si="20"/>
        <v>0</v>
      </c>
      <c r="R95" s="2" t="s">
        <v>19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12">
        <f t="shared" si="21"/>
        <v>0</v>
      </c>
    </row>
    <row r="96" spans="1:34">
      <c r="A96" s="18" t="s">
        <v>21</v>
      </c>
      <c r="B96" s="22">
        <f t="shared" si="22"/>
        <v>0</v>
      </c>
      <c r="C96" s="22">
        <f t="shared" si="22"/>
        <v>0</v>
      </c>
      <c r="D96" s="22">
        <f t="shared" si="22"/>
        <v>0</v>
      </c>
      <c r="E96" s="22">
        <f t="shared" si="22"/>
        <v>0</v>
      </c>
      <c r="F96" s="22">
        <f t="shared" si="22"/>
        <v>0</v>
      </c>
      <c r="G96" s="22">
        <f t="shared" si="22"/>
        <v>0</v>
      </c>
      <c r="H96" s="22">
        <f t="shared" si="22"/>
        <v>0</v>
      </c>
      <c r="I96" s="22">
        <f t="shared" si="22"/>
        <v>0</v>
      </c>
      <c r="J96" s="22">
        <f t="shared" si="22"/>
        <v>0</v>
      </c>
      <c r="K96" s="22">
        <f t="shared" si="22"/>
        <v>0</v>
      </c>
      <c r="L96" s="22">
        <f t="shared" si="22"/>
        <v>0</v>
      </c>
      <c r="M96" s="22">
        <f t="shared" si="22"/>
        <v>0</v>
      </c>
      <c r="N96" s="22">
        <f t="shared" si="22"/>
        <v>0</v>
      </c>
      <c r="O96" s="12">
        <f t="shared" si="20"/>
        <v>0</v>
      </c>
      <c r="R96" s="2" t="s">
        <v>21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12">
        <f t="shared" si="21"/>
        <v>0</v>
      </c>
    </row>
    <row r="97" spans="1:34">
      <c r="A97" s="2" t="s">
        <v>22</v>
      </c>
      <c r="B97" s="22">
        <f t="shared" si="22"/>
        <v>0</v>
      </c>
      <c r="C97" s="22">
        <f t="shared" si="22"/>
        <v>0</v>
      </c>
      <c r="D97" s="22">
        <f t="shared" si="22"/>
        <v>0</v>
      </c>
      <c r="E97" s="22">
        <f t="shared" si="22"/>
        <v>0</v>
      </c>
      <c r="F97" s="22">
        <f t="shared" si="22"/>
        <v>0</v>
      </c>
      <c r="G97" s="22">
        <f t="shared" si="22"/>
        <v>0</v>
      </c>
      <c r="H97" s="22">
        <f t="shared" si="22"/>
        <v>0</v>
      </c>
      <c r="I97" s="22">
        <f t="shared" si="22"/>
        <v>0</v>
      </c>
      <c r="J97" s="22">
        <f t="shared" si="22"/>
        <v>0</v>
      </c>
      <c r="K97" s="22">
        <f t="shared" si="22"/>
        <v>0</v>
      </c>
      <c r="L97" s="22">
        <f t="shared" si="22"/>
        <v>0</v>
      </c>
      <c r="M97" s="22">
        <f t="shared" si="22"/>
        <v>0</v>
      </c>
      <c r="N97" s="22">
        <f t="shared" si="22"/>
        <v>0</v>
      </c>
      <c r="O97" s="12">
        <f t="shared" si="20"/>
        <v>0</v>
      </c>
      <c r="R97" s="2" t="s">
        <v>22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12">
        <f t="shared" si="21"/>
        <v>0</v>
      </c>
    </row>
    <row r="98" spans="1:34">
      <c r="A98" s="1" t="s">
        <v>23</v>
      </c>
      <c r="B98" s="22">
        <f t="shared" si="22"/>
        <v>0</v>
      </c>
      <c r="C98" s="22">
        <f t="shared" si="22"/>
        <v>0</v>
      </c>
      <c r="D98" s="22">
        <f t="shared" si="22"/>
        <v>0</v>
      </c>
      <c r="E98" s="22">
        <f t="shared" si="22"/>
        <v>0</v>
      </c>
      <c r="F98" s="22">
        <f t="shared" si="22"/>
        <v>0</v>
      </c>
      <c r="G98" s="22">
        <f t="shared" si="22"/>
        <v>0</v>
      </c>
      <c r="H98" s="22">
        <f t="shared" si="22"/>
        <v>0</v>
      </c>
      <c r="I98" s="22">
        <f t="shared" si="22"/>
        <v>0</v>
      </c>
      <c r="J98" s="22">
        <f t="shared" si="22"/>
        <v>0</v>
      </c>
      <c r="K98" s="22">
        <f t="shared" si="22"/>
        <v>0</v>
      </c>
      <c r="L98" s="22">
        <f t="shared" si="22"/>
        <v>0</v>
      </c>
      <c r="M98" s="22">
        <f t="shared" si="22"/>
        <v>0</v>
      </c>
      <c r="N98" s="22">
        <f t="shared" si="22"/>
        <v>0</v>
      </c>
      <c r="O98" s="12">
        <f t="shared" si="20"/>
        <v>0</v>
      </c>
      <c r="R98" s="2" t="s">
        <v>23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12">
        <f t="shared" si="21"/>
        <v>0</v>
      </c>
    </row>
    <row r="99" spans="1:34">
      <c r="A99" s="1" t="s">
        <v>25</v>
      </c>
      <c r="B99" s="22">
        <f t="shared" si="22"/>
        <v>0</v>
      </c>
      <c r="C99" s="22">
        <f t="shared" si="22"/>
        <v>0</v>
      </c>
      <c r="D99" s="22">
        <f t="shared" si="22"/>
        <v>0</v>
      </c>
      <c r="E99" s="22">
        <f t="shared" si="22"/>
        <v>0</v>
      </c>
      <c r="F99" s="22">
        <f t="shared" si="22"/>
        <v>0</v>
      </c>
      <c r="G99" s="22">
        <f t="shared" si="22"/>
        <v>0</v>
      </c>
      <c r="H99" s="22">
        <f t="shared" si="22"/>
        <v>0</v>
      </c>
      <c r="I99" s="22">
        <f t="shared" si="22"/>
        <v>0</v>
      </c>
      <c r="J99" s="22">
        <f t="shared" si="22"/>
        <v>0</v>
      </c>
      <c r="K99" s="22">
        <f t="shared" si="22"/>
        <v>0</v>
      </c>
      <c r="L99" s="22">
        <f t="shared" si="22"/>
        <v>0</v>
      </c>
      <c r="M99" s="22">
        <f t="shared" si="22"/>
        <v>0</v>
      </c>
      <c r="N99" s="22">
        <f t="shared" si="22"/>
        <v>0</v>
      </c>
      <c r="O99" s="12">
        <f t="shared" si="20"/>
        <v>0</v>
      </c>
      <c r="R99" s="2" t="s">
        <v>25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12">
        <f t="shared" si="21"/>
        <v>0</v>
      </c>
    </row>
    <row r="100" spans="1:34">
      <c r="A100" s="1" t="s">
        <v>24</v>
      </c>
      <c r="B100" s="22">
        <f t="shared" si="22"/>
        <v>0</v>
      </c>
      <c r="C100" s="22">
        <f t="shared" si="22"/>
        <v>0</v>
      </c>
      <c r="D100" s="22">
        <f t="shared" si="22"/>
        <v>0</v>
      </c>
      <c r="E100" s="22">
        <f t="shared" si="22"/>
        <v>0</v>
      </c>
      <c r="F100" s="22">
        <f t="shared" si="22"/>
        <v>0</v>
      </c>
      <c r="G100" s="22">
        <f t="shared" si="22"/>
        <v>0</v>
      </c>
      <c r="H100" s="22">
        <f t="shared" si="22"/>
        <v>0</v>
      </c>
      <c r="I100" s="22">
        <f t="shared" si="22"/>
        <v>0</v>
      </c>
      <c r="J100" s="22">
        <f t="shared" si="22"/>
        <v>0</v>
      </c>
      <c r="K100" s="22">
        <f t="shared" si="22"/>
        <v>0</v>
      </c>
      <c r="L100" s="22">
        <f t="shared" si="22"/>
        <v>0</v>
      </c>
      <c r="M100" s="22">
        <f t="shared" si="22"/>
        <v>0</v>
      </c>
      <c r="N100" s="22">
        <f t="shared" si="22"/>
        <v>0</v>
      </c>
      <c r="O100" s="12">
        <f t="shared" si="20"/>
        <v>0</v>
      </c>
      <c r="R100" s="2" t="s">
        <v>24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12">
        <f t="shared" si="21"/>
        <v>0</v>
      </c>
    </row>
    <row r="101" spans="1:34">
      <c r="A101" s="1" t="s">
        <v>26</v>
      </c>
      <c r="B101" s="22">
        <f t="shared" si="22"/>
        <v>0</v>
      </c>
      <c r="C101" s="22">
        <f t="shared" si="22"/>
        <v>0</v>
      </c>
      <c r="D101" s="22">
        <f t="shared" si="22"/>
        <v>0</v>
      </c>
      <c r="E101" s="22">
        <f t="shared" si="22"/>
        <v>0</v>
      </c>
      <c r="F101" s="22">
        <f t="shared" si="22"/>
        <v>0</v>
      </c>
      <c r="G101" s="22">
        <f t="shared" si="22"/>
        <v>0</v>
      </c>
      <c r="H101" s="22">
        <f t="shared" si="22"/>
        <v>0</v>
      </c>
      <c r="I101" s="22">
        <f t="shared" si="22"/>
        <v>0</v>
      </c>
      <c r="J101" s="22">
        <f t="shared" si="22"/>
        <v>0</v>
      </c>
      <c r="K101" s="22">
        <f t="shared" si="22"/>
        <v>0</v>
      </c>
      <c r="L101" s="22">
        <f t="shared" si="22"/>
        <v>0</v>
      </c>
      <c r="M101" s="22">
        <f t="shared" si="22"/>
        <v>0</v>
      </c>
      <c r="N101" s="22">
        <f t="shared" si="22"/>
        <v>0</v>
      </c>
      <c r="O101" s="12">
        <f t="shared" si="20"/>
        <v>0</v>
      </c>
      <c r="R101" s="2" t="s">
        <v>26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12">
        <f t="shared" si="21"/>
        <v>0</v>
      </c>
    </row>
    <row r="102" spans="1:34">
      <c r="A102" s="8" t="s">
        <v>37</v>
      </c>
      <c r="B102" s="16">
        <f t="shared" ref="B102:O102" si="23">SUM(B75:B101)</f>
        <v>0</v>
      </c>
      <c r="C102" s="16">
        <f t="shared" si="23"/>
        <v>0</v>
      </c>
      <c r="D102" s="16">
        <f t="shared" si="23"/>
        <v>0</v>
      </c>
      <c r="E102" s="16">
        <f t="shared" si="23"/>
        <v>0</v>
      </c>
      <c r="F102" s="16">
        <f t="shared" si="23"/>
        <v>0</v>
      </c>
      <c r="G102" s="16">
        <f t="shared" si="23"/>
        <v>0</v>
      </c>
      <c r="H102" s="16">
        <f t="shared" si="23"/>
        <v>0</v>
      </c>
      <c r="I102" s="16">
        <f t="shared" si="23"/>
        <v>0</v>
      </c>
      <c r="J102" s="16">
        <f t="shared" si="23"/>
        <v>0</v>
      </c>
      <c r="K102" s="16">
        <f t="shared" si="23"/>
        <v>0</v>
      </c>
      <c r="L102" s="16">
        <f t="shared" si="23"/>
        <v>0</v>
      </c>
      <c r="M102" s="16">
        <f t="shared" si="23"/>
        <v>0</v>
      </c>
      <c r="N102" s="16">
        <f t="shared" si="23"/>
        <v>0</v>
      </c>
      <c r="O102" s="7">
        <f t="shared" si="23"/>
        <v>0</v>
      </c>
      <c r="R102" s="8" t="s">
        <v>37</v>
      </c>
      <c r="S102" s="45">
        <f t="shared" ref="S102:AH102" si="24">SUM(S75:S101)</f>
        <v>0</v>
      </c>
      <c r="T102" s="45">
        <f t="shared" si="24"/>
        <v>0</v>
      </c>
      <c r="U102" s="45">
        <f t="shared" si="24"/>
        <v>0</v>
      </c>
      <c r="V102" s="45">
        <f t="shared" si="24"/>
        <v>0</v>
      </c>
      <c r="W102" s="45">
        <f t="shared" si="24"/>
        <v>0</v>
      </c>
      <c r="X102" s="45">
        <f t="shared" si="24"/>
        <v>0</v>
      </c>
      <c r="Y102" s="45">
        <f t="shared" si="24"/>
        <v>0</v>
      </c>
      <c r="Z102" s="45">
        <f t="shared" si="24"/>
        <v>0</v>
      </c>
      <c r="AA102" s="45">
        <f t="shared" si="24"/>
        <v>0</v>
      </c>
      <c r="AB102" s="45">
        <f t="shared" si="24"/>
        <v>0</v>
      </c>
      <c r="AC102" s="45">
        <f t="shared" si="24"/>
        <v>0</v>
      </c>
      <c r="AD102" s="45">
        <f t="shared" si="24"/>
        <v>0</v>
      </c>
      <c r="AE102" s="45">
        <f t="shared" si="24"/>
        <v>0</v>
      </c>
      <c r="AF102" s="45">
        <f t="shared" si="24"/>
        <v>0</v>
      </c>
      <c r="AG102" s="45">
        <f t="shared" si="24"/>
        <v>0</v>
      </c>
      <c r="AH102" s="7">
        <f t="shared" si="24"/>
        <v>0</v>
      </c>
    </row>
    <row r="104" spans="1:34">
      <c r="O104" s="15" t="e">
        <f>O102+#REF!+#REF!+#REF!+#REF!</f>
        <v>#REF!</v>
      </c>
    </row>
    <row r="105" spans="1:34" ht="46.5">
      <c r="K105" s="296" t="s">
        <v>49</v>
      </c>
      <c r="L105" s="297"/>
      <c r="M105" s="297"/>
      <c r="N105" s="297"/>
      <c r="O105" s="297"/>
      <c r="P105" s="297"/>
      <c r="Q105" s="297"/>
      <c r="R105" s="297"/>
      <c r="S105" s="297"/>
      <c r="T105" s="297"/>
      <c r="U105" s="297"/>
      <c r="V105" s="297"/>
      <c r="W105" s="297"/>
      <c r="X105" s="297"/>
      <c r="Y105" s="297"/>
      <c r="Z105" s="297"/>
      <c r="AA105" s="297"/>
    </row>
    <row r="106" spans="1:34">
      <c r="K106" s="290" t="s">
        <v>33</v>
      </c>
      <c r="L106" s="287" t="s">
        <v>27</v>
      </c>
      <c r="M106" s="288"/>
      <c r="N106" s="287" t="s">
        <v>29</v>
      </c>
      <c r="O106" s="288"/>
      <c r="P106" s="285" t="s">
        <v>28</v>
      </c>
      <c r="Q106" s="285" t="s">
        <v>36</v>
      </c>
      <c r="R106" s="285" t="s">
        <v>30</v>
      </c>
      <c r="S106" s="285" t="s">
        <v>31</v>
      </c>
      <c r="T106" s="285" t="s">
        <v>41</v>
      </c>
      <c r="U106" s="285" t="s">
        <v>35</v>
      </c>
      <c r="V106" s="285" t="s">
        <v>40</v>
      </c>
      <c r="W106" s="285" t="s">
        <v>42</v>
      </c>
      <c r="X106" s="285" t="s">
        <v>45</v>
      </c>
      <c r="Y106" s="287" t="s">
        <v>52</v>
      </c>
      <c r="Z106" s="288"/>
      <c r="AA106" s="285" t="s">
        <v>34</v>
      </c>
    </row>
    <row r="107" spans="1:34" ht="30">
      <c r="K107" s="291"/>
      <c r="L107" s="46" t="s">
        <v>43</v>
      </c>
      <c r="M107" s="46" t="s">
        <v>44</v>
      </c>
      <c r="N107" s="46" t="s">
        <v>43</v>
      </c>
      <c r="O107" s="46" t="s">
        <v>44</v>
      </c>
      <c r="P107" s="286"/>
      <c r="Q107" s="286"/>
      <c r="R107" s="286"/>
      <c r="S107" s="286"/>
      <c r="T107" s="286"/>
      <c r="U107" s="286"/>
      <c r="V107" s="286"/>
      <c r="W107" s="286"/>
      <c r="X107" s="286"/>
      <c r="Y107" s="52" t="s">
        <v>53</v>
      </c>
      <c r="Z107" s="52" t="s">
        <v>54</v>
      </c>
      <c r="AA107" s="286"/>
    </row>
    <row r="108" spans="1:34">
      <c r="K108" s="1" t="s">
        <v>0</v>
      </c>
      <c r="L108" s="22">
        <f>B75+S75</f>
        <v>0</v>
      </c>
      <c r="M108" s="22">
        <f t="shared" ref="M108:X123" si="25">C75+T75</f>
        <v>0</v>
      </c>
      <c r="N108" s="22">
        <f t="shared" si="25"/>
        <v>0</v>
      </c>
      <c r="O108" s="22">
        <f t="shared" si="25"/>
        <v>0</v>
      </c>
      <c r="P108" s="22">
        <f t="shared" si="25"/>
        <v>0</v>
      </c>
      <c r="Q108" s="22">
        <f t="shared" si="25"/>
        <v>0</v>
      </c>
      <c r="R108" s="22">
        <f t="shared" si="25"/>
        <v>0</v>
      </c>
      <c r="S108" s="22">
        <f t="shared" si="25"/>
        <v>0</v>
      </c>
      <c r="T108" s="22">
        <f t="shared" si="25"/>
        <v>0</v>
      </c>
      <c r="U108" s="22">
        <f t="shared" si="25"/>
        <v>0</v>
      </c>
      <c r="V108" s="22">
        <f t="shared" si="25"/>
        <v>0</v>
      </c>
      <c r="W108" s="22">
        <f t="shared" si="25"/>
        <v>0</v>
      </c>
      <c r="X108" s="22">
        <f t="shared" si="25"/>
        <v>0</v>
      </c>
      <c r="Y108" s="22">
        <f>AF75</f>
        <v>0</v>
      </c>
      <c r="Z108" s="22">
        <f>AG75</f>
        <v>0</v>
      </c>
      <c r="AA108" s="12">
        <f>SUM(L108:Z108)</f>
        <v>0</v>
      </c>
    </row>
    <row r="109" spans="1:34">
      <c r="K109" s="1" t="s">
        <v>1</v>
      </c>
      <c r="L109" s="22">
        <f t="shared" ref="L109:X134" si="26">B76+S76</f>
        <v>0</v>
      </c>
      <c r="M109" s="22">
        <f t="shared" si="25"/>
        <v>0</v>
      </c>
      <c r="N109" s="22">
        <f t="shared" si="25"/>
        <v>0</v>
      </c>
      <c r="O109" s="22">
        <f t="shared" si="25"/>
        <v>0</v>
      </c>
      <c r="P109" s="22">
        <f t="shared" si="25"/>
        <v>0</v>
      </c>
      <c r="Q109" s="22">
        <f t="shared" si="25"/>
        <v>0</v>
      </c>
      <c r="R109" s="22">
        <f t="shared" si="25"/>
        <v>0</v>
      </c>
      <c r="S109" s="22">
        <f t="shared" si="25"/>
        <v>0</v>
      </c>
      <c r="T109" s="22">
        <f t="shared" si="25"/>
        <v>0</v>
      </c>
      <c r="U109" s="22">
        <f t="shared" si="25"/>
        <v>0</v>
      </c>
      <c r="V109" s="22">
        <f t="shared" si="25"/>
        <v>0</v>
      </c>
      <c r="W109" s="22">
        <f t="shared" si="25"/>
        <v>0</v>
      </c>
      <c r="X109" s="22">
        <f t="shared" si="25"/>
        <v>0</v>
      </c>
      <c r="Y109" s="22">
        <f t="shared" ref="Y109:Z109" si="27">AF76</f>
        <v>0</v>
      </c>
      <c r="Z109" s="22">
        <f t="shared" si="27"/>
        <v>0</v>
      </c>
      <c r="AA109" s="12">
        <f t="shared" ref="AA109:AA133" si="28">SUM(L109:Z109)</f>
        <v>0</v>
      </c>
    </row>
    <row r="110" spans="1:34">
      <c r="K110" s="18" t="s">
        <v>2</v>
      </c>
      <c r="L110" s="22">
        <f t="shared" si="26"/>
        <v>0</v>
      </c>
      <c r="M110" s="22">
        <f t="shared" si="25"/>
        <v>0</v>
      </c>
      <c r="N110" s="22">
        <f t="shared" si="25"/>
        <v>0</v>
      </c>
      <c r="O110" s="22">
        <f t="shared" si="25"/>
        <v>0</v>
      </c>
      <c r="P110" s="22">
        <f t="shared" si="25"/>
        <v>0</v>
      </c>
      <c r="Q110" s="22">
        <f t="shared" si="25"/>
        <v>0</v>
      </c>
      <c r="R110" s="22">
        <f t="shared" si="25"/>
        <v>0</v>
      </c>
      <c r="S110" s="22">
        <f t="shared" si="25"/>
        <v>0</v>
      </c>
      <c r="T110" s="22">
        <f t="shared" si="25"/>
        <v>0</v>
      </c>
      <c r="U110" s="22">
        <f t="shared" si="25"/>
        <v>0</v>
      </c>
      <c r="V110" s="22">
        <f t="shared" si="25"/>
        <v>0</v>
      </c>
      <c r="W110" s="22">
        <f t="shared" si="25"/>
        <v>0</v>
      </c>
      <c r="X110" s="22">
        <f t="shared" si="25"/>
        <v>0</v>
      </c>
      <c r="Y110" s="22">
        <f t="shared" ref="Y110:Z110" si="29">AF77</f>
        <v>0</v>
      </c>
      <c r="Z110" s="22">
        <f t="shared" si="29"/>
        <v>0</v>
      </c>
      <c r="AA110" s="12">
        <f t="shared" si="28"/>
        <v>0</v>
      </c>
    </row>
    <row r="111" spans="1:34">
      <c r="K111" s="2" t="s">
        <v>3</v>
      </c>
      <c r="L111" s="22">
        <f t="shared" si="26"/>
        <v>0</v>
      </c>
      <c r="M111" s="22">
        <f t="shared" si="25"/>
        <v>0</v>
      </c>
      <c r="N111" s="22">
        <f t="shared" si="25"/>
        <v>0</v>
      </c>
      <c r="O111" s="22">
        <f t="shared" si="25"/>
        <v>0</v>
      </c>
      <c r="P111" s="22">
        <f t="shared" si="25"/>
        <v>0</v>
      </c>
      <c r="Q111" s="22">
        <f t="shared" si="25"/>
        <v>0</v>
      </c>
      <c r="R111" s="22">
        <f t="shared" si="25"/>
        <v>0</v>
      </c>
      <c r="S111" s="22">
        <f t="shared" si="25"/>
        <v>0</v>
      </c>
      <c r="T111" s="22">
        <f t="shared" si="25"/>
        <v>0</v>
      </c>
      <c r="U111" s="22">
        <f t="shared" si="25"/>
        <v>0</v>
      </c>
      <c r="V111" s="22">
        <f t="shared" si="25"/>
        <v>0</v>
      </c>
      <c r="W111" s="22">
        <f t="shared" si="25"/>
        <v>0</v>
      </c>
      <c r="X111" s="22">
        <f t="shared" si="25"/>
        <v>0</v>
      </c>
      <c r="Y111" s="22">
        <f t="shared" ref="Y111:Z111" si="30">AF78</f>
        <v>0</v>
      </c>
      <c r="Z111" s="22">
        <f t="shared" si="30"/>
        <v>0</v>
      </c>
      <c r="AA111" s="12">
        <f t="shared" si="28"/>
        <v>0</v>
      </c>
    </row>
    <row r="112" spans="1:34">
      <c r="K112" s="1" t="s">
        <v>4</v>
      </c>
      <c r="L112" s="22">
        <f t="shared" si="26"/>
        <v>0</v>
      </c>
      <c r="M112" s="22">
        <f t="shared" si="25"/>
        <v>0</v>
      </c>
      <c r="N112" s="22">
        <f t="shared" si="25"/>
        <v>0</v>
      </c>
      <c r="O112" s="22">
        <f t="shared" si="25"/>
        <v>0</v>
      </c>
      <c r="P112" s="22">
        <f t="shared" si="25"/>
        <v>0</v>
      </c>
      <c r="Q112" s="22">
        <f t="shared" si="25"/>
        <v>0</v>
      </c>
      <c r="R112" s="22">
        <f t="shared" si="25"/>
        <v>0</v>
      </c>
      <c r="S112" s="22">
        <f t="shared" si="25"/>
        <v>0</v>
      </c>
      <c r="T112" s="22">
        <f t="shared" si="25"/>
        <v>0</v>
      </c>
      <c r="U112" s="22">
        <f t="shared" si="25"/>
        <v>0</v>
      </c>
      <c r="V112" s="22">
        <f t="shared" si="25"/>
        <v>0</v>
      </c>
      <c r="W112" s="22">
        <f t="shared" si="25"/>
        <v>0</v>
      </c>
      <c r="X112" s="22">
        <f t="shared" si="25"/>
        <v>0</v>
      </c>
      <c r="Y112" s="22">
        <f t="shared" ref="Y112:Z112" si="31">AF79</f>
        <v>0</v>
      </c>
      <c r="Z112" s="22">
        <f t="shared" si="31"/>
        <v>0</v>
      </c>
      <c r="AA112" s="12">
        <f t="shared" si="28"/>
        <v>0</v>
      </c>
    </row>
    <row r="113" spans="11:27">
      <c r="K113" s="1" t="s">
        <v>5</v>
      </c>
      <c r="L113" s="22">
        <f t="shared" si="26"/>
        <v>0</v>
      </c>
      <c r="M113" s="22">
        <f t="shared" si="25"/>
        <v>0</v>
      </c>
      <c r="N113" s="22">
        <f t="shared" si="25"/>
        <v>0</v>
      </c>
      <c r="O113" s="22">
        <f t="shared" si="25"/>
        <v>0</v>
      </c>
      <c r="P113" s="22">
        <f t="shared" si="25"/>
        <v>0</v>
      </c>
      <c r="Q113" s="22">
        <f t="shared" si="25"/>
        <v>0</v>
      </c>
      <c r="R113" s="22">
        <f t="shared" si="25"/>
        <v>0</v>
      </c>
      <c r="S113" s="22">
        <f t="shared" si="25"/>
        <v>0</v>
      </c>
      <c r="T113" s="22">
        <f t="shared" si="25"/>
        <v>0</v>
      </c>
      <c r="U113" s="22">
        <f t="shared" si="25"/>
        <v>0</v>
      </c>
      <c r="V113" s="22">
        <f t="shared" si="25"/>
        <v>0</v>
      </c>
      <c r="W113" s="22">
        <f t="shared" si="25"/>
        <v>0</v>
      </c>
      <c r="X113" s="22">
        <f t="shared" si="25"/>
        <v>0</v>
      </c>
      <c r="Y113" s="22">
        <f t="shared" ref="Y113:Z113" si="32">AF80</f>
        <v>0</v>
      </c>
      <c r="Z113" s="22">
        <f t="shared" si="32"/>
        <v>0</v>
      </c>
      <c r="AA113" s="12">
        <f t="shared" si="28"/>
        <v>0</v>
      </c>
    </row>
    <row r="114" spans="11:27">
      <c r="K114" s="1" t="s">
        <v>6</v>
      </c>
      <c r="L114" s="22">
        <f t="shared" si="26"/>
        <v>0</v>
      </c>
      <c r="M114" s="22">
        <f t="shared" si="25"/>
        <v>0</v>
      </c>
      <c r="N114" s="22">
        <f t="shared" si="25"/>
        <v>0</v>
      </c>
      <c r="O114" s="22">
        <f t="shared" si="25"/>
        <v>0</v>
      </c>
      <c r="P114" s="22">
        <f t="shared" si="25"/>
        <v>0</v>
      </c>
      <c r="Q114" s="22">
        <f t="shared" si="25"/>
        <v>0</v>
      </c>
      <c r="R114" s="22">
        <f t="shared" si="25"/>
        <v>0</v>
      </c>
      <c r="S114" s="22">
        <f t="shared" si="25"/>
        <v>0</v>
      </c>
      <c r="T114" s="22">
        <f t="shared" si="25"/>
        <v>0</v>
      </c>
      <c r="U114" s="22">
        <f t="shared" si="25"/>
        <v>0</v>
      </c>
      <c r="V114" s="22">
        <f t="shared" si="25"/>
        <v>0</v>
      </c>
      <c r="W114" s="22">
        <f t="shared" si="25"/>
        <v>0</v>
      </c>
      <c r="X114" s="22">
        <f t="shared" si="25"/>
        <v>0</v>
      </c>
      <c r="Y114" s="22">
        <f t="shared" ref="Y114:Z114" si="33">AF81</f>
        <v>0</v>
      </c>
      <c r="Z114" s="22">
        <f t="shared" si="33"/>
        <v>0</v>
      </c>
      <c r="AA114" s="12">
        <f t="shared" si="28"/>
        <v>0</v>
      </c>
    </row>
    <row r="115" spans="11:27">
      <c r="K115" s="1" t="s">
        <v>7</v>
      </c>
      <c r="L115" s="22">
        <f t="shared" si="26"/>
        <v>0</v>
      </c>
      <c r="M115" s="22">
        <f t="shared" si="25"/>
        <v>0</v>
      </c>
      <c r="N115" s="22">
        <f t="shared" si="25"/>
        <v>0</v>
      </c>
      <c r="O115" s="22">
        <f t="shared" si="25"/>
        <v>0</v>
      </c>
      <c r="P115" s="22">
        <f t="shared" si="25"/>
        <v>0</v>
      </c>
      <c r="Q115" s="22">
        <f t="shared" si="25"/>
        <v>0</v>
      </c>
      <c r="R115" s="22">
        <f t="shared" si="25"/>
        <v>0</v>
      </c>
      <c r="S115" s="22">
        <f t="shared" si="25"/>
        <v>0</v>
      </c>
      <c r="T115" s="22">
        <f t="shared" si="25"/>
        <v>0</v>
      </c>
      <c r="U115" s="22">
        <f t="shared" si="25"/>
        <v>0</v>
      </c>
      <c r="V115" s="22">
        <f t="shared" si="25"/>
        <v>0</v>
      </c>
      <c r="W115" s="22">
        <f t="shared" si="25"/>
        <v>0</v>
      </c>
      <c r="X115" s="22">
        <f t="shared" si="25"/>
        <v>0</v>
      </c>
      <c r="Y115" s="22">
        <f t="shared" ref="Y115:Z115" si="34">AF82</f>
        <v>0</v>
      </c>
      <c r="Z115" s="22">
        <f t="shared" si="34"/>
        <v>0</v>
      </c>
      <c r="AA115" s="12">
        <f t="shared" si="28"/>
        <v>0</v>
      </c>
    </row>
    <row r="116" spans="11:27">
      <c r="K116" s="1" t="s">
        <v>8</v>
      </c>
      <c r="L116" s="22">
        <f t="shared" si="26"/>
        <v>0</v>
      </c>
      <c r="M116" s="22">
        <f t="shared" si="25"/>
        <v>0</v>
      </c>
      <c r="N116" s="22">
        <f t="shared" si="25"/>
        <v>0</v>
      </c>
      <c r="O116" s="22">
        <f t="shared" si="25"/>
        <v>0</v>
      </c>
      <c r="P116" s="22">
        <f t="shared" si="25"/>
        <v>0</v>
      </c>
      <c r="Q116" s="22">
        <f t="shared" si="25"/>
        <v>0</v>
      </c>
      <c r="R116" s="22">
        <f t="shared" si="25"/>
        <v>0</v>
      </c>
      <c r="S116" s="22">
        <f t="shared" si="25"/>
        <v>0</v>
      </c>
      <c r="T116" s="22">
        <f t="shared" si="25"/>
        <v>0</v>
      </c>
      <c r="U116" s="22">
        <f t="shared" si="25"/>
        <v>0</v>
      </c>
      <c r="V116" s="22">
        <f t="shared" si="25"/>
        <v>0</v>
      </c>
      <c r="W116" s="22">
        <f t="shared" si="25"/>
        <v>0</v>
      </c>
      <c r="X116" s="22">
        <f t="shared" si="25"/>
        <v>0</v>
      </c>
      <c r="Y116" s="22">
        <f t="shared" ref="Y116:Z116" si="35">AF83</f>
        <v>0</v>
      </c>
      <c r="Z116" s="22">
        <f t="shared" si="35"/>
        <v>0</v>
      </c>
      <c r="AA116" s="12">
        <f t="shared" si="28"/>
        <v>0</v>
      </c>
    </row>
    <row r="117" spans="11:27">
      <c r="K117" s="2" t="s">
        <v>9</v>
      </c>
      <c r="L117" s="22">
        <f t="shared" si="26"/>
        <v>0</v>
      </c>
      <c r="M117" s="22">
        <f t="shared" si="25"/>
        <v>0</v>
      </c>
      <c r="N117" s="22">
        <f t="shared" si="25"/>
        <v>0</v>
      </c>
      <c r="O117" s="22">
        <f t="shared" si="25"/>
        <v>0</v>
      </c>
      <c r="P117" s="22">
        <f t="shared" si="25"/>
        <v>0</v>
      </c>
      <c r="Q117" s="22">
        <f t="shared" si="25"/>
        <v>0</v>
      </c>
      <c r="R117" s="22">
        <f t="shared" si="25"/>
        <v>0</v>
      </c>
      <c r="S117" s="22">
        <f t="shared" si="25"/>
        <v>0</v>
      </c>
      <c r="T117" s="22">
        <f t="shared" si="25"/>
        <v>0</v>
      </c>
      <c r="U117" s="22">
        <f t="shared" si="25"/>
        <v>0</v>
      </c>
      <c r="V117" s="22">
        <f t="shared" si="25"/>
        <v>0</v>
      </c>
      <c r="W117" s="22">
        <f t="shared" si="25"/>
        <v>0</v>
      </c>
      <c r="X117" s="22">
        <f t="shared" si="25"/>
        <v>0</v>
      </c>
      <c r="Y117" s="22">
        <f t="shared" ref="Y117:Z117" si="36">AF84</f>
        <v>0</v>
      </c>
      <c r="Z117" s="22">
        <f t="shared" si="36"/>
        <v>0</v>
      </c>
      <c r="AA117" s="12">
        <f t="shared" si="28"/>
        <v>0</v>
      </c>
    </row>
    <row r="118" spans="11:27">
      <c r="K118" s="18" t="s">
        <v>10</v>
      </c>
      <c r="L118" s="22">
        <f t="shared" si="26"/>
        <v>0</v>
      </c>
      <c r="M118" s="22">
        <f t="shared" si="25"/>
        <v>0</v>
      </c>
      <c r="N118" s="22">
        <f t="shared" si="25"/>
        <v>0</v>
      </c>
      <c r="O118" s="22">
        <f t="shared" si="25"/>
        <v>0</v>
      </c>
      <c r="P118" s="22">
        <f t="shared" si="25"/>
        <v>0</v>
      </c>
      <c r="Q118" s="22">
        <f t="shared" si="25"/>
        <v>0</v>
      </c>
      <c r="R118" s="22">
        <f t="shared" si="25"/>
        <v>0</v>
      </c>
      <c r="S118" s="22">
        <f t="shared" si="25"/>
        <v>0</v>
      </c>
      <c r="T118" s="22">
        <f t="shared" si="25"/>
        <v>0</v>
      </c>
      <c r="U118" s="22">
        <f t="shared" si="25"/>
        <v>0</v>
      </c>
      <c r="V118" s="22">
        <f t="shared" si="25"/>
        <v>0</v>
      </c>
      <c r="W118" s="22">
        <f t="shared" si="25"/>
        <v>0</v>
      </c>
      <c r="X118" s="22">
        <f t="shared" si="25"/>
        <v>0</v>
      </c>
      <c r="Y118" s="22">
        <f t="shared" ref="Y118:Z118" si="37">AF85</f>
        <v>0</v>
      </c>
      <c r="Z118" s="22">
        <f t="shared" si="37"/>
        <v>0</v>
      </c>
      <c r="AA118" s="12">
        <f t="shared" si="28"/>
        <v>0</v>
      </c>
    </row>
    <row r="119" spans="11:27">
      <c r="K119" s="1" t="s">
        <v>11</v>
      </c>
      <c r="L119" s="22">
        <f t="shared" si="26"/>
        <v>0</v>
      </c>
      <c r="M119" s="22">
        <f t="shared" si="25"/>
        <v>0</v>
      </c>
      <c r="N119" s="22">
        <f t="shared" si="25"/>
        <v>0</v>
      </c>
      <c r="O119" s="22">
        <f t="shared" si="25"/>
        <v>0</v>
      </c>
      <c r="P119" s="22">
        <f t="shared" si="25"/>
        <v>0</v>
      </c>
      <c r="Q119" s="22">
        <f t="shared" si="25"/>
        <v>0</v>
      </c>
      <c r="R119" s="22">
        <f t="shared" si="25"/>
        <v>0</v>
      </c>
      <c r="S119" s="22">
        <f t="shared" si="25"/>
        <v>0</v>
      </c>
      <c r="T119" s="22">
        <f t="shared" si="25"/>
        <v>0</v>
      </c>
      <c r="U119" s="22">
        <f t="shared" si="25"/>
        <v>0</v>
      </c>
      <c r="V119" s="22">
        <f t="shared" si="25"/>
        <v>0</v>
      </c>
      <c r="W119" s="22">
        <f t="shared" si="25"/>
        <v>0</v>
      </c>
      <c r="X119" s="22">
        <f t="shared" si="25"/>
        <v>0</v>
      </c>
      <c r="Y119" s="22">
        <f t="shared" ref="Y119:Z119" si="38">AF86</f>
        <v>0</v>
      </c>
      <c r="Z119" s="22">
        <f t="shared" si="38"/>
        <v>0</v>
      </c>
      <c r="AA119" s="12">
        <f t="shared" si="28"/>
        <v>0</v>
      </c>
    </row>
    <row r="120" spans="11:27">
      <c r="K120" s="1" t="s">
        <v>12</v>
      </c>
      <c r="L120" s="22">
        <f t="shared" si="26"/>
        <v>0</v>
      </c>
      <c r="M120" s="22">
        <f t="shared" si="25"/>
        <v>0</v>
      </c>
      <c r="N120" s="22">
        <f t="shared" si="25"/>
        <v>0</v>
      </c>
      <c r="O120" s="22">
        <f t="shared" si="25"/>
        <v>0</v>
      </c>
      <c r="P120" s="22">
        <f t="shared" si="25"/>
        <v>0</v>
      </c>
      <c r="Q120" s="22">
        <f t="shared" si="25"/>
        <v>0</v>
      </c>
      <c r="R120" s="22">
        <f t="shared" si="25"/>
        <v>0</v>
      </c>
      <c r="S120" s="22">
        <f t="shared" si="25"/>
        <v>0</v>
      </c>
      <c r="T120" s="22">
        <f t="shared" si="25"/>
        <v>0</v>
      </c>
      <c r="U120" s="22">
        <f t="shared" si="25"/>
        <v>0</v>
      </c>
      <c r="V120" s="22">
        <f t="shared" si="25"/>
        <v>0</v>
      </c>
      <c r="W120" s="22">
        <f t="shared" si="25"/>
        <v>0</v>
      </c>
      <c r="X120" s="22">
        <f t="shared" si="25"/>
        <v>0</v>
      </c>
      <c r="Y120" s="22">
        <f t="shared" ref="Y120:Z120" si="39">AF87</f>
        <v>0</v>
      </c>
      <c r="Z120" s="22">
        <f t="shared" si="39"/>
        <v>0</v>
      </c>
      <c r="AA120" s="12">
        <f t="shared" si="28"/>
        <v>0</v>
      </c>
    </row>
    <row r="121" spans="11:27">
      <c r="K121" s="1" t="s">
        <v>15</v>
      </c>
      <c r="L121" s="22">
        <f t="shared" si="26"/>
        <v>0</v>
      </c>
      <c r="M121" s="22">
        <f t="shared" si="25"/>
        <v>0</v>
      </c>
      <c r="N121" s="22">
        <f t="shared" si="25"/>
        <v>0</v>
      </c>
      <c r="O121" s="22">
        <f t="shared" si="25"/>
        <v>0</v>
      </c>
      <c r="P121" s="22">
        <f t="shared" si="25"/>
        <v>0</v>
      </c>
      <c r="Q121" s="22">
        <f t="shared" si="25"/>
        <v>0</v>
      </c>
      <c r="R121" s="22">
        <f t="shared" si="25"/>
        <v>0</v>
      </c>
      <c r="S121" s="22">
        <f t="shared" si="25"/>
        <v>0</v>
      </c>
      <c r="T121" s="22">
        <f t="shared" si="25"/>
        <v>0</v>
      </c>
      <c r="U121" s="22">
        <f t="shared" si="25"/>
        <v>0</v>
      </c>
      <c r="V121" s="22">
        <f t="shared" si="25"/>
        <v>0</v>
      </c>
      <c r="W121" s="22">
        <f t="shared" si="25"/>
        <v>0</v>
      </c>
      <c r="X121" s="22">
        <f t="shared" si="25"/>
        <v>0</v>
      </c>
      <c r="Y121" s="22">
        <f t="shared" ref="Y121:Z121" si="40">AF88</f>
        <v>0</v>
      </c>
      <c r="Z121" s="22">
        <f t="shared" si="40"/>
        <v>0</v>
      </c>
      <c r="AA121" s="12">
        <f t="shared" si="28"/>
        <v>0</v>
      </c>
    </row>
    <row r="122" spans="11:27">
      <c r="K122" s="1" t="s">
        <v>14</v>
      </c>
      <c r="L122" s="22">
        <f t="shared" si="26"/>
        <v>0</v>
      </c>
      <c r="M122" s="22">
        <f t="shared" si="25"/>
        <v>0</v>
      </c>
      <c r="N122" s="22">
        <f t="shared" si="25"/>
        <v>0</v>
      </c>
      <c r="O122" s="22">
        <f t="shared" si="25"/>
        <v>0</v>
      </c>
      <c r="P122" s="22">
        <f t="shared" si="25"/>
        <v>0</v>
      </c>
      <c r="Q122" s="22">
        <f t="shared" si="25"/>
        <v>0</v>
      </c>
      <c r="R122" s="22">
        <f t="shared" si="25"/>
        <v>0</v>
      </c>
      <c r="S122" s="22">
        <f t="shared" si="25"/>
        <v>0</v>
      </c>
      <c r="T122" s="22">
        <f t="shared" si="25"/>
        <v>0</v>
      </c>
      <c r="U122" s="22">
        <f t="shared" si="25"/>
        <v>0</v>
      </c>
      <c r="V122" s="22">
        <f t="shared" si="25"/>
        <v>0</v>
      </c>
      <c r="W122" s="22">
        <f t="shared" si="25"/>
        <v>0</v>
      </c>
      <c r="X122" s="22">
        <f t="shared" si="25"/>
        <v>0</v>
      </c>
      <c r="Y122" s="22">
        <f t="shared" ref="Y122:Z122" si="41">AF89</f>
        <v>0</v>
      </c>
      <c r="Z122" s="22">
        <f t="shared" si="41"/>
        <v>0</v>
      </c>
      <c r="AA122" s="12">
        <f t="shared" si="28"/>
        <v>0</v>
      </c>
    </row>
    <row r="123" spans="11:27">
      <c r="K123" s="18" t="s">
        <v>13</v>
      </c>
      <c r="L123" s="22">
        <f t="shared" si="26"/>
        <v>0</v>
      </c>
      <c r="M123" s="22">
        <f t="shared" si="25"/>
        <v>0</v>
      </c>
      <c r="N123" s="22">
        <f t="shared" si="25"/>
        <v>0</v>
      </c>
      <c r="O123" s="22">
        <f t="shared" si="25"/>
        <v>0</v>
      </c>
      <c r="P123" s="22">
        <f t="shared" si="25"/>
        <v>0</v>
      </c>
      <c r="Q123" s="22">
        <f t="shared" si="25"/>
        <v>0</v>
      </c>
      <c r="R123" s="22">
        <f t="shared" si="25"/>
        <v>0</v>
      </c>
      <c r="S123" s="22">
        <f t="shared" si="25"/>
        <v>0</v>
      </c>
      <c r="T123" s="22">
        <f t="shared" si="25"/>
        <v>0</v>
      </c>
      <c r="U123" s="22">
        <f t="shared" si="25"/>
        <v>0</v>
      </c>
      <c r="V123" s="22">
        <f t="shared" si="25"/>
        <v>0</v>
      </c>
      <c r="W123" s="22">
        <f t="shared" si="25"/>
        <v>0</v>
      </c>
      <c r="X123" s="22">
        <f t="shared" si="25"/>
        <v>0</v>
      </c>
      <c r="Y123" s="22">
        <f t="shared" ref="Y123:Z123" si="42">AF90</f>
        <v>0</v>
      </c>
      <c r="Z123" s="22">
        <f t="shared" si="42"/>
        <v>0</v>
      </c>
      <c r="AA123" s="12">
        <f t="shared" si="28"/>
        <v>0</v>
      </c>
    </row>
    <row r="124" spans="11:27">
      <c r="K124" s="1" t="s">
        <v>16</v>
      </c>
      <c r="L124" s="22">
        <f t="shared" si="26"/>
        <v>0</v>
      </c>
      <c r="M124" s="22">
        <f t="shared" si="26"/>
        <v>0</v>
      </c>
      <c r="N124" s="22">
        <f t="shared" si="26"/>
        <v>0</v>
      </c>
      <c r="O124" s="22">
        <f t="shared" si="26"/>
        <v>0</v>
      </c>
      <c r="P124" s="22">
        <f t="shared" si="26"/>
        <v>0</v>
      </c>
      <c r="Q124" s="22">
        <f t="shared" si="26"/>
        <v>0</v>
      </c>
      <c r="R124" s="22">
        <f t="shared" si="26"/>
        <v>0</v>
      </c>
      <c r="S124" s="22">
        <f t="shared" si="26"/>
        <v>0</v>
      </c>
      <c r="T124" s="22">
        <f t="shared" si="26"/>
        <v>0</v>
      </c>
      <c r="U124" s="22">
        <f t="shared" si="26"/>
        <v>0</v>
      </c>
      <c r="V124" s="22">
        <f t="shared" si="26"/>
        <v>0</v>
      </c>
      <c r="W124" s="22">
        <f t="shared" si="26"/>
        <v>0</v>
      </c>
      <c r="X124" s="22">
        <f t="shared" si="26"/>
        <v>0</v>
      </c>
      <c r="Y124" s="22">
        <f t="shared" ref="Y124:Z124" si="43">AF91</f>
        <v>0</v>
      </c>
      <c r="Z124" s="22">
        <f t="shared" si="43"/>
        <v>0</v>
      </c>
      <c r="AA124" s="12">
        <f t="shared" si="28"/>
        <v>0</v>
      </c>
    </row>
    <row r="125" spans="11:27">
      <c r="K125" s="1" t="s">
        <v>17</v>
      </c>
      <c r="L125" s="22">
        <f t="shared" si="26"/>
        <v>0</v>
      </c>
      <c r="M125" s="22">
        <f t="shared" si="26"/>
        <v>0</v>
      </c>
      <c r="N125" s="22">
        <f t="shared" si="26"/>
        <v>0</v>
      </c>
      <c r="O125" s="22">
        <f t="shared" si="26"/>
        <v>0</v>
      </c>
      <c r="P125" s="22">
        <f t="shared" si="26"/>
        <v>0</v>
      </c>
      <c r="Q125" s="22">
        <f t="shared" si="26"/>
        <v>0</v>
      </c>
      <c r="R125" s="22">
        <f t="shared" si="26"/>
        <v>0</v>
      </c>
      <c r="S125" s="22">
        <f t="shared" si="26"/>
        <v>0</v>
      </c>
      <c r="T125" s="22">
        <f t="shared" si="26"/>
        <v>0</v>
      </c>
      <c r="U125" s="22">
        <f t="shared" si="26"/>
        <v>0</v>
      </c>
      <c r="V125" s="22">
        <f t="shared" si="26"/>
        <v>0</v>
      </c>
      <c r="W125" s="22">
        <f t="shared" si="26"/>
        <v>0</v>
      </c>
      <c r="X125" s="22">
        <f t="shared" si="26"/>
        <v>0</v>
      </c>
      <c r="Y125" s="22">
        <f t="shared" ref="Y125:Z125" si="44">AF92</f>
        <v>0</v>
      </c>
      <c r="Z125" s="22">
        <f t="shared" si="44"/>
        <v>0</v>
      </c>
      <c r="AA125" s="12">
        <f t="shared" si="28"/>
        <v>0</v>
      </c>
    </row>
    <row r="126" spans="11:27">
      <c r="K126" s="1" t="s">
        <v>18</v>
      </c>
      <c r="L126" s="22">
        <f t="shared" si="26"/>
        <v>0</v>
      </c>
      <c r="M126" s="22">
        <f t="shared" si="26"/>
        <v>0</v>
      </c>
      <c r="N126" s="22">
        <f t="shared" si="26"/>
        <v>0</v>
      </c>
      <c r="O126" s="22">
        <f t="shared" si="26"/>
        <v>0</v>
      </c>
      <c r="P126" s="22">
        <f t="shared" si="26"/>
        <v>0</v>
      </c>
      <c r="Q126" s="22">
        <f t="shared" si="26"/>
        <v>0</v>
      </c>
      <c r="R126" s="22">
        <f t="shared" si="26"/>
        <v>0</v>
      </c>
      <c r="S126" s="22">
        <f t="shared" si="26"/>
        <v>0</v>
      </c>
      <c r="T126" s="22">
        <f t="shared" si="26"/>
        <v>0</v>
      </c>
      <c r="U126" s="22">
        <f t="shared" si="26"/>
        <v>0</v>
      </c>
      <c r="V126" s="22">
        <f t="shared" si="26"/>
        <v>0</v>
      </c>
      <c r="W126" s="22">
        <f t="shared" si="26"/>
        <v>0</v>
      </c>
      <c r="X126" s="22">
        <f t="shared" si="26"/>
        <v>0</v>
      </c>
      <c r="Y126" s="22">
        <f t="shared" ref="Y126:Z126" si="45">AF93</f>
        <v>0</v>
      </c>
      <c r="Z126" s="22">
        <f t="shared" si="45"/>
        <v>0</v>
      </c>
      <c r="AA126" s="12">
        <f t="shared" si="28"/>
        <v>0</v>
      </c>
    </row>
    <row r="127" spans="11:27">
      <c r="K127" s="1" t="s">
        <v>20</v>
      </c>
      <c r="L127" s="22">
        <f t="shared" si="26"/>
        <v>0</v>
      </c>
      <c r="M127" s="22">
        <f t="shared" si="26"/>
        <v>0</v>
      </c>
      <c r="N127" s="22">
        <f t="shared" si="26"/>
        <v>0</v>
      </c>
      <c r="O127" s="22">
        <f t="shared" si="26"/>
        <v>0</v>
      </c>
      <c r="P127" s="22">
        <f t="shared" si="26"/>
        <v>0</v>
      </c>
      <c r="Q127" s="22">
        <f t="shared" si="26"/>
        <v>0</v>
      </c>
      <c r="R127" s="22">
        <f t="shared" si="26"/>
        <v>0</v>
      </c>
      <c r="S127" s="22">
        <f t="shared" si="26"/>
        <v>0</v>
      </c>
      <c r="T127" s="22">
        <f t="shared" si="26"/>
        <v>0</v>
      </c>
      <c r="U127" s="22">
        <f t="shared" si="26"/>
        <v>0</v>
      </c>
      <c r="V127" s="22">
        <f t="shared" si="26"/>
        <v>0</v>
      </c>
      <c r="W127" s="22">
        <f t="shared" si="26"/>
        <v>0</v>
      </c>
      <c r="X127" s="22">
        <f t="shared" si="26"/>
        <v>0</v>
      </c>
      <c r="Y127" s="22">
        <f t="shared" ref="Y127:Z127" si="46">AF94</f>
        <v>0</v>
      </c>
      <c r="Z127" s="22">
        <f t="shared" si="46"/>
        <v>0</v>
      </c>
      <c r="AA127" s="12">
        <f t="shared" si="28"/>
        <v>0</v>
      </c>
    </row>
    <row r="128" spans="11:27">
      <c r="K128" s="1" t="s">
        <v>19</v>
      </c>
      <c r="L128" s="22">
        <f t="shared" si="26"/>
        <v>0</v>
      </c>
      <c r="M128" s="22">
        <f t="shared" si="26"/>
        <v>0</v>
      </c>
      <c r="N128" s="22">
        <f t="shared" si="26"/>
        <v>0</v>
      </c>
      <c r="O128" s="22">
        <f t="shared" si="26"/>
        <v>0</v>
      </c>
      <c r="P128" s="22">
        <f t="shared" si="26"/>
        <v>0</v>
      </c>
      <c r="Q128" s="22">
        <f t="shared" si="26"/>
        <v>0</v>
      </c>
      <c r="R128" s="22">
        <f t="shared" si="26"/>
        <v>0</v>
      </c>
      <c r="S128" s="22">
        <f t="shared" si="26"/>
        <v>0</v>
      </c>
      <c r="T128" s="22">
        <f t="shared" si="26"/>
        <v>0</v>
      </c>
      <c r="U128" s="22">
        <f t="shared" si="26"/>
        <v>0</v>
      </c>
      <c r="V128" s="22">
        <f t="shared" si="26"/>
        <v>0</v>
      </c>
      <c r="W128" s="22">
        <f t="shared" si="26"/>
        <v>0</v>
      </c>
      <c r="X128" s="22">
        <f t="shared" si="26"/>
        <v>0</v>
      </c>
      <c r="Y128" s="22">
        <f t="shared" ref="Y128:Z128" si="47">AF95</f>
        <v>0</v>
      </c>
      <c r="Z128" s="22">
        <f t="shared" si="47"/>
        <v>0</v>
      </c>
      <c r="AA128" s="12">
        <f t="shared" si="28"/>
        <v>0</v>
      </c>
    </row>
    <row r="129" spans="11:27">
      <c r="K129" s="18" t="s">
        <v>21</v>
      </c>
      <c r="L129" s="22">
        <f t="shared" si="26"/>
        <v>0</v>
      </c>
      <c r="M129" s="22">
        <f t="shared" si="26"/>
        <v>0</v>
      </c>
      <c r="N129" s="22">
        <f t="shared" si="26"/>
        <v>0</v>
      </c>
      <c r="O129" s="22">
        <f t="shared" si="26"/>
        <v>0</v>
      </c>
      <c r="P129" s="22">
        <f t="shared" si="26"/>
        <v>0</v>
      </c>
      <c r="Q129" s="22">
        <f t="shared" si="26"/>
        <v>0</v>
      </c>
      <c r="R129" s="22">
        <f t="shared" si="26"/>
        <v>0</v>
      </c>
      <c r="S129" s="22">
        <f t="shared" si="26"/>
        <v>0</v>
      </c>
      <c r="T129" s="22">
        <f t="shared" si="26"/>
        <v>0</v>
      </c>
      <c r="U129" s="22">
        <f t="shared" si="26"/>
        <v>0</v>
      </c>
      <c r="V129" s="22">
        <f t="shared" si="26"/>
        <v>0</v>
      </c>
      <c r="W129" s="22">
        <f t="shared" si="26"/>
        <v>0</v>
      </c>
      <c r="X129" s="22">
        <f t="shared" si="26"/>
        <v>0</v>
      </c>
      <c r="Y129" s="22">
        <f t="shared" ref="Y129:Z129" si="48">AF96</f>
        <v>0</v>
      </c>
      <c r="Z129" s="22">
        <f t="shared" si="48"/>
        <v>0</v>
      </c>
      <c r="AA129" s="12">
        <f t="shared" si="28"/>
        <v>0</v>
      </c>
    </row>
    <row r="130" spans="11:27">
      <c r="K130" s="2" t="s">
        <v>22</v>
      </c>
      <c r="L130" s="22">
        <f t="shared" si="26"/>
        <v>0</v>
      </c>
      <c r="M130" s="22">
        <f t="shared" si="26"/>
        <v>0</v>
      </c>
      <c r="N130" s="22">
        <f t="shared" si="26"/>
        <v>0</v>
      </c>
      <c r="O130" s="22">
        <f t="shared" si="26"/>
        <v>0</v>
      </c>
      <c r="P130" s="22">
        <f t="shared" si="26"/>
        <v>0</v>
      </c>
      <c r="Q130" s="22">
        <f t="shared" si="26"/>
        <v>0</v>
      </c>
      <c r="R130" s="22">
        <f t="shared" si="26"/>
        <v>0</v>
      </c>
      <c r="S130" s="22">
        <f t="shared" si="26"/>
        <v>0</v>
      </c>
      <c r="T130" s="22">
        <f t="shared" si="26"/>
        <v>0</v>
      </c>
      <c r="U130" s="22">
        <f t="shared" si="26"/>
        <v>0</v>
      </c>
      <c r="V130" s="22">
        <f t="shared" si="26"/>
        <v>0</v>
      </c>
      <c r="W130" s="22">
        <f t="shared" si="26"/>
        <v>0</v>
      </c>
      <c r="X130" s="22">
        <f t="shared" si="26"/>
        <v>0</v>
      </c>
      <c r="Y130" s="22">
        <f t="shared" ref="Y130:Z130" si="49">AF97</f>
        <v>0</v>
      </c>
      <c r="Z130" s="22">
        <f t="shared" si="49"/>
        <v>0</v>
      </c>
      <c r="AA130" s="12">
        <f t="shared" si="28"/>
        <v>0</v>
      </c>
    </row>
    <row r="131" spans="11:27">
      <c r="K131" s="1" t="s">
        <v>23</v>
      </c>
      <c r="L131" s="22">
        <f t="shared" si="26"/>
        <v>0</v>
      </c>
      <c r="M131" s="22">
        <f t="shared" si="26"/>
        <v>0</v>
      </c>
      <c r="N131" s="22">
        <f t="shared" si="26"/>
        <v>0</v>
      </c>
      <c r="O131" s="22">
        <f t="shared" si="26"/>
        <v>0</v>
      </c>
      <c r="P131" s="22">
        <f t="shared" si="26"/>
        <v>0</v>
      </c>
      <c r="Q131" s="22">
        <f t="shared" si="26"/>
        <v>0</v>
      </c>
      <c r="R131" s="22">
        <f t="shared" si="26"/>
        <v>0</v>
      </c>
      <c r="S131" s="22">
        <f t="shared" si="26"/>
        <v>0</v>
      </c>
      <c r="T131" s="22">
        <f t="shared" si="26"/>
        <v>0</v>
      </c>
      <c r="U131" s="22">
        <f t="shared" si="26"/>
        <v>0</v>
      </c>
      <c r="V131" s="22">
        <f t="shared" si="26"/>
        <v>0</v>
      </c>
      <c r="W131" s="22">
        <f t="shared" si="26"/>
        <v>0</v>
      </c>
      <c r="X131" s="22">
        <f t="shared" si="26"/>
        <v>0</v>
      </c>
      <c r="Y131" s="22">
        <f t="shared" ref="Y131:Z131" si="50">AF98</f>
        <v>0</v>
      </c>
      <c r="Z131" s="22">
        <f t="shared" si="50"/>
        <v>0</v>
      </c>
      <c r="AA131" s="12">
        <f t="shared" si="28"/>
        <v>0</v>
      </c>
    </row>
    <row r="132" spans="11:27">
      <c r="K132" s="1" t="s">
        <v>25</v>
      </c>
      <c r="L132" s="22">
        <f t="shared" si="26"/>
        <v>0</v>
      </c>
      <c r="M132" s="22">
        <f t="shared" si="26"/>
        <v>0</v>
      </c>
      <c r="N132" s="22">
        <f t="shared" si="26"/>
        <v>0</v>
      </c>
      <c r="O132" s="22">
        <f t="shared" si="26"/>
        <v>0</v>
      </c>
      <c r="P132" s="22">
        <f t="shared" si="26"/>
        <v>0</v>
      </c>
      <c r="Q132" s="22">
        <f t="shared" si="26"/>
        <v>0</v>
      </c>
      <c r="R132" s="22">
        <f t="shared" si="26"/>
        <v>0</v>
      </c>
      <c r="S132" s="22">
        <f t="shared" si="26"/>
        <v>0</v>
      </c>
      <c r="T132" s="22">
        <f t="shared" si="26"/>
        <v>0</v>
      </c>
      <c r="U132" s="22">
        <f t="shared" si="26"/>
        <v>0</v>
      </c>
      <c r="V132" s="22">
        <f t="shared" si="26"/>
        <v>0</v>
      </c>
      <c r="W132" s="22">
        <f t="shared" si="26"/>
        <v>0</v>
      </c>
      <c r="X132" s="22">
        <f t="shared" si="26"/>
        <v>0</v>
      </c>
      <c r="Y132" s="22">
        <f t="shared" ref="Y132:Z132" si="51">AF99</f>
        <v>0</v>
      </c>
      <c r="Z132" s="22">
        <f t="shared" si="51"/>
        <v>0</v>
      </c>
      <c r="AA132" s="12">
        <f t="shared" si="28"/>
        <v>0</v>
      </c>
    </row>
    <row r="133" spans="11:27">
      <c r="K133" s="1" t="s">
        <v>24</v>
      </c>
      <c r="L133" s="22">
        <f t="shared" si="26"/>
        <v>0</v>
      </c>
      <c r="M133" s="22">
        <f t="shared" si="26"/>
        <v>0</v>
      </c>
      <c r="N133" s="22">
        <f t="shared" si="26"/>
        <v>0</v>
      </c>
      <c r="O133" s="22">
        <f t="shared" si="26"/>
        <v>0</v>
      </c>
      <c r="P133" s="22">
        <f t="shared" si="26"/>
        <v>0</v>
      </c>
      <c r="Q133" s="22">
        <f t="shared" si="26"/>
        <v>0</v>
      </c>
      <c r="R133" s="22">
        <f t="shared" si="26"/>
        <v>0</v>
      </c>
      <c r="S133" s="22">
        <f t="shared" si="26"/>
        <v>0</v>
      </c>
      <c r="T133" s="22">
        <f t="shared" si="26"/>
        <v>0</v>
      </c>
      <c r="U133" s="22">
        <f t="shared" si="26"/>
        <v>0</v>
      </c>
      <c r="V133" s="22">
        <f t="shared" si="26"/>
        <v>0</v>
      </c>
      <c r="W133" s="22">
        <f t="shared" si="26"/>
        <v>0</v>
      </c>
      <c r="X133" s="22">
        <f t="shared" si="26"/>
        <v>0</v>
      </c>
      <c r="Y133" s="22">
        <f t="shared" ref="Y133:Z133" si="52">AF100</f>
        <v>0</v>
      </c>
      <c r="Z133" s="22">
        <f t="shared" si="52"/>
        <v>0</v>
      </c>
      <c r="AA133" s="12">
        <f t="shared" si="28"/>
        <v>0</v>
      </c>
    </row>
    <row r="134" spans="11:27">
      <c r="K134" s="1" t="s">
        <v>26</v>
      </c>
      <c r="L134" s="22">
        <f t="shared" si="26"/>
        <v>0</v>
      </c>
      <c r="M134" s="22">
        <f t="shared" si="26"/>
        <v>0</v>
      </c>
      <c r="N134" s="22">
        <f t="shared" si="26"/>
        <v>0</v>
      </c>
      <c r="O134" s="22">
        <f t="shared" si="26"/>
        <v>0</v>
      </c>
      <c r="P134" s="22">
        <f t="shared" si="26"/>
        <v>0</v>
      </c>
      <c r="Q134" s="22">
        <f t="shared" si="26"/>
        <v>0</v>
      </c>
      <c r="R134" s="22">
        <f t="shared" si="26"/>
        <v>0</v>
      </c>
      <c r="S134" s="22">
        <f t="shared" si="26"/>
        <v>0</v>
      </c>
      <c r="T134" s="22">
        <f t="shared" si="26"/>
        <v>0</v>
      </c>
      <c r="U134" s="22">
        <f t="shared" si="26"/>
        <v>0</v>
      </c>
      <c r="V134" s="22">
        <f t="shared" si="26"/>
        <v>0</v>
      </c>
      <c r="W134" s="22">
        <f t="shared" si="26"/>
        <v>0</v>
      </c>
      <c r="X134" s="22">
        <f t="shared" si="26"/>
        <v>0</v>
      </c>
      <c r="Y134" s="22">
        <f t="shared" ref="Y134:Z134" si="53">AF101</f>
        <v>0</v>
      </c>
      <c r="Z134" s="22">
        <f t="shared" si="53"/>
        <v>0</v>
      </c>
      <c r="AA134" s="12">
        <f>SUM(L134:Z134)</f>
        <v>0</v>
      </c>
    </row>
    <row r="135" spans="11:27">
      <c r="K135" s="8" t="s">
        <v>37</v>
      </c>
      <c r="L135" s="16">
        <f t="shared" ref="L135:AA135" si="54">SUM(L108:L134)</f>
        <v>0</v>
      </c>
      <c r="M135" s="16">
        <f t="shared" si="54"/>
        <v>0</v>
      </c>
      <c r="N135" s="16">
        <f t="shared" si="54"/>
        <v>0</v>
      </c>
      <c r="O135" s="16">
        <f t="shared" si="54"/>
        <v>0</v>
      </c>
      <c r="P135" s="16">
        <f t="shared" si="54"/>
        <v>0</v>
      </c>
      <c r="Q135" s="16">
        <f t="shared" si="54"/>
        <v>0</v>
      </c>
      <c r="R135" s="16">
        <f t="shared" si="54"/>
        <v>0</v>
      </c>
      <c r="S135" s="16">
        <f t="shared" si="54"/>
        <v>0</v>
      </c>
      <c r="T135" s="16">
        <f t="shared" si="54"/>
        <v>0</v>
      </c>
      <c r="U135" s="16">
        <f t="shared" si="54"/>
        <v>0</v>
      </c>
      <c r="V135" s="16">
        <f t="shared" si="54"/>
        <v>0</v>
      </c>
      <c r="W135" s="16">
        <f t="shared" si="54"/>
        <v>0</v>
      </c>
      <c r="X135" s="16">
        <f>SUM(X108:X134)</f>
        <v>0</v>
      </c>
      <c r="Y135" s="16">
        <f t="shared" ref="Y135" si="55">SUM(Y108:Y134)</f>
        <v>0</v>
      </c>
      <c r="Z135" s="16">
        <f>SUM(Z108:Z134)</f>
        <v>0</v>
      </c>
      <c r="AA135" s="7">
        <f t="shared" si="54"/>
        <v>0</v>
      </c>
    </row>
  </sheetData>
  <mergeCells count="103">
    <mergeCell ref="A37:O37"/>
    <mergeCell ref="A38:A39"/>
    <mergeCell ref="B38:C38"/>
    <mergeCell ref="D38:E38"/>
    <mergeCell ref="F38:F39"/>
    <mergeCell ref="G38:G39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I38:I39"/>
    <mergeCell ref="J38:J39"/>
    <mergeCell ref="K38:K39"/>
    <mergeCell ref="L38:L39"/>
    <mergeCell ref="J73:J74"/>
    <mergeCell ref="K73:K74"/>
    <mergeCell ref="L73:L74"/>
    <mergeCell ref="M73:M74"/>
    <mergeCell ref="N73:N74"/>
    <mergeCell ref="A69:K69"/>
    <mergeCell ref="M38:M39"/>
    <mergeCell ref="R37:AH37"/>
    <mergeCell ref="R38:R39"/>
    <mergeCell ref="S38:T38"/>
    <mergeCell ref="O73:O74"/>
    <mergeCell ref="N38:N39"/>
    <mergeCell ref="O38:O39"/>
    <mergeCell ref="A72:O72"/>
    <mergeCell ref="A73:A74"/>
    <mergeCell ref="B73:C73"/>
    <mergeCell ref="D73:E73"/>
    <mergeCell ref="F73:F74"/>
    <mergeCell ref="G73:G74"/>
    <mergeCell ref="H73:H74"/>
    <mergeCell ref="I73:I74"/>
    <mergeCell ref="H38:H39"/>
    <mergeCell ref="AB38:AB39"/>
    <mergeCell ref="AC38:AC39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H3:AH4"/>
    <mergeCell ref="AF3:AG3"/>
    <mergeCell ref="AH38:AH39"/>
    <mergeCell ref="AF38:AG38"/>
    <mergeCell ref="R72:AH72"/>
    <mergeCell ref="R73:R74"/>
    <mergeCell ref="S73:T73"/>
    <mergeCell ref="U73:V73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AH73:AH74"/>
    <mergeCell ref="AF73:AG73"/>
    <mergeCell ref="U38:V38"/>
    <mergeCell ref="W38:W39"/>
    <mergeCell ref="X38:X39"/>
    <mergeCell ref="Y38:Y39"/>
    <mergeCell ref="Z38:Z39"/>
    <mergeCell ref="AA38:AA39"/>
    <mergeCell ref="AD38:AD39"/>
    <mergeCell ref="V106:V107"/>
    <mergeCell ref="W106:W107"/>
    <mergeCell ref="X106:X107"/>
    <mergeCell ref="AA106:AA107"/>
    <mergeCell ref="Y106:Z106"/>
    <mergeCell ref="K105:AA105"/>
    <mergeCell ref="AE38:AE39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1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AH135"/>
  <sheetViews>
    <sheetView topLeftCell="A39" zoomScale="85" zoomScaleNormal="85" workbookViewId="0">
      <selection activeCell="A2" sqref="A2:AC37"/>
    </sheetView>
  </sheetViews>
  <sheetFormatPr defaultRowHeight="15"/>
  <cols>
    <col min="1" max="1" width="23.140625" customWidth="1"/>
    <col min="2" max="2" width="13.85546875" bestFit="1" customWidth="1"/>
    <col min="3" max="3" width="14.42578125" bestFit="1" customWidth="1"/>
    <col min="4" max="4" width="13.28515625" customWidth="1"/>
    <col min="5" max="5" width="13.42578125" bestFit="1" customWidth="1"/>
    <col min="6" max="6" width="13.85546875" bestFit="1" customWidth="1"/>
    <col min="7" max="7" width="19.7109375" bestFit="1" customWidth="1"/>
    <col min="8" max="8" width="13.5703125" bestFit="1" customWidth="1"/>
    <col min="9" max="9" width="15.7109375" bestFit="1" customWidth="1"/>
    <col min="10" max="10" width="13.140625" customWidth="1"/>
    <col min="11" max="11" width="20.42578125" bestFit="1" customWidth="1"/>
    <col min="12" max="14" width="20.28515625" customWidth="1"/>
    <col min="15" max="15" width="15.140625" bestFit="1" customWidth="1"/>
    <col min="16" max="16" width="13.85546875" bestFit="1" customWidth="1"/>
    <col min="17" max="17" width="11.5703125" bestFit="1" customWidth="1"/>
    <col min="18" max="18" width="23" style="20" customWidth="1"/>
    <col min="19" max="19" width="13.5703125" customWidth="1"/>
    <col min="20" max="20" width="13.42578125" customWidth="1"/>
    <col min="21" max="21" width="14.7109375" customWidth="1"/>
    <col min="22" max="22" width="12.42578125" customWidth="1"/>
    <col min="23" max="23" width="19.42578125" bestFit="1" customWidth="1"/>
    <col min="24" max="24" width="20.28515625" customWidth="1"/>
    <col min="25" max="25" width="19.140625" bestFit="1" customWidth="1"/>
    <col min="26" max="26" width="16.5703125" customWidth="1"/>
    <col min="27" max="27" width="19.28515625" customWidth="1"/>
    <col min="28" max="28" width="17.7109375" customWidth="1"/>
    <col min="29" max="29" width="16.7109375" customWidth="1"/>
    <col min="30" max="30" width="11.5703125" customWidth="1"/>
    <col min="31" max="32" width="14.140625" customWidth="1"/>
    <col min="33" max="33" width="18.85546875" bestFit="1" customWidth="1"/>
    <col min="34" max="34" width="20.140625" bestFit="1" customWidth="1"/>
  </cols>
  <sheetData>
    <row r="2" spans="1:34" ht="46.5">
      <c r="A2" s="292" t="s">
        <v>101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4"/>
      <c r="R2" s="292" t="s">
        <v>103</v>
      </c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4"/>
    </row>
    <row r="3" spans="1:34" ht="21.75" customHeight="1">
      <c r="A3" s="290" t="s">
        <v>33</v>
      </c>
      <c r="B3" s="287" t="s">
        <v>27</v>
      </c>
      <c r="C3" s="288"/>
      <c r="D3" s="287" t="s">
        <v>29</v>
      </c>
      <c r="E3" s="288"/>
      <c r="F3" s="285" t="s">
        <v>28</v>
      </c>
      <c r="G3" s="285" t="s">
        <v>36</v>
      </c>
      <c r="H3" s="285" t="s">
        <v>30</v>
      </c>
      <c r="I3" s="285" t="s">
        <v>31</v>
      </c>
      <c r="J3" s="285" t="s">
        <v>41</v>
      </c>
      <c r="K3" s="285" t="s">
        <v>35</v>
      </c>
      <c r="L3" s="285" t="s">
        <v>40</v>
      </c>
      <c r="M3" s="285" t="s">
        <v>42</v>
      </c>
      <c r="N3" s="285" t="s">
        <v>45</v>
      </c>
      <c r="O3" s="285" t="s">
        <v>34</v>
      </c>
      <c r="R3" s="290" t="s">
        <v>33</v>
      </c>
      <c r="S3" s="287" t="s">
        <v>27</v>
      </c>
      <c r="T3" s="288"/>
      <c r="U3" s="287" t="s">
        <v>29</v>
      </c>
      <c r="V3" s="288"/>
      <c r="W3" s="285" t="s">
        <v>28</v>
      </c>
      <c r="X3" s="285" t="s">
        <v>36</v>
      </c>
      <c r="Y3" s="285" t="s">
        <v>30</v>
      </c>
      <c r="Z3" s="285" t="s">
        <v>31</v>
      </c>
      <c r="AA3" s="285" t="s">
        <v>41</v>
      </c>
      <c r="AB3" s="285" t="s">
        <v>35</v>
      </c>
      <c r="AC3" s="285" t="s">
        <v>40</v>
      </c>
      <c r="AD3" s="285" t="s">
        <v>42</v>
      </c>
      <c r="AE3" s="285" t="s">
        <v>45</v>
      </c>
      <c r="AF3" s="287" t="s">
        <v>52</v>
      </c>
      <c r="AG3" s="288"/>
      <c r="AH3" s="285" t="s">
        <v>34</v>
      </c>
    </row>
    <row r="4" spans="1:34" ht="30">
      <c r="A4" s="291"/>
      <c r="B4" s="5" t="s">
        <v>43</v>
      </c>
      <c r="C4" s="5" t="s">
        <v>44</v>
      </c>
      <c r="D4" s="5" t="s">
        <v>43</v>
      </c>
      <c r="E4" s="5" t="s">
        <v>44</v>
      </c>
      <c r="F4" s="286"/>
      <c r="G4" s="286"/>
      <c r="H4" s="286"/>
      <c r="I4" s="286"/>
      <c r="J4" s="286"/>
      <c r="K4" s="286"/>
      <c r="L4" s="286"/>
      <c r="M4" s="286"/>
      <c r="N4" s="286"/>
      <c r="O4" s="286"/>
      <c r="R4" s="291"/>
      <c r="S4" s="46" t="s">
        <v>43</v>
      </c>
      <c r="T4" s="46" t="s">
        <v>44</v>
      </c>
      <c r="U4" s="46" t="s">
        <v>43</v>
      </c>
      <c r="V4" s="46" t="s">
        <v>44</v>
      </c>
      <c r="W4" s="286"/>
      <c r="X4" s="286"/>
      <c r="Y4" s="286"/>
      <c r="Z4" s="286"/>
      <c r="AA4" s="286"/>
      <c r="AB4" s="286"/>
      <c r="AC4" s="286"/>
      <c r="AD4" s="286"/>
      <c r="AE4" s="286"/>
      <c r="AF4" s="54" t="s">
        <v>53</v>
      </c>
      <c r="AG4" s="54" t="s">
        <v>54</v>
      </c>
      <c r="AH4" s="286"/>
    </row>
    <row r="5" spans="1:34">
      <c r="A5" s="1" t="s">
        <v>0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P5" s="15"/>
      <c r="R5" s="1" t="s">
        <v>0</v>
      </c>
      <c r="S5" s="35">
        <f>S75*0.8</f>
        <v>0</v>
      </c>
      <c r="T5" s="35">
        <f t="shared" ref="T5:AG20" si="0">T75*0.8</f>
        <v>0</v>
      </c>
      <c r="U5" s="35">
        <f t="shared" si="0"/>
        <v>0</v>
      </c>
      <c r="V5" s="35">
        <f t="shared" si="0"/>
        <v>0</v>
      </c>
      <c r="W5" s="35">
        <f t="shared" si="0"/>
        <v>0</v>
      </c>
      <c r="X5" s="35">
        <f t="shared" si="0"/>
        <v>0</v>
      </c>
      <c r="Y5" s="35">
        <f t="shared" si="0"/>
        <v>0</v>
      </c>
      <c r="Z5" s="35">
        <f t="shared" si="0"/>
        <v>0</v>
      </c>
      <c r="AA5" s="35">
        <f t="shared" si="0"/>
        <v>0</v>
      </c>
      <c r="AB5" s="35">
        <f t="shared" si="0"/>
        <v>0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0</v>
      </c>
    </row>
    <row r="6" spans="1:34">
      <c r="A6" s="1" t="s">
        <v>1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P6" s="15"/>
      <c r="R6" s="1" t="s">
        <v>1</v>
      </c>
      <c r="S6" s="35">
        <f t="shared" ref="S6:AG21" si="2">S76*0.8</f>
        <v>0</v>
      </c>
      <c r="T6" s="35">
        <f t="shared" si="2"/>
        <v>0</v>
      </c>
      <c r="U6" s="35">
        <f t="shared" si="2"/>
        <v>0</v>
      </c>
      <c r="V6" s="35">
        <f t="shared" si="2"/>
        <v>0</v>
      </c>
      <c r="W6" s="35">
        <f t="shared" si="2"/>
        <v>0</v>
      </c>
      <c r="X6" s="35">
        <f t="shared" si="2"/>
        <v>0</v>
      </c>
      <c r="Y6" s="35">
        <f t="shared" si="2"/>
        <v>0</v>
      </c>
      <c r="Z6" s="35">
        <f t="shared" si="2"/>
        <v>0</v>
      </c>
      <c r="AA6" s="35">
        <f t="shared" si="2"/>
        <v>0</v>
      </c>
      <c r="AB6" s="35">
        <f t="shared" si="2"/>
        <v>0</v>
      </c>
      <c r="AC6" s="35">
        <f t="shared" si="2"/>
        <v>0</v>
      </c>
      <c r="AD6" s="35">
        <f t="shared" si="2"/>
        <v>0</v>
      </c>
      <c r="AE6" s="35">
        <f t="shared" si="2"/>
        <v>0</v>
      </c>
      <c r="AF6" s="35">
        <f t="shared" si="0"/>
        <v>0</v>
      </c>
      <c r="AG6" s="35">
        <f t="shared" si="0"/>
        <v>0</v>
      </c>
      <c r="AH6" s="4">
        <f t="shared" ref="AH6:AH31" si="3">SUM(S6:AG6)</f>
        <v>0</v>
      </c>
    </row>
    <row r="7" spans="1:34">
      <c r="A7" s="18" t="s">
        <v>2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P7" s="15"/>
      <c r="R7" s="18" t="s">
        <v>2</v>
      </c>
      <c r="S7" s="35">
        <f t="shared" si="2"/>
        <v>0</v>
      </c>
      <c r="T7" s="35">
        <f t="shared" si="2"/>
        <v>0</v>
      </c>
      <c r="U7" s="35">
        <f t="shared" si="2"/>
        <v>0</v>
      </c>
      <c r="V7" s="35">
        <f t="shared" si="2"/>
        <v>0</v>
      </c>
      <c r="W7" s="35">
        <f t="shared" si="2"/>
        <v>0</v>
      </c>
      <c r="X7" s="35">
        <f t="shared" si="2"/>
        <v>0</v>
      </c>
      <c r="Y7" s="35">
        <f t="shared" si="2"/>
        <v>0</v>
      </c>
      <c r="Z7" s="35">
        <f t="shared" si="2"/>
        <v>0</v>
      </c>
      <c r="AA7" s="35">
        <f t="shared" si="2"/>
        <v>0</v>
      </c>
      <c r="AB7" s="35">
        <f t="shared" si="2"/>
        <v>0</v>
      </c>
      <c r="AC7" s="35">
        <f t="shared" si="2"/>
        <v>0</v>
      </c>
      <c r="AD7" s="35">
        <f t="shared" si="2"/>
        <v>0</v>
      </c>
      <c r="AE7" s="35">
        <f t="shared" si="2"/>
        <v>0</v>
      </c>
      <c r="AF7" s="35">
        <f t="shared" si="0"/>
        <v>0</v>
      </c>
      <c r="AG7" s="35">
        <f t="shared" si="0"/>
        <v>0</v>
      </c>
      <c r="AH7" s="4">
        <f t="shared" si="3"/>
        <v>0</v>
      </c>
    </row>
    <row r="8" spans="1:34">
      <c r="A8" s="2" t="s">
        <v>3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P8" s="15"/>
      <c r="R8" s="2" t="s">
        <v>3</v>
      </c>
      <c r="S8" s="35">
        <f t="shared" si="2"/>
        <v>0</v>
      </c>
      <c r="T8" s="35">
        <f t="shared" si="2"/>
        <v>0</v>
      </c>
      <c r="U8" s="35">
        <f t="shared" si="2"/>
        <v>0</v>
      </c>
      <c r="V8" s="35">
        <f t="shared" si="2"/>
        <v>0</v>
      </c>
      <c r="W8" s="35">
        <f t="shared" si="2"/>
        <v>0</v>
      </c>
      <c r="X8" s="35">
        <f t="shared" si="2"/>
        <v>0</v>
      </c>
      <c r="Y8" s="35">
        <f t="shared" si="2"/>
        <v>0</v>
      </c>
      <c r="Z8" s="35">
        <f t="shared" si="2"/>
        <v>0</v>
      </c>
      <c r="AA8" s="35">
        <f t="shared" si="2"/>
        <v>0</v>
      </c>
      <c r="AB8" s="35">
        <f t="shared" si="2"/>
        <v>0</v>
      </c>
      <c r="AC8" s="35">
        <f t="shared" si="2"/>
        <v>0</v>
      </c>
      <c r="AD8" s="35">
        <f t="shared" si="2"/>
        <v>0</v>
      </c>
      <c r="AE8" s="35">
        <f t="shared" si="2"/>
        <v>0</v>
      </c>
      <c r="AF8" s="35">
        <f>AF78</f>
        <v>0</v>
      </c>
      <c r="AG8" s="35">
        <f>AG78</f>
        <v>0</v>
      </c>
      <c r="AH8" s="4">
        <f t="shared" si="3"/>
        <v>0</v>
      </c>
    </row>
    <row r="9" spans="1:34">
      <c r="A9" s="1" t="s">
        <v>4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P9" s="15"/>
      <c r="R9" s="1" t="s">
        <v>4</v>
      </c>
      <c r="S9" s="35">
        <f t="shared" si="2"/>
        <v>0</v>
      </c>
      <c r="T9" s="35">
        <f t="shared" si="2"/>
        <v>0</v>
      </c>
      <c r="U9" s="35">
        <f t="shared" si="2"/>
        <v>0</v>
      </c>
      <c r="V9" s="35">
        <f t="shared" si="2"/>
        <v>0</v>
      </c>
      <c r="W9" s="35">
        <f t="shared" si="2"/>
        <v>0</v>
      </c>
      <c r="X9" s="35">
        <f t="shared" si="2"/>
        <v>0</v>
      </c>
      <c r="Y9" s="35">
        <f t="shared" si="2"/>
        <v>0</v>
      </c>
      <c r="Z9" s="35">
        <f t="shared" si="2"/>
        <v>0</v>
      </c>
      <c r="AA9" s="35">
        <f t="shared" si="2"/>
        <v>0</v>
      </c>
      <c r="AB9" s="35">
        <f t="shared" si="2"/>
        <v>0</v>
      </c>
      <c r="AC9" s="35">
        <f t="shared" si="2"/>
        <v>0</v>
      </c>
      <c r="AD9" s="35">
        <f t="shared" si="2"/>
        <v>0</v>
      </c>
      <c r="AE9" s="35">
        <f t="shared" si="2"/>
        <v>0</v>
      </c>
      <c r="AF9" s="35">
        <f t="shared" si="0"/>
        <v>0</v>
      </c>
      <c r="AG9" s="35">
        <f t="shared" si="0"/>
        <v>0</v>
      </c>
      <c r="AH9" s="4">
        <f t="shared" si="3"/>
        <v>0</v>
      </c>
    </row>
    <row r="10" spans="1:34">
      <c r="A10" s="1" t="s">
        <v>5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P10" s="15"/>
      <c r="R10" s="1" t="s">
        <v>5</v>
      </c>
      <c r="S10" s="35">
        <f t="shared" si="2"/>
        <v>0</v>
      </c>
      <c r="T10" s="35">
        <f t="shared" si="2"/>
        <v>0</v>
      </c>
      <c r="U10" s="35">
        <f t="shared" si="2"/>
        <v>0</v>
      </c>
      <c r="V10" s="35">
        <f t="shared" si="2"/>
        <v>0</v>
      </c>
      <c r="W10" s="35">
        <f t="shared" si="2"/>
        <v>0</v>
      </c>
      <c r="X10" s="35">
        <f t="shared" si="2"/>
        <v>0</v>
      </c>
      <c r="Y10" s="35">
        <f t="shared" si="2"/>
        <v>0</v>
      </c>
      <c r="Z10" s="35">
        <f t="shared" si="2"/>
        <v>0</v>
      </c>
      <c r="AA10" s="35">
        <f t="shared" si="2"/>
        <v>0</v>
      </c>
      <c r="AB10" s="35">
        <f t="shared" si="2"/>
        <v>0</v>
      </c>
      <c r="AC10" s="35">
        <f t="shared" si="2"/>
        <v>0</v>
      </c>
      <c r="AD10" s="35">
        <f t="shared" si="2"/>
        <v>0</v>
      </c>
      <c r="AE10" s="35">
        <f t="shared" si="2"/>
        <v>0</v>
      </c>
      <c r="AF10" s="35">
        <f t="shared" si="0"/>
        <v>0</v>
      </c>
      <c r="AG10" s="35">
        <f t="shared" si="0"/>
        <v>0</v>
      </c>
      <c r="AH10" s="4">
        <f t="shared" si="3"/>
        <v>0</v>
      </c>
    </row>
    <row r="11" spans="1:34">
      <c r="A11" s="1" t="s">
        <v>6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0</v>
      </c>
      <c r="P11" s="15"/>
      <c r="R11" s="1" t="s">
        <v>6</v>
      </c>
      <c r="S11" s="35">
        <f t="shared" si="2"/>
        <v>0</v>
      </c>
      <c r="T11" s="35">
        <f t="shared" si="2"/>
        <v>0</v>
      </c>
      <c r="U11" s="35">
        <f t="shared" si="2"/>
        <v>0</v>
      </c>
      <c r="V11" s="35">
        <f t="shared" si="2"/>
        <v>0</v>
      </c>
      <c r="W11" s="35">
        <f t="shared" si="2"/>
        <v>0</v>
      </c>
      <c r="X11" s="35">
        <f t="shared" si="2"/>
        <v>0</v>
      </c>
      <c r="Y11" s="35">
        <f t="shared" si="2"/>
        <v>0</v>
      </c>
      <c r="Z11" s="35">
        <f t="shared" si="2"/>
        <v>0</v>
      </c>
      <c r="AA11" s="35">
        <f t="shared" si="2"/>
        <v>0</v>
      </c>
      <c r="AB11" s="35">
        <f t="shared" si="2"/>
        <v>0</v>
      </c>
      <c r="AC11" s="35">
        <f t="shared" si="2"/>
        <v>0</v>
      </c>
      <c r="AD11" s="35">
        <f t="shared" si="2"/>
        <v>0</v>
      </c>
      <c r="AE11" s="35">
        <f t="shared" si="2"/>
        <v>0</v>
      </c>
      <c r="AF11" s="35">
        <f t="shared" si="0"/>
        <v>0</v>
      </c>
      <c r="AG11" s="35">
        <f t="shared" si="0"/>
        <v>0</v>
      </c>
      <c r="AH11" s="4">
        <f t="shared" si="3"/>
        <v>0</v>
      </c>
    </row>
    <row r="12" spans="1:34">
      <c r="A12" s="1" t="s">
        <v>7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P12" s="15"/>
      <c r="R12" s="1" t="s">
        <v>7</v>
      </c>
      <c r="S12" s="35">
        <f t="shared" si="2"/>
        <v>0</v>
      </c>
      <c r="T12" s="35">
        <f t="shared" si="2"/>
        <v>0</v>
      </c>
      <c r="U12" s="35">
        <f t="shared" si="2"/>
        <v>0</v>
      </c>
      <c r="V12" s="35">
        <f t="shared" si="2"/>
        <v>0</v>
      </c>
      <c r="W12" s="35">
        <f t="shared" si="2"/>
        <v>0</v>
      </c>
      <c r="X12" s="35">
        <f t="shared" si="2"/>
        <v>0</v>
      </c>
      <c r="Y12" s="35">
        <f t="shared" si="2"/>
        <v>0</v>
      </c>
      <c r="Z12" s="35">
        <f t="shared" si="2"/>
        <v>0</v>
      </c>
      <c r="AA12" s="35">
        <f t="shared" si="2"/>
        <v>0</v>
      </c>
      <c r="AB12" s="35">
        <f t="shared" si="2"/>
        <v>0</v>
      </c>
      <c r="AC12" s="35">
        <f t="shared" si="2"/>
        <v>0</v>
      </c>
      <c r="AD12" s="35">
        <f t="shared" si="2"/>
        <v>0</v>
      </c>
      <c r="AE12" s="35">
        <f t="shared" si="2"/>
        <v>0</v>
      </c>
      <c r="AF12" s="35">
        <f t="shared" si="0"/>
        <v>0</v>
      </c>
      <c r="AG12" s="35">
        <f t="shared" si="0"/>
        <v>0</v>
      </c>
      <c r="AH12" s="4">
        <f t="shared" si="3"/>
        <v>0</v>
      </c>
    </row>
    <row r="13" spans="1:34">
      <c r="A13" s="1" t="s">
        <v>8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P13" s="15"/>
      <c r="R13" s="1" t="s">
        <v>8</v>
      </c>
      <c r="S13" s="35">
        <f t="shared" si="2"/>
        <v>0</v>
      </c>
      <c r="T13" s="35">
        <f t="shared" si="2"/>
        <v>0</v>
      </c>
      <c r="U13" s="35">
        <f t="shared" si="2"/>
        <v>0</v>
      </c>
      <c r="V13" s="35">
        <f t="shared" si="2"/>
        <v>0</v>
      </c>
      <c r="W13" s="35">
        <f t="shared" si="2"/>
        <v>0</v>
      </c>
      <c r="X13" s="35">
        <f t="shared" si="2"/>
        <v>0</v>
      </c>
      <c r="Y13" s="35">
        <f t="shared" si="2"/>
        <v>0</v>
      </c>
      <c r="Z13" s="35">
        <f t="shared" si="2"/>
        <v>0</v>
      </c>
      <c r="AA13" s="35">
        <f t="shared" si="2"/>
        <v>0</v>
      </c>
      <c r="AB13" s="35">
        <f t="shared" si="2"/>
        <v>0</v>
      </c>
      <c r="AC13" s="35">
        <f t="shared" si="2"/>
        <v>0</v>
      </c>
      <c r="AD13" s="35">
        <f t="shared" si="2"/>
        <v>0</v>
      </c>
      <c r="AE13" s="35">
        <f t="shared" si="2"/>
        <v>0</v>
      </c>
      <c r="AF13" s="35">
        <f t="shared" si="0"/>
        <v>0</v>
      </c>
      <c r="AG13" s="35">
        <f t="shared" si="0"/>
        <v>0</v>
      </c>
      <c r="AH13" s="4">
        <f t="shared" si="3"/>
        <v>0</v>
      </c>
    </row>
    <row r="14" spans="1:34">
      <c r="A14" s="2" t="s">
        <v>9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P14" s="15"/>
      <c r="R14" s="2" t="s">
        <v>9</v>
      </c>
      <c r="S14" s="35">
        <f t="shared" si="2"/>
        <v>0</v>
      </c>
      <c r="T14" s="35">
        <f t="shared" si="2"/>
        <v>0</v>
      </c>
      <c r="U14" s="35">
        <f t="shared" si="2"/>
        <v>0</v>
      </c>
      <c r="V14" s="35">
        <f t="shared" si="2"/>
        <v>0</v>
      </c>
      <c r="W14" s="35">
        <f t="shared" si="2"/>
        <v>0</v>
      </c>
      <c r="X14" s="35">
        <f t="shared" si="2"/>
        <v>0</v>
      </c>
      <c r="Y14" s="35">
        <f t="shared" si="2"/>
        <v>0</v>
      </c>
      <c r="Z14" s="35">
        <f t="shared" si="2"/>
        <v>0</v>
      </c>
      <c r="AA14" s="35">
        <f t="shared" si="2"/>
        <v>0</v>
      </c>
      <c r="AB14" s="35">
        <f t="shared" si="2"/>
        <v>0</v>
      </c>
      <c r="AC14" s="35">
        <f t="shared" si="2"/>
        <v>0</v>
      </c>
      <c r="AD14" s="35">
        <f t="shared" si="2"/>
        <v>0</v>
      </c>
      <c r="AE14" s="35">
        <f t="shared" si="2"/>
        <v>0</v>
      </c>
      <c r="AF14" s="35">
        <f t="shared" si="0"/>
        <v>0</v>
      </c>
      <c r="AG14" s="35">
        <f t="shared" si="0"/>
        <v>0</v>
      </c>
      <c r="AH14" s="4">
        <f t="shared" si="3"/>
        <v>0</v>
      </c>
    </row>
    <row r="15" spans="1:34">
      <c r="A15" s="18" t="s">
        <v>10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0</v>
      </c>
      <c r="P15" s="15"/>
      <c r="R15" s="18" t="s">
        <v>10</v>
      </c>
      <c r="S15" s="35">
        <f t="shared" si="2"/>
        <v>0</v>
      </c>
      <c r="T15" s="35">
        <f t="shared" si="2"/>
        <v>0</v>
      </c>
      <c r="U15" s="35">
        <f t="shared" si="2"/>
        <v>0</v>
      </c>
      <c r="V15" s="35">
        <f t="shared" si="2"/>
        <v>0</v>
      </c>
      <c r="W15" s="35">
        <f t="shared" si="2"/>
        <v>0</v>
      </c>
      <c r="X15" s="35">
        <f t="shared" si="2"/>
        <v>0</v>
      </c>
      <c r="Y15" s="35">
        <f t="shared" si="2"/>
        <v>0</v>
      </c>
      <c r="Z15" s="35">
        <f t="shared" si="2"/>
        <v>0</v>
      </c>
      <c r="AA15" s="35">
        <f t="shared" si="2"/>
        <v>0</v>
      </c>
      <c r="AB15" s="35">
        <f t="shared" si="2"/>
        <v>0</v>
      </c>
      <c r="AC15" s="35">
        <f t="shared" si="2"/>
        <v>0</v>
      </c>
      <c r="AD15" s="35">
        <f t="shared" si="2"/>
        <v>0</v>
      </c>
      <c r="AE15" s="35">
        <f t="shared" si="2"/>
        <v>0</v>
      </c>
      <c r="AF15" s="35">
        <f t="shared" si="0"/>
        <v>0</v>
      </c>
      <c r="AG15" s="35">
        <f t="shared" si="0"/>
        <v>0</v>
      </c>
      <c r="AH15" s="4">
        <f t="shared" si="3"/>
        <v>0</v>
      </c>
    </row>
    <row r="16" spans="1:34">
      <c r="A16" s="1" t="s">
        <v>11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P16" s="15"/>
      <c r="R16" s="1" t="s">
        <v>11</v>
      </c>
      <c r="S16" s="35">
        <f t="shared" si="2"/>
        <v>0</v>
      </c>
      <c r="T16" s="35">
        <f t="shared" si="2"/>
        <v>0</v>
      </c>
      <c r="U16" s="35">
        <f t="shared" si="2"/>
        <v>0</v>
      </c>
      <c r="V16" s="35">
        <f t="shared" si="2"/>
        <v>0</v>
      </c>
      <c r="W16" s="35">
        <f t="shared" si="2"/>
        <v>0</v>
      </c>
      <c r="X16" s="35">
        <f t="shared" si="2"/>
        <v>0</v>
      </c>
      <c r="Y16" s="35">
        <f t="shared" si="2"/>
        <v>0</v>
      </c>
      <c r="Z16" s="35">
        <f t="shared" si="2"/>
        <v>0</v>
      </c>
      <c r="AA16" s="35">
        <f t="shared" si="2"/>
        <v>0</v>
      </c>
      <c r="AB16" s="35">
        <f t="shared" si="2"/>
        <v>0</v>
      </c>
      <c r="AC16" s="35">
        <f t="shared" si="2"/>
        <v>0</v>
      </c>
      <c r="AD16" s="35">
        <f t="shared" si="2"/>
        <v>0</v>
      </c>
      <c r="AE16" s="35">
        <f t="shared" si="2"/>
        <v>0</v>
      </c>
      <c r="AF16" s="35">
        <f t="shared" si="0"/>
        <v>0</v>
      </c>
      <c r="AG16" s="35">
        <f t="shared" si="0"/>
        <v>0</v>
      </c>
      <c r="AH16" s="4">
        <f t="shared" si="3"/>
        <v>0</v>
      </c>
    </row>
    <row r="17" spans="1:34">
      <c r="A17" s="1" t="s">
        <v>12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0</v>
      </c>
      <c r="P17" s="15"/>
      <c r="R17" s="1" t="s">
        <v>12</v>
      </c>
      <c r="S17" s="35">
        <f t="shared" si="2"/>
        <v>0</v>
      </c>
      <c r="T17" s="35">
        <f t="shared" si="2"/>
        <v>0</v>
      </c>
      <c r="U17" s="35">
        <f t="shared" si="2"/>
        <v>0</v>
      </c>
      <c r="V17" s="35">
        <f t="shared" si="2"/>
        <v>0</v>
      </c>
      <c r="W17" s="35">
        <f t="shared" si="2"/>
        <v>0</v>
      </c>
      <c r="X17" s="35">
        <f t="shared" si="2"/>
        <v>0</v>
      </c>
      <c r="Y17" s="35">
        <f t="shared" si="2"/>
        <v>0</v>
      </c>
      <c r="Z17" s="35">
        <f t="shared" si="2"/>
        <v>0</v>
      </c>
      <c r="AA17" s="35">
        <f t="shared" si="2"/>
        <v>0</v>
      </c>
      <c r="AB17" s="35">
        <f t="shared" si="2"/>
        <v>0</v>
      </c>
      <c r="AC17" s="35">
        <f t="shared" si="2"/>
        <v>0</v>
      </c>
      <c r="AD17" s="35">
        <f t="shared" si="2"/>
        <v>0</v>
      </c>
      <c r="AE17" s="35">
        <f t="shared" si="2"/>
        <v>0</v>
      </c>
      <c r="AF17" s="35">
        <f t="shared" si="0"/>
        <v>0</v>
      </c>
      <c r="AG17" s="35">
        <f t="shared" si="0"/>
        <v>0</v>
      </c>
      <c r="AH17" s="4">
        <f t="shared" si="3"/>
        <v>0</v>
      </c>
    </row>
    <row r="18" spans="1:34">
      <c r="A18" s="1" t="s">
        <v>15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P18" s="15"/>
      <c r="R18" s="1" t="s">
        <v>15</v>
      </c>
      <c r="S18" s="35">
        <f t="shared" si="2"/>
        <v>0</v>
      </c>
      <c r="T18" s="35">
        <f t="shared" si="2"/>
        <v>0</v>
      </c>
      <c r="U18" s="35">
        <f t="shared" si="2"/>
        <v>0</v>
      </c>
      <c r="V18" s="35">
        <f t="shared" si="2"/>
        <v>0</v>
      </c>
      <c r="W18" s="35">
        <f t="shared" si="2"/>
        <v>0</v>
      </c>
      <c r="X18" s="35">
        <f t="shared" si="2"/>
        <v>0</v>
      </c>
      <c r="Y18" s="35">
        <f t="shared" si="2"/>
        <v>0</v>
      </c>
      <c r="Z18" s="35">
        <f t="shared" si="2"/>
        <v>0</v>
      </c>
      <c r="AA18" s="35">
        <f t="shared" si="2"/>
        <v>0</v>
      </c>
      <c r="AB18" s="35">
        <f t="shared" si="2"/>
        <v>0</v>
      </c>
      <c r="AC18" s="35">
        <f t="shared" si="2"/>
        <v>0</v>
      </c>
      <c r="AD18" s="35">
        <f t="shared" si="2"/>
        <v>0</v>
      </c>
      <c r="AE18" s="35">
        <f t="shared" si="2"/>
        <v>0</v>
      </c>
      <c r="AF18" s="35">
        <f t="shared" si="0"/>
        <v>0</v>
      </c>
      <c r="AG18" s="35">
        <f t="shared" si="0"/>
        <v>0</v>
      </c>
      <c r="AH18" s="4">
        <f t="shared" si="3"/>
        <v>0</v>
      </c>
    </row>
    <row r="19" spans="1:34">
      <c r="A19" s="1" t="s">
        <v>14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0</v>
      </c>
      <c r="P19" s="15"/>
      <c r="R19" s="1" t="s">
        <v>14</v>
      </c>
      <c r="S19" s="35">
        <f t="shared" si="2"/>
        <v>0</v>
      </c>
      <c r="T19" s="35">
        <f t="shared" si="2"/>
        <v>0</v>
      </c>
      <c r="U19" s="35">
        <f t="shared" si="2"/>
        <v>0</v>
      </c>
      <c r="V19" s="35">
        <f t="shared" si="2"/>
        <v>0</v>
      </c>
      <c r="W19" s="35">
        <f t="shared" si="2"/>
        <v>0</v>
      </c>
      <c r="X19" s="35">
        <f t="shared" si="2"/>
        <v>0</v>
      </c>
      <c r="Y19" s="35">
        <f t="shared" si="2"/>
        <v>0</v>
      </c>
      <c r="Z19" s="35">
        <f t="shared" si="2"/>
        <v>0</v>
      </c>
      <c r="AA19" s="35">
        <f t="shared" si="2"/>
        <v>0</v>
      </c>
      <c r="AB19" s="35">
        <f>AB89*0.8</f>
        <v>0</v>
      </c>
      <c r="AC19" s="35">
        <f t="shared" si="2"/>
        <v>0</v>
      </c>
      <c r="AD19" s="35">
        <f t="shared" si="2"/>
        <v>0</v>
      </c>
      <c r="AE19" s="35">
        <f t="shared" si="2"/>
        <v>0</v>
      </c>
      <c r="AF19" s="35">
        <f t="shared" si="0"/>
        <v>0</v>
      </c>
      <c r="AG19" s="35">
        <f t="shared" si="0"/>
        <v>0</v>
      </c>
      <c r="AH19" s="4">
        <f t="shared" si="3"/>
        <v>0</v>
      </c>
    </row>
    <row r="20" spans="1:34">
      <c r="A20" s="18" t="s">
        <v>13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P20" s="15"/>
      <c r="R20" s="18" t="s">
        <v>13</v>
      </c>
      <c r="S20" s="35">
        <f t="shared" si="2"/>
        <v>0</v>
      </c>
      <c r="T20" s="35">
        <f t="shared" si="2"/>
        <v>0</v>
      </c>
      <c r="U20" s="35">
        <f t="shared" si="2"/>
        <v>0</v>
      </c>
      <c r="V20" s="35">
        <f t="shared" si="2"/>
        <v>0</v>
      </c>
      <c r="W20" s="35">
        <f t="shared" si="2"/>
        <v>0</v>
      </c>
      <c r="X20" s="35">
        <f t="shared" si="2"/>
        <v>0</v>
      </c>
      <c r="Y20" s="35">
        <f t="shared" si="2"/>
        <v>0</v>
      </c>
      <c r="Z20" s="35">
        <f t="shared" si="2"/>
        <v>0</v>
      </c>
      <c r="AA20" s="35">
        <f t="shared" si="2"/>
        <v>0</v>
      </c>
      <c r="AB20" s="35">
        <f>AB90*0.8</f>
        <v>0</v>
      </c>
      <c r="AC20" s="35">
        <f t="shared" si="2"/>
        <v>0</v>
      </c>
      <c r="AD20" s="35">
        <f t="shared" si="2"/>
        <v>0</v>
      </c>
      <c r="AE20" s="35">
        <f t="shared" si="2"/>
        <v>0</v>
      </c>
      <c r="AF20" s="35">
        <f t="shared" si="0"/>
        <v>0</v>
      </c>
      <c r="AG20" s="35">
        <f t="shared" si="0"/>
        <v>0</v>
      </c>
      <c r="AH20" s="4">
        <f t="shared" si="3"/>
        <v>0</v>
      </c>
    </row>
    <row r="21" spans="1:34">
      <c r="A21" s="1" t="s">
        <v>16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P21" s="15"/>
      <c r="R21" s="1" t="s">
        <v>16</v>
      </c>
      <c r="S21" s="35">
        <f t="shared" si="2"/>
        <v>0</v>
      </c>
      <c r="T21" s="35">
        <f t="shared" si="2"/>
        <v>0</v>
      </c>
      <c r="U21" s="35">
        <f t="shared" si="2"/>
        <v>0</v>
      </c>
      <c r="V21" s="35">
        <f t="shared" si="2"/>
        <v>0</v>
      </c>
      <c r="W21" s="35">
        <f t="shared" si="2"/>
        <v>0</v>
      </c>
      <c r="X21" s="35">
        <f t="shared" si="2"/>
        <v>0</v>
      </c>
      <c r="Y21" s="35">
        <f t="shared" si="2"/>
        <v>0</v>
      </c>
      <c r="Z21" s="35">
        <f t="shared" si="2"/>
        <v>0</v>
      </c>
      <c r="AA21" s="35">
        <f t="shared" si="2"/>
        <v>0</v>
      </c>
      <c r="AB21" s="35">
        <f t="shared" si="2"/>
        <v>0</v>
      </c>
      <c r="AC21" s="35">
        <f t="shared" si="2"/>
        <v>0</v>
      </c>
      <c r="AD21" s="35">
        <f t="shared" si="2"/>
        <v>0</v>
      </c>
      <c r="AE21" s="35">
        <f t="shared" si="2"/>
        <v>0</v>
      </c>
      <c r="AF21" s="35">
        <f t="shared" si="2"/>
        <v>0</v>
      </c>
      <c r="AG21" s="35">
        <f t="shared" si="2"/>
        <v>0</v>
      </c>
      <c r="AH21" s="4">
        <f t="shared" si="3"/>
        <v>0</v>
      </c>
    </row>
    <row r="22" spans="1:34">
      <c r="A22" s="1" t="s">
        <v>17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P22" s="15"/>
      <c r="R22" s="1" t="s">
        <v>17</v>
      </c>
      <c r="S22" s="35">
        <f t="shared" ref="S22:AG31" si="4">S92*0.8</f>
        <v>0</v>
      </c>
      <c r="T22" s="35">
        <f t="shared" si="4"/>
        <v>0</v>
      </c>
      <c r="U22" s="35">
        <f t="shared" si="4"/>
        <v>0</v>
      </c>
      <c r="V22" s="35">
        <f t="shared" si="4"/>
        <v>0</v>
      </c>
      <c r="W22" s="35">
        <f t="shared" si="4"/>
        <v>0</v>
      </c>
      <c r="X22" s="35">
        <f t="shared" si="4"/>
        <v>0</v>
      </c>
      <c r="Y22" s="35">
        <f t="shared" si="4"/>
        <v>0</v>
      </c>
      <c r="Z22" s="35">
        <f t="shared" si="4"/>
        <v>0</v>
      </c>
      <c r="AA22" s="35">
        <f t="shared" si="4"/>
        <v>0</v>
      </c>
      <c r="AB22" s="35">
        <f t="shared" si="4"/>
        <v>0</v>
      </c>
      <c r="AC22" s="35">
        <f t="shared" si="4"/>
        <v>0</v>
      </c>
      <c r="AD22" s="35">
        <f t="shared" si="4"/>
        <v>0</v>
      </c>
      <c r="AE22" s="35">
        <f t="shared" si="4"/>
        <v>0</v>
      </c>
      <c r="AF22" s="35">
        <f t="shared" si="4"/>
        <v>0</v>
      </c>
      <c r="AG22" s="35">
        <f t="shared" si="4"/>
        <v>0</v>
      </c>
      <c r="AH22" s="4">
        <f t="shared" si="3"/>
        <v>0</v>
      </c>
    </row>
    <row r="23" spans="1:34">
      <c r="A23" s="1" t="s">
        <v>18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0</v>
      </c>
      <c r="P23" s="15"/>
      <c r="R23" s="1" t="s">
        <v>18</v>
      </c>
      <c r="S23" s="35">
        <f t="shared" si="4"/>
        <v>0</v>
      </c>
      <c r="T23" s="35">
        <f t="shared" si="4"/>
        <v>0</v>
      </c>
      <c r="U23" s="35">
        <f t="shared" si="4"/>
        <v>0</v>
      </c>
      <c r="V23" s="35">
        <f t="shared" si="4"/>
        <v>0</v>
      </c>
      <c r="W23" s="35">
        <f t="shared" si="4"/>
        <v>0</v>
      </c>
      <c r="X23" s="35">
        <f t="shared" si="4"/>
        <v>0</v>
      </c>
      <c r="Y23" s="35">
        <f t="shared" si="4"/>
        <v>0</v>
      </c>
      <c r="Z23" s="35">
        <f t="shared" si="4"/>
        <v>0</v>
      </c>
      <c r="AA23" s="35">
        <f t="shared" si="4"/>
        <v>0</v>
      </c>
      <c r="AB23" s="35">
        <f t="shared" si="4"/>
        <v>0</v>
      </c>
      <c r="AC23" s="35">
        <f t="shared" si="4"/>
        <v>0</v>
      </c>
      <c r="AD23" s="35">
        <f t="shared" si="4"/>
        <v>0</v>
      </c>
      <c r="AE23" s="35">
        <f t="shared" si="4"/>
        <v>0</v>
      </c>
      <c r="AF23" s="35">
        <f t="shared" si="4"/>
        <v>0</v>
      </c>
      <c r="AG23" s="35">
        <f t="shared" si="4"/>
        <v>0</v>
      </c>
      <c r="AH23" s="4">
        <f t="shared" si="3"/>
        <v>0</v>
      </c>
    </row>
    <row r="24" spans="1:34">
      <c r="A24" s="1" t="s">
        <v>20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0</v>
      </c>
      <c r="P24" s="15"/>
      <c r="R24" s="1" t="s">
        <v>20</v>
      </c>
      <c r="S24" s="35">
        <f t="shared" si="4"/>
        <v>0</v>
      </c>
      <c r="T24" s="35">
        <f t="shared" si="4"/>
        <v>0</v>
      </c>
      <c r="U24" s="35">
        <f t="shared" si="4"/>
        <v>0</v>
      </c>
      <c r="V24" s="35">
        <f t="shared" si="4"/>
        <v>0</v>
      </c>
      <c r="W24" s="35">
        <f t="shared" si="4"/>
        <v>0</v>
      </c>
      <c r="X24" s="35">
        <f t="shared" si="4"/>
        <v>0</v>
      </c>
      <c r="Y24" s="35">
        <f t="shared" si="4"/>
        <v>0</v>
      </c>
      <c r="Z24" s="35">
        <f t="shared" si="4"/>
        <v>0</v>
      </c>
      <c r="AA24" s="35">
        <f t="shared" si="4"/>
        <v>0</v>
      </c>
      <c r="AB24" s="35">
        <f t="shared" si="4"/>
        <v>0</v>
      </c>
      <c r="AC24" s="35">
        <f t="shared" si="4"/>
        <v>0</v>
      </c>
      <c r="AD24" s="35">
        <f t="shared" si="4"/>
        <v>0</v>
      </c>
      <c r="AE24" s="35">
        <f t="shared" si="4"/>
        <v>0</v>
      </c>
      <c r="AF24" s="35">
        <f t="shared" si="4"/>
        <v>0</v>
      </c>
      <c r="AG24" s="35">
        <f t="shared" si="4"/>
        <v>0</v>
      </c>
      <c r="AH24" s="4">
        <f t="shared" si="3"/>
        <v>0</v>
      </c>
    </row>
    <row r="25" spans="1:34">
      <c r="A25" s="1" t="s">
        <v>19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>SUM(B25:N25)</f>
        <v>0</v>
      </c>
      <c r="P25" s="15"/>
      <c r="R25" s="1" t="s">
        <v>19</v>
      </c>
      <c r="S25" s="35">
        <f t="shared" si="4"/>
        <v>0</v>
      </c>
      <c r="T25" s="35">
        <f t="shared" si="4"/>
        <v>0</v>
      </c>
      <c r="U25" s="35">
        <f t="shared" si="4"/>
        <v>0</v>
      </c>
      <c r="V25" s="35">
        <f t="shared" si="4"/>
        <v>0</v>
      </c>
      <c r="W25" s="35">
        <f t="shared" si="4"/>
        <v>0</v>
      </c>
      <c r="X25" s="35">
        <f t="shared" si="4"/>
        <v>0</v>
      </c>
      <c r="Y25" s="35">
        <f t="shared" si="4"/>
        <v>0</v>
      </c>
      <c r="Z25" s="35">
        <f t="shared" si="4"/>
        <v>0</v>
      </c>
      <c r="AA25" s="35">
        <f t="shared" si="4"/>
        <v>0</v>
      </c>
      <c r="AB25" s="35">
        <f t="shared" si="4"/>
        <v>0</v>
      </c>
      <c r="AC25" s="35">
        <f t="shared" si="4"/>
        <v>0</v>
      </c>
      <c r="AD25" s="35">
        <f t="shared" si="4"/>
        <v>0</v>
      </c>
      <c r="AE25" s="35">
        <f t="shared" si="4"/>
        <v>0</v>
      </c>
      <c r="AF25" s="35">
        <f t="shared" si="4"/>
        <v>0</v>
      </c>
      <c r="AG25" s="35">
        <f t="shared" si="4"/>
        <v>0</v>
      </c>
      <c r="AH25" s="4">
        <f t="shared" si="3"/>
        <v>0</v>
      </c>
    </row>
    <row r="26" spans="1:34">
      <c r="A26" s="1" t="s">
        <v>21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P26" s="15"/>
      <c r="R26" s="1" t="s">
        <v>21</v>
      </c>
      <c r="S26" s="35">
        <f t="shared" si="4"/>
        <v>0</v>
      </c>
      <c r="T26" s="35">
        <f t="shared" si="4"/>
        <v>0</v>
      </c>
      <c r="U26" s="35">
        <f t="shared" si="4"/>
        <v>0</v>
      </c>
      <c r="V26" s="35">
        <f t="shared" si="4"/>
        <v>0</v>
      </c>
      <c r="W26" s="35">
        <f t="shared" si="4"/>
        <v>0</v>
      </c>
      <c r="X26" s="35">
        <f t="shared" si="4"/>
        <v>0</v>
      </c>
      <c r="Y26" s="35">
        <f t="shared" si="4"/>
        <v>0</v>
      </c>
      <c r="Z26" s="35">
        <f t="shared" si="4"/>
        <v>0</v>
      </c>
      <c r="AA26" s="35">
        <f t="shared" si="4"/>
        <v>0</v>
      </c>
      <c r="AB26" s="35">
        <f t="shared" si="4"/>
        <v>0</v>
      </c>
      <c r="AC26" s="35">
        <f t="shared" si="4"/>
        <v>0</v>
      </c>
      <c r="AD26" s="35">
        <f t="shared" si="4"/>
        <v>0</v>
      </c>
      <c r="AE26" s="35">
        <f t="shared" si="4"/>
        <v>0</v>
      </c>
      <c r="AF26" s="35">
        <f t="shared" si="4"/>
        <v>0</v>
      </c>
      <c r="AG26" s="35">
        <f t="shared" si="4"/>
        <v>0</v>
      </c>
      <c r="AH26" s="4">
        <f t="shared" si="3"/>
        <v>0</v>
      </c>
    </row>
    <row r="27" spans="1:34">
      <c r="A27" s="2" t="s">
        <v>22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P27" s="15"/>
      <c r="R27" s="2" t="s">
        <v>22</v>
      </c>
      <c r="S27" s="35">
        <f t="shared" si="4"/>
        <v>0</v>
      </c>
      <c r="T27" s="35">
        <f t="shared" si="4"/>
        <v>0</v>
      </c>
      <c r="U27" s="35">
        <f t="shared" si="4"/>
        <v>0</v>
      </c>
      <c r="V27" s="35">
        <f t="shared" si="4"/>
        <v>0</v>
      </c>
      <c r="W27" s="35">
        <f t="shared" si="4"/>
        <v>0</v>
      </c>
      <c r="X27" s="35">
        <f t="shared" si="4"/>
        <v>0</v>
      </c>
      <c r="Y27" s="35">
        <f t="shared" si="4"/>
        <v>0</v>
      </c>
      <c r="Z27" s="35">
        <f t="shared" si="4"/>
        <v>0</v>
      </c>
      <c r="AA27" s="35">
        <f t="shared" si="4"/>
        <v>0</v>
      </c>
      <c r="AB27" s="35">
        <f t="shared" si="4"/>
        <v>0</v>
      </c>
      <c r="AC27" s="35">
        <f t="shared" si="4"/>
        <v>0</v>
      </c>
      <c r="AD27" s="35">
        <f t="shared" si="4"/>
        <v>0</v>
      </c>
      <c r="AE27" s="35">
        <f t="shared" si="4"/>
        <v>0</v>
      </c>
      <c r="AF27" s="35">
        <f t="shared" si="4"/>
        <v>0</v>
      </c>
      <c r="AG27" s="35">
        <f t="shared" si="4"/>
        <v>0</v>
      </c>
      <c r="AH27" s="4">
        <f t="shared" si="3"/>
        <v>0</v>
      </c>
    </row>
    <row r="28" spans="1:34">
      <c r="A28" s="1" t="s">
        <v>23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P28" s="15"/>
      <c r="R28" s="1" t="s">
        <v>23</v>
      </c>
      <c r="S28" s="35">
        <f t="shared" si="4"/>
        <v>0</v>
      </c>
      <c r="T28" s="35">
        <f t="shared" si="4"/>
        <v>0</v>
      </c>
      <c r="U28" s="35">
        <f t="shared" si="4"/>
        <v>0</v>
      </c>
      <c r="V28" s="35">
        <f t="shared" si="4"/>
        <v>0</v>
      </c>
      <c r="W28" s="35">
        <f t="shared" si="4"/>
        <v>0</v>
      </c>
      <c r="X28" s="35">
        <f t="shared" si="4"/>
        <v>0</v>
      </c>
      <c r="Y28" s="35">
        <f t="shared" si="4"/>
        <v>0</v>
      </c>
      <c r="Z28" s="35">
        <f t="shared" si="4"/>
        <v>0</v>
      </c>
      <c r="AA28" s="35">
        <f t="shared" si="4"/>
        <v>0</v>
      </c>
      <c r="AB28" s="35">
        <f t="shared" si="4"/>
        <v>0</v>
      </c>
      <c r="AC28" s="35">
        <f t="shared" si="4"/>
        <v>0</v>
      </c>
      <c r="AD28" s="35">
        <f t="shared" si="4"/>
        <v>0</v>
      </c>
      <c r="AE28" s="35">
        <f t="shared" si="4"/>
        <v>0</v>
      </c>
      <c r="AF28" s="35">
        <f t="shared" si="4"/>
        <v>0</v>
      </c>
      <c r="AG28" s="35">
        <f t="shared" si="4"/>
        <v>0</v>
      </c>
      <c r="AH28" s="4">
        <f t="shared" si="3"/>
        <v>0</v>
      </c>
    </row>
    <row r="29" spans="1:34">
      <c r="A29" s="1" t="s">
        <v>25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P29" s="15"/>
      <c r="R29" s="1" t="s">
        <v>25</v>
      </c>
      <c r="S29" s="35">
        <f t="shared" si="4"/>
        <v>0</v>
      </c>
      <c r="T29" s="35">
        <f t="shared" si="4"/>
        <v>0</v>
      </c>
      <c r="U29" s="35">
        <f t="shared" si="4"/>
        <v>0</v>
      </c>
      <c r="V29" s="35">
        <f t="shared" si="4"/>
        <v>0</v>
      </c>
      <c r="W29" s="35">
        <f t="shared" si="4"/>
        <v>0</v>
      </c>
      <c r="X29" s="35">
        <f t="shared" si="4"/>
        <v>0</v>
      </c>
      <c r="Y29" s="35">
        <f t="shared" si="4"/>
        <v>0</v>
      </c>
      <c r="Z29" s="35">
        <f t="shared" si="4"/>
        <v>0</v>
      </c>
      <c r="AA29" s="35">
        <f t="shared" si="4"/>
        <v>0</v>
      </c>
      <c r="AB29" s="35">
        <f t="shared" si="4"/>
        <v>0</v>
      </c>
      <c r="AC29" s="35">
        <f t="shared" si="4"/>
        <v>0</v>
      </c>
      <c r="AD29" s="35">
        <f t="shared" si="4"/>
        <v>0</v>
      </c>
      <c r="AE29" s="35">
        <f t="shared" si="4"/>
        <v>0</v>
      </c>
      <c r="AF29" s="35">
        <f>AF99</f>
        <v>0</v>
      </c>
      <c r="AG29" s="35">
        <f>AG99</f>
        <v>0</v>
      </c>
      <c r="AH29" s="4">
        <f t="shared" si="3"/>
        <v>0</v>
      </c>
    </row>
    <row r="30" spans="1:34">
      <c r="A30" s="1" t="s">
        <v>24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15"/>
      <c r="R30" s="1" t="s">
        <v>24</v>
      </c>
      <c r="S30" s="35">
        <f t="shared" si="4"/>
        <v>0</v>
      </c>
      <c r="T30" s="35">
        <f t="shared" si="4"/>
        <v>0</v>
      </c>
      <c r="U30" s="35">
        <f t="shared" si="4"/>
        <v>0</v>
      </c>
      <c r="V30" s="35">
        <f t="shared" si="4"/>
        <v>0</v>
      </c>
      <c r="W30" s="35">
        <f t="shared" si="4"/>
        <v>0</v>
      </c>
      <c r="X30" s="35">
        <f t="shared" si="4"/>
        <v>0</v>
      </c>
      <c r="Y30" s="35">
        <f t="shared" si="4"/>
        <v>0</v>
      </c>
      <c r="Z30" s="35">
        <f t="shared" si="4"/>
        <v>0</v>
      </c>
      <c r="AA30" s="35">
        <f t="shared" si="4"/>
        <v>0</v>
      </c>
      <c r="AB30" s="35">
        <f t="shared" si="4"/>
        <v>0</v>
      </c>
      <c r="AC30" s="35">
        <f t="shared" si="4"/>
        <v>0</v>
      </c>
      <c r="AD30" s="35">
        <f t="shared" si="4"/>
        <v>0</v>
      </c>
      <c r="AE30" s="35">
        <f t="shared" si="4"/>
        <v>0</v>
      </c>
      <c r="AF30" s="35">
        <f t="shared" si="4"/>
        <v>0</v>
      </c>
      <c r="AG30" s="35">
        <f t="shared" si="4"/>
        <v>0</v>
      </c>
      <c r="AH30" s="4">
        <f t="shared" si="3"/>
        <v>0</v>
      </c>
    </row>
    <row r="31" spans="1:34">
      <c r="A31" s="1" t="s">
        <v>26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P31" s="15"/>
      <c r="R31" s="1" t="s">
        <v>26</v>
      </c>
      <c r="S31" s="35">
        <f t="shared" si="4"/>
        <v>0</v>
      </c>
      <c r="T31" s="35">
        <f t="shared" si="4"/>
        <v>0</v>
      </c>
      <c r="U31" s="35">
        <f t="shared" si="4"/>
        <v>0</v>
      </c>
      <c r="V31" s="35">
        <f t="shared" si="4"/>
        <v>0</v>
      </c>
      <c r="W31" s="35">
        <f t="shared" si="4"/>
        <v>0</v>
      </c>
      <c r="X31" s="35">
        <f t="shared" si="4"/>
        <v>0</v>
      </c>
      <c r="Y31" s="35">
        <f t="shared" si="4"/>
        <v>0</v>
      </c>
      <c r="Z31" s="35">
        <f t="shared" si="4"/>
        <v>0</v>
      </c>
      <c r="AA31" s="35">
        <f t="shared" si="4"/>
        <v>0</v>
      </c>
      <c r="AB31" s="35">
        <f t="shared" si="4"/>
        <v>0</v>
      </c>
      <c r="AC31" s="35">
        <f t="shared" si="4"/>
        <v>0</v>
      </c>
      <c r="AD31" s="35">
        <f t="shared" si="4"/>
        <v>0</v>
      </c>
      <c r="AE31" s="35">
        <f t="shared" si="4"/>
        <v>0</v>
      </c>
      <c r="AF31" s="35">
        <f t="shared" si="4"/>
        <v>0</v>
      </c>
      <c r="AG31" s="35">
        <f t="shared" si="4"/>
        <v>0</v>
      </c>
      <c r="AH31" s="4">
        <f t="shared" si="3"/>
        <v>0</v>
      </c>
    </row>
    <row r="32" spans="1:34">
      <c r="A32" s="6" t="s">
        <v>37</v>
      </c>
      <c r="B32" s="7">
        <f>SUM(B5:B31)</f>
        <v>0</v>
      </c>
      <c r="C32" s="7">
        <f>SUM(C5:C31)</f>
        <v>0</v>
      </c>
      <c r="D32" s="7">
        <f>SUM(D5:D31)</f>
        <v>0</v>
      </c>
      <c r="E32" s="7">
        <f>SUM(E5:E31)</f>
        <v>0</v>
      </c>
      <c r="F32" s="7">
        <f t="shared" ref="F32:N32" si="5">SUM(F5:F31)</f>
        <v>0</v>
      </c>
      <c r="G32" s="7">
        <f t="shared" si="5"/>
        <v>0</v>
      </c>
      <c r="H32" s="7">
        <f t="shared" si="5"/>
        <v>0</v>
      </c>
      <c r="I32" s="7">
        <f t="shared" si="5"/>
        <v>0</v>
      </c>
      <c r="J32" s="7">
        <f t="shared" si="5"/>
        <v>0</v>
      </c>
      <c r="K32" s="7">
        <f t="shared" si="5"/>
        <v>0</v>
      </c>
      <c r="L32" s="7">
        <f t="shared" si="5"/>
        <v>0</v>
      </c>
      <c r="M32" s="7">
        <f t="shared" si="5"/>
        <v>0</v>
      </c>
      <c r="N32" s="7">
        <f t="shared" si="5"/>
        <v>0</v>
      </c>
      <c r="O32" s="7">
        <f>SUM(O5:O31)</f>
        <v>0</v>
      </c>
      <c r="R32" s="6" t="s">
        <v>37</v>
      </c>
      <c r="S32" s="7">
        <f>SUM(S5:S31)</f>
        <v>0</v>
      </c>
      <c r="T32" s="7">
        <f>SUM(T5:T31)</f>
        <v>0</v>
      </c>
      <c r="U32" s="7">
        <f>SUM(U5:U31)</f>
        <v>0</v>
      </c>
      <c r="V32" s="7">
        <f>SUM(V5:V31)</f>
        <v>0</v>
      </c>
      <c r="W32" s="7">
        <f t="shared" ref="W32:AG32" si="6">SUM(W5:W31)</f>
        <v>0</v>
      </c>
      <c r="X32" s="7">
        <f t="shared" si="6"/>
        <v>0</v>
      </c>
      <c r="Y32" s="7">
        <f t="shared" si="6"/>
        <v>0</v>
      </c>
      <c r="Z32" s="7">
        <f t="shared" si="6"/>
        <v>0</v>
      </c>
      <c r="AA32" s="7">
        <f t="shared" si="6"/>
        <v>0</v>
      </c>
      <c r="AB32" s="7">
        <f t="shared" si="6"/>
        <v>0</v>
      </c>
      <c r="AC32" s="7">
        <f t="shared" si="6"/>
        <v>0</v>
      </c>
      <c r="AD32" s="7">
        <f t="shared" si="6"/>
        <v>0</v>
      </c>
      <c r="AE32" s="7">
        <f t="shared" si="6"/>
        <v>0</v>
      </c>
      <c r="AF32" s="7">
        <f t="shared" si="6"/>
        <v>0</v>
      </c>
      <c r="AG32" s="7">
        <f t="shared" si="6"/>
        <v>0</v>
      </c>
      <c r="AH32" s="7">
        <f>SUM(AH5:AH31)</f>
        <v>0</v>
      </c>
    </row>
    <row r="33" spans="1:34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2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</row>
    <row r="34" spans="1:34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</row>
    <row r="35" spans="1:34">
      <c r="A35" s="31"/>
      <c r="B35" s="31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</row>
    <row r="36" spans="1:34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</row>
    <row r="37" spans="1:34" ht="46.5">
      <c r="A37" s="292" t="s">
        <v>102</v>
      </c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4"/>
      <c r="R37" s="292" t="s">
        <v>104</v>
      </c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4"/>
    </row>
    <row r="38" spans="1:34" ht="21.75" customHeight="1">
      <c r="A38" s="290" t="s">
        <v>33</v>
      </c>
      <c r="B38" s="287" t="s">
        <v>27</v>
      </c>
      <c r="C38" s="288"/>
      <c r="D38" s="287" t="s">
        <v>29</v>
      </c>
      <c r="E38" s="288"/>
      <c r="F38" s="285" t="s">
        <v>28</v>
      </c>
      <c r="G38" s="285" t="s">
        <v>36</v>
      </c>
      <c r="H38" s="285" t="s">
        <v>30</v>
      </c>
      <c r="I38" s="285" t="s">
        <v>31</v>
      </c>
      <c r="J38" s="285" t="s">
        <v>41</v>
      </c>
      <c r="K38" s="285" t="s">
        <v>35</v>
      </c>
      <c r="L38" s="285" t="s">
        <v>40</v>
      </c>
      <c r="M38" s="285" t="s">
        <v>42</v>
      </c>
      <c r="N38" s="285" t="s">
        <v>45</v>
      </c>
      <c r="O38" s="285" t="s">
        <v>34</v>
      </c>
      <c r="R38" s="290" t="s">
        <v>33</v>
      </c>
      <c r="S38" s="287" t="s">
        <v>27</v>
      </c>
      <c r="T38" s="288"/>
      <c r="U38" s="287" t="s">
        <v>29</v>
      </c>
      <c r="V38" s="288"/>
      <c r="W38" s="285" t="s">
        <v>28</v>
      </c>
      <c r="X38" s="285" t="s">
        <v>36</v>
      </c>
      <c r="Y38" s="285" t="s">
        <v>30</v>
      </c>
      <c r="Z38" s="285" t="s">
        <v>31</v>
      </c>
      <c r="AA38" s="285" t="s">
        <v>41</v>
      </c>
      <c r="AB38" s="285" t="s">
        <v>35</v>
      </c>
      <c r="AC38" s="285" t="s">
        <v>40</v>
      </c>
      <c r="AD38" s="285" t="s">
        <v>42</v>
      </c>
      <c r="AE38" s="285" t="s">
        <v>45</v>
      </c>
      <c r="AF38" s="287" t="s">
        <v>52</v>
      </c>
      <c r="AG38" s="288"/>
      <c r="AH38" s="285" t="s">
        <v>34</v>
      </c>
    </row>
    <row r="39" spans="1:34" ht="30">
      <c r="A39" s="291"/>
      <c r="B39" s="5" t="s">
        <v>43</v>
      </c>
      <c r="C39" s="5" t="s">
        <v>44</v>
      </c>
      <c r="D39" s="5" t="s">
        <v>43</v>
      </c>
      <c r="E39" s="5" t="s">
        <v>44</v>
      </c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R39" s="291"/>
      <c r="S39" s="46" t="s">
        <v>43</v>
      </c>
      <c r="T39" s="46" t="s">
        <v>44</v>
      </c>
      <c r="U39" s="46" t="s">
        <v>43</v>
      </c>
      <c r="V39" s="46" t="s">
        <v>44</v>
      </c>
      <c r="W39" s="286"/>
      <c r="X39" s="286"/>
      <c r="Y39" s="286"/>
      <c r="Z39" s="286"/>
      <c r="AA39" s="286"/>
      <c r="AB39" s="286"/>
      <c r="AC39" s="286"/>
      <c r="AD39" s="286"/>
      <c r="AE39" s="286"/>
      <c r="AF39" s="54" t="s">
        <v>53</v>
      </c>
      <c r="AG39" s="54" t="s">
        <v>54</v>
      </c>
      <c r="AH39" s="286"/>
    </row>
    <row r="40" spans="1:34">
      <c r="A40" s="1" t="s">
        <v>0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35">
        <f>S75*0.2</f>
        <v>0</v>
      </c>
      <c r="T40" s="35">
        <f t="shared" ref="T40:AG55" si="7">T75*0.2</f>
        <v>0</v>
      </c>
      <c r="U40" s="35">
        <f t="shared" si="7"/>
        <v>0</v>
      </c>
      <c r="V40" s="35">
        <f t="shared" si="7"/>
        <v>0</v>
      </c>
      <c r="W40" s="35">
        <f t="shared" si="7"/>
        <v>0</v>
      </c>
      <c r="X40" s="35">
        <f t="shared" si="7"/>
        <v>0</v>
      </c>
      <c r="Y40" s="35">
        <f t="shared" si="7"/>
        <v>0</v>
      </c>
      <c r="Z40" s="35">
        <f t="shared" si="7"/>
        <v>0</v>
      </c>
      <c r="AA40" s="35">
        <f t="shared" si="7"/>
        <v>0</v>
      </c>
      <c r="AB40" s="35">
        <f t="shared" si="7"/>
        <v>0</v>
      </c>
      <c r="AC40" s="35">
        <f t="shared" si="7"/>
        <v>0</v>
      </c>
      <c r="AD40" s="35">
        <f t="shared" si="7"/>
        <v>0</v>
      </c>
      <c r="AE40" s="35">
        <f t="shared" si="7"/>
        <v>0</v>
      </c>
      <c r="AF40" s="35">
        <f t="shared" si="7"/>
        <v>0</v>
      </c>
      <c r="AG40" s="35">
        <f t="shared" si="7"/>
        <v>0</v>
      </c>
      <c r="AH40" s="4">
        <f>SUM(S40:AG40)</f>
        <v>0</v>
      </c>
    </row>
    <row r="41" spans="1:34">
      <c r="A41" s="1" t="s">
        <v>1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8">SUM(B41:N41)</f>
        <v>0</v>
      </c>
      <c r="R41" s="1" t="s">
        <v>1</v>
      </c>
      <c r="S41" s="35">
        <f t="shared" ref="S41:AG56" si="9">S76*0.2</f>
        <v>0</v>
      </c>
      <c r="T41" s="35">
        <f t="shared" si="9"/>
        <v>0</v>
      </c>
      <c r="U41" s="35">
        <f t="shared" si="9"/>
        <v>0</v>
      </c>
      <c r="V41" s="35">
        <f t="shared" si="9"/>
        <v>0</v>
      </c>
      <c r="W41" s="35">
        <f t="shared" si="9"/>
        <v>0</v>
      </c>
      <c r="X41" s="35">
        <f t="shared" si="9"/>
        <v>0</v>
      </c>
      <c r="Y41" s="35">
        <f t="shared" si="9"/>
        <v>0</v>
      </c>
      <c r="Z41" s="35">
        <f t="shared" si="9"/>
        <v>0</v>
      </c>
      <c r="AA41" s="35">
        <f t="shared" si="9"/>
        <v>0</v>
      </c>
      <c r="AB41" s="35">
        <f t="shared" si="9"/>
        <v>0</v>
      </c>
      <c r="AC41" s="35">
        <f t="shared" si="9"/>
        <v>0</v>
      </c>
      <c r="AD41" s="35">
        <f t="shared" si="9"/>
        <v>0</v>
      </c>
      <c r="AE41" s="35">
        <f t="shared" si="9"/>
        <v>0</v>
      </c>
      <c r="AF41" s="35">
        <f t="shared" si="7"/>
        <v>0</v>
      </c>
      <c r="AG41" s="35">
        <f t="shared" si="7"/>
        <v>0</v>
      </c>
      <c r="AH41" s="4">
        <f t="shared" ref="AH41:AH66" si="10">SUM(S41:AG41)</f>
        <v>0</v>
      </c>
    </row>
    <row r="42" spans="1:34">
      <c r="A42" s="18" t="s">
        <v>2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8"/>
        <v>0</v>
      </c>
      <c r="R42" s="18" t="s">
        <v>2</v>
      </c>
      <c r="S42" s="35">
        <f t="shared" si="9"/>
        <v>0</v>
      </c>
      <c r="T42" s="35">
        <f t="shared" si="9"/>
        <v>0</v>
      </c>
      <c r="U42" s="35">
        <f t="shared" si="9"/>
        <v>0</v>
      </c>
      <c r="V42" s="35">
        <f t="shared" si="9"/>
        <v>0</v>
      </c>
      <c r="W42" s="35">
        <f t="shared" si="9"/>
        <v>0</v>
      </c>
      <c r="X42" s="35">
        <f t="shared" si="9"/>
        <v>0</v>
      </c>
      <c r="Y42" s="35">
        <f t="shared" si="9"/>
        <v>0</v>
      </c>
      <c r="Z42" s="35">
        <f t="shared" si="9"/>
        <v>0</v>
      </c>
      <c r="AA42" s="35">
        <f t="shared" si="9"/>
        <v>0</v>
      </c>
      <c r="AB42" s="35">
        <f t="shared" si="9"/>
        <v>0</v>
      </c>
      <c r="AC42" s="35">
        <f t="shared" si="9"/>
        <v>0</v>
      </c>
      <c r="AD42" s="35">
        <f t="shared" si="9"/>
        <v>0</v>
      </c>
      <c r="AE42" s="35">
        <f t="shared" si="9"/>
        <v>0</v>
      </c>
      <c r="AF42" s="35">
        <f t="shared" si="7"/>
        <v>0</v>
      </c>
      <c r="AG42" s="35">
        <f t="shared" si="7"/>
        <v>0</v>
      </c>
      <c r="AH42" s="4">
        <f t="shared" si="10"/>
        <v>0</v>
      </c>
    </row>
    <row r="43" spans="1:34">
      <c r="A43" s="2" t="s">
        <v>3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8"/>
        <v>0</v>
      </c>
      <c r="R43" s="2" t="s">
        <v>3</v>
      </c>
      <c r="S43" s="35">
        <f t="shared" si="9"/>
        <v>0</v>
      </c>
      <c r="T43" s="35">
        <f t="shared" si="9"/>
        <v>0</v>
      </c>
      <c r="U43" s="35">
        <f t="shared" si="9"/>
        <v>0</v>
      </c>
      <c r="V43" s="35">
        <f t="shared" si="9"/>
        <v>0</v>
      </c>
      <c r="W43" s="35">
        <f t="shared" si="9"/>
        <v>0</v>
      </c>
      <c r="X43" s="35">
        <f t="shared" si="9"/>
        <v>0</v>
      </c>
      <c r="Y43" s="35">
        <f t="shared" si="9"/>
        <v>0</v>
      </c>
      <c r="Z43" s="35">
        <f t="shared" si="9"/>
        <v>0</v>
      </c>
      <c r="AA43" s="35">
        <f t="shared" si="9"/>
        <v>0</v>
      </c>
      <c r="AB43" s="35">
        <f t="shared" si="9"/>
        <v>0</v>
      </c>
      <c r="AC43" s="35">
        <f t="shared" si="9"/>
        <v>0</v>
      </c>
      <c r="AD43" s="35">
        <f t="shared" si="9"/>
        <v>0</v>
      </c>
      <c r="AE43" s="35">
        <f t="shared" si="9"/>
        <v>0</v>
      </c>
      <c r="AF43" s="35">
        <v>0</v>
      </c>
      <c r="AG43" s="35">
        <v>0</v>
      </c>
      <c r="AH43" s="4">
        <f t="shared" si="10"/>
        <v>0</v>
      </c>
    </row>
    <row r="44" spans="1:34">
      <c r="A44" s="1" t="s">
        <v>4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8"/>
        <v>0</v>
      </c>
      <c r="R44" s="1" t="s">
        <v>4</v>
      </c>
      <c r="S44" s="35">
        <f t="shared" si="9"/>
        <v>0</v>
      </c>
      <c r="T44" s="35">
        <f t="shared" si="9"/>
        <v>0</v>
      </c>
      <c r="U44" s="35">
        <f t="shared" si="9"/>
        <v>0</v>
      </c>
      <c r="V44" s="35">
        <f t="shared" si="9"/>
        <v>0</v>
      </c>
      <c r="W44" s="35">
        <f t="shared" si="9"/>
        <v>0</v>
      </c>
      <c r="X44" s="35">
        <f t="shared" si="9"/>
        <v>0</v>
      </c>
      <c r="Y44" s="35">
        <f t="shared" si="9"/>
        <v>0</v>
      </c>
      <c r="Z44" s="35">
        <f t="shared" si="9"/>
        <v>0</v>
      </c>
      <c r="AA44" s="35">
        <f t="shared" si="9"/>
        <v>0</v>
      </c>
      <c r="AB44" s="35">
        <f t="shared" si="9"/>
        <v>0</v>
      </c>
      <c r="AC44" s="35">
        <f t="shared" si="9"/>
        <v>0</v>
      </c>
      <c r="AD44" s="35">
        <f t="shared" si="9"/>
        <v>0</v>
      </c>
      <c r="AE44" s="35">
        <f t="shared" si="9"/>
        <v>0</v>
      </c>
      <c r="AF44" s="35">
        <f t="shared" si="7"/>
        <v>0</v>
      </c>
      <c r="AG44" s="35">
        <f t="shared" si="7"/>
        <v>0</v>
      </c>
      <c r="AH44" s="4">
        <f t="shared" si="10"/>
        <v>0</v>
      </c>
    </row>
    <row r="45" spans="1:34">
      <c r="A45" s="1" t="s">
        <v>5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8"/>
        <v>0</v>
      </c>
      <c r="R45" s="1" t="s">
        <v>5</v>
      </c>
      <c r="S45" s="35">
        <f t="shared" si="9"/>
        <v>0</v>
      </c>
      <c r="T45" s="35">
        <f t="shared" si="9"/>
        <v>0</v>
      </c>
      <c r="U45" s="35">
        <f t="shared" si="9"/>
        <v>0</v>
      </c>
      <c r="V45" s="35">
        <f t="shared" si="9"/>
        <v>0</v>
      </c>
      <c r="W45" s="35">
        <f t="shared" si="9"/>
        <v>0</v>
      </c>
      <c r="X45" s="35">
        <f t="shared" si="9"/>
        <v>0</v>
      </c>
      <c r="Y45" s="35">
        <f t="shared" si="9"/>
        <v>0</v>
      </c>
      <c r="Z45" s="35">
        <f t="shared" si="9"/>
        <v>0</v>
      </c>
      <c r="AA45" s="35">
        <f t="shared" si="9"/>
        <v>0</v>
      </c>
      <c r="AB45" s="35">
        <f t="shared" si="9"/>
        <v>0</v>
      </c>
      <c r="AC45" s="35">
        <f t="shared" si="9"/>
        <v>0</v>
      </c>
      <c r="AD45" s="35">
        <f t="shared" si="9"/>
        <v>0</v>
      </c>
      <c r="AE45" s="35">
        <f t="shared" si="9"/>
        <v>0</v>
      </c>
      <c r="AF45" s="35">
        <f t="shared" si="7"/>
        <v>0</v>
      </c>
      <c r="AG45" s="35">
        <f t="shared" si="7"/>
        <v>0</v>
      </c>
      <c r="AH45" s="4">
        <f t="shared" si="10"/>
        <v>0</v>
      </c>
    </row>
    <row r="46" spans="1:34">
      <c r="A46" s="1" t="s">
        <v>6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8"/>
        <v>0</v>
      </c>
      <c r="R46" s="1" t="s">
        <v>6</v>
      </c>
      <c r="S46" s="35">
        <f t="shared" si="9"/>
        <v>0</v>
      </c>
      <c r="T46" s="35">
        <f t="shared" si="9"/>
        <v>0</v>
      </c>
      <c r="U46" s="35">
        <f t="shared" si="9"/>
        <v>0</v>
      </c>
      <c r="V46" s="35">
        <f t="shared" si="9"/>
        <v>0</v>
      </c>
      <c r="W46" s="35">
        <f t="shared" si="9"/>
        <v>0</v>
      </c>
      <c r="X46" s="35">
        <f t="shared" si="9"/>
        <v>0</v>
      </c>
      <c r="Y46" s="35">
        <f t="shared" si="9"/>
        <v>0</v>
      </c>
      <c r="Z46" s="35">
        <f t="shared" si="9"/>
        <v>0</v>
      </c>
      <c r="AA46" s="35">
        <f t="shared" si="9"/>
        <v>0</v>
      </c>
      <c r="AB46" s="35">
        <f t="shared" si="9"/>
        <v>0</v>
      </c>
      <c r="AC46" s="35">
        <f t="shared" si="9"/>
        <v>0</v>
      </c>
      <c r="AD46" s="35">
        <f t="shared" si="9"/>
        <v>0</v>
      </c>
      <c r="AE46" s="35">
        <f t="shared" si="9"/>
        <v>0</v>
      </c>
      <c r="AF46" s="35">
        <f t="shared" si="7"/>
        <v>0</v>
      </c>
      <c r="AG46" s="35">
        <f t="shared" si="7"/>
        <v>0</v>
      </c>
      <c r="AH46" s="4">
        <f t="shared" si="10"/>
        <v>0</v>
      </c>
    </row>
    <row r="47" spans="1:34">
      <c r="A47" s="1" t="s">
        <v>7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8"/>
        <v>0</v>
      </c>
      <c r="R47" s="1" t="s">
        <v>7</v>
      </c>
      <c r="S47" s="35">
        <f t="shared" si="9"/>
        <v>0</v>
      </c>
      <c r="T47" s="35">
        <f t="shared" si="9"/>
        <v>0</v>
      </c>
      <c r="U47" s="35">
        <f t="shared" si="9"/>
        <v>0</v>
      </c>
      <c r="V47" s="35">
        <f t="shared" si="9"/>
        <v>0</v>
      </c>
      <c r="W47" s="35">
        <f t="shared" si="9"/>
        <v>0</v>
      </c>
      <c r="X47" s="35">
        <f t="shared" si="9"/>
        <v>0</v>
      </c>
      <c r="Y47" s="35">
        <f t="shared" si="9"/>
        <v>0</v>
      </c>
      <c r="Z47" s="35">
        <f t="shared" si="9"/>
        <v>0</v>
      </c>
      <c r="AA47" s="35">
        <f t="shared" si="9"/>
        <v>0</v>
      </c>
      <c r="AB47" s="35">
        <f t="shared" si="9"/>
        <v>0</v>
      </c>
      <c r="AC47" s="35">
        <f t="shared" si="9"/>
        <v>0</v>
      </c>
      <c r="AD47" s="35">
        <f t="shared" si="9"/>
        <v>0</v>
      </c>
      <c r="AE47" s="35">
        <f t="shared" si="9"/>
        <v>0</v>
      </c>
      <c r="AF47" s="35">
        <f t="shared" si="7"/>
        <v>0</v>
      </c>
      <c r="AG47" s="35">
        <f t="shared" si="7"/>
        <v>0</v>
      </c>
      <c r="AH47" s="4">
        <f t="shared" si="10"/>
        <v>0</v>
      </c>
    </row>
    <row r="48" spans="1:34">
      <c r="A48" s="1" t="s">
        <v>8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8"/>
        <v>0</v>
      </c>
      <c r="R48" s="1" t="s">
        <v>8</v>
      </c>
      <c r="S48" s="35">
        <f t="shared" si="9"/>
        <v>0</v>
      </c>
      <c r="T48" s="35">
        <f t="shared" si="9"/>
        <v>0</v>
      </c>
      <c r="U48" s="35">
        <f t="shared" si="9"/>
        <v>0</v>
      </c>
      <c r="V48" s="35">
        <f t="shared" si="9"/>
        <v>0</v>
      </c>
      <c r="W48" s="35">
        <f t="shared" si="9"/>
        <v>0</v>
      </c>
      <c r="X48" s="35">
        <f t="shared" si="9"/>
        <v>0</v>
      </c>
      <c r="Y48" s="35">
        <f t="shared" si="9"/>
        <v>0</v>
      </c>
      <c r="Z48" s="35">
        <f t="shared" si="9"/>
        <v>0</v>
      </c>
      <c r="AA48" s="35">
        <f t="shared" si="9"/>
        <v>0</v>
      </c>
      <c r="AB48" s="35">
        <f t="shared" si="9"/>
        <v>0</v>
      </c>
      <c r="AC48" s="35">
        <f t="shared" si="9"/>
        <v>0</v>
      </c>
      <c r="AD48" s="35">
        <f t="shared" si="9"/>
        <v>0</v>
      </c>
      <c r="AE48" s="35">
        <f t="shared" si="9"/>
        <v>0</v>
      </c>
      <c r="AF48" s="35">
        <f t="shared" si="7"/>
        <v>0</v>
      </c>
      <c r="AG48" s="35">
        <f t="shared" si="7"/>
        <v>0</v>
      </c>
      <c r="AH48" s="4">
        <f t="shared" si="10"/>
        <v>0</v>
      </c>
    </row>
    <row r="49" spans="1:34">
      <c r="A49" s="2" t="s">
        <v>9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8"/>
        <v>0</v>
      </c>
      <c r="R49" s="2" t="s">
        <v>9</v>
      </c>
      <c r="S49" s="35">
        <f t="shared" si="9"/>
        <v>0</v>
      </c>
      <c r="T49" s="35">
        <f t="shared" si="9"/>
        <v>0</v>
      </c>
      <c r="U49" s="35">
        <f t="shared" si="9"/>
        <v>0</v>
      </c>
      <c r="V49" s="35">
        <f t="shared" si="9"/>
        <v>0</v>
      </c>
      <c r="W49" s="35">
        <f t="shared" si="9"/>
        <v>0</v>
      </c>
      <c r="X49" s="35">
        <f t="shared" si="9"/>
        <v>0</v>
      </c>
      <c r="Y49" s="35">
        <f t="shared" si="9"/>
        <v>0</v>
      </c>
      <c r="Z49" s="35">
        <f t="shared" si="9"/>
        <v>0</v>
      </c>
      <c r="AA49" s="35">
        <f t="shared" si="9"/>
        <v>0</v>
      </c>
      <c r="AB49" s="35">
        <f t="shared" si="9"/>
        <v>0</v>
      </c>
      <c r="AC49" s="35">
        <f t="shared" si="9"/>
        <v>0</v>
      </c>
      <c r="AD49" s="35">
        <f t="shared" si="9"/>
        <v>0</v>
      </c>
      <c r="AE49" s="35">
        <f t="shared" si="9"/>
        <v>0</v>
      </c>
      <c r="AF49" s="35">
        <f t="shared" si="7"/>
        <v>0</v>
      </c>
      <c r="AG49" s="35">
        <f t="shared" si="7"/>
        <v>0</v>
      </c>
      <c r="AH49" s="4">
        <f t="shared" si="10"/>
        <v>0</v>
      </c>
    </row>
    <row r="50" spans="1:34">
      <c r="A50" s="18" t="s">
        <v>10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8"/>
        <v>0</v>
      </c>
      <c r="R50" s="18" t="s">
        <v>10</v>
      </c>
      <c r="S50" s="35">
        <f t="shared" si="9"/>
        <v>0</v>
      </c>
      <c r="T50" s="35">
        <f t="shared" si="9"/>
        <v>0</v>
      </c>
      <c r="U50" s="35">
        <f t="shared" si="9"/>
        <v>0</v>
      </c>
      <c r="V50" s="35">
        <f t="shared" si="9"/>
        <v>0</v>
      </c>
      <c r="W50" s="35">
        <f t="shared" si="9"/>
        <v>0</v>
      </c>
      <c r="X50" s="35">
        <f t="shared" si="9"/>
        <v>0</v>
      </c>
      <c r="Y50" s="35">
        <f t="shared" si="9"/>
        <v>0</v>
      </c>
      <c r="Z50" s="35">
        <f t="shared" si="9"/>
        <v>0</v>
      </c>
      <c r="AA50" s="35">
        <f t="shared" si="9"/>
        <v>0</v>
      </c>
      <c r="AB50" s="35">
        <f t="shared" si="9"/>
        <v>0</v>
      </c>
      <c r="AC50" s="35">
        <f t="shared" si="9"/>
        <v>0</v>
      </c>
      <c r="AD50" s="35">
        <f t="shared" si="9"/>
        <v>0</v>
      </c>
      <c r="AE50" s="35">
        <f t="shared" si="9"/>
        <v>0</v>
      </c>
      <c r="AF50" s="35">
        <f t="shared" si="7"/>
        <v>0</v>
      </c>
      <c r="AG50" s="35">
        <f t="shared" si="7"/>
        <v>0</v>
      </c>
      <c r="AH50" s="4">
        <f t="shared" si="10"/>
        <v>0</v>
      </c>
    </row>
    <row r="51" spans="1:34">
      <c r="A51" s="1" t="s">
        <v>11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8"/>
        <v>0</v>
      </c>
      <c r="R51" s="1" t="s">
        <v>11</v>
      </c>
      <c r="S51" s="35">
        <f t="shared" si="9"/>
        <v>0</v>
      </c>
      <c r="T51" s="35">
        <f t="shared" si="9"/>
        <v>0</v>
      </c>
      <c r="U51" s="35">
        <f t="shared" si="9"/>
        <v>0</v>
      </c>
      <c r="V51" s="35">
        <f t="shared" si="9"/>
        <v>0</v>
      </c>
      <c r="W51" s="35">
        <f t="shared" si="9"/>
        <v>0</v>
      </c>
      <c r="X51" s="35">
        <f t="shared" si="9"/>
        <v>0</v>
      </c>
      <c r="Y51" s="35">
        <f t="shared" si="9"/>
        <v>0</v>
      </c>
      <c r="Z51" s="35">
        <f t="shared" si="9"/>
        <v>0</v>
      </c>
      <c r="AA51" s="35">
        <f t="shared" si="9"/>
        <v>0</v>
      </c>
      <c r="AB51" s="35">
        <f t="shared" si="9"/>
        <v>0</v>
      </c>
      <c r="AC51" s="35">
        <f t="shared" si="9"/>
        <v>0</v>
      </c>
      <c r="AD51" s="35">
        <f t="shared" si="9"/>
        <v>0</v>
      </c>
      <c r="AE51" s="35">
        <f t="shared" si="9"/>
        <v>0</v>
      </c>
      <c r="AF51" s="35">
        <f t="shared" si="7"/>
        <v>0</v>
      </c>
      <c r="AG51" s="35">
        <f t="shared" si="7"/>
        <v>0</v>
      </c>
      <c r="AH51" s="4">
        <f t="shared" si="10"/>
        <v>0</v>
      </c>
    </row>
    <row r="52" spans="1:34">
      <c r="A52" s="1" t="s">
        <v>12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8"/>
        <v>0</v>
      </c>
      <c r="R52" s="1" t="s">
        <v>12</v>
      </c>
      <c r="S52" s="35">
        <f t="shared" si="9"/>
        <v>0</v>
      </c>
      <c r="T52" s="35">
        <f t="shared" si="9"/>
        <v>0</v>
      </c>
      <c r="U52" s="35">
        <f t="shared" si="9"/>
        <v>0</v>
      </c>
      <c r="V52" s="35">
        <f t="shared" si="9"/>
        <v>0</v>
      </c>
      <c r="W52" s="35">
        <f t="shared" si="9"/>
        <v>0</v>
      </c>
      <c r="X52" s="35">
        <f t="shared" si="9"/>
        <v>0</v>
      </c>
      <c r="Y52" s="35">
        <f t="shared" si="9"/>
        <v>0</v>
      </c>
      <c r="Z52" s="35">
        <f t="shared" si="9"/>
        <v>0</v>
      </c>
      <c r="AA52" s="35">
        <f t="shared" si="9"/>
        <v>0</v>
      </c>
      <c r="AB52" s="35">
        <f t="shared" si="9"/>
        <v>0</v>
      </c>
      <c r="AC52" s="35">
        <f t="shared" si="9"/>
        <v>0</v>
      </c>
      <c r="AD52" s="35">
        <f t="shared" si="9"/>
        <v>0</v>
      </c>
      <c r="AE52" s="35">
        <f t="shared" si="9"/>
        <v>0</v>
      </c>
      <c r="AF52" s="35">
        <f t="shared" si="7"/>
        <v>0</v>
      </c>
      <c r="AG52" s="35">
        <f t="shared" si="7"/>
        <v>0</v>
      </c>
      <c r="AH52" s="4">
        <f t="shared" si="10"/>
        <v>0</v>
      </c>
    </row>
    <row r="53" spans="1:34">
      <c r="A53" s="1" t="s">
        <v>15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8"/>
        <v>0</v>
      </c>
      <c r="R53" s="1" t="s">
        <v>15</v>
      </c>
      <c r="S53" s="35">
        <f t="shared" si="9"/>
        <v>0</v>
      </c>
      <c r="T53" s="35">
        <f t="shared" si="9"/>
        <v>0</v>
      </c>
      <c r="U53" s="35">
        <f t="shared" si="9"/>
        <v>0</v>
      </c>
      <c r="V53" s="35">
        <f t="shared" si="9"/>
        <v>0</v>
      </c>
      <c r="W53" s="35">
        <f t="shared" si="9"/>
        <v>0</v>
      </c>
      <c r="X53" s="35">
        <f t="shared" si="9"/>
        <v>0</v>
      </c>
      <c r="Y53" s="35">
        <f t="shared" si="9"/>
        <v>0</v>
      </c>
      <c r="Z53" s="35">
        <f t="shared" si="9"/>
        <v>0</v>
      </c>
      <c r="AA53" s="35">
        <f t="shared" si="9"/>
        <v>0</v>
      </c>
      <c r="AB53" s="35">
        <f t="shared" si="9"/>
        <v>0</v>
      </c>
      <c r="AC53" s="35">
        <f t="shared" si="9"/>
        <v>0</v>
      </c>
      <c r="AD53" s="35">
        <f t="shared" si="9"/>
        <v>0</v>
      </c>
      <c r="AE53" s="35">
        <f t="shared" si="9"/>
        <v>0</v>
      </c>
      <c r="AF53" s="35">
        <f t="shared" si="7"/>
        <v>0</v>
      </c>
      <c r="AG53" s="35">
        <f t="shared" si="7"/>
        <v>0</v>
      </c>
      <c r="AH53" s="4">
        <f t="shared" si="10"/>
        <v>0</v>
      </c>
    </row>
    <row r="54" spans="1:34">
      <c r="A54" s="1" t="s">
        <v>14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8"/>
        <v>0</v>
      </c>
      <c r="R54" s="1" t="s">
        <v>14</v>
      </c>
      <c r="S54" s="35">
        <f t="shared" si="9"/>
        <v>0</v>
      </c>
      <c r="T54" s="35">
        <f t="shared" si="9"/>
        <v>0</v>
      </c>
      <c r="U54" s="35">
        <f t="shared" si="9"/>
        <v>0</v>
      </c>
      <c r="V54" s="35">
        <f t="shared" si="9"/>
        <v>0</v>
      </c>
      <c r="W54" s="35">
        <f t="shared" si="9"/>
        <v>0</v>
      </c>
      <c r="X54" s="35">
        <f t="shared" si="9"/>
        <v>0</v>
      </c>
      <c r="Y54" s="35">
        <f t="shared" si="9"/>
        <v>0</v>
      </c>
      <c r="Z54" s="35">
        <f t="shared" si="9"/>
        <v>0</v>
      </c>
      <c r="AA54" s="35">
        <f t="shared" si="9"/>
        <v>0</v>
      </c>
      <c r="AB54" s="35">
        <f>AB89*0.2</f>
        <v>0</v>
      </c>
      <c r="AC54" s="35">
        <f t="shared" si="9"/>
        <v>0</v>
      </c>
      <c r="AD54" s="35">
        <f t="shared" si="9"/>
        <v>0</v>
      </c>
      <c r="AE54" s="35">
        <f t="shared" si="9"/>
        <v>0</v>
      </c>
      <c r="AF54" s="35">
        <f t="shared" si="7"/>
        <v>0</v>
      </c>
      <c r="AG54" s="35">
        <f t="shared" si="7"/>
        <v>0</v>
      </c>
      <c r="AH54" s="4">
        <f t="shared" si="10"/>
        <v>0</v>
      </c>
    </row>
    <row r="55" spans="1:34">
      <c r="A55" s="18" t="s">
        <v>13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8"/>
        <v>0</v>
      </c>
      <c r="R55" s="18" t="s">
        <v>13</v>
      </c>
      <c r="S55" s="35">
        <f t="shared" si="9"/>
        <v>0</v>
      </c>
      <c r="T55" s="35">
        <f t="shared" si="9"/>
        <v>0</v>
      </c>
      <c r="U55" s="35">
        <f t="shared" si="9"/>
        <v>0</v>
      </c>
      <c r="V55" s="35">
        <f t="shared" si="9"/>
        <v>0</v>
      </c>
      <c r="W55" s="35">
        <f t="shared" si="9"/>
        <v>0</v>
      </c>
      <c r="X55" s="35">
        <f t="shared" si="9"/>
        <v>0</v>
      </c>
      <c r="Y55" s="35">
        <f t="shared" si="9"/>
        <v>0</v>
      </c>
      <c r="Z55" s="35">
        <f t="shared" si="9"/>
        <v>0</v>
      </c>
      <c r="AA55" s="35">
        <f t="shared" si="9"/>
        <v>0</v>
      </c>
      <c r="AB55" s="35">
        <f>AB90*0.2</f>
        <v>0</v>
      </c>
      <c r="AC55" s="35">
        <f t="shared" si="9"/>
        <v>0</v>
      </c>
      <c r="AD55" s="35">
        <f t="shared" si="9"/>
        <v>0</v>
      </c>
      <c r="AE55" s="35">
        <f t="shared" si="9"/>
        <v>0</v>
      </c>
      <c r="AF55" s="35">
        <f t="shared" si="7"/>
        <v>0</v>
      </c>
      <c r="AG55" s="35">
        <f t="shared" si="7"/>
        <v>0</v>
      </c>
      <c r="AH55" s="4">
        <f t="shared" si="10"/>
        <v>0</v>
      </c>
    </row>
    <row r="56" spans="1:34">
      <c r="A56" s="1" t="s">
        <v>16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8"/>
        <v>0</v>
      </c>
      <c r="R56" s="1" t="s">
        <v>16</v>
      </c>
      <c r="S56" s="35">
        <f t="shared" si="9"/>
        <v>0</v>
      </c>
      <c r="T56" s="35">
        <f t="shared" si="9"/>
        <v>0</v>
      </c>
      <c r="U56" s="35">
        <f t="shared" si="9"/>
        <v>0</v>
      </c>
      <c r="V56" s="35">
        <f t="shared" si="9"/>
        <v>0</v>
      </c>
      <c r="W56" s="35">
        <f t="shared" si="9"/>
        <v>0</v>
      </c>
      <c r="X56" s="35">
        <f t="shared" si="9"/>
        <v>0</v>
      </c>
      <c r="Y56" s="35">
        <f t="shared" si="9"/>
        <v>0</v>
      </c>
      <c r="Z56" s="35">
        <f t="shared" si="9"/>
        <v>0</v>
      </c>
      <c r="AA56" s="35">
        <f t="shared" si="9"/>
        <v>0</v>
      </c>
      <c r="AB56" s="35">
        <f t="shared" si="9"/>
        <v>0</v>
      </c>
      <c r="AC56" s="35">
        <f t="shared" si="9"/>
        <v>0</v>
      </c>
      <c r="AD56" s="35">
        <f t="shared" si="9"/>
        <v>0</v>
      </c>
      <c r="AE56" s="35">
        <f t="shared" si="9"/>
        <v>0</v>
      </c>
      <c r="AF56" s="35">
        <f t="shared" si="9"/>
        <v>0</v>
      </c>
      <c r="AG56" s="35">
        <f t="shared" si="9"/>
        <v>0</v>
      </c>
      <c r="AH56" s="4">
        <f t="shared" si="10"/>
        <v>0</v>
      </c>
    </row>
    <row r="57" spans="1:34">
      <c r="A57" s="1" t="s">
        <v>17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8"/>
        <v>0</v>
      </c>
      <c r="R57" s="1" t="s">
        <v>17</v>
      </c>
      <c r="S57" s="35">
        <f t="shared" ref="S57:AG66" si="11">S92*0.2</f>
        <v>0</v>
      </c>
      <c r="T57" s="35">
        <f t="shared" si="11"/>
        <v>0</v>
      </c>
      <c r="U57" s="35">
        <f t="shared" si="11"/>
        <v>0</v>
      </c>
      <c r="V57" s="35">
        <f t="shared" si="11"/>
        <v>0</v>
      </c>
      <c r="W57" s="35">
        <f t="shared" si="11"/>
        <v>0</v>
      </c>
      <c r="X57" s="35">
        <f t="shared" si="11"/>
        <v>0</v>
      </c>
      <c r="Y57" s="35">
        <f t="shared" si="11"/>
        <v>0</v>
      </c>
      <c r="Z57" s="35">
        <f t="shared" si="11"/>
        <v>0</v>
      </c>
      <c r="AA57" s="35">
        <f t="shared" si="11"/>
        <v>0</v>
      </c>
      <c r="AB57" s="35">
        <f t="shared" si="11"/>
        <v>0</v>
      </c>
      <c r="AC57" s="35">
        <f t="shared" si="11"/>
        <v>0</v>
      </c>
      <c r="AD57" s="35">
        <f t="shared" si="11"/>
        <v>0</v>
      </c>
      <c r="AE57" s="35">
        <f t="shared" si="11"/>
        <v>0</v>
      </c>
      <c r="AF57" s="35">
        <f t="shared" si="11"/>
        <v>0</v>
      </c>
      <c r="AG57" s="35">
        <f t="shared" si="11"/>
        <v>0</v>
      </c>
      <c r="AH57" s="4">
        <f t="shared" si="10"/>
        <v>0</v>
      </c>
    </row>
    <row r="58" spans="1:34">
      <c r="A58" s="1" t="s">
        <v>18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8"/>
        <v>0</v>
      </c>
      <c r="R58" s="1" t="s">
        <v>18</v>
      </c>
      <c r="S58" s="35">
        <f t="shared" si="11"/>
        <v>0</v>
      </c>
      <c r="T58" s="35">
        <f t="shared" si="11"/>
        <v>0</v>
      </c>
      <c r="U58" s="35">
        <f t="shared" si="11"/>
        <v>0</v>
      </c>
      <c r="V58" s="35">
        <f t="shared" si="11"/>
        <v>0</v>
      </c>
      <c r="W58" s="35">
        <f t="shared" si="11"/>
        <v>0</v>
      </c>
      <c r="X58" s="35">
        <f t="shared" si="11"/>
        <v>0</v>
      </c>
      <c r="Y58" s="35">
        <f t="shared" si="11"/>
        <v>0</v>
      </c>
      <c r="Z58" s="35">
        <f t="shared" si="11"/>
        <v>0</v>
      </c>
      <c r="AA58" s="35">
        <f t="shared" si="11"/>
        <v>0</v>
      </c>
      <c r="AB58" s="35">
        <f t="shared" si="11"/>
        <v>0</v>
      </c>
      <c r="AC58" s="35">
        <f t="shared" si="11"/>
        <v>0</v>
      </c>
      <c r="AD58" s="35">
        <f t="shared" si="11"/>
        <v>0</v>
      </c>
      <c r="AE58" s="35">
        <f t="shared" si="11"/>
        <v>0</v>
      </c>
      <c r="AF58" s="35">
        <f t="shared" si="11"/>
        <v>0</v>
      </c>
      <c r="AG58" s="35">
        <f t="shared" si="11"/>
        <v>0</v>
      </c>
      <c r="AH58" s="4">
        <f t="shared" si="10"/>
        <v>0</v>
      </c>
    </row>
    <row r="59" spans="1:34">
      <c r="A59" s="1" t="s">
        <v>20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8"/>
        <v>0</v>
      </c>
      <c r="R59" s="1" t="s">
        <v>20</v>
      </c>
      <c r="S59" s="35">
        <f t="shared" si="11"/>
        <v>0</v>
      </c>
      <c r="T59" s="35">
        <f t="shared" si="11"/>
        <v>0</v>
      </c>
      <c r="U59" s="35">
        <f t="shared" si="11"/>
        <v>0</v>
      </c>
      <c r="V59" s="35">
        <f t="shared" si="11"/>
        <v>0</v>
      </c>
      <c r="W59" s="35">
        <f t="shared" si="11"/>
        <v>0</v>
      </c>
      <c r="X59" s="35">
        <f t="shared" si="11"/>
        <v>0</v>
      </c>
      <c r="Y59" s="35">
        <f t="shared" si="11"/>
        <v>0</v>
      </c>
      <c r="Z59" s="35">
        <f t="shared" si="11"/>
        <v>0</v>
      </c>
      <c r="AA59" s="35">
        <f t="shared" si="11"/>
        <v>0</v>
      </c>
      <c r="AB59" s="35">
        <f t="shared" si="11"/>
        <v>0</v>
      </c>
      <c r="AC59" s="35">
        <f t="shared" si="11"/>
        <v>0</v>
      </c>
      <c r="AD59" s="35">
        <f t="shared" si="11"/>
        <v>0</v>
      </c>
      <c r="AE59" s="35">
        <f t="shared" si="11"/>
        <v>0</v>
      </c>
      <c r="AF59" s="35">
        <f t="shared" si="11"/>
        <v>0</v>
      </c>
      <c r="AG59" s="35">
        <f t="shared" si="11"/>
        <v>0</v>
      </c>
      <c r="AH59" s="4">
        <f t="shared" si="10"/>
        <v>0</v>
      </c>
    </row>
    <row r="60" spans="1:34">
      <c r="A60" s="1" t="s">
        <v>19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8"/>
        <v>0</v>
      </c>
      <c r="R60" s="1" t="s">
        <v>19</v>
      </c>
      <c r="S60" s="35">
        <f t="shared" si="11"/>
        <v>0</v>
      </c>
      <c r="T60" s="35">
        <f t="shared" si="11"/>
        <v>0</v>
      </c>
      <c r="U60" s="35">
        <f t="shared" si="11"/>
        <v>0</v>
      </c>
      <c r="V60" s="35">
        <f t="shared" si="11"/>
        <v>0</v>
      </c>
      <c r="W60" s="35">
        <f t="shared" si="11"/>
        <v>0</v>
      </c>
      <c r="X60" s="35">
        <f t="shared" si="11"/>
        <v>0</v>
      </c>
      <c r="Y60" s="35">
        <f t="shared" si="11"/>
        <v>0</v>
      </c>
      <c r="Z60" s="35">
        <f t="shared" si="11"/>
        <v>0</v>
      </c>
      <c r="AA60" s="35">
        <f t="shared" si="11"/>
        <v>0</v>
      </c>
      <c r="AB60" s="35">
        <f t="shared" si="11"/>
        <v>0</v>
      </c>
      <c r="AC60" s="35">
        <f t="shared" si="11"/>
        <v>0</v>
      </c>
      <c r="AD60" s="35">
        <f t="shared" si="11"/>
        <v>0</v>
      </c>
      <c r="AE60" s="35">
        <f t="shared" si="11"/>
        <v>0</v>
      </c>
      <c r="AF60" s="35">
        <f t="shared" si="11"/>
        <v>0</v>
      </c>
      <c r="AG60" s="35">
        <f t="shared" si="11"/>
        <v>0</v>
      </c>
      <c r="AH60" s="4">
        <f t="shared" si="10"/>
        <v>0</v>
      </c>
    </row>
    <row r="61" spans="1:34">
      <c r="A61" s="18" t="s">
        <v>21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8"/>
        <v>0</v>
      </c>
      <c r="R61" s="18" t="s">
        <v>21</v>
      </c>
      <c r="S61" s="35">
        <f t="shared" si="11"/>
        <v>0</v>
      </c>
      <c r="T61" s="35">
        <f t="shared" si="11"/>
        <v>0</v>
      </c>
      <c r="U61" s="35">
        <f t="shared" si="11"/>
        <v>0</v>
      </c>
      <c r="V61" s="35">
        <f t="shared" si="11"/>
        <v>0</v>
      </c>
      <c r="W61" s="35">
        <f t="shared" si="11"/>
        <v>0</v>
      </c>
      <c r="X61" s="35">
        <f t="shared" si="11"/>
        <v>0</v>
      </c>
      <c r="Y61" s="35">
        <f t="shared" si="11"/>
        <v>0</v>
      </c>
      <c r="Z61" s="35">
        <f t="shared" si="11"/>
        <v>0</v>
      </c>
      <c r="AA61" s="35">
        <f t="shared" si="11"/>
        <v>0</v>
      </c>
      <c r="AB61" s="35">
        <f t="shared" si="11"/>
        <v>0</v>
      </c>
      <c r="AC61" s="35">
        <f t="shared" si="11"/>
        <v>0</v>
      </c>
      <c r="AD61" s="35">
        <f t="shared" si="11"/>
        <v>0</v>
      </c>
      <c r="AE61" s="35">
        <f t="shared" si="11"/>
        <v>0</v>
      </c>
      <c r="AF61" s="35">
        <f t="shared" si="11"/>
        <v>0</v>
      </c>
      <c r="AG61" s="35">
        <f t="shared" si="11"/>
        <v>0</v>
      </c>
      <c r="AH61" s="4">
        <f t="shared" si="10"/>
        <v>0</v>
      </c>
    </row>
    <row r="62" spans="1:34">
      <c r="A62" s="2" t="s">
        <v>22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8"/>
        <v>0</v>
      </c>
      <c r="R62" s="2" t="s">
        <v>22</v>
      </c>
      <c r="S62" s="35">
        <f t="shared" si="11"/>
        <v>0</v>
      </c>
      <c r="T62" s="35">
        <f t="shared" si="11"/>
        <v>0</v>
      </c>
      <c r="U62" s="35">
        <f t="shared" si="11"/>
        <v>0</v>
      </c>
      <c r="V62" s="35">
        <f t="shared" si="11"/>
        <v>0</v>
      </c>
      <c r="W62" s="35">
        <f t="shared" si="11"/>
        <v>0</v>
      </c>
      <c r="X62" s="35">
        <f t="shared" si="11"/>
        <v>0</v>
      </c>
      <c r="Y62" s="35">
        <f t="shared" si="11"/>
        <v>0</v>
      </c>
      <c r="Z62" s="35">
        <f t="shared" si="11"/>
        <v>0</v>
      </c>
      <c r="AA62" s="35">
        <f t="shared" si="11"/>
        <v>0</v>
      </c>
      <c r="AB62" s="35">
        <f t="shared" si="11"/>
        <v>0</v>
      </c>
      <c r="AC62" s="35">
        <f t="shared" si="11"/>
        <v>0</v>
      </c>
      <c r="AD62" s="35">
        <f t="shared" si="11"/>
        <v>0</v>
      </c>
      <c r="AE62" s="35">
        <f t="shared" si="11"/>
        <v>0</v>
      </c>
      <c r="AF62" s="35">
        <f t="shared" si="11"/>
        <v>0</v>
      </c>
      <c r="AG62" s="35">
        <f t="shared" si="11"/>
        <v>0</v>
      </c>
      <c r="AH62" s="4">
        <f t="shared" si="10"/>
        <v>0</v>
      </c>
    </row>
    <row r="63" spans="1:34">
      <c r="A63" s="1" t="s">
        <v>23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8"/>
        <v>0</v>
      </c>
      <c r="R63" s="1" t="s">
        <v>23</v>
      </c>
      <c r="S63" s="35">
        <f t="shared" si="11"/>
        <v>0</v>
      </c>
      <c r="T63" s="35">
        <f t="shared" si="11"/>
        <v>0</v>
      </c>
      <c r="U63" s="35">
        <f t="shared" si="11"/>
        <v>0</v>
      </c>
      <c r="V63" s="35">
        <f t="shared" si="11"/>
        <v>0</v>
      </c>
      <c r="W63" s="35">
        <f t="shared" si="11"/>
        <v>0</v>
      </c>
      <c r="X63" s="35">
        <f t="shared" si="11"/>
        <v>0</v>
      </c>
      <c r="Y63" s="35">
        <f t="shared" si="11"/>
        <v>0</v>
      </c>
      <c r="Z63" s="35">
        <f t="shared" si="11"/>
        <v>0</v>
      </c>
      <c r="AA63" s="35">
        <f t="shared" si="11"/>
        <v>0</v>
      </c>
      <c r="AB63" s="35">
        <f t="shared" si="11"/>
        <v>0</v>
      </c>
      <c r="AC63" s="35">
        <f t="shared" si="11"/>
        <v>0</v>
      </c>
      <c r="AD63" s="35">
        <f t="shared" si="11"/>
        <v>0</v>
      </c>
      <c r="AE63" s="35">
        <f t="shared" si="11"/>
        <v>0</v>
      </c>
      <c r="AF63" s="35">
        <f t="shared" si="11"/>
        <v>0</v>
      </c>
      <c r="AG63" s="35">
        <f t="shared" si="11"/>
        <v>0</v>
      </c>
      <c r="AH63" s="4">
        <f t="shared" si="10"/>
        <v>0</v>
      </c>
    </row>
    <row r="64" spans="1:34">
      <c r="A64" s="1" t="s">
        <v>25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8"/>
        <v>0</v>
      </c>
      <c r="R64" s="1" t="s">
        <v>25</v>
      </c>
      <c r="S64" s="35">
        <f t="shared" si="11"/>
        <v>0</v>
      </c>
      <c r="T64" s="35">
        <f t="shared" si="11"/>
        <v>0</v>
      </c>
      <c r="U64" s="35">
        <f t="shared" si="11"/>
        <v>0</v>
      </c>
      <c r="V64" s="35">
        <f t="shared" si="11"/>
        <v>0</v>
      </c>
      <c r="W64" s="35">
        <f t="shared" si="11"/>
        <v>0</v>
      </c>
      <c r="X64" s="35">
        <f t="shared" si="11"/>
        <v>0</v>
      </c>
      <c r="Y64" s="35">
        <f t="shared" si="11"/>
        <v>0</v>
      </c>
      <c r="Z64" s="35">
        <f t="shared" si="11"/>
        <v>0</v>
      </c>
      <c r="AA64" s="35">
        <f t="shared" si="11"/>
        <v>0</v>
      </c>
      <c r="AB64" s="35">
        <f t="shared" si="11"/>
        <v>0</v>
      </c>
      <c r="AC64" s="35">
        <f t="shared" si="11"/>
        <v>0</v>
      </c>
      <c r="AD64" s="35">
        <f t="shared" si="11"/>
        <v>0</v>
      </c>
      <c r="AE64" s="35">
        <f t="shared" si="11"/>
        <v>0</v>
      </c>
      <c r="AF64" s="35">
        <v>0</v>
      </c>
      <c r="AG64" s="35">
        <v>0</v>
      </c>
      <c r="AH64" s="4">
        <f t="shared" si="10"/>
        <v>0</v>
      </c>
    </row>
    <row r="65" spans="1:34">
      <c r="A65" s="1" t="s">
        <v>24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8"/>
        <v>0</v>
      </c>
      <c r="R65" s="1" t="s">
        <v>24</v>
      </c>
      <c r="S65" s="35">
        <f t="shared" si="11"/>
        <v>0</v>
      </c>
      <c r="T65" s="35">
        <f t="shared" si="11"/>
        <v>0</v>
      </c>
      <c r="U65" s="35">
        <f t="shared" si="11"/>
        <v>0</v>
      </c>
      <c r="V65" s="35">
        <f t="shared" si="11"/>
        <v>0</v>
      </c>
      <c r="W65" s="35">
        <f t="shared" si="11"/>
        <v>0</v>
      </c>
      <c r="X65" s="35">
        <f t="shared" si="11"/>
        <v>0</v>
      </c>
      <c r="Y65" s="35">
        <f t="shared" si="11"/>
        <v>0</v>
      </c>
      <c r="Z65" s="35">
        <f t="shared" si="11"/>
        <v>0</v>
      </c>
      <c r="AA65" s="35">
        <f t="shared" si="11"/>
        <v>0</v>
      </c>
      <c r="AB65" s="35">
        <f t="shared" si="11"/>
        <v>0</v>
      </c>
      <c r="AC65" s="35">
        <f t="shared" si="11"/>
        <v>0</v>
      </c>
      <c r="AD65" s="35">
        <f t="shared" si="11"/>
        <v>0</v>
      </c>
      <c r="AE65" s="35">
        <f t="shared" si="11"/>
        <v>0</v>
      </c>
      <c r="AF65" s="35">
        <f t="shared" si="11"/>
        <v>0</v>
      </c>
      <c r="AG65" s="35">
        <f t="shared" si="11"/>
        <v>0</v>
      </c>
      <c r="AH65" s="4">
        <f t="shared" si="10"/>
        <v>0</v>
      </c>
    </row>
    <row r="66" spans="1:34">
      <c r="A66" s="1" t="s">
        <v>26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8"/>
        <v>0</v>
      </c>
      <c r="R66" s="1" t="s">
        <v>26</v>
      </c>
      <c r="S66" s="35">
        <f t="shared" si="11"/>
        <v>0</v>
      </c>
      <c r="T66" s="35">
        <f t="shared" si="11"/>
        <v>0</v>
      </c>
      <c r="U66" s="35">
        <f t="shared" si="11"/>
        <v>0</v>
      </c>
      <c r="V66" s="35">
        <f t="shared" si="11"/>
        <v>0</v>
      </c>
      <c r="W66" s="35">
        <f t="shared" si="11"/>
        <v>0</v>
      </c>
      <c r="X66" s="35">
        <f t="shared" si="11"/>
        <v>0</v>
      </c>
      <c r="Y66" s="35">
        <f t="shared" si="11"/>
        <v>0</v>
      </c>
      <c r="Z66" s="35">
        <f t="shared" si="11"/>
        <v>0</v>
      </c>
      <c r="AA66" s="35">
        <f t="shared" si="11"/>
        <v>0</v>
      </c>
      <c r="AB66" s="35">
        <f t="shared" si="11"/>
        <v>0</v>
      </c>
      <c r="AC66" s="35">
        <f t="shared" si="11"/>
        <v>0</v>
      </c>
      <c r="AD66" s="35">
        <f t="shared" si="11"/>
        <v>0</v>
      </c>
      <c r="AE66" s="35">
        <f t="shared" si="11"/>
        <v>0</v>
      </c>
      <c r="AF66" s="35">
        <f t="shared" si="11"/>
        <v>0</v>
      </c>
      <c r="AG66" s="35">
        <f t="shared" si="11"/>
        <v>0</v>
      </c>
      <c r="AH66" s="4">
        <f t="shared" si="10"/>
        <v>0</v>
      </c>
    </row>
    <row r="67" spans="1:34">
      <c r="A67" s="8" t="s">
        <v>37</v>
      </c>
      <c r="B67" s="9">
        <f>SUM(B40:B66)</f>
        <v>0</v>
      </c>
      <c r="C67" s="9">
        <f t="shared" ref="C67:N67" si="12">SUM(C40:C66)</f>
        <v>0</v>
      </c>
      <c r="D67" s="9">
        <f t="shared" si="12"/>
        <v>0</v>
      </c>
      <c r="E67" s="9">
        <f t="shared" si="12"/>
        <v>0</v>
      </c>
      <c r="F67" s="9">
        <f t="shared" si="12"/>
        <v>0</v>
      </c>
      <c r="G67" s="9">
        <f t="shared" si="12"/>
        <v>0</v>
      </c>
      <c r="H67" s="9">
        <f t="shared" si="12"/>
        <v>0</v>
      </c>
      <c r="I67" s="9">
        <f t="shared" si="12"/>
        <v>0</v>
      </c>
      <c r="J67" s="9">
        <f t="shared" si="12"/>
        <v>0</v>
      </c>
      <c r="K67" s="9">
        <f t="shared" si="12"/>
        <v>0</v>
      </c>
      <c r="L67" s="9">
        <f t="shared" si="12"/>
        <v>0</v>
      </c>
      <c r="M67" s="9">
        <f t="shared" si="12"/>
        <v>0</v>
      </c>
      <c r="N67" s="9">
        <f t="shared" si="12"/>
        <v>0</v>
      </c>
      <c r="O67" s="13">
        <f>SUM(O40:O66)</f>
        <v>0</v>
      </c>
      <c r="R67" s="8" t="s">
        <v>37</v>
      </c>
      <c r="S67" s="9">
        <f>SUM(S40:S66)</f>
        <v>0</v>
      </c>
      <c r="T67" s="9">
        <f t="shared" ref="T67:AG67" si="13">SUM(T40:T66)</f>
        <v>0</v>
      </c>
      <c r="U67" s="9">
        <f t="shared" si="13"/>
        <v>0</v>
      </c>
      <c r="V67" s="9">
        <f t="shared" si="13"/>
        <v>0</v>
      </c>
      <c r="W67" s="9">
        <f t="shared" si="13"/>
        <v>0</v>
      </c>
      <c r="X67" s="9">
        <f t="shared" si="13"/>
        <v>0</v>
      </c>
      <c r="Y67" s="9">
        <f t="shared" si="13"/>
        <v>0</v>
      </c>
      <c r="Z67" s="9">
        <f t="shared" si="13"/>
        <v>0</v>
      </c>
      <c r="AA67" s="9">
        <f t="shared" si="13"/>
        <v>0</v>
      </c>
      <c r="AB67" s="9">
        <f t="shared" si="13"/>
        <v>0</v>
      </c>
      <c r="AC67" s="9">
        <f t="shared" si="13"/>
        <v>0</v>
      </c>
      <c r="AD67" s="9">
        <f t="shared" si="13"/>
        <v>0</v>
      </c>
      <c r="AE67" s="9">
        <f t="shared" si="13"/>
        <v>0</v>
      </c>
      <c r="AF67" s="9">
        <f t="shared" si="13"/>
        <v>0</v>
      </c>
      <c r="AG67" s="9">
        <f t="shared" si="13"/>
        <v>0</v>
      </c>
      <c r="AH67" s="13">
        <f>SUM(AH40:AH66)</f>
        <v>0</v>
      </c>
    </row>
    <row r="68" spans="1:34" ht="18.75">
      <c r="O68" s="3"/>
      <c r="R68" s="44" t="s">
        <v>50</v>
      </c>
      <c r="AH68" s="3"/>
    </row>
    <row r="69" spans="1:34" s="34" customFormat="1">
      <c r="A69" s="31"/>
      <c r="B69" s="31"/>
      <c r="C69" s="32"/>
      <c r="D69" s="32"/>
      <c r="E69" s="32"/>
      <c r="F69" s="32"/>
      <c r="G69" s="32"/>
      <c r="H69" s="32"/>
      <c r="I69" s="32"/>
      <c r="J69" s="32"/>
      <c r="K69" s="32"/>
      <c r="O69" s="33"/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</row>
    <row r="70" spans="1:34">
      <c r="L70" s="3"/>
      <c r="M70" s="3"/>
      <c r="N70" s="3"/>
      <c r="R70"/>
      <c r="AC70" s="3"/>
      <c r="AD70" s="3"/>
      <c r="AE70" s="3"/>
      <c r="AF70" s="3"/>
      <c r="AG70" s="3"/>
    </row>
    <row r="71" spans="1:34">
      <c r="R71"/>
    </row>
    <row r="72" spans="1:34" ht="46.5">
      <c r="A72" s="292" t="s">
        <v>38</v>
      </c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  <c r="R72" s="292" t="s">
        <v>48</v>
      </c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4"/>
    </row>
    <row r="73" spans="1:34" ht="21.75" customHeight="1">
      <c r="A73" s="290" t="s">
        <v>33</v>
      </c>
      <c r="B73" s="287" t="s">
        <v>27</v>
      </c>
      <c r="C73" s="288"/>
      <c r="D73" s="287" t="s">
        <v>29</v>
      </c>
      <c r="E73" s="288"/>
      <c r="F73" s="285" t="s">
        <v>28</v>
      </c>
      <c r="G73" s="285" t="s">
        <v>36</v>
      </c>
      <c r="H73" s="285" t="s">
        <v>30</v>
      </c>
      <c r="I73" s="285" t="s">
        <v>31</v>
      </c>
      <c r="J73" s="285" t="s">
        <v>41</v>
      </c>
      <c r="K73" s="285" t="s">
        <v>35</v>
      </c>
      <c r="L73" s="285" t="s">
        <v>40</v>
      </c>
      <c r="M73" s="285" t="s">
        <v>42</v>
      </c>
      <c r="N73" s="285" t="s">
        <v>45</v>
      </c>
      <c r="O73" s="285" t="s">
        <v>34</v>
      </c>
      <c r="R73" s="290" t="s">
        <v>33</v>
      </c>
      <c r="S73" s="287" t="s">
        <v>27</v>
      </c>
      <c r="T73" s="288"/>
      <c r="U73" s="287" t="s">
        <v>29</v>
      </c>
      <c r="V73" s="288"/>
      <c r="W73" s="285" t="s">
        <v>28</v>
      </c>
      <c r="X73" s="285" t="s">
        <v>36</v>
      </c>
      <c r="Y73" s="285" t="s">
        <v>30</v>
      </c>
      <c r="Z73" s="285" t="s">
        <v>31</v>
      </c>
      <c r="AA73" s="285" t="s">
        <v>41</v>
      </c>
      <c r="AB73" s="285" t="s">
        <v>35</v>
      </c>
      <c r="AC73" s="285" t="s">
        <v>40</v>
      </c>
      <c r="AD73" s="285" t="s">
        <v>42</v>
      </c>
      <c r="AE73" s="285" t="s">
        <v>45</v>
      </c>
      <c r="AF73" s="287" t="s">
        <v>52</v>
      </c>
      <c r="AG73" s="288"/>
      <c r="AH73" s="285" t="s">
        <v>34</v>
      </c>
    </row>
    <row r="74" spans="1:34" ht="30">
      <c r="A74" s="291"/>
      <c r="B74" s="5" t="s">
        <v>43</v>
      </c>
      <c r="C74" s="5" t="s">
        <v>44</v>
      </c>
      <c r="D74" s="5" t="s">
        <v>43</v>
      </c>
      <c r="E74" s="5" t="s">
        <v>44</v>
      </c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R74" s="291"/>
      <c r="S74" s="46" t="s">
        <v>43</v>
      </c>
      <c r="T74" s="46" t="s">
        <v>44</v>
      </c>
      <c r="U74" s="46" t="s">
        <v>43</v>
      </c>
      <c r="V74" s="46" t="s">
        <v>44</v>
      </c>
      <c r="W74" s="286"/>
      <c r="X74" s="286"/>
      <c r="Y74" s="286"/>
      <c r="Z74" s="286"/>
      <c r="AA74" s="286"/>
      <c r="AB74" s="286"/>
      <c r="AC74" s="286"/>
      <c r="AD74" s="286"/>
      <c r="AE74" s="286"/>
      <c r="AF74" s="54" t="s">
        <v>53</v>
      </c>
      <c r="AG74" s="54" t="s">
        <v>54</v>
      </c>
      <c r="AH74" s="286"/>
    </row>
    <row r="75" spans="1:34">
      <c r="A75" s="1" t="s">
        <v>0</v>
      </c>
      <c r="B75" s="22">
        <f>B5+B40</f>
        <v>0</v>
      </c>
      <c r="C75" s="22">
        <f t="shared" ref="C75:N75" si="14">C5+C40</f>
        <v>0</v>
      </c>
      <c r="D75" s="22">
        <f t="shared" si="14"/>
        <v>0</v>
      </c>
      <c r="E75" s="22">
        <f t="shared" si="14"/>
        <v>0</v>
      </c>
      <c r="F75" s="22">
        <f t="shared" si="14"/>
        <v>0</v>
      </c>
      <c r="G75" s="22">
        <f t="shared" si="14"/>
        <v>0</v>
      </c>
      <c r="H75" s="22">
        <f t="shared" si="14"/>
        <v>0</v>
      </c>
      <c r="I75" s="22">
        <f t="shared" si="14"/>
        <v>0</v>
      </c>
      <c r="J75" s="22">
        <f t="shared" si="14"/>
        <v>0</v>
      </c>
      <c r="K75" s="22">
        <f t="shared" si="14"/>
        <v>0</v>
      </c>
      <c r="L75" s="22">
        <f t="shared" si="14"/>
        <v>0</v>
      </c>
      <c r="M75" s="22">
        <f t="shared" si="14"/>
        <v>0</v>
      </c>
      <c r="N75" s="22">
        <f t="shared" si="14"/>
        <v>0</v>
      </c>
      <c r="O75" s="12">
        <f>SUM(B75:N75)</f>
        <v>0</v>
      </c>
      <c r="R75" s="2" t="s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12">
        <f>SUM(S75:AG75)</f>
        <v>0</v>
      </c>
    </row>
    <row r="76" spans="1:34">
      <c r="A76" s="1" t="s">
        <v>1</v>
      </c>
      <c r="B76" s="22">
        <f t="shared" ref="B76:N91" si="15">B6+B41</f>
        <v>0</v>
      </c>
      <c r="C76" s="22">
        <f t="shared" si="15"/>
        <v>0</v>
      </c>
      <c r="D76" s="22">
        <f t="shared" si="15"/>
        <v>0</v>
      </c>
      <c r="E76" s="22">
        <f t="shared" si="15"/>
        <v>0</v>
      </c>
      <c r="F76" s="22">
        <f t="shared" si="15"/>
        <v>0</v>
      </c>
      <c r="G76" s="22">
        <f t="shared" si="15"/>
        <v>0</v>
      </c>
      <c r="H76" s="22">
        <f t="shared" si="15"/>
        <v>0</v>
      </c>
      <c r="I76" s="22">
        <f t="shared" si="15"/>
        <v>0</v>
      </c>
      <c r="J76" s="22">
        <f t="shared" si="15"/>
        <v>0</v>
      </c>
      <c r="K76" s="22">
        <f t="shared" si="15"/>
        <v>0</v>
      </c>
      <c r="L76" s="22">
        <f t="shared" si="15"/>
        <v>0</v>
      </c>
      <c r="M76" s="22">
        <f t="shared" si="15"/>
        <v>0</v>
      </c>
      <c r="N76" s="22">
        <f t="shared" si="15"/>
        <v>0</v>
      </c>
      <c r="O76" s="12">
        <f t="shared" ref="O76:O101" si="16">SUM(B76:N76)</f>
        <v>0</v>
      </c>
      <c r="R76" s="2" t="s">
        <v>1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12">
        <f t="shared" ref="AH76:AH101" si="17">SUM(S76:AG76)</f>
        <v>0</v>
      </c>
    </row>
    <row r="77" spans="1:34">
      <c r="A77" s="18" t="s">
        <v>2</v>
      </c>
      <c r="B77" s="22">
        <f t="shared" si="15"/>
        <v>0</v>
      </c>
      <c r="C77" s="22">
        <f t="shared" si="15"/>
        <v>0</v>
      </c>
      <c r="D77" s="22">
        <f t="shared" si="15"/>
        <v>0</v>
      </c>
      <c r="E77" s="22">
        <f t="shared" si="15"/>
        <v>0</v>
      </c>
      <c r="F77" s="22">
        <f t="shared" si="15"/>
        <v>0</v>
      </c>
      <c r="G77" s="22">
        <f t="shared" si="15"/>
        <v>0</v>
      </c>
      <c r="H77" s="22">
        <f t="shared" si="15"/>
        <v>0</v>
      </c>
      <c r="I77" s="22">
        <f t="shared" si="15"/>
        <v>0</v>
      </c>
      <c r="J77" s="22">
        <f t="shared" si="15"/>
        <v>0</v>
      </c>
      <c r="K77" s="22">
        <f t="shared" si="15"/>
        <v>0</v>
      </c>
      <c r="L77" s="22">
        <f t="shared" si="15"/>
        <v>0</v>
      </c>
      <c r="M77" s="22">
        <f t="shared" si="15"/>
        <v>0</v>
      </c>
      <c r="N77" s="22">
        <f t="shared" si="15"/>
        <v>0</v>
      </c>
      <c r="O77" s="12">
        <f t="shared" si="16"/>
        <v>0</v>
      </c>
      <c r="R77" s="2" t="s">
        <v>2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12">
        <f t="shared" si="17"/>
        <v>0</v>
      </c>
    </row>
    <row r="78" spans="1:34">
      <c r="A78" s="2" t="s">
        <v>3</v>
      </c>
      <c r="B78" s="22">
        <f t="shared" si="15"/>
        <v>0</v>
      </c>
      <c r="C78" s="22">
        <f t="shared" si="15"/>
        <v>0</v>
      </c>
      <c r="D78" s="22">
        <f t="shared" si="15"/>
        <v>0</v>
      </c>
      <c r="E78" s="22">
        <f t="shared" si="15"/>
        <v>0</v>
      </c>
      <c r="F78" s="22">
        <f t="shared" si="15"/>
        <v>0</v>
      </c>
      <c r="G78" s="22">
        <f t="shared" si="15"/>
        <v>0</v>
      </c>
      <c r="H78" s="22">
        <f t="shared" si="15"/>
        <v>0</v>
      </c>
      <c r="I78" s="22">
        <f t="shared" si="15"/>
        <v>0</v>
      </c>
      <c r="J78" s="22">
        <f t="shared" si="15"/>
        <v>0</v>
      </c>
      <c r="K78" s="22">
        <f t="shared" si="15"/>
        <v>0</v>
      </c>
      <c r="L78" s="22">
        <f t="shared" si="15"/>
        <v>0</v>
      </c>
      <c r="M78" s="22">
        <f t="shared" si="15"/>
        <v>0</v>
      </c>
      <c r="N78" s="22">
        <f t="shared" si="15"/>
        <v>0</v>
      </c>
      <c r="O78" s="12">
        <f t="shared" si="16"/>
        <v>0</v>
      </c>
      <c r="R78" s="2" t="s">
        <v>3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12">
        <f t="shared" si="17"/>
        <v>0</v>
      </c>
    </row>
    <row r="79" spans="1:34">
      <c r="A79" s="1" t="s">
        <v>4</v>
      </c>
      <c r="B79" s="22">
        <f t="shared" si="15"/>
        <v>0</v>
      </c>
      <c r="C79" s="22">
        <f t="shared" si="15"/>
        <v>0</v>
      </c>
      <c r="D79" s="22">
        <f t="shared" si="15"/>
        <v>0</v>
      </c>
      <c r="E79" s="22">
        <f t="shared" si="15"/>
        <v>0</v>
      </c>
      <c r="F79" s="22">
        <f t="shared" si="15"/>
        <v>0</v>
      </c>
      <c r="G79" s="22">
        <f t="shared" si="15"/>
        <v>0</v>
      </c>
      <c r="H79" s="22">
        <f t="shared" si="15"/>
        <v>0</v>
      </c>
      <c r="I79" s="22">
        <f t="shared" si="15"/>
        <v>0</v>
      </c>
      <c r="J79" s="22">
        <f t="shared" si="15"/>
        <v>0</v>
      </c>
      <c r="K79" s="22">
        <f t="shared" si="15"/>
        <v>0</v>
      </c>
      <c r="L79" s="22">
        <f t="shared" si="15"/>
        <v>0</v>
      </c>
      <c r="M79" s="22">
        <f t="shared" si="15"/>
        <v>0</v>
      </c>
      <c r="N79" s="22">
        <f t="shared" si="15"/>
        <v>0</v>
      </c>
      <c r="O79" s="12">
        <f t="shared" si="16"/>
        <v>0</v>
      </c>
      <c r="R79" s="2" t="s">
        <v>4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12">
        <f t="shared" si="17"/>
        <v>0</v>
      </c>
    </row>
    <row r="80" spans="1:34">
      <c r="A80" s="1" t="s">
        <v>5</v>
      </c>
      <c r="B80" s="22">
        <f t="shared" si="15"/>
        <v>0</v>
      </c>
      <c r="C80" s="22">
        <f t="shared" si="15"/>
        <v>0</v>
      </c>
      <c r="D80" s="22">
        <f t="shared" si="15"/>
        <v>0</v>
      </c>
      <c r="E80" s="22">
        <f t="shared" si="15"/>
        <v>0</v>
      </c>
      <c r="F80" s="22">
        <f t="shared" si="15"/>
        <v>0</v>
      </c>
      <c r="G80" s="22">
        <f t="shared" si="15"/>
        <v>0</v>
      </c>
      <c r="H80" s="22">
        <f t="shared" si="15"/>
        <v>0</v>
      </c>
      <c r="I80" s="22">
        <f t="shared" si="15"/>
        <v>0</v>
      </c>
      <c r="J80" s="22">
        <f t="shared" si="15"/>
        <v>0</v>
      </c>
      <c r="K80" s="22">
        <f t="shared" si="15"/>
        <v>0</v>
      </c>
      <c r="L80" s="22">
        <f t="shared" si="15"/>
        <v>0</v>
      </c>
      <c r="M80" s="22">
        <f t="shared" si="15"/>
        <v>0</v>
      </c>
      <c r="N80" s="22">
        <f t="shared" si="15"/>
        <v>0</v>
      </c>
      <c r="O80" s="12">
        <f t="shared" si="16"/>
        <v>0</v>
      </c>
      <c r="R80" s="2" t="s">
        <v>5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12">
        <f t="shared" si="17"/>
        <v>0</v>
      </c>
    </row>
    <row r="81" spans="1:34">
      <c r="A81" s="1" t="s">
        <v>6</v>
      </c>
      <c r="B81" s="22">
        <f t="shared" si="15"/>
        <v>0</v>
      </c>
      <c r="C81" s="22">
        <f t="shared" si="15"/>
        <v>0</v>
      </c>
      <c r="D81" s="22">
        <f t="shared" si="15"/>
        <v>0</v>
      </c>
      <c r="E81" s="22">
        <f t="shared" si="15"/>
        <v>0</v>
      </c>
      <c r="F81" s="22">
        <f t="shared" si="15"/>
        <v>0</v>
      </c>
      <c r="G81" s="22">
        <f t="shared" si="15"/>
        <v>0</v>
      </c>
      <c r="H81" s="22">
        <f t="shared" si="15"/>
        <v>0</v>
      </c>
      <c r="I81" s="22">
        <f t="shared" si="15"/>
        <v>0</v>
      </c>
      <c r="J81" s="22">
        <f t="shared" si="15"/>
        <v>0</v>
      </c>
      <c r="K81" s="22">
        <f t="shared" si="15"/>
        <v>0</v>
      </c>
      <c r="L81" s="22">
        <f t="shared" si="15"/>
        <v>0</v>
      </c>
      <c r="M81" s="22">
        <f t="shared" si="15"/>
        <v>0</v>
      </c>
      <c r="N81" s="22">
        <f t="shared" si="15"/>
        <v>0</v>
      </c>
      <c r="O81" s="12">
        <f t="shared" si="16"/>
        <v>0</v>
      </c>
      <c r="R81" s="2" t="s">
        <v>6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12">
        <f t="shared" si="17"/>
        <v>0</v>
      </c>
    </row>
    <row r="82" spans="1:34">
      <c r="A82" s="1" t="s">
        <v>7</v>
      </c>
      <c r="B82" s="22">
        <f t="shared" si="15"/>
        <v>0</v>
      </c>
      <c r="C82" s="22">
        <f t="shared" si="15"/>
        <v>0</v>
      </c>
      <c r="D82" s="22">
        <f t="shared" si="15"/>
        <v>0</v>
      </c>
      <c r="E82" s="22">
        <f t="shared" si="15"/>
        <v>0</v>
      </c>
      <c r="F82" s="22">
        <f t="shared" si="15"/>
        <v>0</v>
      </c>
      <c r="G82" s="22">
        <f t="shared" si="15"/>
        <v>0</v>
      </c>
      <c r="H82" s="22">
        <f t="shared" si="15"/>
        <v>0</v>
      </c>
      <c r="I82" s="22">
        <f t="shared" si="15"/>
        <v>0</v>
      </c>
      <c r="J82" s="22">
        <f>J12+J47</f>
        <v>0</v>
      </c>
      <c r="K82" s="22">
        <f t="shared" si="15"/>
        <v>0</v>
      </c>
      <c r="L82" s="22">
        <f t="shared" si="15"/>
        <v>0</v>
      </c>
      <c r="M82" s="22">
        <f t="shared" si="15"/>
        <v>0</v>
      </c>
      <c r="N82" s="22">
        <f t="shared" si="15"/>
        <v>0</v>
      </c>
      <c r="O82" s="12">
        <f t="shared" si="16"/>
        <v>0</v>
      </c>
      <c r="R82" s="2" t="s">
        <v>7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12">
        <f t="shared" si="17"/>
        <v>0</v>
      </c>
    </row>
    <row r="83" spans="1:34">
      <c r="A83" s="1" t="s">
        <v>8</v>
      </c>
      <c r="B83" s="22">
        <f t="shared" si="15"/>
        <v>0</v>
      </c>
      <c r="C83" s="22">
        <f t="shared" si="15"/>
        <v>0</v>
      </c>
      <c r="D83" s="22">
        <f t="shared" si="15"/>
        <v>0</v>
      </c>
      <c r="E83" s="22">
        <f t="shared" si="15"/>
        <v>0</v>
      </c>
      <c r="F83" s="22">
        <f t="shared" si="15"/>
        <v>0</v>
      </c>
      <c r="G83" s="22">
        <f t="shared" si="15"/>
        <v>0</v>
      </c>
      <c r="H83" s="22">
        <f t="shared" si="15"/>
        <v>0</v>
      </c>
      <c r="I83" s="22">
        <f t="shared" si="15"/>
        <v>0</v>
      </c>
      <c r="J83" s="22">
        <f t="shared" si="15"/>
        <v>0</v>
      </c>
      <c r="K83" s="22">
        <f t="shared" si="15"/>
        <v>0</v>
      </c>
      <c r="L83" s="22">
        <f t="shared" si="15"/>
        <v>0</v>
      </c>
      <c r="M83" s="22">
        <f t="shared" si="15"/>
        <v>0</v>
      </c>
      <c r="N83" s="22">
        <f t="shared" si="15"/>
        <v>0</v>
      </c>
      <c r="O83" s="12">
        <f t="shared" si="16"/>
        <v>0</v>
      </c>
      <c r="R83" s="2" t="s">
        <v>8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12">
        <f t="shared" si="17"/>
        <v>0</v>
      </c>
    </row>
    <row r="84" spans="1:34">
      <c r="A84" s="2" t="s">
        <v>9</v>
      </c>
      <c r="B84" s="22">
        <f t="shared" si="15"/>
        <v>0</v>
      </c>
      <c r="C84" s="22">
        <f t="shared" si="15"/>
        <v>0</v>
      </c>
      <c r="D84" s="22">
        <f t="shared" si="15"/>
        <v>0</v>
      </c>
      <c r="E84" s="22">
        <f t="shared" si="15"/>
        <v>0</v>
      </c>
      <c r="F84" s="22">
        <f t="shared" si="15"/>
        <v>0</v>
      </c>
      <c r="G84" s="22">
        <f t="shared" si="15"/>
        <v>0</v>
      </c>
      <c r="H84" s="22">
        <f t="shared" si="15"/>
        <v>0</v>
      </c>
      <c r="I84" s="22">
        <f t="shared" si="15"/>
        <v>0</v>
      </c>
      <c r="J84" s="22">
        <f t="shared" si="15"/>
        <v>0</v>
      </c>
      <c r="K84" s="22">
        <f t="shared" si="15"/>
        <v>0</v>
      </c>
      <c r="L84" s="22">
        <f t="shared" si="15"/>
        <v>0</v>
      </c>
      <c r="M84" s="22">
        <f t="shared" si="15"/>
        <v>0</v>
      </c>
      <c r="N84" s="22">
        <f t="shared" si="15"/>
        <v>0</v>
      </c>
      <c r="O84" s="12">
        <f t="shared" si="16"/>
        <v>0</v>
      </c>
      <c r="R84" s="2" t="s">
        <v>9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12">
        <f t="shared" si="17"/>
        <v>0</v>
      </c>
    </row>
    <row r="85" spans="1:34">
      <c r="A85" s="18" t="s">
        <v>10</v>
      </c>
      <c r="B85" s="22">
        <f t="shared" si="15"/>
        <v>0</v>
      </c>
      <c r="C85" s="22">
        <f t="shared" si="15"/>
        <v>0</v>
      </c>
      <c r="D85" s="22">
        <f t="shared" si="15"/>
        <v>0</v>
      </c>
      <c r="E85" s="22">
        <f t="shared" si="15"/>
        <v>0</v>
      </c>
      <c r="F85" s="22">
        <f t="shared" si="15"/>
        <v>0</v>
      </c>
      <c r="G85" s="22">
        <f t="shared" si="15"/>
        <v>0</v>
      </c>
      <c r="H85" s="22">
        <f t="shared" si="15"/>
        <v>0</v>
      </c>
      <c r="I85" s="22">
        <f t="shared" si="15"/>
        <v>0</v>
      </c>
      <c r="J85" s="22">
        <f t="shared" si="15"/>
        <v>0</v>
      </c>
      <c r="K85" s="22">
        <f t="shared" si="15"/>
        <v>0</v>
      </c>
      <c r="L85" s="22">
        <f t="shared" si="15"/>
        <v>0</v>
      </c>
      <c r="M85" s="22">
        <f t="shared" si="15"/>
        <v>0</v>
      </c>
      <c r="N85" s="22">
        <f t="shared" si="15"/>
        <v>0</v>
      </c>
      <c r="O85" s="12">
        <f t="shared" si="16"/>
        <v>0</v>
      </c>
      <c r="R85" s="2" t="s">
        <v>10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12">
        <f t="shared" si="17"/>
        <v>0</v>
      </c>
    </row>
    <row r="86" spans="1:34">
      <c r="A86" s="1" t="s">
        <v>11</v>
      </c>
      <c r="B86" s="22">
        <f t="shared" si="15"/>
        <v>0</v>
      </c>
      <c r="C86" s="22">
        <f t="shared" si="15"/>
        <v>0</v>
      </c>
      <c r="D86" s="22">
        <f t="shared" si="15"/>
        <v>0</v>
      </c>
      <c r="E86" s="22">
        <f t="shared" si="15"/>
        <v>0</v>
      </c>
      <c r="F86" s="22">
        <f t="shared" si="15"/>
        <v>0</v>
      </c>
      <c r="G86" s="22">
        <f t="shared" si="15"/>
        <v>0</v>
      </c>
      <c r="H86" s="22">
        <f t="shared" si="15"/>
        <v>0</v>
      </c>
      <c r="I86" s="22">
        <f t="shared" si="15"/>
        <v>0</v>
      </c>
      <c r="J86" s="22">
        <f t="shared" si="15"/>
        <v>0</v>
      </c>
      <c r="K86" s="22">
        <f t="shared" si="15"/>
        <v>0</v>
      </c>
      <c r="L86" s="22">
        <f t="shared" si="15"/>
        <v>0</v>
      </c>
      <c r="M86" s="22">
        <f t="shared" si="15"/>
        <v>0</v>
      </c>
      <c r="N86" s="22">
        <f t="shared" si="15"/>
        <v>0</v>
      </c>
      <c r="O86" s="12">
        <f t="shared" si="16"/>
        <v>0</v>
      </c>
      <c r="R86" s="2" t="s">
        <v>11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12">
        <f t="shared" si="17"/>
        <v>0</v>
      </c>
    </row>
    <row r="87" spans="1:34">
      <c r="A87" s="1" t="s">
        <v>12</v>
      </c>
      <c r="B87" s="22">
        <f t="shared" si="15"/>
        <v>0</v>
      </c>
      <c r="C87" s="22">
        <f t="shared" si="15"/>
        <v>0</v>
      </c>
      <c r="D87" s="22">
        <f t="shared" si="15"/>
        <v>0</v>
      </c>
      <c r="E87" s="22">
        <f t="shared" si="15"/>
        <v>0</v>
      </c>
      <c r="F87" s="22">
        <f t="shared" si="15"/>
        <v>0</v>
      </c>
      <c r="G87" s="22">
        <f t="shared" si="15"/>
        <v>0</v>
      </c>
      <c r="H87" s="22">
        <f t="shared" si="15"/>
        <v>0</v>
      </c>
      <c r="I87" s="22">
        <f t="shared" si="15"/>
        <v>0</v>
      </c>
      <c r="J87" s="22">
        <f t="shared" si="15"/>
        <v>0</v>
      </c>
      <c r="K87" s="22">
        <f t="shared" si="15"/>
        <v>0</v>
      </c>
      <c r="L87" s="22">
        <f t="shared" si="15"/>
        <v>0</v>
      </c>
      <c r="M87" s="22">
        <f t="shared" si="15"/>
        <v>0</v>
      </c>
      <c r="N87" s="22">
        <f t="shared" si="15"/>
        <v>0</v>
      </c>
      <c r="O87" s="12">
        <f t="shared" si="16"/>
        <v>0</v>
      </c>
      <c r="R87" s="2" t="s">
        <v>12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12">
        <f t="shared" si="17"/>
        <v>0</v>
      </c>
    </row>
    <row r="88" spans="1:34">
      <c r="A88" s="1" t="s">
        <v>15</v>
      </c>
      <c r="B88" s="22">
        <f t="shared" si="15"/>
        <v>0</v>
      </c>
      <c r="C88" s="22">
        <f t="shared" si="15"/>
        <v>0</v>
      </c>
      <c r="D88" s="22">
        <f t="shared" si="15"/>
        <v>0</v>
      </c>
      <c r="E88" s="22">
        <f t="shared" si="15"/>
        <v>0</v>
      </c>
      <c r="F88" s="22">
        <f t="shared" si="15"/>
        <v>0</v>
      </c>
      <c r="G88" s="22">
        <f t="shared" si="15"/>
        <v>0</v>
      </c>
      <c r="H88" s="22">
        <f t="shared" si="15"/>
        <v>0</v>
      </c>
      <c r="I88" s="22">
        <f t="shared" si="15"/>
        <v>0</v>
      </c>
      <c r="J88" s="22">
        <f t="shared" si="15"/>
        <v>0</v>
      </c>
      <c r="K88" s="22">
        <f t="shared" si="15"/>
        <v>0</v>
      </c>
      <c r="L88" s="22">
        <f t="shared" si="15"/>
        <v>0</v>
      </c>
      <c r="M88" s="22">
        <f t="shared" si="15"/>
        <v>0</v>
      </c>
      <c r="N88" s="22">
        <f t="shared" si="15"/>
        <v>0</v>
      </c>
      <c r="O88" s="12">
        <f t="shared" si="16"/>
        <v>0</v>
      </c>
      <c r="R88" s="2" t="s">
        <v>15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12">
        <f t="shared" si="17"/>
        <v>0</v>
      </c>
    </row>
    <row r="89" spans="1:34">
      <c r="A89" s="1" t="s">
        <v>14</v>
      </c>
      <c r="B89" s="22">
        <f t="shared" si="15"/>
        <v>0</v>
      </c>
      <c r="C89" s="22">
        <f t="shared" si="15"/>
        <v>0</v>
      </c>
      <c r="D89" s="22">
        <f t="shared" si="15"/>
        <v>0</v>
      </c>
      <c r="E89" s="22">
        <f t="shared" si="15"/>
        <v>0</v>
      </c>
      <c r="F89" s="22">
        <f t="shared" si="15"/>
        <v>0</v>
      </c>
      <c r="G89" s="22">
        <f t="shared" si="15"/>
        <v>0</v>
      </c>
      <c r="H89" s="22">
        <f t="shared" si="15"/>
        <v>0</v>
      </c>
      <c r="I89" s="22">
        <f t="shared" si="15"/>
        <v>0</v>
      </c>
      <c r="J89" s="22">
        <f t="shared" si="15"/>
        <v>0</v>
      </c>
      <c r="K89" s="22">
        <f t="shared" si="15"/>
        <v>0</v>
      </c>
      <c r="L89" s="22">
        <f t="shared" si="15"/>
        <v>0</v>
      </c>
      <c r="M89" s="22">
        <f t="shared" si="15"/>
        <v>0</v>
      </c>
      <c r="N89" s="22">
        <f t="shared" si="15"/>
        <v>0</v>
      </c>
      <c r="O89" s="12">
        <f t="shared" si="16"/>
        <v>0</v>
      </c>
      <c r="R89" s="2" t="s">
        <v>14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12">
        <f t="shared" si="17"/>
        <v>0</v>
      </c>
    </row>
    <row r="90" spans="1:34">
      <c r="A90" s="18" t="s">
        <v>13</v>
      </c>
      <c r="B90" s="22">
        <f t="shared" si="15"/>
        <v>0</v>
      </c>
      <c r="C90" s="22">
        <f t="shared" si="15"/>
        <v>0</v>
      </c>
      <c r="D90" s="22">
        <f t="shared" si="15"/>
        <v>0</v>
      </c>
      <c r="E90" s="22">
        <f t="shared" si="15"/>
        <v>0</v>
      </c>
      <c r="F90" s="22">
        <f t="shared" si="15"/>
        <v>0</v>
      </c>
      <c r="G90" s="22">
        <f t="shared" si="15"/>
        <v>0</v>
      </c>
      <c r="H90" s="22">
        <f t="shared" si="15"/>
        <v>0</v>
      </c>
      <c r="I90" s="22">
        <f t="shared" si="15"/>
        <v>0</v>
      </c>
      <c r="J90" s="22">
        <f t="shared" si="15"/>
        <v>0</v>
      </c>
      <c r="K90" s="22">
        <f t="shared" si="15"/>
        <v>0</v>
      </c>
      <c r="L90" s="22">
        <f t="shared" si="15"/>
        <v>0</v>
      </c>
      <c r="M90" s="22">
        <f t="shared" si="15"/>
        <v>0</v>
      </c>
      <c r="N90" s="22">
        <f t="shared" si="15"/>
        <v>0</v>
      </c>
      <c r="O90" s="12">
        <f t="shared" si="16"/>
        <v>0</v>
      </c>
      <c r="R90" s="2" t="s">
        <v>13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12">
        <f t="shared" si="17"/>
        <v>0</v>
      </c>
    </row>
    <row r="91" spans="1:34">
      <c r="A91" s="1" t="s">
        <v>16</v>
      </c>
      <c r="B91" s="22">
        <f t="shared" si="15"/>
        <v>0</v>
      </c>
      <c r="C91" s="22">
        <f t="shared" si="15"/>
        <v>0</v>
      </c>
      <c r="D91" s="22">
        <f t="shared" si="15"/>
        <v>0</v>
      </c>
      <c r="E91" s="22">
        <f t="shared" si="15"/>
        <v>0</v>
      </c>
      <c r="F91" s="22">
        <f t="shared" si="15"/>
        <v>0</v>
      </c>
      <c r="G91" s="22">
        <f t="shared" si="15"/>
        <v>0</v>
      </c>
      <c r="H91" s="22">
        <f t="shared" si="15"/>
        <v>0</v>
      </c>
      <c r="I91" s="22">
        <f t="shared" si="15"/>
        <v>0</v>
      </c>
      <c r="J91" s="22">
        <f t="shared" si="15"/>
        <v>0</v>
      </c>
      <c r="K91" s="22">
        <f t="shared" si="15"/>
        <v>0</v>
      </c>
      <c r="L91" s="22">
        <f t="shared" si="15"/>
        <v>0</v>
      </c>
      <c r="M91" s="22">
        <f t="shared" si="15"/>
        <v>0</v>
      </c>
      <c r="N91" s="22">
        <f t="shared" si="15"/>
        <v>0</v>
      </c>
      <c r="O91" s="12">
        <f t="shared" si="16"/>
        <v>0</v>
      </c>
      <c r="R91" s="2" t="s">
        <v>16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12">
        <f t="shared" si="17"/>
        <v>0</v>
      </c>
    </row>
    <row r="92" spans="1:34">
      <c r="A92" s="1" t="s">
        <v>17</v>
      </c>
      <c r="B92" s="22">
        <f t="shared" ref="B92:N101" si="18">B22+B57</f>
        <v>0</v>
      </c>
      <c r="C92" s="22">
        <f t="shared" si="18"/>
        <v>0</v>
      </c>
      <c r="D92" s="22">
        <f t="shared" si="18"/>
        <v>0</v>
      </c>
      <c r="E92" s="22">
        <f t="shared" si="18"/>
        <v>0</v>
      </c>
      <c r="F92" s="22">
        <f t="shared" si="18"/>
        <v>0</v>
      </c>
      <c r="G92" s="22">
        <f t="shared" si="18"/>
        <v>0</v>
      </c>
      <c r="H92" s="22">
        <f t="shared" si="18"/>
        <v>0</v>
      </c>
      <c r="I92" s="22">
        <f t="shared" si="18"/>
        <v>0</v>
      </c>
      <c r="J92" s="22">
        <f t="shared" si="18"/>
        <v>0</v>
      </c>
      <c r="K92" s="22">
        <f t="shared" si="18"/>
        <v>0</v>
      </c>
      <c r="L92" s="22">
        <f t="shared" si="18"/>
        <v>0</v>
      </c>
      <c r="M92" s="22">
        <f t="shared" si="18"/>
        <v>0</v>
      </c>
      <c r="N92" s="22">
        <f t="shared" si="18"/>
        <v>0</v>
      </c>
      <c r="O92" s="12">
        <f t="shared" si="16"/>
        <v>0</v>
      </c>
      <c r="R92" s="2" t="s">
        <v>17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12">
        <f t="shared" si="17"/>
        <v>0</v>
      </c>
    </row>
    <row r="93" spans="1:34">
      <c r="A93" s="1" t="s">
        <v>18</v>
      </c>
      <c r="B93" s="22">
        <f t="shared" si="18"/>
        <v>0</v>
      </c>
      <c r="C93" s="22">
        <f t="shared" si="18"/>
        <v>0</v>
      </c>
      <c r="D93" s="22">
        <f t="shared" si="18"/>
        <v>0</v>
      </c>
      <c r="E93" s="22">
        <f t="shared" si="18"/>
        <v>0</v>
      </c>
      <c r="F93" s="22">
        <f t="shared" si="18"/>
        <v>0</v>
      </c>
      <c r="G93" s="22">
        <f t="shared" si="18"/>
        <v>0</v>
      </c>
      <c r="H93" s="22">
        <f t="shared" si="18"/>
        <v>0</v>
      </c>
      <c r="I93" s="22">
        <f t="shared" si="18"/>
        <v>0</v>
      </c>
      <c r="J93" s="22">
        <f t="shared" si="18"/>
        <v>0</v>
      </c>
      <c r="K93" s="22">
        <f t="shared" si="18"/>
        <v>0</v>
      </c>
      <c r="L93" s="22">
        <f t="shared" si="18"/>
        <v>0</v>
      </c>
      <c r="M93" s="22">
        <f t="shared" si="18"/>
        <v>0</v>
      </c>
      <c r="N93" s="22">
        <f t="shared" si="18"/>
        <v>0</v>
      </c>
      <c r="O93" s="12">
        <f t="shared" si="16"/>
        <v>0</v>
      </c>
      <c r="R93" s="2" t="s">
        <v>18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12">
        <f t="shared" si="17"/>
        <v>0</v>
      </c>
    </row>
    <row r="94" spans="1:34">
      <c r="A94" s="1" t="s">
        <v>20</v>
      </c>
      <c r="B94" s="22">
        <f t="shared" si="18"/>
        <v>0</v>
      </c>
      <c r="C94" s="22">
        <f t="shared" si="18"/>
        <v>0</v>
      </c>
      <c r="D94" s="22">
        <f t="shared" si="18"/>
        <v>0</v>
      </c>
      <c r="E94" s="22">
        <f t="shared" si="18"/>
        <v>0</v>
      </c>
      <c r="F94" s="22">
        <f t="shared" si="18"/>
        <v>0</v>
      </c>
      <c r="G94" s="22">
        <f t="shared" si="18"/>
        <v>0</v>
      </c>
      <c r="H94" s="22">
        <f t="shared" si="18"/>
        <v>0</v>
      </c>
      <c r="I94" s="22">
        <f t="shared" si="18"/>
        <v>0</v>
      </c>
      <c r="J94" s="22">
        <f t="shared" si="18"/>
        <v>0</v>
      </c>
      <c r="K94" s="22">
        <f t="shared" si="18"/>
        <v>0</v>
      </c>
      <c r="L94" s="22">
        <f t="shared" si="18"/>
        <v>0</v>
      </c>
      <c r="M94" s="22">
        <f t="shared" si="18"/>
        <v>0</v>
      </c>
      <c r="N94" s="22">
        <f t="shared" si="18"/>
        <v>0</v>
      </c>
      <c r="O94" s="12">
        <f t="shared" si="16"/>
        <v>0</v>
      </c>
      <c r="R94" s="2" t="s">
        <v>20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12">
        <f t="shared" si="17"/>
        <v>0</v>
      </c>
    </row>
    <row r="95" spans="1:34">
      <c r="A95" s="1" t="s">
        <v>19</v>
      </c>
      <c r="B95" s="22">
        <f t="shared" si="18"/>
        <v>0</v>
      </c>
      <c r="C95" s="22">
        <f t="shared" si="18"/>
        <v>0</v>
      </c>
      <c r="D95" s="22">
        <f t="shared" si="18"/>
        <v>0</v>
      </c>
      <c r="E95" s="22">
        <f t="shared" si="18"/>
        <v>0</v>
      </c>
      <c r="F95" s="22">
        <f t="shared" si="18"/>
        <v>0</v>
      </c>
      <c r="G95" s="22">
        <f t="shared" si="18"/>
        <v>0</v>
      </c>
      <c r="H95" s="22">
        <f t="shared" si="18"/>
        <v>0</v>
      </c>
      <c r="I95" s="22">
        <f t="shared" si="18"/>
        <v>0</v>
      </c>
      <c r="J95" s="22">
        <f t="shared" si="18"/>
        <v>0</v>
      </c>
      <c r="K95" s="22">
        <f t="shared" si="18"/>
        <v>0</v>
      </c>
      <c r="L95" s="22">
        <f t="shared" si="18"/>
        <v>0</v>
      </c>
      <c r="M95" s="22">
        <f t="shared" si="18"/>
        <v>0</v>
      </c>
      <c r="N95" s="22">
        <f t="shared" si="18"/>
        <v>0</v>
      </c>
      <c r="O95" s="12">
        <f t="shared" si="16"/>
        <v>0</v>
      </c>
      <c r="R95" s="2" t="s">
        <v>19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12">
        <f t="shared" si="17"/>
        <v>0</v>
      </c>
    </row>
    <row r="96" spans="1:34">
      <c r="A96" s="18" t="s">
        <v>21</v>
      </c>
      <c r="B96" s="22">
        <f t="shared" si="18"/>
        <v>0</v>
      </c>
      <c r="C96" s="22">
        <f t="shared" si="18"/>
        <v>0</v>
      </c>
      <c r="D96" s="22">
        <f t="shared" si="18"/>
        <v>0</v>
      </c>
      <c r="E96" s="22">
        <f t="shared" si="18"/>
        <v>0</v>
      </c>
      <c r="F96" s="22">
        <f t="shared" si="18"/>
        <v>0</v>
      </c>
      <c r="G96" s="22">
        <f t="shared" si="18"/>
        <v>0</v>
      </c>
      <c r="H96" s="22">
        <f t="shared" si="18"/>
        <v>0</v>
      </c>
      <c r="I96" s="22">
        <f t="shared" si="18"/>
        <v>0</v>
      </c>
      <c r="J96" s="22">
        <f t="shared" si="18"/>
        <v>0</v>
      </c>
      <c r="K96" s="22">
        <f t="shared" si="18"/>
        <v>0</v>
      </c>
      <c r="L96" s="22">
        <f t="shared" si="18"/>
        <v>0</v>
      </c>
      <c r="M96" s="22">
        <f t="shared" si="18"/>
        <v>0</v>
      </c>
      <c r="N96" s="22">
        <f t="shared" si="18"/>
        <v>0</v>
      </c>
      <c r="O96" s="12">
        <f t="shared" si="16"/>
        <v>0</v>
      </c>
      <c r="R96" s="2" t="s">
        <v>21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12">
        <f t="shared" si="17"/>
        <v>0</v>
      </c>
    </row>
    <row r="97" spans="1:34">
      <c r="A97" s="2" t="s">
        <v>22</v>
      </c>
      <c r="B97" s="22">
        <f t="shared" si="18"/>
        <v>0</v>
      </c>
      <c r="C97" s="22">
        <f t="shared" si="18"/>
        <v>0</v>
      </c>
      <c r="D97" s="22">
        <f t="shared" si="18"/>
        <v>0</v>
      </c>
      <c r="E97" s="22">
        <f t="shared" si="18"/>
        <v>0</v>
      </c>
      <c r="F97" s="22">
        <f t="shared" si="18"/>
        <v>0</v>
      </c>
      <c r="G97" s="22">
        <f t="shared" si="18"/>
        <v>0</v>
      </c>
      <c r="H97" s="22">
        <f t="shared" si="18"/>
        <v>0</v>
      </c>
      <c r="I97" s="22">
        <f t="shared" si="18"/>
        <v>0</v>
      </c>
      <c r="J97" s="22">
        <f t="shared" si="18"/>
        <v>0</v>
      </c>
      <c r="K97" s="22">
        <f t="shared" si="18"/>
        <v>0</v>
      </c>
      <c r="L97" s="22">
        <f t="shared" si="18"/>
        <v>0</v>
      </c>
      <c r="M97" s="22">
        <f t="shared" si="18"/>
        <v>0</v>
      </c>
      <c r="N97" s="22">
        <f t="shared" si="18"/>
        <v>0</v>
      </c>
      <c r="O97" s="12">
        <f t="shared" si="16"/>
        <v>0</v>
      </c>
      <c r="R97" s="2" t="s">
        <v>22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12">
        <f t="shared" si="17"/>
        <v>0</v>
      </c>
    </row>
    <row r="98" spans="1:34">
      <c r="A98" s="1" t="s">
        <v>23</v>
      </c>
      <c r="B98" s="22">
        <f t="shared" si="18"/>
        <v>0</v>
      </c>
      <c r="C98" s="22">
        <f t="shared" si="18"/>
        <v>0</v>
      </c>
      <c r="D98" s="22">
        <f t="shared" si="18"/>
        <v>0</v>
      </c>
      <c r="E98" s="22">
        <f t="shared" si="18"/>
        <v>0</v>
      </c>
      <c r="F98" s="22">
        <f t="shared" si="18"/>
        <v>0</v>
      </c>
      <c r="G98" s="22">
        <f t="shared" si="18"/>
        <v>0</v>
      </c>
      <c r="H98" s="22">
        <f t="shared" si="18"/>
        <v>0</v>
      </c>
      <c r="I98" s="22">
        <f t="shared" si="18"/>
        <v>0</v>
      </c>
      <c r="J98" s="22">
        <f t="shared" si="18"/>
        <v>0</v>
      </c>
      <c r="K98" s="22">
        <f t="shared" si="18"/>
        <v>0</v>
      </c>
      <c r="L98" s="22">
        <f t="shared" si="18"/>
        <v>0</v>
      </c>
      <c r="M98" s="22">
        <f t="shared" si="18"/>
        <v>0</v>
      </c>
      <c r="N98" s="22">
        <f t="shared" si="18"/>
        <v>0</v>
      </c>
      <c r="O98" s="12">
        <f t="shared" si="16"/>
        <v>0</v>
      </c>
      <c r="R98" s="2" t="s">
        <v>23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12">
        <f t="shared" si="17"/>
        <v>0</v>
      </c>
    </row>
    <row r="99" spans="1:34">
      <c r="A99" s="1" t="s">
        <v>25</v>
      </c>
      <c r="B99" s="22">
        <f t="shared" si="18"/>
        <v>0</v>
      </c>
      <c r="C99" s="22">
        <f t="shared" si="18"/>
        <v>0</v>
      </c>
      <c r="D99" s="22">
        <f t="shared" si="18"/>
        <v>0</v>
      </c>
      <c r="E99" s="22">
        <f t="shared" si="18"/>
        <v>0</v>
      </c>
      <c r="F99" s="22">
        <f t="shared" si="18"/>
        <v>0</v>
      </c>
      <c r="G99" s="22">
        <f t="shared" si="18"/>
        <v>0</v>
      </c>
      <c r="H99" s="22">
        <f t="shared" si="18"/>
        <v>0</v>
      </c>
      <c r="I99" s="22">
        <f t="shared" si="18"/>
        <v>0</v>
      </c>
      <c r="J99" s="22">
        <f t="shared" si="18"/>
        <v>0</v>
      </c>
      <c r="K99" s="22">
        <f t="shared" si="18"/>
        <v>0</v>
      </c>
      <c r="L99" s="22">
        <f t="shared" si="18"/>
        <v>0</v>
      </c>
      <c r="M99" s="22">
        <f t="shared" si="18"/>
        <v>0</v>
      </c>
      <c r="N99" s="22">
        <f t="shared" si="18"/>
        <v>0</v>
      </c>
      <c r="O99" s="12">
        <f t="shared" si="16"/>
        <v>0</v>
      </c>
      <c r="R99" s="2" t="s">
        <v>25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12">
        <f t="shared" si="17"/>
        <v>0</v>
      </c>
    </row>
    <row r="100" spans="1:34">
      <c r="A100" s="1" t="s">
        <v>24</v>
      </c>
      <c r="B100" s="22">
        <f t="shared" si="18"/>
        <v>0</v>
      </c>
      <c r="C100" s="22">
        <f t="shared" si="18"/>
        <v>0</v>
      </c>
      <c r="D100" s="22">
        <f t="shared" si="18"/>
        <v>0</v>
      </c>
      <c r="E100" s="22">
        <f t="shared" si="18"/>
        <v>0</v>
      </c>
      <c r="F100" s="22">
        <f t="shared" si="18"/>
        <v>0</v>
      </c>
      <c r="G100" s="22">
        <f t="shared" si="18"/>
        <v>0</v>
      </c>
      <c r="H100" s="22">
        <f t="shared" si="18"/>
        <v>0</v>
      </c>
      <c r="I100" s="22">
        <f t="shared" si="18"/>
        <v>0</v>
      </c>
      <c r="J100" s="22">
        <f t="shared" si="18"/>
        <v>0</v>
      </c>
      <c r="K100" s="22">
        <f t="shared" si="18"/>
        <v>0</v>
      </c>
      <c r="L100" s="22">
        <f t="shared" si="18"/>
        <v>0</v>
      </c>
      <c r="M100" s="22">
        <f t="shared" si="18"/>
        <v>0</v>
      </c>
      <c r="N100" s="22">
        <f t="shared" si="18"/>
        <v>0</v>
      </c>
      <c r="O100" s="12">
        <f t="shared" si="16"/>
        <v>0</v>
      </c>
      <c r="R100" s="2" t="s">
        <v>24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12">
        <f t="shared" si="17"/>
        <v>0</v>
      </c>
    </row>
    <row r="101" spans="1:34">
      <c r="A101" s="1" t="s">
        <v>26</v>
      </c>
      <c r="B101" s="22">
        <f t="shared" si="18"/>
        <v>0</v>
      </c>
      <c r="C101" s="22">
        <f t="shared" si="18"/>
        <v>0</v>
      </c>
      <c r="D101" s="22">
        <f t="shared" si="18"/>
        <v>0</v>
      </c>
      <c r="E101" s="22">
        <f t="shared" si="18"/>
        <v>0</v>
      </c>
      <c r="F101" s="22">
        <f t="shared" si="18"/>
        <v>0</v>
      </c>
      <c r="G101" s="22">
        <f t="shared" si="18"/>
        <v>0</v>
      </c>
      <c r="H101" s="22">
        <f t="shared" si="18"/>
        <v>0</v>
      </c>
      <c r="I101" s="22">
        <f t="shared" si="18"/>
        <v>0</v>
      </c>
      <c r="J101" s="22">
        <f t="shared" si="18"/>
        <v>0</v>
      </c>
      <c r="K101" s="22">
        <f t="shared" si="18"/>
        <v>0</v>
      </c>
      <c r="L101" s="22">
        <f t="shared" si="18"/>
        <v>0</v>
      </c>
      <c r="M101" s="22">
        <f t="shared" si="18"/>
        <v>0</v>
      </c>
      <c r="N101" s="22">
        <f t="shared" si="18"/>
        <v>0</v>
      </c>
      <c r="O101" s="12">
        <f t="shared" si="16"/>
        <v>0</v>
      </c>
      <c r="R101" s="2" t="s">
        <v>26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12">
        <f t="shared" si="17"/>
        <v>0</v>
      </c>
    </row>
    <row r="102" spans="1:34">
      <c r="A102" s="8" t="s">
        <v>37</v>
      </c>
      <c r="B102" s="16">
        <f t="shared" ref="B102:O102" si="19">SUM(B75:B101)</f>
        <v>0</v>
      </c>
      <c r="C102" s="16">
        <f t="shared" si="19"/>
        <v>0</v>
      </c>
      <c r="D102" s="16">
        <f t="shared" si="19"/>
        <v>0</v>
      </c>
      <c r="E102" s="16">
        <f t="shared" si="19"/>
        <v>0</v>
      </c>
      <c r="F102" s="16">
        <f t="shared" si="19"/>
        <v>0</v>
      </c>
      <c r="G102" s="16">
        <f t="shared" si="19"/>
        <v>0</v>
      </c>
      <c r="H102" s="16">
        <f t="shared" si="19"/>
        <v>0</v>
      </c>
      <c r="I102" s="16">
        <f t="shared" si="19"/>
        <v>0</v>
      </c>
      <c r="J102" s="16">
        <f t="shared" si="19"/>
        <v>0</v>
      </c>
      <c r="K102" s="16">
        <f t="shared" si="19"/>
        <v>0</v>
      </c>
      <c r="L102" s="16">
        <f t="shared" si="19"/>
        <v>0</v>
      </c>
      <c r="M102" s="16">
        <f t="shared" si="19"/>
        <v>0</v>
      </c>
      <c r="N102" s="16">
        <f t="shared" si="19"/>
        <v>0</v>
      </c>
      <c r="O102" s="7">
        <f t="shared" si="19"/>
        <v>0</v>
      </c>
      <c r="R102" s="8" t="s">
        <v>37</v>
      </c>
      <c r="S102" s="45">
        <f t="shared" ref="S102:AH102" si="20">SUM(S75:S101)</f>
        <v>0</v>
      </c>
      <c r="T102" s="45">
        <f t="shared" si="20"/>
        <v>0</v>
      </c>
      <c r="U102" s="45">
        <f t="shared" si="20"/>
        <v>0</v>
      </c>
      <c r="V102" s="45">
        <f t="shared" si="20"/>
        <v>0</v>
      </c>
      <c r="W102" s="45">
        <f t="shared" si="20"/>
        <v>0</v>
      </c>
      <c r="X102" s="45">
        <f t="shared" si="20"/>
        <v>0</v>
      </c>
      <c r="Y102" s="45">
        <f t="shared" si="20"/>
        <v>0</v>
      </c>
      <c r="Z102" s="45">
        <f t="shared" si="20"/>
        <v>0</v>
      </c>
      <c r="AA102" s="45">
        <f t="shared" si="20"/>
        <v>0</v>
      </c>
      <c r="AB102" s="45">
        <f t="shared" si="20"/>
        <v>0</v>
      </c>
      <c r="AC102" s="45">
        <f t="shared" si="20"/>
        <v>0</v>
      </c>
      <c r="AD102" s="45">
        <f t="shared" si="20"/>
        <v>0</v>
      </c>
      <c r="AE102" s="45">
        <f t="shared" si="20"/>
        <v>0</v>
      </c>
      <c r="AF102" s="45">
        <f t="shared" si="20"/>
        <v>0</v>
      </c>
      <c r="AG102" s="45">
        <f t="shared" si="20"/>
        <v>0</v>
      </c>
      <c r="AH102" s="7">
        <f t="shared" si="20"/>
        <v>0</v>
      </c>
    </row>
    <row r="103" spans="1:34">
      <c r="AH103" s="15"/>
    </row>
    <row r="104" spans="1:34">
      <c r="O104" s="15" t="e">
        <f>O102+#REF!+#REF!+#REF!+#REF!</f>
        <v>#REF!</v>
      </c>
    </row>
    <row r="105" spans="1:34" ht="46.5">
      <c r="K105" s="296" t="s">
        <v>49</v>
      </c>
      <c r="L105" s="297"/>
      <c r="M105" s="297"/>
      <c r="N105" s="297"/>
      <c r="O105" s="297"/>
      <c r="P105" s="297"/>
      <c r="Q105" s="297"/>
      <c r="R105" s="297"/>
      <c r="S105" s="297"/>
      <c r="T105" s="297"/>
      <c r="U105" s="297"/>
      <c r="V105" s="297"/>
      <c r="W105" s="297"/>
      <c r="X105" s="297"/>
      <c r="Y105" s="297"/>
      <c r="Z105" s="297"/>
      <c r="AA105" s="297"/>
    </row>
    <row r="106" spans="1:34">
      <c r="K106" s="290" t="s">
        <v>33</v>
      </c>
      <c r="L106" s="287" t="s">
        <v>27</v>
      </c>
      <c r="M106" s="288"/>
      <c r="N106" s="287" t="s">
        <v>29</v>
      </c>
      <c r="O106" s="288"/>
      <c r="P106" s="285" t="s">
        <v>28</v>
      </c>
      <c r="Q106" s="285" t="s">
        <v>36</v>
      </c>
      <c r="R106" s="285" t="s">
        <v>30</v>
      </c>
      <c r="S106" s="285" t="s">
        <v>31</v>
      </c>
      <c r="T106" s="285" t="s">
        <v>41</v>
      </c>
      <c r="U106" s="285" t="s">
        <v>35</v>
      </c>
      <c r="V106" s="285" t="s">
        <v>40</v>
      </c>
      <c r="W106" s="285" t="s">
        <v>42</v>
      </c>
      <c r="X106" s="285" t="s">
        <v>45</v>
      </c>
      <c r="Y106" s="287" t="s">
        <v>52</v>
      </c>
      <c r="Z106" s="288"/>
      <c r="AA106" s="285" t="s">
        <v>34</v>
      </c>
    </row>
    <row r="107" spans="1:34" ht="30">
      <c r="K107" s="291"/>
      <c r="L107" s="46" t="s">
        <v>43</v>
      </c>
      <c r="M107" s="46" t="s">
        <v>44</v>
      </c>
      <c r="N107" s="46" t="s">
        <v>43</v>
      </c>
      <c r="O107" s="46" t="s">
        <v>44</v>
      </c>
      <c r="P107" s="286"/>
      <c r="Q107" s="286"/>
      <c r="R107" s="286"/>
      <c r="S107" s="286"/>
      <c r="T107" s="286"/>
      <c r="U107" s="286"/>
      <c r="V107" s="286"/>
      <c r="W107" s="286"/>
      <c r="X107" s="286"/>
      <c r="Y107" s="54" t="s">
        <v>53</v>
      </c>
      <c r="Z107" s="54" t="s">
        <v>54</v>
      </c>
      <c r="AA107" s="286"/>
    </row>
    <row r="108" spans="1:34">
      <c r="K108" s="1" t="s">
        <v>0</v>
      </c>
      <c r="L108" s="22">
        <f>B75+S75</f>
        <v>0</v>
      </c>
      <c r="M108" s="22">
        <f t="shared" ref="M108:X123" si="21">C75+T75</f>
        <v>0</v>
      </c>
      <c r="N108" s="22">
        <f t="shared" si="21"/>
        <v>0</v>
      </c>
      <c r="O108" s="22">
        <f t="shared" si="21"/>
        <v>0</v>
      </c>
      <c r="P108" s="22">
        <f t="shared" si="21"/>
        <v>0</v>
      </c>
      <c r="Q108" s="22">
        <f t="shared" si="21"/>
        <v>0</v>
      </c>
      <c r="R108" s="22">
        <f t="shared" si="21"/>
        <v>0</v>
      </c>
      <c r="S108" s="22">
        <f t="shared" si="21"/>
        <v>0</v>
      </c>
      <c r="T108" s="22">
        <f t="shared" si="21"/>
        <v>0</v>
      </c>
      <c r="U108" s="22">
        <f t="shared" si="21"/>
        <v>0</v>
      </c>
      <c r="V108" s="22">
        <f t="shared" si="21"/>
        <v>0</v>
      </c>
      <c r="W108" s="22">
        <f t="shared" si="21"/>
        <v>0</v>
      </c>
      <c r="X108" s="22">
        <f t="shared" si="21"/>
        <v>0</v>
      </c>
      <c r="Y108" s="22">
        <f>AF75</f>
        <v>0</v>
      </c>
      <c r="Z108" s="22">
        <f>AG75</f>
        <v>0</v>
      </c>
      <c r="AA108" s="12">
        <f>SUM(L108:Z108)</f>
        <v>0</v>
      </c>
    </row>
    <row r="109" spans="1:34">
      <c r="K109" s="1" t="s">
        <v>1</v>
      </c>
      <c r="L109" s="22">
        <f t="shared" ref="L109:X134" si="22">B76+S76</f>
        <v>0</v>
      </c>
      <c r="M109" s="22">
        <f t="shared" si="21"/>
        <v>0</v>
      </c>
      <c r="N109" s="22">
        <f t="shared" si="21"/>
        <v>0</v>
      </c>
      <c r="O109" s="22">
        <f t="shared" si="21"/>
        <v>0</v>
      </c>
      <c r="P109" s="22">
        <f t="shared" si="21"/>
        <v>0</v>
      </c>
      <c r="Q109" s="22">
        <f t="shared" si="21"/>
        <v>0</v>
      </c>
      <c r="R109" s="22">
        <f t="shared" si="21"/>
        <v>0</v>
      </c>
      <c r="S109" s="22">
        <f t="shared" si="21"/>
        <v>0</v>
      </c>
      <c r="T109" s="22">
        <f t="shared" si="21"/>
        <v>0</v>
      </c>
      <c r="U109" s="22">
        <f t="shared" si="21"/>
        <v>0</v>
      </c>
      <c r="V109" s="22">
        <f t="shared" si="21"/>
        <v>0</v>
      </c>
      <c r="W109" s="22">
        <f t="shared" si="21"/>
        <v>0</v>
      </c>
      <c r="X109" s="22">
        <f t="shared" si="21"/>
        <v>0</v>
      </c>
      <c r="Y109" s="22">
        <f t="shared" ref="Y109:Z124" si="23">AF76</f>
        <v>0</v>
      </c>
      <c r="Z109" s="22">
        <f t="shared" si="23"/>
        <v>0</v>
      </c>
      <c r="AA109" s="12">
        <f t="shared" ref="AA109:AA134" si="24">SUM(L109:Z109)</f>
        <v>0</v>
      </c>
    </row>
    <row r="110" spans="1:34">
      <c r="K110" s="18" t="s">
        <v>2</v>
      </c>
      <c r="L110" s="22">
        <f t="shared" si="22"/>
        <v>0</v>
      </c>
      <c r="M110" s="22">
        <f t="shared" si="21"/>
        <v>0</v>
      </c>
      <c r="N110" s="22">
        <f t="shared" si="21"/>
        <v>0</v>
      </c>
      <c r="O110" s="22">
        <f t="shared" si="21"/>
        <v>0</v>
      </c>
      <c r="P110" s="22">
        <f t="shared" si="21"/>
        <v>0</v>
      </c>
      <c r="Q110" s="22">
        <f t="shared" si="21"/>
        <v>0</v>
      </c>
      <c r="R110" s="22">
        <f t="shared" si="21"/>
        <v>0</v>
      </c>
      <c r="S110" s="22">
        <f t="shared" si="21"/>
        <v>0</v>
      </c>
      <c r="T110" s="22">
        <f t="shared" si="21"/>
        <v>0</v>
      </c>
      <c r="U110" s="22">
        <f t="shared" si="21"/>
        <v>0</v>
      </c>
      <c r="V110" s="22">
        <f t="shared" si="21"/>
        <v>0</v>
      </c>
      <c r="W110" s="22">
        <f t="shared" si="21"/>
        <v>0</v>
      </c>
      <c r="X110" s="22">
        <f t="shared" si="21"/>
        <v>0</v>
      </c>
      <c r="Y110" s="22">
        <f t="shared" si="23"/>
        <v>0</v>
      </c>
      <c r="Z110" s="22">
        <f t="shared" si="23"/>
        <v>0</v>
      </c>
      <c r="AA110" s="12">
        <f t="shared" si="24"/>
        <v>0</v>
      </c>
    </row>
    <row r="111" spans="1:34">
      <c r="K111" s="2" t="s">
        <v>3</v>
      </c>
      <c r="L111" s="22">
        <f t="shared" si="22"/>
        <v>0</v>
      </c>
      <c r="M111" s="22">
        <f t="shared" si="21"/>
        <v>0</v>
      </c>
      <c r="N111" s="22">
        <f t="shared" si="21"/>
        <v>0</v>
      </c>
      <c r="O111" s="22">
        <f t="shared" si="21"/>
        <v>0</v>
      </c>
      <c r="P111" s="22">
        <f t="shared" si="21"/>
        <v>0</v>
      </c>
      <c r="Q111" s="22">
        <f t="shared" si="21"/>
        <v>0</v>
      </c>
      <c r="R111" s="22">
        <f t="shared" si="21"/>
        <v>0</v>
      </c>
      <c r="S111" s="22">
        <f t="shared" si="21"/>
        <v>0</v>
      </c>
      <c r="T111" s="22">
        <f t="shared" si="21"/>
        <v>0</v>
      </c>
      <c r="U111" s="22">
        <f t="shared" si="21"/>
        <v>0</v>
      </c>
      <c r="V111" s="22">
        <f t="shared" si="21"/>
        <v>0</v>
      </c>
      <c r="W111" s="22">
        <f t="shared" si="21"/>
        <v>0</v>
      </c>
      <c r="X111" s="22">
        <f t="shared" si="21"/>
        <v>0</v>
      </c>
      <c r="Y111" s="22">
        <f t="shared" si="23"/>
        <v>0</v>
      </c>
      <c r="Z111" s="22">
        <f t="shared" si="23"/>
        <v>0</v>
      </c>
      <c r="AA111" s="12">
        <f t="shared" si="24"/>
        <v>0</v>
      </c>
    </row>
    <row r="112" spans="1:34">
      <c r="K112" s="1" t="s">
        <v>4</v>
      </c>
      <c r="L112" s="22">
        <f t="shared" si="22"/>
        <v>0</v>
      </c>
      <c r="M112" s="22">
        <f t="shared" si="21"/>
        <v>0</v>
      </c>
      <c r="N112" s="22">
        <f t="shared" si="21"/>
        <v>0</v>
      </c>
      <c r="O112" s="22">
        <f t="shared" si="21"/>
        <v>0</v>
      </c>
      <c r="P112" s="22">
        <f t="shared" si="21"/>
        <v>0</v>
      </c>
      <c r="Q112" s="22">
        <f t="shared" si="21"/>
        <v>0</v>
      </c>
      <c r="R112" s="22">
        <f t="shared" si="21"/>
        <v>0</v>
      </c>
      <c r="S112" s="22">
        <f t="shared" si="21"/>
        <v>0</v>
      </c>
      <c r="T112" s="22">
        <f t="shared" si="21"/>
        <v>0</v>
      </c>
      <c r="U112" s="22">
        <f t="shared" si="21"/>
        <v>0</v>
      </c>
      <c r="V112" s="22">
        <f t="shared" si="21"/>
        <v>0</v>
      </c>
      <c r="W112" s="22">
        <f t="shared" si="21"/>
        <v>0</v>
      </c>
      <c r="X112" s="22">
        <f t="shared" si="21"/>
        <v>0</v>
      </c>
      <c r="Y112" s="22">
        <f t="shared" si="23"/>
        <v>0</v>
      </c>
      <c r="Z112" s="22">
        <f t="shared" si="23"/>
        <v>0</v>
      </c>
      <c r="AA112" s="12">
        <f t="shared" si="24"/>
        <v>0</v>
      </c>
    </row>
    <row r="113" spans="11:27">
      <c r="K113" s="1" t="s">
        <v>5</v>
      </c>
      <c r="L113" s="22">
        <f t="shared" si="22"/>
        <v>0</v>
      </c>
      <c r="M113" s="22">
        <f t="shared" si="21"/>
        <v>0</v>
      </c>
      <c r="N113" s="22">
        <f t="shared" si="21"/>
        <v>0</v>
      </c>
      <c r="O113" s="22">
        <f t="shared" si="21"/>
        <v>0</v>
      </c>
      <c r="P113" s="22">
        <f t="shared" si="21"/>
        <v>0</v>
      </c>
      <c r="Q113" s="22">
        <f t="shared" si="21"/>
        <v>0</v>
      </c>
      <c r="R113" s="22">
        <f t="shared" si="21"/>
        <v>0</v>
      </c>
      <c r="S113" s="22">
        <f t="shared" si="21"/>
        <v>0</v>
      </c>
      <c r="T113" s="22">
        <f t="shared" si="21"/>
        <v>0</v>
      </c>
      <c r="U113" s="22">
        <f t="shared" si="21"/>
        <v>0</v>
      </c>
      <c r="V113" s="22">
        <f t="shared" si="21"/>
        <v>0</v>
      </c>
      <c r="W113" s="22">
        <f t="shared" si="21"/>
        <v>0</v>
      </c>
      <c r="X113" s="22">
        <f t="shared" si="21"/>
        <v>0</v>
      </c>
      <c r="Y113" s="22">
        <f t="shared" si="23"/>
        <v>0</v>
      </c>
      <c r="Z113" s="22">
        <f t="shared" si="23"/>
        <v>0</v>
      </c>
      <c r="AA113" s="12">
        <f t="shared" si="24"/>
        <v>0</v>
      </c>
    </row>
    <row r="114" spans="11:27">
      <c r="K114" s="1" t="s">
        <v>6</v>
      </c>
      <c r="L114" s="22">
        <f t="shared" si="22"/>
        <v>0</v>
      </c>
      <c r="M114" s="22">
        <f t="shared" si="21"/>
        <v>0</v>
      </c>
      <c r="N114" s="22">
        <f t="shared" si="21"/>
        <v>0</v>
      </c>
      <c r="O114" s="22">
        <f t="shared" si="21"/>
        <v>0</v>
      </c>
      <c r="P114" s="22">
        <f t="shared" si="21"/>
        <v>0</v>
      </c>
      <c r="Q114" s="22">
        <f t="shared" si="21"/>
        <v>0</v>
      </c>
      <c r="R114" s="22">
        <f t="shared" si="21"/>
        <v>0</v>
      </c>
      <c r="S114" s="22">
        <f t="shared" si="21"/>
        <v>0</v>
      </c>
      <c r="T114" s="22">
        <f t="shared" si="21"/>
        <v>0</v>
      </c>
      <c r="U114" s="22">
        <f t="shared" si="21"/>
        <v>0</v>
      </c>
      <c r="V114" s="22">
        <f t="shared" si="21"/>
        <v>0</v>
      </c>
      <c r="W114" s="22">
        <f t="shared" si="21"/>
        <v>0</v>
      </c>
      <c r="X114" s="22">
        <f t="shared" si="21"/>
        <v>0</v>
      </c>
      <c r="Y114" s="22">
        <f t="shared" si="23"/>
        <v>0</v>
      </c>
      <c r="Z114" s="22">
        <f t="shared" si="23"/>
        <v>0</v>
      </c>
      <c r="AA114" s="12">
        <f t="shared" si="24"/>
        <v>0</v>
      </c>
    </row>
    <row r="115" spans="11:27">
      <c r="K115" s="1" t="s">
        <v>7</v>
      </c>
      <c r="L115" s="22">
        <f t="shared" si="22"/>
        <v>0</v>
      </c>
      <c r="M115" s="22">
        <f t="shared" si="21"/>
        <v>0</v>
      </c>
      <c r="N115" s="22">
        <f t="shared" si="21"/>
        <v>0</v>
      </c>
      <c r="O115" s="22">
        <f t="shared" si="21"/>
        <v>0</v>
      </c>
      <c r="P115" s="22">
        <f t="shared" si="21"/>
        <v>0</v>
      </c>
      <c r="Q115" s="22">
        <f t="shared" si="21"/>
        <v>0</v>
      </c>
      <c r="R115" s="22">
        <f t="shared" si="21"/>
        <v>0</v>
      </c>
      <c r="S115" s="22">
        <f t="shared" si="21"/>
        <v>0</v>
      </c>
      <c r="T115" s="22">
        <f t="shared" si="21"/>
        <v>0</v>
      </c>
      <c r="U115" s="22">
        <f t="shared" si="21"/>
        <v>0</v>
      </c>
      <c r="V115" s="22">
        <f t="shared" si="21"/>
        <v>0</v>
      </c>
      <c r="W115" s="22">
        <f t="shared" si="21"/>
        <v>0</v>
      </c>
      <c r="X115" s="22">
        <f t="shared" si="21"/>
        <v>0</v>
      </c>
      <c r="Y115" s="22">
        <f t="shared" si="23"/>
        <v>0</v>
      </c>
      <c r="Z115" s="22">
        <f t="shared" si="23"/>
        <v>0</v>
      </c>
      <c r="AA115" s="12">
        <f t="shared" si="24"/>
        <v>0</v>
      </c>
    </row>
    <row r="116" spans="11:27">
      <c r="K116" s="1" t="s">
        <v>8</v>
      </c>
      <c r="L116" s="22">
        <f t="shared" si="22"/>
        <v>0</v>
      </c>
      <c r="M116" s="22">
        <f t="shared" si="21"/>
        <v>0</v>
      </c>
      <c r="N116" s="22">
        <f t="shared" si="21"/>
        <v>0</v>
      </c>
      <c r="O116" s="22">
        <f t="shared" si="21"/>
        <v>0</v>
      </c>
      <c r="P116" s="22">
        <f t="shared" si="21"/>
        <v>0</v>
      </c>
      <c r="Q116" s="22">
        <f t="shared" si="21"/>
        <v>0</v>
      </c>
      <c r="R116" s="22">
        <f t="shared" si="21"/>
        <v>0</v>
      </c>
      <c r="S116" s="22">
        <f t="shared" si="21"/>
        <v>0</v>
      </c>
      <c r="T116" s="22">
        <f t="shared" si="21"/>
        <v>0</v>
      </c>
      <c r="U116" s="22">
        <f t="shared" si="21"/>
        <v>0</v>
      </c>
      <c r="V116" s="22">
        <f t="shared" si="21"/>
        <v>0</v>
      </c>
      <c r="W116" s="22">
        <f t="shared" si="21"/>
        <v>0</v>
      </c>
      <c r="X116" s="22">
        <f t="shared" si="21"/>
        <v>0</v>
      </c>
      <c r="Y116" s="22">
        <f t="shared" si="23"/>
        <v>0</v>
      </c>
      <c r="Z116" s="22">
        <f t="shared" si="23"/>
        <v>0</v>
      </c>
      <c r="AA116" s="12">
        <f t="shared" si="24"/>
        <v>0</v>
      </c>
    </row>
    <row r="117" spans="11:27">
      <c r="K117" s="2" t="s">
        <v>9</v>
      </c>
      <c r="L117" s="22">
        <f t="shared" si="22"/>
        <v>0</v>
      </c>
      <c r="M117" s="22">
        <f t="shared" si="21"/>
        <v>0</v>
      </c>
      <c r="N117" s="22">
        <f t="shared" si="21"/>
        <v>0</v>
      </c>
      <c r="O117" s="22">
        <f t="shared" si="21"/>
        <v>0</v>
      </c>
      <c r="P117" s="22">
        <f t="shared" si="21"/>
        <v>0</v>
      </c>
      <c r="Q117" s="22">
        <f t="shared" si="21"/>
        <v>0</v>
      </c>
      <c r="R117" s="22">
        <f t="shared" si="21"/>
        <v>0</v>
      </c>
      <c r="S117" s="22">
        <f t="shared" si="21"/>
        <v>0</v>
      </c>
      <c r="T117" s="22">
        <f t="shared" si="21"/>
        <v>0</v>
      </c>
      <c r="U117" s="22">
        <f t="shared" si="21"/>
        <v>0</v>
      </c>
      <c r="V117" s="22">
        <f t="shared" si="21"/>
        <v>0</v>
      </c>
      <c r="W117" s="22">
        <f t="shared" si="21"/>
        <v>0</v>
      </c>
      <c r="X117" s="22">
        <f t="shared" si="21"/>
        <v>0</v>
      </c>
      <c r="Y117" s="22">
        <f t="shared" si="23"/>
        <v>0</v>
      </c>
      <c r="Z117" s="22">
        <f t="shared" si="23"/>
        <v>0</v>
      </c>
      <c r="AA117" s="12">
        <f t="shared" si="24"/>
        <v>0</v>
      </c>
    </row>
    <row r="118" spans="11:27">
      <c r="K118" s="18" t="s">
        <v>10</v>
      </c>
      <c r="L118" s="22">
        <f t="shared" si="22"/>
        <v>0</v>
      </c>
      <c r="M118" s="22">
        <f t="shared" si="21"/>
        <v>0</v>
      </c>
      <c r="N118" s="22">
        <f t="shared" si="21"/>
        <v>0</v>
      </c>
      <c r="O118" s="22">
        <f t="shared" si="21"/>
        <v>0</v>
      </c>
      <c r="P118" s="22">
        <f t="shared" si="21"/>
        <v>0</v>
      </c>
      <c r="Q118" s="22">
        <f t="shared" si="21"/>
        <v>0</v>
      </c>
      <c r="R118" s="22">
        <f t="shared" si="21"/>
        <v>0</v>
      </c>
      <c r="S118" s="22">
        <f t="shared" si="21"/>
        <v>0</v>
      </c>
      <c r="T118" s="22">
        <f t="shared" si="21"/>
        <v>0</v>
      </c>
      <c r="U118" s="22">
        <f t="shared" si="21"/>
        <v>0</v>
      </c>
      <c r="V118" s="22">
        <f t="shared" si="21"/>
        <v>0</v>
      </c>
      <c r="W118" s="22">
        <f t="shared" si="21"/>
        <v>0</v>
      </c>
      <c r="X118" s="22">
        <f t="shared" si="21"/>
        <v>0</v>
      </c>
      <c r="Y118" s="22">
        <f t="shared" si="23"/>
        <v>0</v>
      </c>
      <c r="Z118" s="22">
        <f t="shared" si="23"/>
        <v>0</v>
      </c>
      <c r="AA118" s="12">
        <f t="shared" si="24"/>
        <v>0</v>
      </c>
    </row>
    <row r="119" spans="11:27">
      <c r="K119" s="1" t="s">
        <v>11</v>
      </c>
      <c r="L119" s="22">
        <f t="shared" si="22"/>
        <v>0</v>
      </c>
      <c r="M119" s="22">
        <f t="shared" si="21"/>
        <v>0</v>
      </c>
      <c r="N119" s="22">
        <f t="shared" si="21"/>
        <v>0</v>
      </c>
      <c r="O119" s="22">
        <f t="shared" si="21"/>
        <v>0</v>
      </c>
      <c r="P119" s="22">
        <f t="shared" si="21"/>
        <v>0</v>
      </c>
      <c r="Q119" s="22">
        <f t="shared" si="21"/>
        <v>0</v>
      </c>
      <c r="R119" s="22">
        <f t="shared" si="21"/>
        <v>0</v>
      </c>
      <c r="S119" s="22">
        <f t="shared" si="21"/>
        <v>0</v>
      </c>
      <c r="T119" s="22">
        <f t="shared" si="21"/>
        <v>0</v>
      </c>
      <c r="U119" s="22">
        <f t="shared" si="21"/>
        <v>0</v>
      </c>
      <c r="V119" s="22">
        <f t="shared" si="21"/>
        <v>0</v>
      </c>
      <c r="W119" s="22">
        <f t="shared" si="21"/>
        <v>0</v>
      </c>
      <c r="X119" s="22">
        <f t="shared" si="21"/>
        <v>0</v>
      </c>
      <c r="Y119" s="22">
        <f t="shared" si="23"/>
        <v>0</v>
      </c>
      <c r="Z119" s="22">
        <f t="shared" si="23"/>
        <v>0</v>
      </c>
      <c r="AA119" s="12">
        <f t="shared" si="24"/>
        <v>0</v>
      </c>
    </row>
    <row r="120" spans="11:27">
      <c r="K120" s="1" t="s">
        <v>12</v>
      </c>
      <c r="L120" s="22">
        <f t="shared" si="22"/>
        <v>0</v>
      </c>
      <c r="M120" s="22">
        <f t="shared" si="21"/>
        <v>0</v>
      </c>
      <c r="N120" s="22">
        <f t="shared" si="21"/>
        <v>0</v>
      </c>
      <c r="O120" s="22">
        <f t="shared" si="21"/>
        <v>0</v>
      </c>
      <c r="P120" s="22">
        <f t="shared" si="21"/>
        <v>0</v>
      </c>
      <c r="Q120" s="22">
        <f t="shared" si="21"/>
        <v>0</v>
      </c>
      <c r="R120" s="22">
        <f t="shared" si="21"/>
        <v>0</v>
      </c>
      <c r="S120" s="22">
        <f t="shared" si="21"/>
        <v>0</v>
      </c>
      <c r="T120" s="22">
        <f t="shared" si="21"/>
        <v>0</v>
      </c>
      <c r="U120" s="22">
        <f t="shared" si="21"/>
        <v>0</v>
      </c>
      <c r="V120" s="22">
        <f t="shared" si="21"/>
        <v>0</v>
      </c>
      <c r="W120" s="22">
        <f t="shared" si="21"/>
        <v>0</v>
      </c>
      <c r="X120" s="22">
        <f t="shared" si="21"/>
        <v>0</v>
      </c>
      <c r="Y120" s="22">
        <f t="shared" si="23"/>
        <v>0</v>
      </c>
      <c r="Z120" s="22">
        <f t="shared" si="23"/>
        <v>0</v>
      </c>
      <c r="AA120" s="12">
        <f t="shared" si="24"/>
        <v>0</v>
      </c>
    </row>
    <row r="121" spans="11:27">
      <c r="K121" s="1" t="s">
        <v>15</v>
      </c>
      <c r="L121" s="22">
        <f t="shared" si="22"/>
        <v>0</v>
      </c>
      <c r="M121" s="22">
        <f t="shared" si="21"/>
        <v>0</v>
      </c>
      <c r="N121" s="22">
        <f t="shared" si="21"/>
        <v>0</v>
      </c>
      <c r="O121" s="22">
        <f t="shared" si="21"/>
        <v>0</v>
      </c>
      <c r="P121" s="22">
        <f t="shared" si="21"/>
        <v>0</v>
      </c>
      <c r="Q121" s="22">
        <f t="shared" si="21"/>
        <v>0</v>
      </c>
      <c r="R121" s="22">
        <f t="shared" si="21"/>
        <v>0</v>
      </c>
      <c r="S121" s="22">
        <f t="shared" si="21"/>
        <v>0</v>
      </c>
      <c r="T121" s="22">
        <f t="shared" si="21"/>
        <v>0</v>
      </c>
      <c r="U121" s="22">
        <f t="shared" si="21"/>
        <v>0</v>
      </c>
      <c r="V121" s="22">
        <f t="shared" si="21"/>
        <v>0</v>
      </c>
      <c r="W121" s="22">
        <f t="shared" si="21"/>
        <v>0</v>
      </c>
      <c r="X121" s="22">
        <f t="shared" si="21"/>
        <v>0</v>
      </c>
      <c r="Y121" s="22">
        <f t="shared" si="23"/>
        <v>0</v>
      </c>
      <c r="Z121" s="22">
        <f t="shared" si="23"/>
        <v>0</v>
      </c>
      <c r="AA121" s="12">
        <f t="shared" si="24"/>
        <v>0</v>
      </c>
    </row>
    <row r="122" spans="11:27">
      <c r="K122" s="1" t="s">
        <v>14</v>
      </c>
      <c r="L122" s="22">
        <f t="shared" si="22"/>
        <v>0</v>
      </c>
      <c r="M122" s="22">
        <f t="shared" si="21"/>
        <v>0</v>
      </c>
      <c r="N122" s="22">
        <f t="shared" si="21"/>
        <v>0</v>
      </c>
      <c r="O122" s="22">
        <f t="shared" si="21"/>
        <v>0</v>
      </c>
      <c r="P122" s="22">
        <f t="shared" si="21"/>
        <v>0</v>
      </c>
      <c r="Q122" s="22">
        <f t="shared" si="21"/>
        <v>0</v>
      </c>
      <c r="R122" s="22">
        <f t="shared" si="21"/>
        <v>0</v>
      </c>
      <c r="S122" s="22">
        <f t="shared" si="21"/>
        <v>0</v>
      </c>
      <c r="T122" s="22">
        <f t="shared" si="21"/>
        <v>0</v>
      </c>
      <c r="U122" s="22">
        <f>K89+AB89</f>
        <v>0</v>
      </c>
      <c r="V122" s="22">
        <f t="shared" si="21"/>
        <v>0</v>
      </c>
      <c r="W122" s="22">
        <f t="shared" si="21"/>
        <v>0</v>
      </c>
      <c r="X122" s="22">
        <f t="shared" si="21"/>
        <v>0</v>
      </c>
      <c r="Y122" s="22">
        <f t="shared" si="23"/>
        <v>0</v>
      </c>
      <c r="Z122" s="22">
        <f t="shared" si="23"/>
        <v>0</v>
      </c>
      <c r="AA122" s="12">
        <f t="shared" si="24"/>
        <v>0</v>
      </c>
    </row>
    <row r="123" spans="11:27">
      <c r="K123" s="18" t="s">
        <v>13</v>
      </c>
      <c r="L123" s="22">
        <f t="shared" si="22"/>
        <v>0</v>
      </c>
      <c r="M123" s="22">
        <f t="shared" si="21"/>
        <v>0</v>
      </c>
      <c r="N123" s="22">
        <f t="shared" si="21"/>
        <v>0</v>
      </c>
      <c r="O123" s="22">
        <f t="shared" si="21"/>
        <v>0</v>
      </c>
      <c r="P123" s="22">
        <f t="shared" si="21"/>
        <v>0</v>
      </c>
      <c r="Q123" s="22">
        <f t="shared" si="21"/>
        <v>0</v>
      </c>
      <c r="R123" s="22">
        <f t="shared" si="21"/>
        <v>0</v>
      </c>
      <c r="S123" s="22">
        <f t="shared" si="21"/>
        <v>0</v>
      </c>
      <c r="T123" s="22">
        <f t="shared" si="21"/>
        <v>0</v>
      </c>
      <c r="U123" s="22">
        <f>K90+AB90</f>
        <v>0</v>
      </c>
      <c r="V123" s="22">
        <f t="shared" si="21"/>
        <v>0</v>
      </c>
      <c r="W123" s="22">
        <f t="shared" si="21"/>
        <v>0</v>
      </c>
      <c r="X123" s="22">
        <f t="shared" si="21"/>
        <v>0</v>
      </c>
      <c r="Y123" s="22">
        <f t="shared" si="23"/>
        <v>0</v>
      </c>
      <c r="Z123" s="22">
        <f t="shared" si="23"/>
        <v>0</v>
      </c>
      <c r="AA123" s="12">
        <f t="shared" si="24"/>
        <v>0</v>
      </c>
    </row>
    <row r="124" spans="11:27">
      <c r="K124" s="1" t="s">
        <v>16</v>
      </c>
      <c r="L124" s="22">
        <f t="shared" si="22"/>
        <v>0</v>
      </c>
      <c r="M124" s="22">
        <f t="shared" si="22"/>
        <v>0</v>
      </c>
      <c r="N124" s="22">
        <f t="shared" si="22"/>
        <v>0</v>
      </c>
      <c r="O124" s="22">
        <f t="shared" si="22"/>
        <v>0</v>
      </c>
      <c r="P124" s="22">
        <f t="shared" si="22"/>
        <v>0</v>
      </c>
      <c r="Q124" s="22">
        <f t="shared" si="22"/>
        <v>0</v>
      </c>
      <c r="R124" s="22">
        <f t="shared" si="22"/>
        <v>0</v>
      </c>
      <c r="S124" s="22">
        <f t="shared" si="22"/>
        <v>0</v>
      </c>
      <c r="T124" s="22">
        <f t="shared" si="22"/>
        <v>0</v>
      </c>
      <c r="U124" s="22">
        <f t="shared" si="22"/>
        <v>0</v>
      </c>
      <c r="V124" s="22">
        <f t="shared" si="22"/>
        <v>0</v>
      </c>
      <c r="W124" s="22">
        <f t="shared" si="22"/>
        <v>0</v>
      </c>
      <c r="X124" s="22">
        <f t="shared" si="22"/>
        <v>0</v>
      </c>
      <c r="Y124" s="22">
        <f t="shared" si="23"/>
        <v>0</v>
      </c>
      <c r="Z124" s="22">
        <f t="shared" si="23"/>
        <v>0</v>
      </c>
      <c r="AA124" s="12">
        <f t="shared" si="24"/>
        <v>0</v>
      </c>
    </row>
    <row r="125" spans="11:27">
      <c r="K125" s="1" t="s">
        <v>17</v>
      </c>
      <c r="L125" s="22">
        <f t="shared" si="22"/>
        <v>0</v>
      </c>
      <c r="M125" s="22">
        <f t="shared" si="22"/>
        <v>0</v>
      </c>
      <c r="N125" s="22">
        <f t="shared" si="22"/>
        <v>0</v>
      </c>
      <c r="O125" s="22">
        <f t="shared" si="22"/>
        <v>0</v>
      </c>
      <c r="P125" s="22">
        <f t="shared" si="22"/>
        <v>0</v>
      </c>
      <c r="Q125" s="22">
        <f t="shared" si="22"/>
        <v>0</v>
      </c>
      <c r="R125" s="22">
        <f t="shared" si="22"/>
        <v>0</v>
      </c>
      <c r="S125" s="22">
        <f t="shared" si="22"/>
        <v>0</v>
      </c>
      <c r="T125" s="22">
        <f t="shared" si="22"/>
        <v>0</v>
      </c>
      <c r="U125" s="22">
        <f t="shared" si="22"/>
        <v>0</v>
      </c>
      <c r="V125" s="22">
        <f t="shared" si="22"/>
        <v>0</v>
      </c>
      <c r="W125" s="22">
        <f t="shared" si="22"/>
        <v>0</v>
      </c>
      <c r="X125" s="22">
        <f t="shared" si="22"/>
        <v>0</v>
      </c>
      <c r="Y125" s="22">
        <f t="shared" ref="Y125:Z134" si="25">AF92</f>
        <v>0</v>
      </c>
      <c r="Z125" s="22">
        <f t="shared" si="25"/>
        <v>0</v>
      </c>
      <c r="AA125" s="12">
        <f t="shared" si="24"/>
        <v>0</v>
      </c>
    </row>
    <row r="126" spans="11:27">
      <c r="K126" s="1" t="s">
        <v>18</v>
      </c>
      <c r="L126" s="22">
        <f t="shared" si="22"/>
        <v>0</v>
      </c>
      <c r="M126" s="22">
        <f t="shared" si="22"/>
        <v>0</v>
      </c>
      <c r="N126" s="22">
        <f t="shared" si="22"/>
        <v>0</v>
      </c>
      <c r="O126" s="22">
        <f t="shared" si="22"/>
        <v>0</v>
      </c>
      <c r="P126" s="22">
        <f t="shared" si="22"/>
        <v>0</v>
      </c>
      <c r="Q126" s="22">
        <f t="shared" si="22"/>
        <v>0</v>
      </c>
      <c r="R126" s="22">
        <f t="shared" si="22"/>
        <v>0</v>
      </c>
      <c r="S126" s="22">
        <f t="shared" si="22"/>
        <v>0</v>
      </c>
      <c r="T126" s="22">
        <f t="shared" si="22"/>
        <v>0</v>
      </c>
      <c r="U126" s="22">
        <f t="shared" si="22"/>
        <v>0</v>
      </c>
      <c r="V126" s="22">
        <f t="shared" si="22"/>
        <v>0</v>
      </c>
      <c r="W126" s="22">
        <f t="shared" si="22"/>
        <v>0</v>
      </c>
      <c r="X126" s="22">
        <f t="shared" si="22"/>
        <v>0</v>
      </c>
      <c r="Y126" s="22">
        <f t="shared" si="25"/>
        <v>0</v>
      </c>
      <c r="Z126" s="22">
        <f t="shared" si="25"/>
        <v>0</v>
      </c>
      <c r="AA126" s="12">
        <f t="shared" si="24"/>
        <v>0</v>
      </c>
    </row>
    <row r="127" spans="11:27">
      <c r="K127" s="1" t="s">
        <v>20</v>
      </c>
      <c r="L127" s="22">
        <f t="shared" si="22"/>
        <v>0</v>
      </c>
      <c r="M127" s="22">
        <f t="shared" si="22"/>
        <v>0</v>
      </c>
      <c r="N127" s="22">
        <f t="shared" si="22"/>
        <v>0</v>
      </c>
      <c r="O127" s="22">
        <f t="shared" si="22"/>
        <v>0</v>
      </c>
      <c r="P127" s="22">
        <f t="shared" si="22"/>
        <v>0</v>
      </c>
      <c r="Q127" s="22">
        <f t="shared" si="22"/>
        <v>0</v>
      </c>
      <c r="R127" s="22">
        <f t="shared" si="22"/>
        <v>0</v>
      </c>
      <c r="S127" s="22">
        <f t="shared" si="22"/>
        <v>0</v>
      </c>
      <c r="T127" s="22">
        <f t="shared" si="22"/>
        <v>0</v>
      </c>
      <c r="U127" s="22">
        <f t="shared" si="22"/>
        <v>0</v>
      </c>
      <c r="V127" s="22">
        <f t="shared" si="22"/>
        <v>0</v>
      </c>
      <c r="W127" s="22">
        <f t="shared" si="22"/>
        <v>0</v>
      </c>
      <c r="X127" s="22">
        <f t="shared" si="22"/>
        <v>0</v>
      </c>
      <c r="Y127" s="22">
        <f t="shared" si="25"/>
        <v>0</v>
      </c>
      <c r="Z127" s="22">
        <f t="shared" si="25"/>
        <v>0</v>
      </c>
      <c r="AA127" s="12">
        <f t="shared" si="24"/>
        <v>0</v>
      </c>
    </row>
    <row r="128" spans="11:27">
      <c r="K128" s="1" t="s">
        <v>19</v>
      </c>
      <c r="L128" s="22">
        <f t="shared" si="22"/>
        <v>0</v>
      </c>
      <c r="M128" s="22">
        <f t="shared" si="22"/>
        <v>0</v>
      </c>
      <c r="N128" s="22">
        <f t="shared" si="22"/>
        <v>0</v>
      </c>
      <c r="O128" s="22">
        <f t="shared" si="22"/>
        <v>0</v>
      </c>
      <c r="P128" s="22">
        <f t="shared" si="22"/>
        <v>0</v>
      </c>
      <c r="Q128" s="22">
        <f t="shared" si="22"/>
        <v>0</v>
      </c>
      <c r="R128" s="22">
        <f t="shared" si="22"/>
        <v>0</v>
      </c>
      <c r="S128" s="22">
        <f t="shared" si="22"/>
        <v>0</v>
      </c>
      <c r="T128" s="22">
        <f t="shared" si="22"/>
        <v>0</v>
      </c>
      <c r="U128" s="22">
        <f t="shared" si="22"/>
        <v>0</v>
      </c>
      <c r="V128" s="22">
        <f t="shared" si="22"/>
        <v>0</v>
      </c>
      <c r="W128" s="22">
        <f t="shared" si="22"/>
        <v>0</v>
      </c>
      <c r="X128" s="22">
        <f t="shared" si="22"/>
        <v>0</v>
      </c>
      <c r="Y128" s="22">
        <f t="shared" si="25"/>
        <v>0</v>
      </c>
      <c r="Z128" s="22">
        <f t="shared" si="25"/>
        <v>0</v>
      </c>
      <c r="AA128" s="12">
        <f t="shared" si="24"/>
        <v>0</v>
      </c>
    </row>
    <row r="129" spans="11:27">
      <c r="K129" s="18" t="s">
        <v>21</v>
      </c>
      <c r="L129" s="22">
        <f t="shared" si="22"/>
        <v>0</v>
      </c>
      <c r="M129" s="22">
        <f t="shared" si="22"/>
        <v>0</v>
      </c>
      <c r="N129" s="22">
        <f t="shared" si="22"/>
        <v>0</v>
      </c>
      <c r="O129" s="22">
        <f t="shared" si="22"/>
        <v>0</v>
      </c>
      <c r="P129" s="22">
        <f t="shared" si="22"/>
        <v>0</v>
      </c>
      <c r="Q129" s="22">
        <f t="shared" si="22"/>
        <v>0</v>
      </c>
      <c r="R129" s="22">
        <f t="shared" si="22"/>
        <v>0</v>
      </c>
      <c r="S129" s="22">
        <f t="shared" si="22"/>
        <v>0</v>
      </c>
      <c r="T129" s="22">
        <f t="shared" si="22"/>
        <v>0</v>
      </c>
      <c r="U129" s="22">
        <f t="shared" si="22"/>
        <v>0</v>
      </c>
      <c r="V129" s="22">
        <f t="shared" si="22"/>
        <v>0</v>
      </c>
      <c r="W129" s="22">
        <f t="shared" si="22"/>
        <v>0</v>
      </c>
      <c r="X129" s="22">
        <f t="shared" si="22"/>
        <v>0</v>
      </c>
      <c r="Y129" s="22">
        <f t="shared" si="25"/>
        <v>0</v>
      </c>
      <c r="Z129" s="22">
        <f t="shared" si="25"/>
        <v>0</v>
      </c>
      <c r="AA129" s="12">
        <f t="shared" si="24"/>
        <v>0</v>
      </c>
    </row>
    <row r="130" spans="11:27">
      <c r="K130" s="2" t="s">
        <v>22</v>
      </c>
      <c r="L130" s="22">
        <f t="shared" si="22"/>
        <v>0</v>
      </c>
      <c r="M130" s="22">
        <f t="shared" si="22"/>
        <v>0</v>
      </c>
      <c r="N130" s="22">
        <f t="shared" si="22"/>
        <v>0</v>
      </c>
      <c r="O130" s="22">
        <f t="shared" si="22"/>
        <v>0</v>
      </c>
      <c r="P130" s="22">
        <f t="shared" si="22"/>
        <v>0</v>
      </c>
      <c r="Q130" s="22">
        <f t="shared" si="22"/>
        <v>0</v>
      </c>
      <c r="R130" s="22">
        <f t="shared" si="22"/>
        <v>0</v>
      </c>
      <c r="S130" s="22">
        <f t="shared" si="22"/>
        <v>0</v>
      </c>
      <c r="T130" s="22">
        <f t="shared" si="22"/>
        <v>0</v>
      </c>
      <c r="U130" s="22">
        <f t="shared" si="22"/>
        <v>0</v>
      </c>
      <c r="V130" s="22">
        <f t="shared" si="22"/>
        <v>0</v>
      </c>
      <c r="W130" s="22">
        <f t="shared" si="22"/>
        <v>0</v>
      </c>
      <c r="X130" s="22">
        <f t="shared" si="22"/>
        <v>0</v>
      </c>
      <c r="Y130" s="22">
        <f t="shared" si="25"/>
        <v>0</v>
      </c>
      <c r="Z130" s="22">
        <f t="shared" si="25"/>
        <v>0</v>
      </c>
      <c r="AA130" s="12">
        <f t="shared" si="24"/>
        <v>0</v>
      </c>
    </row>
    <row r="131" spans="11:27">
      <c r="K131" s="1" t="s">
        <v>23</v>
      </c>
      <c r="L131" s="22">
        <f t="shared" si="22"/>
        <v>0</v>
      </c>
      <c r="M131" s="22">
        <f t="shared" si="22"/>
        <v>0</v>
      </c>
      <c r="N131" s="22">
        <f t="shared" si="22"/>
        <v>0</v>
      </c>
      <c r="O131" s="22">
        <f t="shared" si="22"/>
        <v>0</v>
      </c>
      <c r="P131" s="22">
        <f t="shared" si="22"/>
        <v>0</v>
      </c>
      <c r="Q131" s="22">
        <f t="shared" si="22"/>
        <v>0</v>
      </c>
      <c r="R131" s="22">
        <f t="shared" si="22"/>
        <v>0</v>
      </c>
      <c r="S131" s="22">
        <f t="shared" si="22"/>
        <v>0</v>
      </c>
      <c r="T131" s="22">
        <f t="shared" si="22"/>
        <v>0</v>
      </c>
      <c r="U131" s="22">
        <f t="shared" si="22"/>
        <v>0</v>
      </c>
      <c r="V131" s="22">
        <f t="shared" si="22"/>
        <v>0</v>
      </c>
      <c r="W131" s="22">
        <f t="shared" si="22"/>
        <v>0</v>
      </c>
      <c r="X131" s="22">
        <f t="shared" si="22"/>
        <v>0</v>
      </c>
      <c r="Y131" s="22">
        <f t="shared" si="25"/>
        <v>0</v>
      </c>
      <c r="Z131" s="22">
        <f t="shared" si="25"/>
        <v>0</v>
      </c>
      <c r="AA131" s="12">
        <f t="shared" si="24"/>
        <v>0</v>
      </c>
    </row>
    <row r="132" spans="11:27">
      <c r="K132" s="1" t="s">
        <v>25</v>
      </c>
      <c r="L132" s="22">
        <f t="shared" si="22"/>
        <v>0</v>
      </c>
      <c r="M132" s="22">
        <f t="shared" si="22"/>
        <v>0</v>
      </c>
      <c r="N132" s="22">
        <f t="shared" si="22"/>
        <v>0</v>
      </c>
      <c r="O132" s="22">
        <f t="shared" si="22"/>
        <v>0</v>
      </c>
      <c r="P132" s="22">
        <f t="shared" si="22"/>
        <v>0</v>
      </c>
      <c r="Q132" s="22">
        <f t="shared" si="22"/>
        <v>0</v>
      </c>
      <c r="R132" s="22">
        <f t="shared" si="22"/>
        <v>0</v>
      </c>
      <c r="S132" s="22">
        <f t="shared" si="22"/>
        <v>0</v>
      </c>
      <c r="T132" s="22">
        <f t="shared" si="22"/>
        <v>0</v>
      </c>
      <c r="U132" s="22">
        <f t="shared" si="22"/>
        <v>0</v>
      </c>
      <c r="V132" s="22">
        <f t="shared" si="22"/>
        <v>0</v>
      </c>
      <c r="W132" s="22">
        <f t="shared" si="22"/>
        <v>0</v>
      </c>
      <c r="X132" s="22">
        <f t="shared" si="22"/>
        <v>0</v>
      </c>
      <c r="Y132" s="22">
        <f t="shared" si="25"/>
        <v>0</v>
      </c>
      <c r="Z132" s="22">
        <f t="shared" si="25"/>
        <v>0</v>
      </c>
      <c r="AA132" s="12">
        <f t="shared" si="24"/>
        <v>0</v>
      </c>
    </row>
    <row r="133" spans="11:27">
      <c r="K133" s="1" t="s">
        <v>24</v>
      </c>
      <c r="L133" s="22">
        <f t="shared" si="22"/>
        <v>0</v>
      </c>
      <c r="M133" s="22">
        <f t="shared" si="22"/>
        <v>0</v>
      </c>
      <c r="N133" s="22">
        <f t="shared" si="22"/>
        <v>0</v>
      </c>
      <c r="O133" s="22">
        <f t="shared" si="22"/>
        <v>0</v>
      </c>
      <c r="P133" s="22">
        <f t="shared" si="22"/>
        <v>0</v>
      </c>
      <c r="Q133" s="22">
        <f t="shared" si="22"/>
        <v>0</v>
      </c>
      <c r="R133" s="22">
        <f t="shared" si="22"/>
        <v>0</v>
      </c>
      <c r="S133" s="22">
        <f t="shared" si="22"/>
        <v>0</v>
      </c>
      <c r="T133" s="22">
        <f t="shared" si="22"/>
        <v>0</v>
      </c>
      <c r="U133" s="22">
        <f t="shared" si="22"/>
        <v>0</v>
      </c>
      <c r="V133" s="22">
        <f t="shared" si="22"/>
        <v>0</v>
      </c>
      <c r="W133" s="22">
        <f t="shared" si="22"/>
        <v>0</v>
      </c>
      <c r="X133" s="22">
        <f t="shared" si="22"/>
        <v>0</v>
      </c>
      <c r="Y133" s="22">
        <f t="shared" si="25"/>
        <v>0</v>
      </c>
      <c r="Z133" s="22">
        <f t="shared" si="25"/>
        <v>0</v>
      </c>
      <c r="AA133" s="12">
        <f t="shared" si="24"/>
        <v>0</v>
      </c>
    </row>
    <row r="134" spans="11:27">
      <c r="K134" s="1" t="s">
        <v>26</v>
      </c>
      <c r="L134" s="22">
        <f t="shared" si="22"/>
        <v>0</v>
      </c>
      <c r="M134" s="22">
        <f t="shared" si="22"/>
        <v>0</v>
      </c>
      <c r="N134" s="22">
        <f t="shared" si="22"/>
        <v>0</v>
      </c>
      <c r="O134" s="22">
        <f t="shared" si="22"/>
        <v>0</v>
      </c>
      <c r="P134" s="22">
        <f t="shared" si="22"/>
        <v>0</v>
      </c>
      <c r="Q134" s="22">
        <f t="shared" si="22"/>
        <v>0</v>
      </c>
      <c r="R134" s="22">
        <f t="shared" si="22"/>
        <v>0</v>
      </c>
      <c r="S134" s="22">
        <f t="shared" si="22"/>
        <v>0</v>
      </c>
      <c r="T134" s="22">
        <f t="shared" si="22"/>
        <v>0</v>
      </c>
      <c r="U134" s="22">
        <f t="shared" si="22"/>
        <v>0</v>
      </c>
      <c r="V134" s="22">
        <f t="shared" si="22"/>
        <v>0</v>
      </c>
      <c r="W134" s="22">
        <f t="shared" si="22"/>
        <v>0</v>
      </c>
      <c r="X134" s="22">
        <f t="shared" si="22"/>
        <v>0</v>
      </c>
      <c r="Y134" s="22">
        <f t="shared" si="25"/>
        <v>0</v>
      </c>
      <c r="Z134" s="22">
        <f t="shared" si="25"/>
        <v>0</v>
      </c>
      <c r="AA134" s="12">
        <f t="shared" si="24"/>
        <v>0</v>
      </c>
    </row>
    <row r="135" spans="11:27">
      <c r="K135" s="8" t="s">
        <v>37</v>
      </c>
      <c r="L135" s="16">
        <f t="shared" ref="L135:AA135" si="26">SUM(L108:L134)</f>
        <v>0</v>
      </c>
      <c r="M135" s="16">
        <f t="shared" si="26"/>
        <v>0</v>
      </c>
      <c r="N135" s="16">
        <f t="shared" si="26"/>
        <v>0</v>
      </c>
      <c r="O135" s="16">
        <f t="shared" si="26"/>
        <v>0</v>
      </c>
      <c r="P135" s="16">
        <f t="shared" si="26"/>
        <v>0</v>
      </c>
      <c r="Q135" s="16">
        <f t="shared" si="26"/>
        <v>0</v>
      </c>
      <c r="R135" s="16">
        <f t="shared" si="26"/>
        <v>0</v>
      </c>
      <c r="S135" s="16">
        <f t="shared" si="26"/>
        <v>0</v>
      </c>
      <c r="T135" s="16">
        <f t="shared" si="26"/>
        <v>0</v>
      </c>
      <c r="U135" s="16">
        <f t="shared" si="26"/>
        <v>0</v>
      </c>
      <c r="V135" s="16">
        <f t="shared" si="26"/>
        <v>0</v>
      </c>
      <c r="W135" s="16">
        <f t="shared" si="26"/>
        <v>0</v>
      </c>
      <c r="X135" s="16">
        <f t="shared" si="26"/>
        <v>0</v>
      </c>
      <c r="Y135" s="16">
        <f>SUM(Y108:Y134)</f>
        <v>0</v>
      </c>
      <c r="Z135" s="16">
        <f>SUM(Z108:Z134)</f>
        <v>0</v>
      </c>
      <c r="AA135" s="7">
        <f t="shared" si="26"/>
        <v>0</v>
      </c>
    </row>
  </sheetData>
  <mergeCells count="102"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A37:O37"/>
    <mergeCell ref="A38:A39"/>
    <mergeCell ref="B38:C38"/>
    <mergeCell ref="D38:E38"/>
    <mergeCell ref="F38:F39"/>
    <mergeCell ref="G38:G39"/>
    <mergeCell ref="N38:N39"/>
    <mergeCell ref="O38:O39"/>
    <mergeCell ref="A72:O72"/>
    <mergeCell ref="J38:J39"/>
    <mergeCell ref="K38:K39"/>
    <mergeCell ref="L38:L39"/>
    <mergeCell ref="M38:M39"/>
    <mergeCell ref="A73:A74"/>
    <mergeCell ref="B73:C73"/>
    <mergeCell ref="D73:E73"/>
    <mergeCell ref="F73:F74"/>
    <mergeCell ref="G73:G74"/>
    <mergeCell ref="H73:H74"/>
    <mergeCell ref="I73:I74"/>
    <mergeCell ref="H38:H39"/>
    <mergeCell ref="I38:I39"/>
    <mergeCell ref="V106:V107"/>
    <mergeCell ref="W106:W107"/>
    <mergeCell ref="X106:X107"/>
    <mergeCell ref="AA106:AA107"/>
    <mergeCell ref="K105:AA105"/>
    <mergeCell ref="Y106:Z106"/>
    <mergeCell ref="J73:J74"/>
    <mergeCell ref="K73:K74"/>
    <mergeCell ref="L73:L74"/>
    <mergeCell ref="M73:M74"/>
    <mergeCell ref="N73:N74"/>
    <mergeCell ref="O73:O74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H3:AH4"/>
    <mergeCell ref="AF3:AG3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H38:AH39"/>
    <mergeCell ref="AF38:AG38"/>
    <mergeCell ref="R72:AH72"/>
    <mergeCell ref="R73:R74"/>
    <mergeCell ref="S73:T73"/>
    <mergeCell ref="U73:V73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AH73:AH74"/>
    <mergeCell ref="AF73:AG73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1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Q24"/>
  <sheetViews>
    <sheetView zoomScale="80" zoomScaleNormal="80" workbookViewId="0">
      <selection activeCell="A2" sqref="A2:AC37"/>
    </sheetView>
  </sheetViews>
  <sheetFormatPr defaultRowHeight="15"/>
  <cols>
    <col min="1" max="1" width="19.5703125" bestFit="1" customWidth="1"/>
    <col min="2" max="2" width="15.140625" bestFit="1" customWidth="1"/>
    <col min="3" max="3" width="16" customWidth="1"/>
    <col min="4" max="4" width="17.28515625" customWidth="1"/>
    <col min="5" max="5" width="16" customWidth="1"/>
    <col min="6" max="11" width="18.5703125" customWidth="1"/>
    <col min="12" max="12" width="19.42578125" customWidth="1"/>
    <col min="13" max="13" width="15" bestFit="1" customWidth="1"/>
    <col min="14" max="15" width="15" customWidth="1"/>
    <col min="16" max="16" width="13.7109375" customWidth="1"/>
    <col min="17" max="17" width="16.28515625" bestFit="1" customWidth="1"/>
  </cols>
  <sheetData>
    <row r="1" spans="1:17" ht="15.75" thickBot="1"/>
    <row r="2" spans="1:17" ht="47.25" thickBot="1">
      <c r="A2" s="302" t="s">
        <v>39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4"/>
    </row>
    <row r="3" spans="1:17" ht="27" customHeight="1">
      <c r="A3" s="305" t="s">
        <v>33</v>
      </c>
      <c r="B3" s="306" t="s">
        <v>27</v>
      </c>
      <c r="C3" s="307"/>
      <c r="D3" s="306" t="s">
        <v>29</v>
      </c>
      <c r="E3" s="307"/>
      <c r="F3" s="301" t="s">
        <v>28</v>
      </c>
      <c r="G3" s="301" t="s">
        <v>36</v>
      </c>
      <c r="H3" s="301" t="s">
        <v>30</v>
      </c>
      <c r="I3" s="301" t="s">
        <v>31</v>
      </c>
      <c r="J3" s="301" t="s">
        <v>32</v>
      </c>
      <c r="K3" s="301" t="s">
        <v>35</v>
      </c>
      <c r="L3" s="301" t="s">
        <v>40</v>
      </c>
      <c r="M3" s="301" t="s">
        <v>42</v>
      </c>
      <c r="N3" s="301" t="s">
        <v>45</v>
      </c>
      <c r="O3" s="287" t="s">
        <v>52</v>
      </c>
      <c r="P3" s="288"/>
      <c r="Q3" s="301" t="s">
        <v>34</v>
      </c>
    </row>
    <row r="4" spans="1:17" ht="30">
      <c r="A4" s="291"/>
      <c r="B4" s="5" t="s">
        <v>43</v>
      </c>
      <c r="C4" s="36" t="s">
        <v>44</v>
      </c>
      <c r="D4" s="5" t="s">
        <v>43</v>
      </c>
      <c r="E4" s="36" t="s">
        <v>44</v>
      </c>
      <c r="F4" s="286"/>
      <c r="G4" s="286"/>
      <c r="H4" s="286"/>
      <c r="I4" s="286"/>
      <c r="J4" s="286"/>
      <c r="K4" s="286"/>
      <c r="L4" s="286"/>
      <c r="M4" s="286"/>
      <c r="N4" s="286"/>
      <c r="O4" s="48" t="s">
        <v>53</v>
      </c>
      <c r="P4" s="48" t="s">
        <v>54</v>
      </c>
      <c r="Q4" s="286"/>
    </row>
    <row r="5" spans="1:17">
      <c r="A5" s="17" t="s">
        <v>105</v>
      </c>
      <c r="B5" s="22">
        <f>JAN!L135</f>
        <v>10754868.249999998</v>
      </c>
      <c r="C5" s="22">
        <f>JAN!M135</f>
        <v>1446032.3099999998</v>
      </c>
      <c r="D5" s="22">
        <f>JAN!N135</f>
        <v>1110920.1000000001</v>
      </c>
      <c r="E5" s="22">
        <f>JAN!O135</f>
        <v>210957</v>
      </c>
      <c r="F5" s="22">
        <f>JAN!P135</f>
        <v>5455921.4999999991</v>
      </c>
      <c r="G5" s="22">
        <f>JAN!Q135</f>
        <v>91479.090000000011</v>
      </c>
      <c r="H5" s="22">
        <f>JAN!R135</f>
        <v>228010.44999999995</v>
      </c>
      <c r="I5" s="22">
        <f>JAN!S135</f>
        <v>14266.819999999998</v>
      </c>
      <c r="J5" s="22">
        <f>JAN!T135</f>
        <v>273904.7</v>
      </c>
      <c r="K5" s="22">
        <f>JAN!U135</f>
        <v>17311.739999999998</v>
      </c>
      <c r="L5" s="22">
        <f>JAN!V135</f>
        <v>934.56</v>
      </c>
      <c r="M5" s="22">
        <f>JAN!W135</f>
        <v>270.42</v>
      </c>
      <c r="N5" s="22">
        <f>JAN!X135</f>
        <v>14269.249999999998</v>
      </c>
      <c r="O5" s="22">
        <f>JAN!Y135</f>
        <v>736.75</v>
      </c>
      <c r="P5" s="22">
        <f>JAN!Z135</f>
        <v>7508.53</v>
      </c>
      <c r="Q5" s="12">
        <f>SUM(B5:P5)</f>
        <v>19627391.469999995</v>
      </c>
    </row>
    <row r="6" spans="1:17">
      <c r="A6" s="17" t="s">
        <v>106</v>
      </c>
      <c r="B6" s="22">
        <f>FEV!L135</f>
        <v>11393795.619999999</v>
      </c>
      <c r="C6" s="22">
        <f>FEV!M135</f>
        <v>1323348.6500000004</v>
      </c>
      <c r="D6" s="22">
        <f>FEV!N135</f>
        <v>1642924.7299999997</v>
      </c>
      <c r="E6" s="22">
        <f>FEV!O135</f>
        <v>221486.11999999997</v>
      </c>
      <c r="F6" s="22">
        <f>FEV!P135</f>
        <v>6734481.0600000005</v>
      </c>
      <c r="G6" s="22">
        <f>FEV!Q135</f>
        <v>104994.08</v>
      </c>
      <c r="H6" s="22">
        <f>FEV!R135</f>
        <v>238861.69999999992</v>
      </c>
      <c r="I6" s="22">
        <f>FEV!S135</f>
        <v>23161.599999999999</v>
      </c>
      <c r="J6" s="22">
        <f>FEV!T135</f>
        <v>220335.12</v>
      </c>
      <c r="K6" s="22">
        <f>FEV!U135</f>
        <v>17530.599999999999</v>
      </c>
      <c r="L6" s="22">
        <f>FEV!V135</f>
        <v>2084.7199999999998</v>
      </c>
      <c r="M6" s="22">
        <f>FEV!W135</f>
        <v>3736.46</v>
      </c>
      <c r="N6" s="22">
        <f>FEV!X135</f>
        <v>13598.880000000001</v>
      </c>
      <c r="O6" s="22">
        <f>FEV!Y135</f>
        <v>477.9</v>
      </c>
      <c r="P6" s="22">
        <f>FEV!Z135</f>
        <v>4159.49</v>
      </c>
      <c r="Q6" s="12">
        <f>SUM(B6:P6)</f>
        <v>21944976.729999997</v>
      </c>
    </row>
    <row r="7" spans="1:17">
      <c r="A7" s="17" t="s">
        <v>107</v>
      </c>
      <c r="B7" s="22">
        <f>MAR!L135</f>
        <v>4490339.8100000005</v>
      </c>
      <c r="C7" s="22">
        <f>MAR!M135</f>
        <v>965682.96999999986</v>
      </c>
      <c r="D7" s="22">
        <f>MAR!N135</f>
        <v>578247.42999999993</v>
      </c>
      <c r="E7" s="22">
        <f>MAR!O135</f>
        <v>157938.5</v>
      </c>
      <c r="F7" s="22">
        <f>MAR!P135</f>
        <v>6636331.9299999997</v>
      </c>
      <c r="G7" s="22">
        <f>MAR!Q135</f>
        <v>103383.15999999999</v>
      </c>
      <c r="H7" s="22">
        <f>MAR!R135</f>
        <v>188929.55999999997</v>
      </c>
      <c r="I7" s="22">
        <f>MAR!S135</f>
        <v>19263.48</v>
      </c>
      <c r="J7" s="22">
        <f>MAR!T135</f>
        <v>139879.19</v>
      </c>
      <c r="K7" s="22">
        <f>MAR!U135</f>
        <v>20847.2</v>
      </c>
      <c r="L7" s="22">
        <f>MAR!V135</f>
        <v>1326.6399999999999</v>
      </c>
      <c r="M7" s="22">
        <f>MAR!W135</f>
        <v>0</v>
      </c>
      <c r="N7" s="22">
        <f>MAR!X135</f>
        <v>7573.36</v>
      </c>
      <c r="O7" s="22">
        <f>MAR!Y135</f>
        <v>355.11</v>
      </c>
      <c r="P7" s="22">
        <f>MAR!Z135</f>
        <v>4275.38</v>
      </c>
      <c r="Q7" s="12">
        <f t="shared" ref="Q7:Q16" si="0">SUM(B7:P7)</f>
        <v>13314373.720000001</v>
      </c>
    </row>
    <row r="8" spans="1:17">
      <c r="A8" s="17" t="s">
        <v>108</v>
      </c>
      <c r="B8" s="22">
        <f>ABR!L135</f>
        <v>5048331.5600000005</v>
      </c>
      <c r="C8" s="22">
        <f>ABR!M135</f>
        <v>1016454.6100000001</v>
      </c>
      <c r="D8" s="22">
        <f>ABR!N135</f>
        <v>659842.43000000005</v>
      </c>
      <c r="E8" s="22">
        <f>ABR!O135</f>
        <v>181540.96</v>
      </c>
      <c r="F8" s="22">
        <f>ABR!P135</f>
        <v>7733387.1900000004</v>
      </c>
      <c r="G8" s="22">
        <f>ABR!Q135</f>
        <v>119018.76</v>
      </c>
      <c r="H8" s="22">
        <f>ABR!R135</f>
        <v>208724.58000000005</v>
      </c>
      <c r="I8" s="22">
        <f>ABR!S135</f>
        <v>24599.089999999997</v>
      </c>
      <c r="J8" s="22">
        <f>ABR!T135</f>
        <v>145071.40300000002</v>
      </c>
      <c r="K8" s="22">
        <f>ABR!U135</f>
        <v>18383.440000000002</v>
      </c>
      <c r="L8" s="22">
        <f>ABR!V135</f>
        <v>1705.68</v>
      </c>
      <c r="M8" s="22">
        <f>ABR!W135</f>
        <v>0</v>
      </c>
      <c r="N8" s="22">
        <f>ABR!X135</f>
        <v>5859.68</v>
      </c>
      <c r="O8" s="22">
        <f>ABR!Y135</f>
        <v>537.27</v>
      </c>
      <c r="P8" s="22">
        <f>ABR!Z135</f>
        <v>4882.3599999999997</v>
      </c>
      <c r="Q8" s="12">
        <f t="shared" si="0"/>
        <v>15168339.012999998</v>
      </c>
    </row>
    <row r="9" spans="1:17">
      <c r="A9" s="17" t="s">
        <v>109</v>
      </c>
      <c r="B9" s="22">
        <f>MAI!L135</f>
        <v>0</v>
      </c>
      <c r="C9" s="22">
        <f>MAI!M135</f>
        <v>0</v>
      </c>
      <c r="D9" s="22">
        <f>MAI!N135</f>
        <v>0</v>
      </c>
      <c r="E9" s="22">
        <f>MAI!O135</f>
        <v>0</v>
      </c>
      <c r="F9" s="22">
        <f>MAI!P135</f>
        <v>0</v>
      </c>
      <c r="G9" s="22">
        <f>MAI!Q135</f>
        <v>0</v>
      </c>
      <c r="H9" s="22">
        <f>MAI!R135</f>
        <v>0</v>
      </c>
      <c r="I9" s="22">
        <f>MAI!S135</f>
        <v>0</v>
      </c>
      <c r="J9" s="22">
        <f>MAI!T135</f>
        <v>0</v>
      </c>
      <c r="K9" s="22">
        <f>MAI!U135</f>
        <v>0</v>
      </c>
      <c r="L9" s="22">
        <f>MAI!V135</f>
        <v>0</v>
      </c>
      <c r="M9" s="22">
        <f>MAI!W135</f>
        <v>0</v>
      </c>
      <c r="N9" s="22">
        <f>MAI!X135</f>
        <v>0</v>
      </c>
      <c r="O9" s="22">
        <f>MAI!Y135</f>
        <v>0</v>
      </c>
      <c r="P9" s="22">
        <f>MAI!Z135</f>
        <v>0</v>
      </c>
      <c r="Q9" s="12">
        <f t="shared" si="0"/>
        <v>0</v>
      </c>
    </row>
    <row r="10" spans="1:17">
      <c r="A10" s="17" t="s">
        <v>110</v>
      </c>
      <c r="B10" s="22">
        <f>JUN!L135</f>
        <v>0</v>
      </c>
      <c r="C10" s="22">
        <f>JUN!M135</f>
        <v>0</v>
      </c>
      <c r="D10" s="22">
        <f>JUN!N135</f>
        <v>0</v>
      </c>
      <c r="E10" s="22">
        <f>JUN!O135</f>
        <v>0</v>
      </c>
      <c r="F10" s="22">
        <f>JUN!P135</f>
        <v>0</v>
      </c>
      <c r="G10" s="22">
        <f>JUN!Q135</f>
        <v>0</v>
      </c>
      <c r="H10" s="22">
        <f>JUN!R135</f>
        <v>0</v>
      </c>
      <c r="I10" s="22">
        <f>JUN!S135</f>
        <v>0</v>
      </c>
      <c r="J10" s="22">
        <f>JUN!T135</f>
        <v>0</v>
      </c>
      <c r="K10" s="22">
        <f>JUN!U135</f>
        <v>0</v>
      </c>
      <c r="L10" s="22">
        <f>JUN!V135</f>
        <v>0</v>
      </c>
      <c r="M10" s="22">
        <f>JUN!W135</f>
        <v>0</v>
      </c>
      <c r="N10" s="22">
        <f>JUN!X135</f>
        <v>0</v>
      </c>
      <c r="O10" s="22">
        <f>JUN!Y135</f>
        <v>0</v>
      </c>
      <c r="P10" s="22">
        <f>JUN!Z135</f>
        <v>0</v>
      </c>
      <c r="Q10" s="12">
        <f>SUM(B10:P10)</f>
        <v>0</v>
      </c>
    </row>
    <row r="11" spans="1:17">
      <c r="A11" s="17" t="s">
        <v>111</v>
      </c>
      <c r="B11" s="22">
        <f>JUL!L135</f>
        <v>0</v>
      </c>
      <c r="C11" s="22">
        <f>JUL!M135</f>
        <v>0</v>
      </c>
      <c r="D11" s="22">
        <f>JUL!N135</f>
        <v>0</v>
      </c>
      <c r="E11" s="22">
        <f>JUL!O135</f>
        <v>0</v>
      </c>
      <c r="F11" s="22">
        <f>JUL!P135</f>
        <v>0</v>
      </c>
      <c r="G11" s="22">
        <f>JUL!Q135</f>
        <v>0</v>
      </c>
      <c r="H11" s="22">
        <f>JUL!R135</f>
        <v>0</v>
      </c>
      <c r="I11" s="22">
        <f>JUL!S135</f>
        <v>0</v>
      </c>
      <c r="J11" s="22">
        <f>JUL!T135</f>
        <v>0</v>
      </c>
      <c r="K11" s="22">
        <f>JUL!U135</f>
        <v>0</v>
      </c>
      <c r="L11" s="22">
        <f>JUL!V135</f>
        <v>0</v>
      </c>
      <c r="M11" s="22">
        <f>JUL!W135</f>
        <v>0</v>
      </c>
      <c r="N11" s="22">
        <f>JUL!X135</f>
        <v>0</v>
      </c>
      <c r="O11" s="22">
        <f>JUL!Y135</f>
        <v>0</v>
      </c>
      <c r="P11" s="22">
        <f>JUL!Z135</f>
        <v>0</v>
      </c>
      <c r="Q11" s="12">
        <f t="shared" si="0"/>
        <v>0</v>
      </c>
    </row>
    <row r="12" spans="1:17">
      <c r="A12" s="17" t="s">
        <v>112</v>
      </c>
      <c r="B12" s="22">
        <f>AGO!L135</f>
        <v>0</v>
      </c>
      <c r="C12" s="22">
        <f>AGO!M135</f>
        <v>0</v>
      </c>
      <c r="D12" s="22">
        <f>AGO!N135</f>
        <v>0</v>
      </c>
      <c r="E12" s="22">
        <f>AGO!O135</f>
        <v>0</v>
      </c>
      <c r="F12" s="22">
        <f>AGO!P135</f>
        <v>0</v>
      </c>
      <c r="G12" s="22">
        <f>AGO!Q135</f>
        <v>0</v>
      </c>
      <c r="H12" s="22">
        <f>AGO!R135</f>
        <v>0</v>
      </c>
      <c r="I12" s="22">
        <f>AGO!S135</f>
        <v>0</v>
      </c>
      <c r="J12" s="22">
        <f>AGO!T135</f>
        <v>0</v>
      </c>
      <c r="K12" s="22">
        <f>AGO!U135</f>
        <v>0</v>
      </c>
      <c r="L12" s="22">
        <f>AGO!V135</f>
        <v>0</v>
      </c>
      <c r="M12" s="22">
        <f>AGO!W135</f>
        <v>0</v>
      </c>
      <c r="N12" s="22">
        <f>AGO!X135</f>
        <v>0</v>
      </c>
      <c r="O12" s="22">
        <f>AGO!Y135</f>
        <v>0</v>
      </c>
      <c r="P12" s="22">
        <f>AGO!Z135</f>
        <v>0</v>
      </c>
      <c r="Q12" s="12">
        <f t="shared" si="0"/>
        <v>0</v>
      </c>
    </row>
    <row r="13" spans="1:17" s="14" customFormat="1">
      <c r="A13" s="17" t="s">
        <v>113</v>
      </c>
      <c r="B13" s="22">
        <f>SET!L135</f>
        <v>0</v>
      </c>
      <c r="C13" s="22">
        <f>SET!M135</f>
        <v>0</v>
      </c>
      <c r="D13" s="22">
        <f>SET!N135</f>
        <v>0</v>
      </c>
      <c r="E13" s="22">
        <f>SET!O135</f>
        <v>0</v>
      </c>
      <c r="F13" s="22">
        <f>SET!P135</f>
        <v>0</v>
      </c>
      <c r="G13" s="22">
        <f>SET!Q135</f>
        <v>0</v>
      </c>
      <c r="H13" s="22">
        <f>SET!R135</f>
        <v>0</v>
      </c>
      <c r="I13" s="22">
        <f>SET!S135</f>
        <v>0</v>
      </c>
      <c r="J13" s="22">
        <f>SET!T135</f>
        <v>0</v>
      </c>
      <c r="K13" s="22">
        <f>SET!U135</f>
        <v>0</v>
      </c>
      <c r="L13" s="22">
        <f>SET!V135</f>
        <v>0</v>
      </c>
      <c r="M13" s="22">
        <f>SET!W135</f>
        <v>0</v>
      </c>
      <c r="N13" s="22">
        <f>SET!X135</f>
        <v>0</v>
      </c>
      <c r="O13" s="22">
        <f>SET!Y135</f>
        <v>0</v>
      </c>
      <c r="P13" s="22">
        <f>SET!Z135</f>
        <v>0</v>
      </c>
      <c r="Q13" s="12">
        <f>SUM(B13:P13)</f>
        <v>0</v>
      </c>
    </row>
    <row r="14" spans="1:17">
      <c r="A14" s="17" t="s">
        <v>114</v>
      </c>
      <c r="B14" s="22">
        <f>OUT!L135</f>
        <v>0</v>
      </c>
      <c r="C14" s="22">
        <f>OUT!M135</f>
        <v>0</v>
      </c>
      <c r="D14" s="22">
        <f>OUT!N135</f>
        <v>0</v>
      </c>
      <c r="E14" s="22">
        <f>OUT!O135</f>
        <v>0</v>
      </c>
      <c r="F14" s="22">
        <f>OUT!P135</f>
        <v>0</v>
      </c>
      <c r="G14" s="22">
        <f>OUT!Q135</f>
        <v>0</v>
      </c>
      <c r="H14" s="22">
        <f>OUT!R135</f>
        <v>0</v>
      </c>
      <c r="I14" s="22">
        <f>OUT!S135</f>
        <v>0</v>
      </c>
      <c r="J14" s="22">
        <f>OUT!T135</f>
        <v>0</v>
      </c>
      <c r="K14" s="22">
        <f>OUT!U135</f>
        <v>0</v>
      </c>
      <c r="L14" s="22">
        <f>OUT!V135</f>
        <v>0</v>
      </c>
      <c r="M14" s="22">
        <f>OUT!W135</f>
        <v>0</v>
      </c>
      <c r="N14" s="22">
        <f>OUT!X135</f>
        <v>0</v>
      </c>
      <c r="O14" s="22">
        <f>OUT!Y135</f>
        <v>0</v>
      </c>
      <c r="P14" s="22">
        <f>OUT!Z135</f>
        <v>0</v>
      </c>
      <c r="Q14" s="12">
        <f t="shared" si="0"/>
        <v>0</v>
      </c>
    </row>
    <row r="15" spans="1:17">
      <c r="A15" s="17" t="s">
        <v>115</v>
      </c>
      <c r="B15" s="22">
        <f>NOV!L135</f>
        <v>0</v>
      </c>
      <c r="C15" s="22">
        <f>NOV!M135</f>
        <v>0</v>
      </c>
      <c r="D15" s="22">
        <f>NOV!N135</f>
        <v>0</v>
      </c>
      <c r="E15" s="22">
        <f>NOV!O135</f>
        <v>0</v>
      </c>
      <c r="F15" s="22">
        <f>NOV!P135</f>
        <v>0</v>
      </c>
      <c r="G15" s="22">
        <f>NOV!Q135</f>
        <v>0</v>
      </c>
      <c r="H15" s="22">
        <f>NOV!R135</f>
        <v>0</v>
      </c>
      <c r="I15" s="22">
        <f>NOV!S135</f>
        <v>0</v>
      </c>
      <c r="J15" s="22">
        <f>NOV!T135</f>
        <v>0</v>
      </c>
      <c r="K15" s="22">
        <f>NOV!U135</f>
        <v>0</v>
      </c>
      <c r="L15" s="22">
        <f>NOV!V135</f>
        <v>0</v>
      </c>
      <c r="M15" s="22">
        <f>NOV!W135</f>
        <v>0</v>
      </c>
      <c r="N15" s="22">
        <f>NOV!X135</f>
        <v>0</v>
      </c>
      <c r="O15" s="22">
        <f>NOV!Y135</f>
        <v>0</v>
      </c>
      <c r="P15" s="22">
        <f>NOV!Z135</f>
        <v>0</v>
      </c>
      <c r="Q15" s="12">
        <f t="shared" si="0"/>
        <v>0</v>
      </c>
    </row>
    <row r="16" spans="1:17">
      <c r="A16" s="17" t="s">
        <v>116</v>
      </c>
      <c r="B16" s="22">
        <f>DEZ!L135</f>
        <v>0</v>
      </c>
      <c r="C16" s="22">
        <f>DEZ!M135</f>
        <v>0</v>
      </c>
      <c r="D16" s="22">
        <f>DEZ!N135</f>
        <v>0</v>
      </c>
      <c r="E16" s="22">
        <f>DEZ!O135</f>
        <v>0</v>
      </c>
      <c r="F16" s="22">
        <f>DEZ!P135</f>
        <v>0</v>
      </c>
      <c r="G16" s="22">
        <f>DEZ!Q135</f>
        <v>0</v>
      </c>
      <c r="H16" s="22">
        <f>DEZ!R135</f>
        <v>0</v>
      </c>
      <c r="I16" s="22">
        <f>DEZ!S135</f>
        <v>0</v>
      </c>
      <c r="J16" s="22">
        <f>DEZ!T135</f>
        <v>0</v>
      </c>
      <c r="K16" s="22">
        <f>DEZ!U135</f>
        <v>0</v>
      </c>
      <c r="L16" s="22">
        <f>DEZ!V135</f>
        <v>0</v>
      </c>
      <c r="M16" s="22">
        <f>DEZ!W135</f>
        <v>0</v>
      </c>
      <c r="N16" s="22">
        <f>DEZ!X135</f>
        <v>0</v>
      </c>
      <c r="O16" s="22">
        <f>DEZ!Y135</f>
        <v>0</v>
      </c>
      <c r="P16" s="22">
        <f>DEZ!Z135</f>
        <v>0</v>
      </c>
      <c r="Q16" s="12">
        <f t="shared" si="0"/>
        <v>0</v>
      </c>
    </row>
    <row r="17" spans="1:17">
      <c r="A17" s="19" t="s">
        <v>56</v>
      </c>
      <c r="B17" s="24">
        <f>SUM(B5:B16)</f>
        <v>31687335.240000002</v>
      </c>
      <c r="C17" s="24">
        <f t="shared" ref="C17:O17" si="1">SUM(C5:C16)</f>
        <v>4751518.54</v>
      </c>
      <c r="D17" s="24">
        <f t="shared" si="1"/>
        <v>3991934.69</v>
      </c>
      <c r="E17" s="24">
        <f t="shared" si="1"/>
        <v>771922.58</v>
      </c>
      <c r="F17" s="24">
        <f t="shared" si="1"/>
        <v>26560121.68</v>
      </c>
      <c r="G17" s="24">
        <f t="shared" si="1"/>
        <v>418875.09</v>
      </c>
      <c r="H17" s="24">
        <f t="shared" si="1"/>
        <v>864526.28999999992</v>
      </c>
      <c r="I17" s="24">
        <f t="shared" si="1"/>
        <v>81290.989999999991</v>
      </c>
      <c r="J17" s="24">
        <f t="shared" si="1"/>
        <v>779190.41300000006</v>
      </c>
      <c r="K17" s="24">
        <f t="shared" si="1"/>
        <v>74072.98</v>
      </c>
      <c r="L17" s="24">
        <f t="shared" si="1"/>
        <v>6051.6</v>
      </c>
      <c r="M17" s="24">
        <f t="shared" si="1"/>
        <v>4006.88</v>
      </c>
      <c r="N17" s="24">
        <f t="shared" si="1"/>
        <v>41301.17</v>
      </c>
      <c r="O17" s="24">
        <f t="shared" si="1"/>
        <v>2107.0300000000002</v>
      </c>
      <c r="P17" s="24">
        <f>SUM(P5:P16)</f>
        <v>20825.760000000002</v>
      </c>
      <c r="Q17" s="24">
        <f>SUM(Q5:Q16)</f>
        <v>70055080.932999983</v>
      </c>
    </row>
    <row r="18" spans="1:17">
      <c r="B18" s="148"/>
      <c r="C18" s="164">
        <f>B17+C17</f>
        <v>36438853.780000001</v>
      </c>
      <c r="D18" s="164"/>
      <c r="E18" s="164">
        <f>D17+E17</f>
        <v>4763857.2699999996</v>
      </c>
      <c r="F18" s="164">
        <f>F17</f>
        <v>26560121.68</v>
      </c>
      <c r="G18" s="164">
        <f>SUM(G17:P17)</f>
        <v>2292248.2029999993</v>
      </c>
      <c r="H18" s="15"/>
      <c r="I18" s="15"/>
      <c r="J18" s="15"/>
      <c r="K18" s="15"/>
      <c r="L18" s="15"/>
      <c r="M18" s="15"/>
      <c r="N18" s="15"/>
      <c r="O18" s="15"/>
      <c r="P18" s="15"/>
      <c r="Q18" s="15">
        <f>Q17-'TOTAL POR UF'!Q98</f>
        <v>0</v>
      </c>
    </row>
    <row r="19" spans="1:17">
      <c r="B19" s="20"/>
      <c r="F19" s="149"/>
    </row>
    <row r="20" spans="1:17">
      <c r="B20" s="150" t="s">
        <v>251</v>
      </c>
      <c r="C20" s="151">
        <f>C17/(B17+C17)</f>
        <v>0.1303970363252189</v>
      </c>
      <c r="D20" s="152" t="s">
        <v>252</v>
      </c>
      <c r="E20" s="153">
        <f>E17/(D17+E17)</f>
        <v>0.16203730217971035</v>
      </c>
      <c r="G20" s="92">
        <f>G18/(C18+E18+F18)</f>
        <v>3.3827514444879074E-2</v>
      </c>
    </row>
    <row r="21" spans="1:17">
      <c r="B21" s="154">
        <f>C17/1000000</f>
        <v>4.7515185400000002</v>
      </c>
      <c r="C21" s="154" t="s">
        <v>308</v>
      </c>
      <c r="D21" s="154">
        <f>E17/1000000</f>
        <v>0.77192257999999991</v>
      </c>
      <c r="E21" s="155" t="s">
        <v>253</v>
      </c>
    </row>
    <row r="22" spans="1:17">
      <c r="B22" s="156"/>
      <c r="C22" s="157" t="s">
        <v>254</v>
      </c>
      <c r="D22" s="158">
        <f>(C17+E17)/Q17</f>
        <v>7.8844261493075246E-2</v>
      </c>
      <c r="E22" s="159"/>
    </row>
    <row r="23" spans="1:17">
      <c r="B23" s="160"/>
      <c r="C23" s="161" t="s">
        <v>254</v>
      </c>
      <c r="D23" s="162">
        <f>(C17+E17)/1000000</f>
        <v>5.5234411200000002</v>
      </c>
      <c r="E23" s="163" t="s">
        <v>308</v>
      </c>
    </row>
    <row r="24" spans="1:17">
      <c r="B24" s="20"/>
      <c r="D24" s="92">
        <f>D23/(Q17/1000000)</f>
        <v>7.8844261493075246E-2</v>
      </c>
      <c r="F24" s="20"/>
    </row>
  </sheetData>
  <mergeCells count="15">
    <mergeCell ref="M3:M4"/>
    <mergeCell ref="Q3:Q4"/>
    <mergeCell ref="A2:Q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N3:N4"/>
    <mergeCell ref="O3:P3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R99"/>
  <sheetViews>
    <sheetView zoomScale="85" zoomScaleNormal="85" workbookViewId="0">
      <selection activeCell="A2" sqref="A2:AC37"/>
    </sheetView>
  </sheetViews>
  <sheetFormatPr defaultRowHeight="15"/>
  <cols>
    <col min="1" max="1" width="22.140625" bestFit="1" customWidth="1"/>
    <col min="2" max="2" width="14.28515625" bestFit="1" customWidth="1"/>
    <col min="3" max="5" width="13.28515625" customWidth="1"/>
    <col min="6" max="6" width="14.28515625" bestFit="1" customWidth="1"/>
    <col min="7" max="7" width="17.42578125" customWidth="1"/>
    <col min="8" max="10" width="13.28515625" customWidth="1"/>
    <col min="11" max="11" width="15.42578125" customWidth="1"/>
    <col min="12" max="16" width="13.28515625" customWidth="1"/>
    <col min="17" max="17" width="15.28515625" bestFit="1" customWidth="1"/>
    <col min="18" max="18" width="13.28515625" bestFit="1" customWidth="1"/>
  </cols>
  <sheetData>
    <row r="2" spans="1:18" ht="46.5">
      <c r="A2" s="292" t="s">
        <v>117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4"/>
    </row>
    <row r="3" spans="1:18" ht="27" customHeight="1">
      <c r="A3" s="290" t="s">
        <v>33</v>
      </c>
      <c r="B3" s="287" t="s">
        <v>27</v>
      </c>
      <c r="C3" s="288"/>
      <c r="D3" s="287" t="s">
        <v>29</v>
      </c>
      <c r="E3" s="288"/>
      <c r="F3" s="285" t="s">
        <v>28</v>
      </c>
      <c r="G3" s="285" t="s">
        <v>36</v>
      </c>
      <c r="H3" s="285" t="s">
        <v>30</v>
      </c>
      <c r="I3" s="285" t="s">
        <v>31</v>
      </c>
      <c r="J3" s="285" t="s">
        <v>32</v>
      </c>
      <c r="K3" s="285" t="s">
        <v>35</v>
      </c>
      <c r="L3" s="285" t="s">
        <v>40</v>
      </c>
      <c r="M3" s="285" t="s">
        <v>42</v>
      </c>
      <c r="N3" s="285" t="s">
        <v>45</v>
      </c>
      <c r="O3" s="287" t="s">
        <v>52</v>
      </c>
      <c r="P3" s="288"/>
      <c r="Q3" s="285" t="s">
        <v>34</v>
      </c>
    </row>
    <row r="4" spans="1:18" ht="30">
      <c r="A4" s="291"/>
      <c r="B4" s="5" t="s">
        <v>43</v>
      </c>
      <c r="C4" s="36" t="s">
        <v>44</v>
      </c>
      <c r="D4" s="5" t="s">
        <v>43</v>
      </c>
      <c r="E4" s="36" t="s">
        <v>44</v>
      </c>
      <c r="F4" s="286"/>
      <c r="G4" s="286"/>
      <c r="H4" s="286"/>
      <c r="I4" s="286"/>
      <c r="J4" s="286"/>
      <c r="K4" s="286"/>
      <c r="L4" s="286"/>
      <c r="M4" s="286"/>
      <c r="N4" s="286"/>
      <c r="O4" s="48" t="s">
        <v>53</v>
      </c>
      <c r="P4" s="48" t="s">
        <v>54</v>
      </c>
      <c r="Q4" s="286"/>
      <c r="R4" t="s">
        <v>233</v>
      </c>
    </row>
    <row r="5" spans="1:18">
      <c r="A5" s="18" t="s">
        <v>119</v>
      </c>
      <c r="B5" s="37">
        <f>JAN!B5+JAN!S5+FEV!B5+FEV!S5+MAR!B5+MAR!S5+ABR!B5+ABR!S5+MAI!B5+MAI!S5+JUN!B5+JUN!S5+JUL!B5+JUL!S5+AGO!B5+AGO!S5+SET!B5+SET!S5+OUT!B5+OUT!S5+NOV!B5+NOV!S5+DEZ!B5+DEZ!S5</f>
        <v>62046.576000000008</v>
      </c>
      <c r="C5" s="37">
        <f>JAN!C5+JAN!T5+FEV!C5+FEV!T5+MAR!C5+MAR!T5+ABR!C5+ABR!T5+MAI!C5+MAI!T5+JUN!C5+JUN!T5+JUL!C5+JUL!T5+AGO!C5+AGO!T5+SET!C5+SET!T5+OUT!C5+OUT!T5+NOV!C5+NOV!T5+DEZ!C5+DEZ!T5</f>
        <v>6688.7520000000013</v>
      </c>
      <c r="D5" s="37">
        <f>JAN!D5+JAN!U5+FEV!D5+FEV!U5+MAR!D5+MAR!U5+ABR!D5+ABR!U5+MAI!D5+MAI!U5+JUN!D5+JUN!U5+JUL!D5+JUL!U5+AGO!D5+AGO!U5+SET!D5+SET!U5+OUT!D5+OUT!U5+NOV!D5+NOV!U5+DEZ!D5+DEZ!U5</f>
        <v>8337.1840000000011</v>
      </c>
      <c r="E5" s="37">
        <f>JAN!E5+JAN!V5+FEV!E5+FEV!V5+MAR!E5+MAR!V5+ABR!E5+ABR!V5+MAI!E5+MAI!V5+JUN!E5+JUN!V5+JUL!E5+JUL!V5+AGO!E5+AGO!V5+SET!E5+SET!V5+OUT!E5+OUT!V5+NOV!E5+NOV!V5+DEZ!E5+DEZ!V5</f>
        <v>1292.1680000000001</v>
      </c>
      <c r="F5" s="37">
        <f>JAN!F5+JAN!W5+FEV!F5+FEV!W5+MAR!F5+MAR!W5+ABR!F5+ABR!W5+MAI!F5+MAI!W5+JUN!F5+JUN!W5+JUL!F5+JUL!W5+AGO!F5+AGO!W5+SET!F5+SET!W5+OUT!F5+OUT!W5+NOV!F5+NOV!W5+DEZ!F5+DEZ!W5</f>
        <v>44407.839999999997</v>
      </c>
      <c r="G5" s="37">
        <f>JAN!G5+JAN!X5+FEV!G5+FEV!X5+MAR!G5+MAR!X5+ABR!G5+ABR!X5+MAI!G5+MAI!X5+JUN!G5+JUN!X5+JUL!G5+JUL!X5+AGO!G5+AGO!X5+SET!G5+SET!X5+OUT!G5+OUT!X5+NOV!G5+NOV!X5+DEZ!G5+DEZ!X5</f>
        <v>2650.6720000000005</v>
      </c>
      <c r="H5" s="37">
        <f>JAN!H5+JAN!Y5+FEV!H5+FEV!Y5+MAR!H5+MAR!Y5+ABR!H5+ABR!Y5+MAI!H5+MAI!Y5+JUN!H5+JUN!Y5+JUL!H5+JUL!Y5+AGO!H5+AGO!Y5+SET!H5+SET!Y5+OUT!H5+OUT!Y5+NOV!H5+NOV!Y5+DEZ!H5+DEZ!Y5</f>
        <v>1099.424</v>
      </c>
      <c r="I5" s="37">
        <f>JAN!I5+JAN!Z5+FEV!I5+FEV!Z5+MAR!I5+MAR!Z5+ABR!I5+ABR!Z5+MAI!I5+MAI!Z5+JUN!I5+JUN!Z5+JUL!I5+JUL!Z5+AGO!I5+AGO!Z5+SET!I5+SET!Z5+OUT!I5+OUT!Z5+NOV!I5+NOV!Z5+DEZ!I5+DEZ!Z5</f>
        <v>227.42399999999998</v>
      </c>
      <c r="J5" s="37">
        <f>JAN!J5+JAN!AA5+FEV!J5+FEV!AA5+MAR!J5+MAR!AA5+ABR!J5+ABR!AA5+MAI!J5+MAI!AA5+JUN!J5+JUN!AA5+JUL!J5+JUL!AA5+AGO!J5+AGO!AA5+SET!J5+SET!AA5+OUT!J5+OUT!AA5+NOV!J5+NOV!AA5+DEZ!J5+DEZ!AA5</f>
        <v>1328.232</v>
      </c>
      <c r="K5" s="37">
        <f>JAN!K5+JAN!AB5+FEV!K5+FEV!AB5+MAR!K5+MAR!AB5+ABR!K5+ABR!AB5+MAI!K5+MAI!AB5+JUN!K5+JUN!AB5+JUL!K5+JUL!AB5+AGO!K5+AGO!AB5+SET!K5+SET!AB5+OUT!K5+OUT!AB5+NOV!K5+NOV!AB5+DEZ!K5+DEZ!AB5</f>
        <v>151.61600000000001</v>
      </c>
      <c r="L5" s="37">
        <f>JAN!L5+JAN!AC5+FEV!L5+FEV!AC5+MAR!L5+MAR!AC5+ABR!L5+ABR!AC5+MAI!L5+MAI!AC5+JUN!L5+JUN!AC5+JUL!L5+JUL!AC5+AGO!L5+AGO!AC5+SET!L5+SET!AC5+OUT!L5+OUT!AC5+NOV!L5+NOV!AC5+DEZ!L5+DEZ!AC5</f>
        <v>0</v>
      </c>
      <c r="M5" s="37">
        <f>JAN!M5+JAN!AD5+FEV!M5+FEV!AD5+MAR!M5+MAR!AD5+ABR!M5+ABR!AD5+MAI!M5+MAI!AD5+JUN!M5+JUN!AD5+JUL!M5+JUL!AD5+AGO!M5+AGO!AD5+SET!M5+SET!AD5+OUT!M5+OUT!AD5+NOV!M5+NOV!AD5+DEZ!M5+DEZ!AD5</f>
        <v>0</v>
      </c>
      <c r="N5" s="37">
        <f>JAN!N5+JAN!AE5+FEV!N5+FEV!AE5+MAR!N5+MAR!AE5+ABR!N5+ABR!AE5+MAI!N5+MAI!AE5+JUN!N5+JUN!AE5+JUL!N5+JUL!AE5+AGO!N5+AGO!AE5+SET!N5+SET!AE5+OUT!N5+OUT!AE5+NOV!N5+NOV!AE5+DEZ!N5+DEZ!AE5</f>
        <v>22.112000000000002</v>
      </c>
      <c r="O5" s="37">
        <f>JAN!AF5+FEV!AF5+MAR!AF5+ABR!AF5+MAI!AF5+JUN!AF5+JUL!AF5+AGO!AF5+SET!AF5+OUT!AF5+NOV!AF5+DEZ!AF5</f>
        <v>0</v>
      </c>
      <c r="P5" s="37">
        <f>JAN!AG5+FEV!AG5+MAR!AG5+ABR!AG5+MAI!AG5+JUN!AG5+JUL!AG5+AGO!AG5+SET!AG5+OUT!AG5+NOV!AG5+DEZ!AG5</f>
        <v>0</v>
      </c>
      <c r="Q5" s="38">
        <f>SUM(B5:P5)</f>
        <v>128252.00000000001</v>
      </c>
      <c r="R5" s="15">
        <f>SUM(G5:P5)</f>
        <v>5479.4800000000005</v>
      </c>
    </row>
    <row r="6" spans="1:18">
      <c r="A6" s="18" t="s">
        <v>120</v>
      </c>
      <c r="B6" s="37">
        <f>JAN!B6+JAN!S6+FEV!B6+FEV!S6+MAR!B6+MAR!S6+ABR!B6+ABR!S6+MAI!B6+MAI!S6+JUN!B6+JUN!S6+JUL!B6+JUL!S6+AGO!B6+AGO!S6+SET!B6+SET!S6+OUT!B6+OUT!S6+NOV!B6+NOV!S6+DEZ!B6+DEZ!S6</f>
        <v>243955.48800000001</v>
      </c>
      <c r="C6" s="37">
        <f>JAN!C6+JAN!T6+FEV!C6+FEV!T6+MAR!C6+MAR!T6+ABR!C6+ABR!T6+MAI!C6+MAI!T6+JUN!C6+JUN!T6+JUL!C6+JUL!T6+AGO!C6+AGO!T6+SET!C6+SET!T6+OUT!C6+OUT!T6+NOV!C6+NOV!T6+DEZ!C6+DEZ!T6</f>
        <v>38132.104000000007</v>
      </c>
      <c r="D6" s="37">
        <f>JAN!D6+JAN!U6+FEV!D6+FEV!U6+MAR!D6+MAR!U6+ABR!D6+ABR!U6+MAI!D6+MAI!U6+JUN!D6+JUN!U6+JUL!D6+JUL!U6+AGO!D6+AGO!U6+SET!D6+SET!U6+OUT!D6+OUT!U6+NOV!D6+NOV!U6+DEZ!D6+DEZ!U6</f>
        <v>12341.743999999999</v>
      </c>
      <c r="E6" s="37">
        <f>JAN!E6+JAN!V6+FEV!E6+FEV!V6+MAR!E6+MAR!V6+ABR!E6+ABR!V6+MAI!E6+MAI!V6+JUN!E6+JUN!V6+JUL!E6+JUL!V6+AGO!E6+AGO!V6+SET!E6+SET!V6+OUT!E6+OUT!V6+NOV!E6+NOV!V6+DEZ!E6+DEZ!V6</f>
        <v>955.87200000000007</v>
      </c>
      <c r="F6" s="37">
        <f>JAN!F6+JAN!W6+FEV!F6+FEV!W6+MAR!F6+MAR!W6+ABR!F6+ABR!W6+MAI!F6+MAI!W6+JUN!F6+JUN!W6+JUL!F6+JUL!W6+AGO!F6+AGO!W6+SET!F6+SET!W6+OUT!F6+OUT!W6+NOV!F6+NOV!W6+DEZ!F6+DEZ!W6</f>
        <v>157095.21600000001</v>
      </c>
      <c r="G6" s="37">
        <f>JAN!G6+JAN!X6+FEV!G6+FEV!X6+MAR!G6+MAR!X6+ABR!G6+ABR!X6+MAI!G6+MAI!X6+JUN!G6+JUN!X6+JUL!G6+JUL!X6+AGO!G6+AGO!X6+SET!G6+SET!X6+OUT!G6+OUT!X6+NOV!G6+NOV!X6+DEZ!G6+DEZ!X6</f>
        <v>4624.2880000000005</v>
      </c>
      <c r="H6" s="37">
        <f>JAN!H6+JAN!Y6+FEV!H6+FEV!Y6+MAR!H6+MAR!Y6+ABR!H6+ABR!Y6+MAI!H6+MAI!Y6+JUN!H6+JUN!Y6+JUL!H6+JUL!Y6+AGO!H6+AGO!Y6+SET!H6+SET!Y6+OUT!H6+OUT!Y6+NOV!H6+NOV!Y6+DEZ!H6+DEZ!Y6</f>
        <v>5314.3680000000004</v>
      </c>
      <c r="I6" s="37">
        <f>JAN!I6+JAN!Z6+FEV!I6+FEV!Z6+MAR!I6+MAR!Z6+ABR!I6+ABR!Z6+MAI!I6+MAI!Z6+JUN!I6+JUN!Z6+JUL!I6+JUL!Z6+AGO!I6+AGO!Z6+SET!I6+SET!Z6+OUT!I6+OUT!Z6+NOV!I6+NOV!Z6+DEZ!I6+DEZ!Z6</f>
        <v>1073.6480000000001</v>
      </c>
      <c r="J6" s="37">
        <f>JAN!J6+JAN!AA6+FEV!J6+FEV!AA6+MAR!J6+MAR!AA6+ABR!J6+ABR!AA6+MAI!J6+MAI!AA6+JUN!J6+JUN!AA6+JUL!J6+JUL!AA6+AGO!J6+AGO!AA6+SET!J6+SET!AA6+OUT!J6+OUT!AA6+NOV!J6+NOV!AA6+DEZ!J6+DEZ!AA6</f>
        <v>5137.8079999999991</v>
      </c>
      <c r="K6" s="37">
        <f>JAN!K6+JAN!AB6+FEV!K6+FEV!AB6+MAR!K6+MAR!AB6+ABR!K6+ABR!AB6+MAI!K6+MAI!AB6+JUN!K6+JUN!AB6+JUL!K6+JUL!AB6+AGO!K6+AGO!AB6+SET!K6+SET!AB6+OUT!K6+OUT!AB6+NOV!K6+NOV!AB6+DEZ!K6+DEZ!AB6</f>
        <v>227.42400000000004</v>
      </c>
      <c r="L6" s="37">
        <f>JAN!L6+JAN!AC6+FEV!L6+FEV!AC6+MAR!L6+MAR!AC6+ABR!L6+ABR!AC6+MAI!L6+MAI!AC6+JUN!L6+JUN!AC6+JUL!L6+JUL!AC6+AGO!L6+AGO!AC6+SET!L6+SET!AC6+OUT!L6+OUT!AC6+NOV!L6+NOV!AC6+DEZ!L6+DEZ!AC6</f>
        <v>151.61600000000001</v>
      </c>
      <c r="M6" s="37">
        <f>JAN!M6+JAN!AD6+FEV!M6+FEV!AD6+MAR!M6+MAR!AD6+ABR!M6+ABR!AD6+MAI!M6+MAI!AD6+JUN!M6+JUN!AD6+JUL!M6+JUL!AD6+AGO!M6+AGO!AD6+SET!M6+SET!AD6+OUT!M6+OUT!AD6+NOV!M6+NOV!AD6+DEZ!M6+DEZ!AD6</f>
        <v>0</v>
      </c>
      <c r="N6" s="37">
        <f>JAN!N6+JAN!AE6+FEV!N6+FEV!AE6+MAR!N6+MAR!AE6+ABR!N6+ABR!AE6+MAI!N6+MAI!AE6+JUN!N6+JUN!AE6+JUL!N6+JUL!AE6+AGO!N6+AGO!AE6+SET!N6+SET!AE6+OUT!N6+OUT!AE6+NOV!N6+NOV!AE6+DEZ!N6+DEZ!AE6</f>
        <v>243.232</v>
      </c>
      <c r="O6" s="37">
        <f>JAN!AF6+FEV!AF6+MAR!AF6+ABR!AF6+MAI!AF6+JUN!AF6+JUL!AF6+AGO!AF6+SET!AF6+OUT!AF6+NOV!AF6+DEZ!AF6</f>
        <v>0</v>
      </c>
      <c r="P6" s="37">
        <f>JAN!AG6+FEV!AG6+MAR!AG6+ABR!AG6+MAI!AG6+JUN!AG6+JUL!AG6+AGO!AG6+SET!AG6+OUT!AG6+NOV!AG6+DEZ!AG6</f>
        <v>0</v>
      </c>
      <c r="Q6" s="38">
        <f t="shared" ref="Q6:Q31" si="0">SUM(B6:P6)</f>
        <v>469252.80800000002</v>
      </c>
      <c r="R6" s="15">
        <f t="shared" ref="R6:R32" si="1">SUM(G6:P6)</f>
        <v>16772.384000000002</v>
      </c>
    </row>
    <row r="7" spans="1:18">
      <c r="A7" s="18" t="s">
        <v>121</v>
      </c>
      <c r="B7" s="37">
        <f>JAN!B7+JAN!S7+FEV!B7+FEV!S7+MAR!B7+MAR!S7+ABR!B7+ABR!S7+MAI!B7+MAI!S7+JUN!B7+JUN!S7+JUL!B7+JUL!S7+AGO!B7+AGO!S7+SET!B7+SET!S7+OUT!B7+OUT!S7+NOV!B7+NOV!S7+DEZ!B7+DEZ!S7</f>
        <v>58709.056000000004</v>
      </c>
      <c r="C7" s="37">
        <f>JAN!C7+JAN!T7+FEV!C7+FEV!T7+MAR!C7+MAR!T7+ABR!C7+ABR!T7+MAI!C7+MAI!T7+JUN!C7+JUN!T7+JUL!C7+JUL!T7+AGO!C7+AGO!T7+SET!C7+SET!T7+OUT!C7+OUT!T7+NOV!C7+NOV!T7+DEZ!C7+DEZ!T7</f>
        <v>23777.103999999999</v>
      </c>
      <c r="D7" s="37">
        <f>JAN!D7+JAN!U7+FEV!D7+FEV!U7+MAR!D7+MAR!U7+ABR!D7+ABR!U7+MAI!D7+MAI!U7+JUN!D7+JUN!U7+JUL!D7+JUL!U7+AGO!D7+AGO!U7+SET!D7+SET!U7+OUT!D7+OUT!U7+NOV!D7+NOV!U7+DEZ!D7+DEZ!U7</f>
        <v>8023.424</v>
      </c>
      <c r="E7" s="37">
        <f>JAN!E7+JAN!V7+FEV!E7+FEV!V7+MAR!E7+MAR!V7+ABR!E7+ABR!V7+MAI!E7+MAI!V7+JUN!E7+JUN!V7+JUL!E7+JUL!V7+AGO!E7+AGO!V7+SET!E7+SET!V7+OUT!E7+OUT!V7+NOV!E7+NOV!V7+DEZ!E7+DEZ!V7</f>
        <v>2034.6320000000001</v>
      </c>
      <c r="F7" s="37">
        <f>JAN!F7+JAN!W7+FEV!F7+FEV!W7+MAR!F7+MAR!W7+ABR!F7+ABR!W7+MAI!F7+MAI!W7+JUN!F7+JUN!W7+JUL!F7+JUL!W7+AGO!F7+AGO!W7+SET!F7+SET!W7+OUT!F7+OUT!W7+NOV!F7+NOV!W7+DEZ!F7+DEZ!W7</f>
        <v>67511.288</v>
      </c>
      <c r="G7" s="37">
        <f>JAN!G7+JAN!X7+FEV!G7+FEV!X7+MAR!G7+MAR!X7+ABR!G7+ABR!X7+MAI!G7+MAI!X7+JUN!G7+JUN!X7+JUL!G7+JUL!X7+AGO!G7+AGO!X7+SET!G7+SET!X7+OUT!G7+OUT!X7+NOV!G7+NOV!X7+DEZ!G7+DEZ!X7</f>
        <v>5607.1840000000002</v>
      </c>
      <c r="H7" s="37">
        <f>JAN!H7+JAN!Y7+FEV!H7+FEV!Y7+MAR!H7+MAR!Y7+ABR!H7+ABR!Y7+MAI!H7+MAI!Y7+JUN!H7+JUN!Y7+JUL!H7+JUL!Y7+AGO!H7+AGO!Y7+SET!H7+SET!Y7+OUT!H7+OUT!Y7+NOV!H7+NOV!Y7+DEZ!H7+DEZ!Y7</f>
        <v>2680.7520000000004</v>
      </c>
      <c r="I7" s="37">
        <f>JAN!I7+JAN!Z7+FEV!I7+FEV!Z7+MAR!I7+MAR!Z7+ABR!I7+ABR!Z7+MAI!I7+MAI!Z7+JUN!I7+JUN!Z7+JUL!I7+JUL!Z7+AGO!I7+AGO!Z7+SET!I7+SET!Z7+OUT!I7+OUT!Z7+NOV!I7+NOV!Z7+DEZ!I7+DEZ!Z7</f>
        <v>435</v>
      </c>
      <c r="J7" s="37">
        <f>JAN!J7+JAN!AA7+FEV!J7+FEV!AA7+MAR!J7+MAR!AA7+ABR!J7+ABR!AA7+MAI!J7+MAI!AA7+JUN!J7+JUN!AA7+JUL!J7+JUL!AA7+AGO!J7+AGO!AA7+SET!J7+SET!AA7+OUT!J7+OUT!AA7+NOV!J7+NOV!AA7+DEZ!J7+DEZ!AA7</f>
        <v>4085.0400000000004</v>
      </c>
      <c r="K7" s="37">
        <f>JAN!K7+JAN!AB7+FEV!K7+FEV!AB7+MAR!K7+MAR!AB7+ABR!K7+ABR!AB7+MAI!K7+MAI!AB7+JUN!K7+JUN!AB7+JUL!K7+JUL!AB7+AGO!K7+AGO!AB7+SET!K7+SET!AB7+OUT!K7+OUT!AB7+NOV!K7+NOV!AB7+DEZ!K7+DEZ!AB7</f>
        <v>606.46399999999994</v>
      </c>
      <c r="L7" s="37">
        <f>JAN!L7+JAN!AC7+FEV!L7+FEV!AC7+MAR!L7+MAR!AC7+ABR!L7+ABR!AC7+MAI!L7+MAI!AC7+JUN!L7+JUN!AC7+JUL!L7+JUL!AC7+AGO!L7+AGO!AC7+SET!L7+SET!AC7+OUT!L7+OUT!AC7+NOV!L7+NOV!AC7+DEZ!L7+DEZ!AC7</f>
        <v>0</v>
      </c>
      <c r="M7" s="37">
        <f>JAN!M7+JAN!AD7+FEV!M7+FEV!AD7+MAR!M7+MAR!AD7+ABR!M7+ABR!AD7+MAI!M7+MAI!AD7+JUN!M7+JUN!AD7+JUL!M7+JUL!AD7+AGO!M7+AGO!AD7+SET!M7+SET!AD7+OUT!M7+OUT!AD7+NOV!M7+NOV!AD7+DEZ!M7+DEZ!AD7</f>
        <v>0</v>
      </c>
      <c r="N7" s="37">
        <f>JAN!N7+JAN!AE7+FEV!N7+FEV!AE7+MAR!N7+MAR!AE7+ABR!N7+ABR!AE7+MAI!N7+MAI!AE7+JUN!N7+JUN!AE7+JUL!N7+JUL!AE7+AGO!N7+AGO!AE7+SET!N7+SET!AE7+OUT!N7+OUT!AE7+NOV!N7+NOV!AE7+DEZ!N7+DEZ!AE7</f>
        <v>22.112000000000002</v>
      </c>
      <c r="O7" s="37">
        <f>JAN!AF7+FEV!AF7+MAR!AF7+ABR!AF7+MAI!AF7+JUN!AF7+JUL!AF7+AGO!AF7+SET!AF7+OUT!AF7+NOV!AF7+DEZ!AF7</f>
        <v>0</v>
      </c>
      <c r="P7" s="37">
        <f>JAN!AG7+FEV!AG7+MAR!AG7+ABR!AG7+MAI!AG7+JUN!AG7+JUL!AG7+AGO!AG7+SET!AG7+OUT!AG7+NOV!AG7+DEZ!AG7</f>
        <v>0</v>
      </c>
      <c r="Q7" s="38">
        <f t="shared" si="0"/>
        <v>173492.05600000004</v>
      </c>
      <c r="R7" s="15">
        <f t="shared" si="1"/>
        <v>13436.552000000001</v>
      </c>
    </row>
    <row r="8" spans="1:18">
      <c r="A8" s="18" t="s">
        <v>122</v>
      </c>
      <c r="B8" s="37">
        <f>JAN!B8+JAN!S8+FEV!B8+FEV!S8+MAR!B8+MAR!S8+ABR!B8+ABR!S8+MAI!B8+MAI!S8+JUN!B8+JUN!S8+JUL!B8+JUL!S8+AGO!B8+AGO!S8+SET!B8+SET!S8+OUT!B8+OUT!S8+NOV!B8+NOV!S8+DEZ!B8+DEZ!S8</f>
        <v>200498.22400000002</v>
      </c>
      <c r="C8" s="37">
        <f>JAN!C8+JAN!T8+FEV!C8+FEV!T8+MAR!C8+MAR!T8+ABR!C8+ABR!T8+MAI!C8+MAI!T8+JUN!C8+JUN!T8+JUL!C8+JUL!T8+AGO!C8+AGO!T8+SET!C8+SET!T8+OUT!C8+OUT!T8+NOV!C8+NOV!T8+DEZ!C8+DEZ!T8</f>
        <v>74752.216000000015</v>
      </c>
      <c r="D8" s="37">
        <f>JAN!D8+JAN!U8+FEV!D8+FEV!U8+MAR!D8+MAR!U8+ABR!D8+ABR!U8+MAI!D8+MAI!U8+JUN!D8+JUN!U8+JUL!D8+JUL!U8+AGO!D8+AGO!U8+SET!D8+SET!U8+OUT!D8+OUT!U8+NOV!D8+NOV!U8+DEZ!D8+DEZ!U8</f>
        <v>21776.696000000004</v>
      </c>
      <c r="E8" s="37">
        <f>JAN!E8+JAN!V8+FEV!E8+FEV!V8+MAR!E8+MAR!V8+ABR!E8+ABR!V8+MAI!E8+MAI!V8+JUN!E8+JUN!V8+JUL!E8+JUL!V8+AGO!E8+AGO!V8+SET!E8+SET!V8+OUT!E8+OUT!V8+NOV!E8+NOV!V8+DEZ!E8+DEZ!V8</f>
        <v>6920.6880000000001</v>
      </c>
      <c r="F8" s="37">
        <f>JAN!F8+JAN!W8+FEV!F8+FEV!W8+MAR!F8+MAR!W8+ABR!F8+ABR!W8+MAI!F8+MAI!W8+JUN!F8+JUN!W8+JUL!F8+JUL!W8+AGO!F8+AGO!W8+SET!F8+SET!W8+OUT!F8+OUT!W8+NOV!F8+NOV!W8+DEZ!F8+DEZ!W8</f>
        <v>133485.02399999998</v>
      </c>
      <c r="G8" s="37">
        <f>JAN!G8+JAN!X8+FEV!G8+FEV!X8+MAR!G8+MAR!X8+ABR!G8+ABR!X8+MAI!G8+MAI!X8+JUN!G8+JUN!X8+JUL!G8+JUL!X8+AGO!G8+AGO!X8+SET!G8+SET!X8+OUT!G8+OUT!X8+NOV!G8+NOV!X8+DEZ!G8+DEZ!X8</f>
        <v>2953.9040000000005</v>
      </c>
      <c r="H8" s="37">
        <f>JAN!H8+JAN!Y8+FEV!H8+FEV!Y8+MAR!H8+MAR!Y8+ABR!H8+ABR!Y8+MAI!H8+MAI!Y8+JUN!H8+JUN!Y8+JUL!H8+JUL!Y8+AGO!H8+AGO!Y8+SET!H8+SET!Y8+OUT!H8+OUT!Y8+NOV!H8+NOV!Y8+DEZ!H8+DEZ!Y8</f>
        <v>9372.7120000000014</v>
      </c>
      <c r="I8" s="37">
        <f>JAN!I8+JAN!Z8+FEV!I8+FEV!Z8+MAR!I8+MAR!Z8+ABR!I8+ABR!Z8+MAI!I8+MAI!Z8+JUN!I8+JUN!Z8+JUL!I8+JUL!Z8+AGO!I8+AGO!Z8+SET!I8+SET!Z8+OUT!I8+OUT!Z8+NOV!I8+NOV!Z8+DEZ!I8+DEZ!Z8</f>
        <v>0</v>
      </c>
      <c r="J8" s="37">
        <f>JAN!J8+JAN!AA8+FEV!J8+FEV!AA8+MAR!J8+MAR!AA8+ABR!J8+ABR!AA8+MAI!J8+MAI!AA8+JUN!J8+JUN!AA8+JUL!J8+JUL!AA8+AGO!J8+AGO!AA8+SET!J8+SET!AA8+OUT!J8+OUT!AA8+NOV!J8+NOV!AA8+DEZ!J8+DEZ!AA8</f>
        <v>10250.624000000002</v>
      </c>
      <c r="K8" s="37">
        <f>JAN!K8+JAN!AB8+FEV!K8+FEV!AB8+MAR!K8+MAR!AB8+ABR!K8+ABR!AB8+MAI!K8+MAI!AB8+JUN!K8+JUN!AB8+JUL!K8+JUL!AB8+AGO!K8+AGO!AB8+SET!K8+SET!AB8+OUT!K8+OUT!AB8+NOV!K8+NOV!AB8+DEZ!K8+DEZ!AB8</f>
        <v>379.03999999999996</v>
      </c>
      <c r="L8" s="37">
        <f>JAN!L8+JAN!AC8+FEV!L8+FEV!AC8+MAR!L8+MAR!AC8+ABR!L8+ABR!AC8+MAI!L8+MAI!AC8+JUN!L8+JUN!AC8+JUL!L8+JUL!AC8+AGO!L8+AGO!AC8+SET!L8+SET!AC8+OUT!L8+OUT!AC8+NOV!L8+NOV!AC8+DEZ!L8+DEZ!AC8</f>
        <v>0</v>
      </c>
      <c r="M8" s="37">
        <f>JAN!M8+JAN!AD8+FEV!M8+FEV!AD8+MAR!M8+MAR!AD8+ABR!M8+ABR!AD8+MAI!M8+MAI!AD8+JUN!M8+JUN!AD8+JUL!M8+JUL!AD8+AGO!M8+AGO!AD8+SET!M8+SET!AD8+OUT!M8+OUT!AD8+NOV!M8+NOV!AD8+DEZ!M8+DEZ!AD8</f>
        <v>0</v>
      </c>
      <c r="N8" s="37">
        <f>JAN!N8+JAN!AE8+FEV!N8+FEV!AE8+MAR!N8+MAR!AE8+ABR!N8+ABR!AE8+MAI!N8+MAI!AE8+JUN!N8+JUN!AE8+JUL!N8+JUL!AE8+AGO!N8+AGO!AE8+SET!N8+SET!AE8+OUT!N8+OUT!AE8+NOV!N8+NOV!AE8+DEZ!N8+DEZ!AE8</f>
        <v>66.336000000000013</v>
      </c>
      <c r="O8" s="37">
        <f>JAN!AF8+FEV!AF8+MAR!AF8+ABR!AF8+MAI!AF8+JUN!AF8+JUL!AF8+AGO!AF8+SET!AF8+OUT!AF8+NOV!AF8+DEZ!AF8</f>
        <v>83.495999999999995</v>
      </c>
      <c r="P8" s="37">
        <f>JAN!AG8+FEV!AG8+MAR!AG8+ABR!AG8+MAI!AG8+JUN!AG8+JUL!AG8+AGO!AG8+SET!AG8+OUT!AG8+NOV!AG8+DEZ!AG8</f>
        <v>856.6400000000001</v>
      </c>
      <c r="Q8" s="38">
        <f t="shared" si="0"/>
        <v>461395.60000000003</v>
      </c>
      <c r="R8" s="15">
        <f t="shared" si="1"/>
        <v>23962.752000000004</v>
      </c>
    </row>
    <row r="9" spans="1:18">
      <c r="A9" s="18" t="s">
        <v>123</v>
      </c>
      <c r="B9" s="37">
        <f>JAN!B9+JAN!S9+FEV!B9+FEV!S9+MAR!B9+MAR!S9+ABR!B9+ABR!S9+MAI!B9+MAI!S9+JUN!B9+JUN!S9+JUL!B9+JUL!S9+AGO!B9+AGO!S9+SET!B9+SET!S9+OUT!B9+OUT!S9+NOV!B9+NOV!S9+DEZ!B9+DEZ!S9</f>
        <v>699548.81599999999</v>
      </c>
      <c r="C9" s="37">
        <f>JAN!C9+JAN!T9+FEV!C9+FEV!T9+MAR!C9+MAR!T9+ABR!C9+ABR!T9+MAI!C9+MAI!T9+JUN!C9+JUN!T9+JUL!C9+JUL!T9+AGO!C9+AGO!T9+SET!C9+SET!T9+OUT!C9+OUT!T9+NOV!C9+NOV!T9+DEZ!C9+DEZ!T9</f>
        <v>107484.21600000001</v>
      </c>
      <c r="D9" s="37">
        <f>JAN!D9+JAN!U9+FEV!D9+FEV!U9+MAR!D9+MAR!U9+ABR!D9+ABR!U9+MAI!D9+MAI!U9+JUN!D9+JUN!U9+JUL!D9+JUL!U9+AGO!D9+AGO!U9+SET!D9+SET!U9+OUT!D9+OUT!U9+NOV!D9+NOV!U9+DEZ!D9+DEZ!U9</f>
        <v>106447.856</v>
      </c>
      <c r="E9" s="37">
        <f>JAN!E9+JAN!V9+FEV!E9+FEV!V9+MAR!E9+MAR!V9+ABR!E9+ABR!V9+MAI!E9+MAI!V9+JUN!E9+JUN!V9+JUL!E9+JUL!V9+AGO!E9+AGO!V9+SET!E9+SET!V9+OUT!E9+OUT!V9+NOV!E9+NOV!V9+DEZ!E9+DEZ!V9</f>
        <v>14547.712000000001</v>
      </c>
      <c r="F9" s="37">
        <f>JAN!F9+JAN!W9+FEV!F9+FEV!W9+MAR!F9+MAR!W9+ABR!F9+ABR!W9+MAI!F9+MAI!W9+JUN!F9+JUN!W9+JUL!F9+JUL!W9+AGO!F9+AGO!W9+SET!F9+SET!W9+OUT!F9+OUT!W9+NOV!F9+NOV!W9+DEZ!F9+DEZ!W9</f>
        <v>450916.94400000002</v>
      </c>
      <c r="G9" s="37">
        <f>JAN!G9+JAN!X9+FEV!G9+FEV!X9+MAR!G9+MAR!X9+ABR!G9+ABR!X9+MAI!G9+MAI!X9+JUN!G9+JUN!X9+JUL!G9+JUL!X9+AGO!G9+AGO!X9+SET!G9+SET!X9+OUT!G9+OUT!X9+NOV!G9+NOV!X9+DEZ!G9+DEZ!X9</f>
        <v>10992.160000000002</v>
      </c>
      <c r="H9" s="37">
        <f>JAN!H9+JAN!Y9+FEV!H9+FEV!Y9+MAR!H9+MAR!Y9+ABR!H9+ABR!Y9+MAI!H9+MAI!Y9+JUN!H9+JUN!Y9+JUL!H9+JUL!Y9+AGO!H9+AGO!Y9+SET!H9+SET!Y9+OUT!H9+OUT!Y9+NOV!H9+NOV!Y9+DEZ!H9+DEZ!Y9</f>
        <v>18605.824000000001</v>
      </c>
      <c r="I9" s="37">
        <f>JAN!I9+JAN!Z9+FEV!I9+FEV!Z9+MAR!I9+MAR!Z9+ABR!I9+ABR!Z9+MAI!I9+MAI!Z9+JUN!I9+JUN!Z9+JUL!I9+JUL!Z9+AGO!I9+AGO!Z9+SET!I9+SET!Z9+OUT!I9+OUT!Z9+NOV!I9+NOV!Z9+DEZ!I9+DEZ!Z9</f>
        <v>0</v>
      </c>
      <c r="J9" s="37">
        <f>JAN!J9+JAN!AA9+FEV!J9+FEV!AA9+MAR!J9+MAR!AA9+ABR!J9+ABR!AA9+MAI!J9+MAI!AA9+JUN!J9+JUN!AA9+JUL!J9+JUL!AA9+AGO!J9+AGO!AA9+SET!J9+SET!AA9+OUT!J9+OUT!AA9+NOV!J9+NOV!AA9+DEZ!J9+DEZ!AA9</f>
        <v>17526.552</v>
      </c>
      <c r="K9" s="37">
        <f>JAN!K9+JAN!AB9+FEV!K9+FEV!AB9+MAR!K9+MAR!AB9+ABR!K9+ABR!AB9+MAI!K9+MAI!AB9+JUN!K9+JUN!AB9+JUL!K9+JUL!AB9+AGO!K9+AGO!AB9+SET!K9+SET!AB9+OUT!K9+OUT!AB9+NOV!K9+NOV!AB9+DEZ!K9+DEZ!AB9</f>
        <v>2122.6240000000003</v>
      </c>
      <c r="L9" s="37">
        <f>JAN!L9+JAN!AC9+FEV!L9+FEV!AC9+MAR!L9+MAR!AC9+ABR!L9+ABR!AC9+MAI!L9+MAI!AC9+JUN!L9+JUN!AC9+JUL!L9+JUL!AC9+AGO!L9+AGO!AC9+SET!L9+SET!AC9+OUT!L9+OUT!AC9+NOV!L9+NOV!AC9+DEZ!L9+DEZ!AC9</f>
        <v>303.23200000000003</v>
      </c>
      <c r="M9" s="37">
        <f>JAN!M9+JAN!AD9+FEV!M9+FEV!AD9+MAR!M9+MAR!AD9+ABR!M9+ABR!AD9+MAI!M9+MAI!AD9+JUN!M9+JUN!AD9+JUL!M9+JUL!AD9+AGO!M9+AGO!AD9+SET!M9+SET!AD9+OUT!M9+OUT!AD9+NOV!M9+NOV!AD9+DEZ!M9+DEZ!AD9</f>
        <v>0</v>
      </c>
      <c r="N9" s="37">
        <f>JAN!N9+JAN!AE9+FEV!N9+FEV!AE9+MAR!N9+MAR!AE9+ABR!N9+ABR!AE9+MAI!N9+MAI!AE9+JUN!N9+JUN!AE9+JUL!N9+JUL!AE9+AGO!N9+AGO!AE9+SET!N9+SET!AE9+OUT!N9+OUT!AE9+NOV!N9+NOV!AE9+DEZ!N9+DEZ!AE9</f>
        <v>1146.0240000000001</v>
      </c>
      <c r="O9" s="37">
        <f>JAN!AF9+FEV!AF9+MAR!AF9+ABR!AF9+MAI!AF9+JUN!AF9+JUL!AF9+AGO!AF9+SET!AF9+OUT!AF9+NOV!AF9+DEZ!AF9</f>
        <v>0</v>
      </c>
      <c r="P9" s="37">
        <f>JAN!AG9+FEV!AG9+MAR!AG9+ABR!AG9+MAI!AG9+JUN!AG9+JUL!AG9+AGO!AG9+SET!AG9+OUT!AG9+NOV!AG9+DEZ!AG9</f>
        <v>0</v>
      </c>
      <c r="Q9" s="38">
        <f t="shared" si="0"/>
        <v>1429641.9600000002</v>
      </c>
      <c r="R9" s="15">
        <f t="shared" si="1"/>
        <v>50696.416000000012</v>
      </c>
    </row>
    <row r="10" spans="1:18">
      <c r="A10" s="18" t="s">
        <v>124</v>
      </c>
      <c r="B10" s="37">
        <f>JAN!B10+JAN!S10+FEV!B10+FEV!S10+MAR!B10+MAR!S10+ABR!B10+ABR!S10+MAI!B10+MAI!S10+JUN!B10+JUN!S10+JUL!B10+JUL!S10+AGO!B10+AGO!S10+SET!B10+SET!S10+OUT!B10+OUT!S10+NOV!B10+NOV!S10+DEZ!B10+DEZ!S10</f>
        <v>393609.39199999999</v>
      </c>
      <c r="C10" s="37">
        <f>JAN!C10+JAN!T10+FEV!C10+FEV!T10+MAR!C10+MAR!T10+ABR!C10+ABR!T10+MAI!C10+MAI!T10+JUN!C10+JUN!T10+JUL!C10+JUL!T10+AGO!C10+AGO!T10+SET!C10+SET!T10+OUT!C10+OUT!T10+NOV!C10+NOV!T10+DEZ!C10+DEZ!T10</f>
        <v>61676.376000000004</v>
      </c>
      <c r="D10" s="37">
        <f>JAN!D10+JAN!U10+FEV!D10+FEV!U10+MAR!D10+MAR!U10+ABR!D10+ABR!U10+MAI!D10+MAI!U10+JUN!D10+JUN!U10+JUL!D10+JUL!U10+AGO!D10+AGO!U10+SET!D10+SET!U10+OUT!D10+OUT!U10+NOV!D10+NOV!U10+DEZ!D10+DEZ!U10</f>
        <v>39708.328000000001</v>
      </c>
      <c r="E10" s="37">
        <f>JAN!E10+JAN!V10+FEV!E10+FEV!V10+MAR!E10+MAR!V10+ABR!E10+ABR!V10+MAI!E10+MAI!V10+JUN!E10+JUN!V10+JUL!E10+JUL!V10+AGO!E10+AGO!V10+SET!E10+SET!V10+OUT!E10+OUT!V10+NOV!E10+NOV!V10+DEZ!E10+DEZ!V10</f>
        <v>6519.12</v>
      </c>
      <c r="F10" s="37">
        <f>JAN!F10+JAN!W10+FEV!F10+FEV!W10+MAR!F10+MAR!W10+ABR!F10+ABR!W10+MAI!F10+MAI!W10+JUN!F10+JUN!W10+JUL!F10+JUL!W10+AGO!F10+AGO!W10+SET!F10+SET!W10+OUT!F10+OUT!W10+NOV!F10+NOV!W10+DEZ!F10+DEZ!W10</f>
        <v>238957.60000000003</v>
      </c>
      <c r="G10" s="37">
        <f>JAN!G10+JAN!X10+FEV!G10+FEV!X10+MAR!G10+MAR!X10+ABR!G10+ABR!X10+MAI!G10+MAI!X10+JUN!G10+JUN!X10+JUL!G10+JUL!X10+AGO!G10+AGO!X10+SET!G10+SET!X10+OUT!G10+OUT!X10+NOV!G10+NOV!X10+DEZ!G10+DEZ!X10</f>
        <v>1361.9360000000001</v>
      </c>
      <c r="H10" s="37">
        <f>JAN!H10+JAN!Y10+FEV!H10+FEV!Y10+MAR!H10+MAR!Y10+ABR!H10+ABR!Y10+MAI!H10+MAI!Y10+JUN!H10+JUN!Y10+JUL!H10+JUL!Y10+AGO!H10+AGO!Y10+SET!H10+SET!Y10+OUT!H10+OUT!Y10+NOV!H10+NOV!Y10+DEZ!H10+DEZ!Y10</f>
        <v>9774.0720000000001</v>
      </c>
      <c r="I10" s="37">
        <f>JAN!I10+JAN!Z10+FEV!I10+FEV!Z10+MAR!I10+MAR!Z10+ABR!I10+ABR!Z10+MAI!I10+MAI!Z10+JUN!I10+JUN!Z10+JUL!I10+JUL!Z10+AGO!I10+AGO!Z10+SET!I10+SET!Z10+OUT!I10+OUT!Z10+NOV!I10+NOV!Z10+DEZ!I10+DEZ!Z10</f>
        <v>4078.3519999999999</v>
      </c>
      <c r="J10" s="37">
        <f>JAN!J10+JAN!AA10+FEV!J10+FEV!AA10+MAR!J10+MAR!AA10+ABR!J10+ABR!AA10+MAI!J10+MAI!AA10+JUN!J10+JUN!AA10+JUL!J10+JUL!AA10+AGO!J10+AGO!AA10+SET!J10+SET!AA10+OUT!J10+OUT!AA10+NOV!J10+NOV!AA10+DEZ!J10+DEZ!AA10</f>
        <v>8968.8000000000011</v>
      </c>
      <c r="K10" s="37">
        <f>JAN!K10+JAN!AB10+FEV!K10+FEV!AB10+MAR!K10+MAR!AB10+ABR!K10+ABR!AB10+MAI!K10+MAI!AB10+JUN!K10+JUN!AB10+JUL!K10+JUL!AB10+AGO!K10+AGO!AB10+SET!K10+SET!AB10+OUT!K10+OUT!AB10+NOV!K10+NOV!AB10+DEZ!K10+DEZ!AB10</f>
        <v>1743.5839999999998</v>
      </c>
      <c r="L10" s="37">
        <f>JAN!L10+JAN!AC10+FEV!L10+FEV!AC10+MAR!L10+MAR!AC10+ABR!L10+ABR!AC10+MAI!L10+MAI!AC10+JUN!L10+JUN!AC10+JUL!L10+JUL!AC10+AGO!L10+AGO!AC10+SET!L10+SET!AC10+OUT!L10+OUT!AC10+NOV!L10+NOV!AC10+DEZ!L10+DEZ!AC10</f>
        <v>0</v>
      </c>
      <c r="M10" s="37">
        <f>JAN!M10+JAN!AD10+FEV!M10+FEV!AD10+MAR!M10+MAR!AD10+ABR!M10+ABR!AD10+MAI!M10+MAI!AD10+JUN!M10+JUN!AD10+JUL!M10+JUL!AD10+AGO!M10+AGO!AD10+SET!M10+SET!AD10+OUT!M10+OUT!AD10+NOV!M10+NOV!AD10+DEZ!M10+DEZ!AD10</f>
        <v>0</v>
      </c>
      <c r="N10" s="37">
        <f>JAN!N10+JAN!AE10+FEV!N10+FEV!AE10+MAR!N10+MAR!AE10+ABR!N10+ABR!AE10+MAI!N10+MAI!AE10+JUN!N10+JUN!AE10+JUL!N10+JUL!AE10+AGO!N10+AGO!AE10+SET!N10+SET!AE10+OUT!N10+OUT!AE10+NOV!N10+NOV!AE10+DEZ!N10+DEZ!AE10</f>
        <v>308.80799999999999</v>
      </c>
      <c r="O10" s="37">
        <f>JAN!AF10+FEV!AF10+MAR!AF10+ABR!AF10+MAI!AF10+JUN!AF10+JUL!AF10+AGO!AF10+SET!AF10+OUT!AF10+NOV!AF10+DEZ!AF10</f>
        <v>0</v>
      </c>
      <c r="P10" s="37">
        <f>JAN!AG10+FEV!AG10+MAR!AG10+ABR!AG10+MAI!AG10+JUN!AG10+JUL!AG10+AGO!AG10+SET!AG10+OUT!AG10+NOV!AG10+DEZ!AG10</f>
        <v>0</v>
      </c>
      <c r="Q10" s="38">
        <f t="shared" si="0"/>
        <v>766706.36800000002</v>
      </c>
      <c r="R10" s="15">
        <f t="shared" si="1"/>
        <v>26235.552000000003</v>
      </c>
    </row>
    <row r="11" spans="1:18">
      <c r="A11" s="18" t="s">
        <v>125</v>
      </c>
      <c r="B11" s="37">
        <f>JAN!B11+JAN!S11+FEV!B11+FEV!S11+MAR!B11+MAR!S11+ABR!B11+ABR!S11+MAI!B11+MAI!S11+JUN!B11+JUN!S11+JUL!B11+JUL!S11+AGO!B11+AGO!S11+SET!B11+SET!S11+OUT!B11+OUT!S11+NOV!B11+NOV!S11+DEZ!B11+DEZ!S11</f>
        <v>796306.70400000014</v>
      </c>
      <c r="C11" s="37">
        <f>JAN!C11+JAN!T11+FEV!C11+FEV!T11+MAR!C11+MAR!T11+ABR!C11+ABR!T11+MAI!C11+MAI!T11+JUN!C11+JUN!T11+JUL!C11+JUL!T11+AGO!C11+AGO!T11+SET!C11+SET!T11+OUT!C11+OUT!T11+NOV!C11+NOV!T11+DEZ!C11+DEZ!T11</f>
        <v>124401.07200000001</v>
      </c>
      <c r="D11" s="37">
        <f>JAN!D11+JAN!U11+FEV!D11+FEV!U11+MAR!D11+MAR!U11+ABR!D11+ABR!U11+MAI!D11+MAI!U11+JUN!D11+JUN!U11+JUL!D11+JUL!U11+AGO!D11+AGO!U11+SET!D11+SET!U11+OUT!D11+OUT!U11+NOV!D11+NOV!U11+DEZ!D11+DEZ!U11</f>
        <v>72703.040000000008</v>
      </c>
      <c r="E11" s="37">
        <f>JAN!E11+JAN!V11+FEV!E11+FEV!V11+MAR!E11+MAR!V11+ABR!E11+ABR!V11+MAI!E11+MAI!V11+JUN!E11+JUN!V11+JUL!E11+JUL!V11+AGO!E11+AGO!V11+SET!E11+SET!V11+OUT!E11+OUT!V11+NOV!E11+NOV!V11+DEZ!E11+DEZ!V11</f>
        <v>22435.864000000001</v>
      </c>
      <c r="F11" s="37">
        <f>JAN!F11+JAN!W11+FEV!F11+FEV!W11+MAR!F11+MAR!W11+ABR!F11+ABR!W11+MAI!F11+MAI!W11+JUN!F11+JUN!W11+JUL!F11+JUL!W11+AGO!F11+AGO!W11+SET!F11+SET!W11+OUT!F11+OUT!W11+NOV!F11+NOV!W11+DEZ!F11+DEZ!W11</f>
        <v>351396.68800000008</v>
      </c>
      <c r="G11" s="37">
        <f>JAN!G11+JAN!X11+FEV!G11+FEV!X11+MAR!G11+MAR!X11+ABR!G11+ABR!X11+MAI!G11+MAI!X11+JUN!G11+JUN!X11+JUL!G11+JUL!X11+AGO!G11+AGO!X11+SET!G11+SET!X11+OUT!G11+OUT!X11+NOV!G11+NOV!X11+DEZ!G11+DEZ!X11</f>
        <v>10004.048000000001</v>
      </c>
      <c r="H11" s="37">
        <f>JAN!H11+JAN!Y11+FEV!H11+FEV!Y11+MAR!H11+MAR!Y11+ABR!H11+ABR!Y11+MAI!H11+MAI!Y11+JUN!H11+JUN!Y11+JUL!H11+JUL!Y11+AGO!H11+AGO!Y11+SET!H11+SET!Y11+OUT!H11+OUT!Y11+NOV!H11+NOV!Y11+DEZ!H11+DEZ!Y11</f>
        <v>22257.332000000002</v>
      </c>
      <c r="I11" s="37">
        <f>JAN!I11+JAN!Z11+FEV!I11+FEV!Z11+MAR!I11+MAR!Z11+ABR!I11+ABR!Z11+MAI!I11+MAI!Z11+JUN!I11+JUN!Z11+JUL!I11+JUL!Z11+AGO!I11+AGO!Z11+SET!I11+SET!Z11+OUT!I11+OUT!Z11+NOV!I11+NOV!Z11+DEZ!I11+DEZ!Z11</f>
        <v>0</v>
      </c>
      <c r="J11" s="37">
        <f>JAN!J11+JAN!AA11+FEV!J11+FEV!AA11+MAR!J11+MAR!AA11+ABR!J11+ABR!AA11+MAI!J11+MAI!AA11+JUN!J11+JUN!AA11+JUL!J11+JUL!AA11+AGO!J11+AGO!AA11+SET!J11+SET!AA11+OUT!J11+OUT!AA11+NOV!J11+NOV!AA11+DEZ!J11+DEZ!AA11</f>
        <v>19922.960000000003</v>
      </c>
      <c r="K11" s="37">
        <f>JAN!K11+JAN!AB11+FEV!K11+FEV!AB11+MAR!K11+MAR!AB11+ABR!K11+ABR!AB11+MAI!K11+MAI!AB11+JUN!K11+JUN!AB11+JUL!K11+JUL!AB11+AGO!K11+AGO!AB11+SET!K11+SET!AB11+OUT!K11+OUT!AB11+NOV!K11+NOV!AB11+DEZ!K11+DEZ!AB11</f>
        <v>1288.7359999999999</v>
      </c>
      <c r="L11" s="37">
        <f>JAN!L11+JAN!AC11+FEV!L11+FEV!AC11+MAR!L11+MAR!AC11+ABR!L11+ABR!AC11+MAI!L11+MAI!AC11+JUN!L11+JUN!AC11+JUL!L11+JUL!AC11+AGO!L11+AGO!AC11+SET!L11+SET!AC11+OUT!L11+OUT!AC11+NOV!L11+NOV!AC11+DEZ!L11+DEZ!AC11</f>
        <v>151.61600000000001</v>
      </c>
      <c r="M11" s="37">
        <f>JAN!M11+JAN!AD11+FEV!M11+FEV!AD11+MAR!M11+MAR!AD11+ABR!M11+ABR!AD11+MAI!M11+MAI!AD11+JUN!M11+JUN!AD11+JUL!M11+JUL!AD11+AGO!M11+AGO!AD11+SET!M11+SET!AD11+OUT!M11+OUT!AD11+NOV!M11+NOV!AD11+DEZ!M11+DEZ!AD11</f>
        <v>0</v>
      </c>
      <c r="N11" s="37">
        <f>JAN!N11+JAN!AE11+FEV!N11+FEV!AE11+MAR!N11+MAR!AE11+ABR!N11+ABR!AE11+MAI!N11+MAI!AE11+JUN!N11+JUN!AE11+JUL!N11+JUL!AE11+AGO!N11+AGO!AE11+SET!N11+SET!AE11+OUT!N11+OUT!AE11+NOV!N11+NOV!AE11+DEZ!N11+DEZ!AE11</f>
        <v>1432.7200000000003</v>
      </c>
      <c r="O11" s="37">
        <f>JAN!AF11+FEV!AF11+MAR!AF11+ABR!AF11+MAI!AF11+JUN!AF11+JUL!AF11+AGO!AF11+SET!AF11+OUT!AF11+NOV!AF11+DEZ!AF11</f>
        <v>0</v>
      </c>
      <c r="P11" s="37">
        <f>JAN!AG11+FEV!AG11+MAR!AG11+ABR!AG11+MAI!AG11+JUN!AG11+JUL!AG11+AGO!AG11+SET!AG11+OUT!AG11+NOV!AG11+DEZ!AG11</f>
        <v>0</v>
      </c>
      <c r="Q11" s="38">
        <f t="shared" si="0"/>
        <v>1422300.78</v>
      </c>
      <c r="R11" s="15">
        <f t="shared" si="1"/>
        <v>55057.412000000011</v>
      </c>
    </row>
    <row r="12" spans="1:18">
      <c r="A12" s="18" t="s">
        <v>126</v>
      </c>
      <c r="B12" s="37">
        <f>JAN!B12+JAN!S12+FEV!B12+FEV!S12+MAR!B12+MAR!S12+ABR!B12+ABR!S12+MAI!B12+MAI!S12+JUN!B12+JUN!S12+JUL!B12+JUL!S12+AGO!B12+AGO!S12+SET!B12+SET!S12+OUT!B12+OUT!S12+NOV!B12+NOV!S12+DEZ!B12+DEZ!S12</f>
        <v>583863.72</v>
      </c>
      <c r="C12" s="37">
        <f>JAN!C12+JAN!T12+FEV!C12+FEV!T12+MAR!C12+MAR!T12+ABR!C12+ABR!T12+MAI!C12+MAI!T12+JUN!C12+JUN!T12+JUL!C12+JUL!T12+AGO!C12+AGO!T12+SET!C12+SET!T12+OUT!C12+OUT!T12+NOV!C12+NOV!T12+DEZ!C12+DEZ!T12</f>
        <v>86065.864000000001</v>
      </c>
      <c r="D12" s="37">
        <f>JAN!D12+JAN!U12+FEV!D12+FEV!U12+MAR!D12+MAR!U12+ABR!D12+ABR!U12+MAI!D12+MAI!U12+JUN!D12+JUN!U12+JUL!D12+JUL!U12+AGO!D12+AGO!U12+SET!D12+SET!U12+OUT!D12+OUT!U12+NOV!D12+NOV!U12+DEZ!D12+DEZ!U12</f>
        <v>64451.424000000006</v>
      </c>
      <c r="E12" s="37">
        <f>JAN!E12+JAN!V12+FEV!E12+FEV!V12+MAR!E12+MAR!V12+ABR!E12+ABR!V12+MAI!E12+MAI!V12+JUN!E12+JUN!V12+JUL!E12+JUL!V12+AGO!E12+AGO!V12+SET!E12+SET!V12+OUT!E12+OUT!V12+NOV!E12+NOV!V12+DEZ!E12+DEZ!V12</f>
        <v>12791.136</v>
      </c>
      <c r="F12" s="37">
        <f>JAN!F12+JAN!W12+FEV!F12+FEV!W12+MAR!F12+MAR!W12+ABR!F12+ABR!W12+MAI!F12+MAI!W12+JUN!F12+JUN!W12+JUL!F12+JUL!W12+AGO!F12+AGO!W12+SET!F12+SET!W12+OUT!F12+OUT!W12+NOV!F12+NOV!W12+DEZ!F12+DEZ!W12</f>
        <v>328060.864</v>
      </c>
      <c r="G12" s="37">
        <f>JAN!G12+JAN!X12+FEV!G12+FEV!X12+MAR!G12+MAR!X12+ABR!G12+ABR!X12+MAI!G12+MAI!X12+JUN!G12+JUN!X12+JUL!G12+JUL!X12+AGO!G12+AGO!X12+SET!G12+SET!X12+OUT!G12+OUT!X12+NOV!G12+NOV!X12+DEZ!G12+DEZ!X12</f>
        <v>8914.0480000000007</v>
      </c>
      <c r="H12" s="37">
        <f>JAN!H12+JAN!Y12+FEV!H12+FEV!Y12+MAR!H12+MAR!Y12+ABR!H12+ABR!Y12+MAI!H12+MAI!Y12+JUN!H12+JUN!Y12+JUL!H12+JUL!Y12+AGO!H12+AGO!Y12+SET!H12+SET!Y12+OUT!H12+OUT!Y12+NOV!H12+NOV!Y12+DEZ!H12+DEZ!Y12</f>
        <v>14629.976000000001</v>
      </c>
      <c r="I12" s="37">
        <f>JAN!I12+JAN!Z12+FEV!I12+FEV!Z12+MAR!I12+MAR!Z12+ABR!I12+ABR!Z12+MAI!I12+MAI!Z12+JUN!I12+JUN!Z12+JUL!I12+JUL!Z12+AGO!I12+AGO!Z12+SET!I12+SET!Z12+OUT!I12+OUT!Z12+NOV!I12+NOV!Z12+DEZ!I12+DEZ!Z12</f>
        <v>3894.6319999999996</v>
      </c>
      <c r="J12" s="37">
        <f>JAN!J12+JAN!AA12+FEV!J12+FEV!AA12+MAR!J12+MAR!AA12+ABR!J12+ABR!AA12+MAI!J12+MAI!AA12+JUN!J12+JUN!AA12+JUL!J12+JUL!AA12+AGO!J12+AGO!AA12+SET!J12+SET!AA12+OUT!J12+OUT!AA12+NOV!J12+NOV!AA12+DEZ!J12+DEZ!AA12</f>
        <v>13221.272000000003</v>
      </c>
      <c r="K12" s="37">
        <f>JAN!K12+JAN!AB12+FEV!K12+FEV!AB12+MAR!K12+MAR!AB12+ABR!K12+ABR!AB12+MAI!K12+MAI!AB12+JUN!K12+JUN!AB12+JUL!K12+JUL!AB12+AGO!K12+AGO!AB12+SET!K12+SET!AB12+OUT!K12+OUT!AB12+NOV!K12+NOV!AB12+DEZ!K12+DEZ!AB12</f>
        <v>1137.1199999999999</v>
      </c>
      <c r="L12" s="37">
        <f>JAN!L12+JAN!AC12+FEV!L12+FEV!AC12+MAR!L12+MAR!AC12+ABR!L12+ABR!AC12+MAI!L12+MAI!AC12+JUN!L12+JUN!AC12+JUL!L12+JUL!AC12+AGO!L12+AGO!AC12+SET!L12+SET!AC12+OUT!L12+OUT!AC12+NOV!L12+NOV!AC12+DEZ!L12+DEZ!AC12</f>
        <v>0</v>
      </c>
      <c r="M12" s="37">
        <f>JAN!M12+JAN!AD12+FEV!M12+FEV!AD12+MAR!M12+MAR!AD12+ABR!M12+ABR!AD12+MAI!M12+MAI!AD12+JUN!M12+JUN!AD12+JUL!M12+JUL!AD12+AGO!M12+AGO!AD12+SET!M12+SET!AD12+OUT!M12+OUT!AD12+NOV!M12+NOV!AD12+DEZ!M12+DEZ!AD12</f>
        <v>0</v>
      </c>
      <c r="N12" s="37">
        <f>JAN!N12+JAN!AE12+FEV!N12+FEV!AE12+MAR!N12+MAR!AE12+ABR!N12+ABR!AE12+MAI!N12+MAI!AE12+JUN!N12+JUN!AE12+JUL!N12+JUL!AE12+AGO!N12+AGO!AE12+SET!N12+SET!AE12+OUT!N12+OUT!AE12+NOV!N12+NOV!AE12+DEZ!N12+DEZ!AE12</f>
        <v>375.14400000000001</v>
      </c>
      <c r="O12" s="37">
        <f>JAN!AF12+FEV!AF12+MAR!AF12+ABR!AF12+MAI!AF12+JUN!AF12+JUL!AF12+AGO!AF12+SET!AF12+OUT!AF12+NOV!AF12+DEZ!AF12</f>
        <v>0</v>
      </c>
      <c r="P12" s="37">
        <f>JAN!AG12+FEV!AG12+MAR!AG12+ABR!AG12+MAI!AG12+JUN!AG12+JUL!AG12+AGO!AG12+SET!AG12+OUT!AG12+NOV!AG12+DEZ!AG12</f>
        <v>0</v>
      </c>
      <c r="Q12" s="38">
        <f t="shared" si="0"/>
        <v>1117405.2000000004</v>
      </c>
      <c r="R12" s="15">
        <f t="shared" si="1"/>
        <v>42172.19200000001</v>
      </c>
    </row>
    <row r="13" spans="1:18">
      <c r="A13" s="18" t="s">
        <v>127</v>
      </c>
      <c r="B13" s="37">
        <f>JAN!B13+JAN!S13+FEV!B13+FEV!S13+MAR!B13+MAR!S13+ABR!B13+ABR!S13+MAI!B13+MAI!S13+JUN!B13+JUN!S13+JUL!B13+JUL!S13+AGO!B13+AGO!S13+SET!B13+SET!S13+OUT!B13+OUT!S13+NOV!B13+NOV!S13+DEZ!B13+DEZ!S13</f>
        <v>534076.53600000008</v>
      </c>
      <c r="C13" s="37">
        <f>JAN!C13+JAN!T13+FEV!C13+FEV!T13+MAR!C13+MAR!T13+ABR!C13+ABR!T13+MAI!C13+MAI!T13+JUN!C13+JUN!T13+JUL!C13+JUL!T13+AGO!C13+AGO!T13+SET!C13+SET!T13+OUT!C13+OUT!T13+NOV!C13+NOV!T13+DEZ!C13+DEZ!T13</f>
        <v>98818.312000000005</v>
      </c>
      <c r="D13" s="37">
        <f>JAN!D13+JAN!U13+FEV!D13+FEV!U13+MAR!D13+MAR!U13+ABR!D13+ABR!U13+MAI!D13+MAI!U13+JUN!D13+JUN!U13+JUL!D13+JUL!U13+AGO!D13+AGO!U13+SET!D13+SET!U13+OUT!D13+OUT!U13+NOV!D13+NOV!U13+DEZ!D13+DEZ!U13</f>
        <v>64425.472000000002</v>
      </c>
      <c r="E13" s="37">
        <f>JAN!E13+JAN!V13+FEV!E13+FEV!V13+MAR!E13+MAR!V13+ABR!E13+ABR!V13+MAI!E13+MAI!V13+JUN!E13+JUN!V13+JUL!E13+JUL!V13+AGO!E13+AGO!V13+SET!E13+SET!V13+OUT!E13+OUT!V13+NOV!E13+NOV!V13+DEZ!E13+DEZ!V13</f>
        <v>12989.720000000001</v>
      </c>
      <c r="F13" s="37">
        <f>JAN!F13+JAN!W13+FEV!F13+FEV!W13+MAR!F13+MAR!W13+ABR!F13+ABR!W13+MAI!F13+MAI!W13+JUN!F13+JUN!W13+JUL!F13+JUL!W13+AGO!F13+AGO!W13+SET!F13+SET!W13+OUT!F13+OUT!W13+NOV!F13+NOV!W13+DEZ!F13+DEZ!W13</f>
        <v>657431.152</v>
      </c>
      <c r="G13" s="37">
        <f>JAN!G13+JAN!X13+FEV!G13+FEV!X13+MAR!G13+MAR!X13+ABR!G13+ABR!X13+MAI!G13+MAI!X13+JUN!G13+JUN!X13+JUL!G13+JUL!X13+AGO!G13+AGO!X13+SET!G13+SET!X13+OUT!G13+OUT!X13+NOV!G13+NOV!X13+DEZ!G13+DEZ!X13</f>
        <v>30927.056000000004</v>
      </c>
      <c r="H13" s="37">
        <f>JAN!H13+JAN!Y13+FEV!H13+FEV!Y13+MAR!H13+MAR!Y13+ABR!H13+ABR!Y13+MAI!H13+MAI!Y13+JUN!H13+JUN!Y13+JUL!H13+JUL!Y13+AGO!H13+AGO!Y13+SET!H13+SET!Y13+OUT!H13+OUT!Y13+NOV!H13+NOV!Y13+DEZ!H13+DEZ!Y13</f>
        <v>18575.248</v>
      </c>
      <c r="I13" s="37">
        <f>JAN!I13+JAN!Z13+FEV!I13+FEV!Z13+MAR!I13+MAR!Z13+ABR!I13+ABR!Z13+MAI!I13+MAI!Z13+JUN!I13+JUN!Z13+JUL!I13+JUL!Z13+AGO!I13+AGO!Z13+SET!I13+SET!Z13+OUT!I13+OUT!Z13+NOV!I13+NOV!Z13+DEZ!I13+DEZ!Z13</f>
        <v>3381.1680000000001</v>
      </c>
      <c r="J13" s="37">
        <f>JAN!J13+JAN!AA13+FEV!J13+FEV!AA13+MAR!J13+MAR!AA13+ABR!J13+ABR!AA13+MAI!J13+MAI!AA13+JUN!J13+JUN!AA13+JUL!J13+JUL!AA13+AGO!J13+AGO!AA13+SET!J13+SET!AA13+OUT!J13+OUT!AA13+NOV!J13+NOV!AA13+DEZ!J13+DEZ!AA13</f>
        <v>18381.912000000004</v>
      </c>
      <c r="K13" s="37">
        <f>JAN!K13+JAN!AB13+FEV!K13+FEV!AB13+MAR!K13+MAR!AB13+ABR!K13+ABR!AB13+MAI!K13+MAI!AB13+JUN!K13+JUN!AB13+JUL!K13+JUL!AB13+AGO!K13+AGO!AB13+SET!K13+SET!AB13+OUT!K13+OUT!AB13+NOV!K13+NOV!AB13+DEZ!K13+DEZ!AB13</f>
        <v>833.88800000000003</v>
      </c>
      <c r="L13" s="37">
        <f>JAN!L13+JAN!AC13+FEV!L13+FEV!AC13+MAR!L13+MAR!AC13+ABR!L13+ABR!AC13+MAI!L13+MAI!AC13+JUN!L13+JUN!AC13+JUL!L13+JUL!AC13+AGO!L13+AGO!AC13+SET!L13+SET!AC13+OUT!L13+OUT!AC13+NOV!L13+NOV!AC13+DEZ!L13+DEZ!AC13</f>
        <v>0</v>
      </c>
      <c r="M13" s="37">
        <f>JAN!M13+JAN!AD13+FEV!M13+FEV!AD13+MAR!M13+MAR!AD13+ABR!M13+ABR!AD13+MAI!M13+MAI!AD13+JUN!M13+JUN!AD13+JUL!M13+JUL!AD13+AGO!M13+AGO!AD13+SET!M13+SET!AD13+OUT!M13+OUT!AD13+NOV!M13+NOV!AD13+DEZ!M13+DEZ!AD13</f>
        <v>0</v>
      </c>
      <c r="N13" s="37">
        <f>JAN!N13+JAN!AE13+FEV!N13+FEV!AE13+MAR!N13+MAR!AE13+ABR!N13+ABR!AE13+MAI!N13+MAI!AE13+JUN!N13+JUN!AE13+JUL!N13+JUL!AE13+AGO!N13+AGO!AE13+SET!N13+SET!AE13+OUT!N13+OUT!AE13+NOV!N13+NOV!AE13+DEZ!N13+DEZ!AE13</f>
        <v>685.47199999999998</v>
      </c>
      <c r="O13" s="37">
        <f>JAN!AF13+FEV!AF13+MAR!AF13+ABR!AF13+MAI!AF13+JUN!AF13+JUL!AF13+AGO!AF13+SET!AF13+OUT!AF13+NOV!AF13+DEZ!AF13</f>
        <v>0</v>
      </c>
      <c r="P13" s="37">
        <f>JAN!AG13+FEV!AG13+MAR!AG13+ABR!AG13+MAI!AG13+JUN!AG13+JUL!AG13+AGO!AG13+SET!AG13+OUT!AG13+NOV!AG13+DEZ!AG13</f>
        <v>0</v>
      </c>
      <c r="Q13" s="38">
        <f t="shared" si="0"/>
        <v>1440525.9360000002</v>
      </c>
      <c r="R13" s="15">
        <f t="shared" si="1"/>
        <v>72784.744000000006</v>
      </c>
    </row>
    <row r="14" spans="1:18">
      <c r="A14" s="18" t="s">
        <v>128</v>
      </c>
      <c r="B14" s="37">
        <f>JAN!B14+JAN!S14+FEV!B14+FEV!S14+MAR!B14+MAR!S14+ABR!B14+ABR!S14+MAI!B14+MAI!S14+JUN!B14+JUN!S14+JUL!B14+JUL!S14+AGO!B14+AGO!S14+SET!B14+SET!S14+OUT!B14+OUT!S14+NOV!B14+NOV!S14+DEZ!B14+DEZ!S14</f>
        <v>168910.94400000002</v>
      </c>
      <c r="C14" s="37">
        <f>JAN!C14+JAN!T14+FEV!C14+FEV!T14+MAR!C14+MAR!T14+ABR!C14+ABR!T14+MAI!C14+MAI!T14+JUN!C14+JUN!T14+JUL!C14+JUL!T14+AGO!C14+AGO!T14+SET!C14+SET!T14+OUT!C14+OUT!T14+NOV!C14+NOV!T14+DEZ!C14+DEZ!T14</f>
        <v>43300.28</v>
      </c>
      <c r="D14" s="37">
        <f>JAN!D14+JAN!U14+FEV!D14+FEV!U14+MAR!D14+MAR!U14+ABR!D14+ABR!U14+MAI!D14+MAI!U14+JUN!D14+JUN!U14+JUL!D14+JUL!U14+AGO!D14+AGO!U14+SET!D14+SET!U14+OUT!D14+OUT!U14+NOV!D14+NOV!U14+DEZ!D14+DEZ!U14</f>
        <v>20200.527999999998</v>
      </c>
      <c r="E14" s="37">
        <f>JAN!E14+JAN!V14+FEV!E14+FEV!V14+MAR!E14+MAR!V14+ABR!E14+ABR!V14+MAI!E14+MAI!V14+JUN!E14+JUN!V14+JUL!E14+JUL!V14+AGO!E14+AGO!V14+SET!E14+SET!V14+OUT!E14+OUT!V14+NOV!E14+NOV!V14+DEZ!E14+DEZ!V14</f>
        <v>5524.7920000000004</v>
      </c>
      <c r="F14" s="37">
        <f>JAN!F14+JAN!W14+FEV!F14+FEV!W14+MAR!F14+MAR!W14+ABR!F14+ABR!W14+MAI!F14+MAI!W14+JUN!F14+JUN!W14+JUL!F14+JUL!W14+AGO!F14+AGO!W14+SET!F14+SET!W14+OUT!F14+OUT!W14+NOV!F14+NOV!W14+DEZ!F14+DEZ!W14</f>
        <v>107668.4</v>
      </c>
      <c r="G14" s="37">
        <f>JAN!G14+JAN!X14+FEV!G14+FEV!X14+MAR!G14+MAR!X14+ABR!G14+ABR!X14+MAI!G14+MAI!X14+JUN!G14+JUN!X14+JUL!G14+JUL!X14+AGO!G14+AGO!X14+SET!G14+SET!X14+OUT!G14+OUT!X14+NOV!G14+NOV!X14+DEZ!G14+DEZ!X14</f>
        <v>3259.7439999999997</v>
      </c>
      <c r="H14" s="37">
        <f>JAN!H14+JAN!Y14+FEV!H14+FEV!Y14+MAR!H14+MAR!Y14+ABR!H14+ABR!Y14+MAI!H14+MAI!Y14+JUN!H14+JUN!Y14+JUL!H14+JUL!Y14+AGO!H14+AGO!Y14+SET!H14+SET!Y14+OUT!H14+OUT!Y14+NOV!H14+NOV!Y14+DEZ!H14+DEZ!Y14</f>
        <v>8148.5839999999998</v>
      </c>
      <c r="I14" s="37">
        <f>JAN!I14+JAN!Z14+FEV!I14+FEV!Z14+MAR!I14+MAR!Z14+ABR!I14+ABR!Z14+MAI!I14+MAI!Z14+JUN!I14+JUN!Z14+JUL!I14+JUL!Z14+AGO!I14+AGO!Z14+SET!I14+SET!Z14+OUT!I14+OUT!Z14+NOV!I14+NOV!Z14+DEZ!I14+DEZ!Z14</f>
        <v>2438.5440000000003</v>
      </c>
      <c r="J14" s="37">
        <f>JAN!J14+JAN!AA14+FEV!J14+FEV!AA14+MAR!J14+MAR!AA14+ABR!J14+ABR!AA14+MAI!J14+MAI!AA14+JUN!J14+JUN!AA14+JUL!J14+JUL!AA14+AGO!J14+AGO!AA14+SET!J14+SET!AA14+OUT!J14+OUT!AA14+NOV!J14+NOV!AA14+DEZ!J14+DEZ!AA14</f>
        <v>5830.0000000000009</v>
      </c>
      <c r="K14" s="37">
        <f>JAN!K14+JAN!AB14+FEV!K14+FEV!AB14+MAR!K14+MAR!AB14+ABR!K14+ABR!AB14+MAI!K14+MAI!AB14+JUN!K14+JUN!AB14+JUL!K14+JUL!AB14+AGO!K14+AGO!AB14+SET!K14+SET!AB14+OUT!K14+OUT!AB14+NOV!K14+NOV!AB14+DEZ!K14+DEZ!AB14</f>
        <v>758.07999999999993</v>
      </c>
      <c r="L14" s="37">
        <f>JAN!L14+JAN!AC14+FEV!L14+FEV!AC14+MAR!L14+MAR!AC14+ABR!L14+ABR!AC14+MAI!L14+MAI!AC14+JUN!L14+JUN!AC14+JUL!L14+JUL!AC14+AGO!L14+AGO!AC14+SET!L14+SET!AC14+OUT!L14+OUT!AC14+NOV!L14+NOV!AC14+DEZ!L14+DEZ!AC14</f>
        <v>0</v>
      </c>
      <c r="M14" s="37">
        <f>JAN!M14+JAN!AD14+FEV!M14+FEV!AD14+MAR!M14+MAR!AD14+ABR!M14+ABR!AD14+MAI!M14+MAI!AD14+JUN!M14+JUN!AD14+JUL!M14+JUL!AD14+AGO!M14+AGO!AD14+SET!M14+SET!AD14+OUT!M14+OUT!AD14+NOV!M14+NOV!AD14+DEZ!M14+DEZ!AD14</f>
        <v>0</v>
      </c>
      <c r="N14" s="37">
        <f>JAN!N14+JAN!AE14+FEV!N14+FEV!AE14+MAR!N14+MAR!AE14+ABR!N14+ABR!AE14+MAI!N14+MAI!AE14+JUN!N14+JUN!AE14+JUL!N14+JUL!AE14+AGO!N14+AGO!AE14+SET!N14+SET!AE14+OUT!N14+OUT!AE14+NOV!N14+NOV!AE14+DEZ!N14+DEZ!AE14</f>
        <v>176.89600000000002</v>
      </c>
      <c r="O14" s="37">
        <f>JAN!AF14+FEV!AF14+MAR!AF14+ABR!AF14+MAI!AF14+JUN!AF14+JUL!AF14+AGO!AF14+SET!AF14+OUT!AF14+NOV!AF14+DEZ!AF14</f>
        <v>0</v>
      </c>
      <c r="P14" s="37">
        <f>JAN!AG14+FEV!AG14+MAR!AG14+ABR!AG14+MAI!AG14+JUN!AG14+JUL!AG14+AGO!AG14+SET!AG14+OUT!AG14+NOV!AG14+DEZ!AG14</f>
        <v>0</v>
      </c>
      <c r="Q14" s="38">
        <f t="shared" si="0"/>
        <v>366216.79200000002</v>
      </c>
      <c r="R14" s="15">
        <f t="shared" si="1"/>
        <v>20611.847999999998</v>
      </c>
    </row>
    <row r="15" spans="1:18">
      <c r="A15" s="18" t="s">
        <v>129</v>
      </c>
      <c r="B15" s="37">
        <f>JAN!B15+JAN!S15+FEV!B15+FEV!S15+MAR!B15+MAR!S15+ABR!B15+ABR!S15+MAI!B15+MAI!S15+JUN!B15+JUN!S15+JUL!B15+JUL!S15+AGO!B15+AGO!S15+SET!B15+SET!S15+OUT!B15+OUT!S15+NOV!B15+NOV!S15+DEZ!B15+DEZ!S15</f>
        <v>368076.12800000003</v>
      </c>
      <c r="C15" s="37">
        <f>JAN!C15+JAN!T15+FEV!C15+FEV!T15+MAR!C15+MAR!T15+ABR!C15+ABR!T15+MAI!C15+MAI!T15+JUN!C15+JUN!T15+JUL!C15+JUL!T15+AGO!C15+AGO!T15+SET!C15+SET!T15+OUT!C15+OUT!T15+NOV!C15+NOV!T15+DEZ!C15+DEZ!T15</f>
        <v>60100.625999999997</v>
      </c>
      <c r="D15" s="37">
        <f>JAN!D15+JAN!U15+FEV!D15+FEV!U15+MAR!D15+MAR!U15+ABR!D15+ABR!U15+MAI!D15+MAI!U15+JUN!D15+JUN!U15+JUL!D15+JUL!U15+AGO!D15+AGO!U15+SET!D15+SET!U15+OUT!D15+OUT!U15+NOV!D15+NOV!U15+DEZ!D15+DEZ!U15</f>
        <v>42181.792000000001</v>
      </c>
      <c r="E15" s="37">
        <f>JAN!E15+JAN!V15+FEV!E15+FEV!V15+MAR!E15+MAR!V15+ABR!E15+ABR!V15+MAI!E15+MAI!V15+JUN!E15+JUN!V15+JUL!E15+JUL!V15+AGO!E15+AGO!V15+SET!E15+SET!V15+OUT!E15+OUT!V15+NOV!E15+NOV!V15+DEZ!E15+DEZ!V15</f>
        <v>4750.808</v>
      </c>
      <c r="F15" s="37">
        <f>JAN!F15+JAN!W15+FEV!F15+FEV!W15+MAR!F15+MAR!W15+ABR!F15+ABR!W15+MAI!F15+MAI!W15+JUN!F15+JUN!W15+JUL!F15+JUL!W15+AGO!F15+AGO!W15+SET!F15+SET!W15+OUT!F15+OUT!W15+NOV!F15+NOV!W15+DEZ!F15+DEZ!W15</f>
        <v>649259.3600000001</v>
      </c>
      <c r="G15" s="37">
        <f>JAN!G15+JAN!X15+FEV!G15+FEV!X15+MAR!G15+MAR!X15+ABR!G15+ABR!X15+MAI!G15+MAI!X15+JUN!G15+JUN!X15+JUL!G15+JUL!X15+AGO!G15+AGO!X15+SET!G15+SET!X15+OUT!G15+OUT!X15+NOV!G15+NOV!X15+DEZ!G15+DEZ!X15</f>
        <v>6584.8640000000005</v>
      </c>
      <c r="H15" s="37">
        <f>JAN!H15+JAN!Y15+FEV!H15+FEV!Y15+MAR!H15+MAR!Y15+ABR!H15+ABR!Y15+MAI!H15+MAI!Y15+JUN!H15+JUN!Y15+JUL!H15+JUL!Y15+AGO!H15+AGO!Y15+SET!H15+SET!Y15+OUT!H15+OUT!Y15+NOV!H15+NOV!Y15+DEZ!H15+DEZ!Y15</f>
        <v>5608.3080000000009</v>
      </c>
      <c r="I15" s="37">
        <f>JAN!I15+JAN!Z15+FEV!I15+FEV!Z15+MAR!I15+MAR!Z15+ABR!I15+ABR!Z15+MAI!I15+MAI!Z15+JUN!I15+JUN!Z15+JUL!I15+JUL!Z15+AGO!I15+AGO!Z15+SET!I15+SET!Z15+OUT!I15+OUT!Z15+NOV!I15+NOV!Z15+DEZ!I15+DEZ!Z15</f>
        <v>837.7600000000001</v>
      </c>
      <c r="J15" s="37">
        <f>JAN!J15+JAN!AA15+FEV!J15+FEV!AA15+MAR!J15+MAR!AA15+ABR!J15+ABR!AA15+MAI!J15+MAI!AA15+JUN!J15+JUN!AA15+JUL!J15+JUL!AA15+AGO!J15+AGO!AA15+SET!J15+SET!AA15+OUT!J15+OUT!AA15+NOV!J15+NOV!AA15+DEZ!J15+DEZ!AA15</f>
        <v>10380.192000000003</v>
      </c>
      <c r="K15" s="37">
        <f>JAN!K15+JAN!AB15+FEV!K15+FEV!AB15+MAR!K15+MAR!AB15+ABR!K15+ABR!AB15+MAI!K15+MAI!AB15+JUN!K15+JUN!AB15+JUL!K15+JUL!AB15+AGO!K15+AGO!AB15+SET!K15+SET!AB15+OUT!K15+OUT!AB15+NOV!K15+NOV!AB15+DEZ!K15+DEZ!AB15</f>
        <v>758.07999999999993</v>
      </c>
      <c r="L15" s="37">
        <f>JAN!L15+JAN!AC15+FEV!L15+FEV!AC15+MAR!L15+MAR!AC15+ABR!L15+ABR!AC15+MAI!L15+MAI!AC15+JUN!L15+JUN!AC15+JUL!L15+JUL!AC15+AGO!L15+AGO!AC15+SET!L15+SET!AC15+OUT!L15+OUT!AC15+NOV!L15+NOV!AC15+DEZ!L15+DEZ!AC15</f>
        <v>151.61600000000001</v>
      </c>
      <c r="M15" s="37">
        <f>JAN!M15+JAN!AD15+FEV!M15+FEV!AD15+MAR!M15+MAR!AD15+ABR!M15+ABR!AD15+MAI!M15+MAI!AD15+JUN!M15+JUN!AD15+JUL!M15+JUL!AD15+AGO!M15+AGO!AD15+SET!M15+SET!AD15+OUT!M15+OUT!AD15+NOV!M15+NOV!AD15+DEZ!M15+DEZ!AD15</f>
        <v>2989.1680000000001</v>
      </c>
      <c r="N15" s="37">
        <f>JAN!N15+JAN!AE15+FEV!N15+FEV!AE15+MAR!N15+MAR!AE15+ABR!N15+ABR!AE15+MAI!N15+MAI!AE15+JUN!N15+JUN!AE15+JUL!N15+JUL!AE15+AGO!N15+AGO!AE15+SET!N15+SET!AE15+OUT!N15+OUT!AE15+NOV!N15+NOV!AE15+DEZ!N15+DEZ!AE15</f>
        <v>309.56800000000004</v>
      </c>
      <c r="O15" s="37">
        <f>JAN!AF15+FEV!AF15+MAR!AF15+ABR!AF15+MAI!AF15+JUN!AF15+JUL!AF15+AGO!AF15+SET!AF15+OUT!AF15+NOV!AF15+DEZ!AF15</f>
        <v>0</v>
      </c>
      <c r="P15" s="37">
        <f>JAN!AG15+FEV!AG15+MAR!AG15+ABR!AG15+MAI!AG15+JUN!AG15+JUL!AG15+AGO!AG15+SET!AG15+OUT!AG15+NOV!AG15+DEZ!AG15</f>
        <v>0</v>
      </c>
      <c r="Q15" s="38">
        <f t="shared" si="0"/>
        <v>1151988.2700000003</v>
      </c>
      <c r="R15" s="15">
        <f t="shared" si="1"/>
        <v>27619.556000000008</v>
      </c>
    </row>
    <row r="16" spans="1:18">
      <c r="A16" s="18" t="s">
        <v>130</v>
      </c>
      <c r="B16" s="37">
        <f>JAN!B16+JAN!S16+FEV!B16+FEV!S16+MAR!B16+MAR!S16+ABR!B16+ABR!S16+MAI!B16+MAI!S16+JUN!B16+JUN!S16+JUL!B16+JUL!S16+AGO!B16+AGO!S16+SET!B16+SET!S16+OUT!B16+OUT!S16+NOV!B16+NOV!S16+DEZ!B16+DEZ!S16</f>
        <v>373195.21600000001</v>
      </c>
      <c r="C16" s="37">
        <f>JAN!C16+JAN!T16+FEV!C16+FEV!T16+MAR!C16+MAR!T16+ABR!C16+ABR!T16+MAI!C16+MAI!T16+JUN!C16+JUN!T16+JUL!C16+JUL!T16+AGO!C16+AGO!T16+SET!C16+SET!T16+OUT!C16+OUT!T16+NOV!C16+NOV!T16+DEZ!C16+DEZ!T16</f>
        <v>60863.672000000006</v>
      </c>
      <c r="D16" s="37">
        <f>JAN!D16+JAN!U16+FEV!D16+FEV!U16+MAR!D16+MAR!U16+ABR!D16+ABR!U16+MAI!D16+MAI!U16+JUN!D16+JUN!U16+JUL!D16+JUL!U16+AGO!D16+AGO!U16+SET!D16+SET!U16+OUT!D16+OUT!U16+NOV!D16+NOV!U16+DEZ!D16+DEZ!U16</f>
        <v>59265.328000000001</v>
      </c>
      <c r="E16" s="37">
        <f>JAN!E16+JAN!V16+FEV!E16+FEV!V16+MAR!E16+MAR!V16+ABR!E16+ABR!V16+MAI!E16+MAI!V16+JUN!E16+JUN!V16+JUL!E16+JUL!V16+AGO!E16+AGO!V16+SET!E16+SET!V16+OUT!E16+OUT!V16+NOV!E16+NOV!V16+DEZ!E16+DEZ!V16</f>
        <v>9390.8320000000003</v>
      </c>
      <c r="F16" s="37">
        <f>JAN!F16+JAN!W16+FEV!F16+FEV!W16+MAR!F16+MAR!W16+ABR!F16+ABR!W16+MAI!F16+MAI!W16+JUN!F16+JUN!W16+JUL!F16+JUL!W16+AGO!F16+AGO!W16+SET!F16+SET!W16+OUT!F16+OUT!W16+NOV!F16+NOV!W16+DEZ!F16+DEZ!W16</f>
        <v>546003.47200000007</v>
      </c>
      <c r="G16" s="37">
        <f>JAN!G16+JAN!X16+FEV!G16+FEV!X16+MAR!G16+MAR!X16+ABR!G16+ABR!X16+MAI!G16+MAI!X16+JUN!G16+JUN!X16+JUL!G16+JUL!X16+AGO!G16+AGO!X16+SET!G16+SET!X16+OUT!G16+OUT!X16+NOV!G16+NOV!X16+DEZ!G16+DEZ!X16</f>
        <v>7353.3760000000002</v>
      </c>
      <c r="H16" s="37">
        <f>JAN!H16+JAN!Y16+FEV!H16+FEV!Y16+MAR!H16+MAR!Y16+ABR!H16+ABR!Y16+MAI!H16+MAI!Y16+JUN!H16+JUN!Y16+JUL!H16+JUL!Y16+AGO!H16+AGO!Y16+SET!H16+SET!Y16+OUT!H16+OUT!Y16+NOV!H16+NOV!Y16+DEZ!H16+DEZ!Y16</f>
        <v>11369.616</v>
      </c>
      <c r="I16" s="37">
        <f>JAN!I16+JAN!Z16+FEV!I16+FEV!Z16+MAR!I16+MAR!Z16+ABR!I16+ABR!Z16+MAI!I16+MAI!Z16+JUN!I16+JUN!Z16+JUL!I16+JUL!Z16+AGO!I16+AGO!Z16+SET!I16+SET!Z16+OUT!I16+OUT!Z16+NOV!I16+NOV!Z16+DEZ!I16+DEZ!Z16</f>
        <v>3907.072000000001</v>
      </c>
      <c r="J16" s="37">
        <f>JAN!J16+JAN!AA16+FEV!J16+FEV!AA16+MAR!J16+MAR!AA16+ABR!J16+ABR!AA16+MAI!J16+MAI!AA16+JUN!J16+JUN!AA16+JUL!J16+JUL!AA16+AGO!J16+AGO!AA16+SET!J16+SET!AA16+OUT!J16+OUT!AA16+NOV!J16+NOV!AA16+DEZ!J16+DEZ!AA16</f>
        <v>9139.1040000000012</v>
      </c>
      <c r="K16" s="37">
        <f>JAN!K16+JAN!AB16+FEV!K16+FEV!AB16+MAR!K16+MAR!AB16+ABR!K16+ABR!AB16+MAI!K16+MAI!AB16+JUN!K16+JUN!AB16+JUL!K16+JUL!AB16+AGO!K16+AGO!AB16+SET!K16+SET!AB16+OUT!K16+OUT!AB16+NOV!K16+NOV!AB16+DEZ!K16+DEZ!AB16</f>
        <v>1743.5840000000003</v>
      </c>
      <c r="L16" s="37">
        <f>JAN!L16+JAN!AC16+FEV!L16+FEV!AC16+MAR!L16+MAR!AC16+ABR!L16+ABR!AC16+MAI!L16+MAI!AC16+JUN!L16+JUN!AC16+JUL!L16+JUL!AC16+AGO!L16+AGO!AC16+SET!L16+SET!AC16+OUT!L16+OUT!AC16+NOV!L16+NOV!AC16+DEZ!L16+DEZ!AC16</f>
        <v>0</v>
      </c>
      <c r="M16" s="37">
        <f>JAN!M16+JAN!AD16+FEV!M16+FEV!AD16+MAR!M16+MAR!AD16+ABR!M16+ABR!AD16+MAI!M16+MAI!AD16+JUN!M16+JUN!AD16+JUL!M16+JUL!AD16+AGO!M16+AGO!AD16+SET!M16+SET!AD16+OUT!M16+OUT!AD16+NOV!M16+NOV!AD16+DEZ!M16+DEZ!AD16</f>
        <v>0</v>
      </c>
      <c r="N16" s="37">
        <f>JAN!N16+JAN!AE16+FEV!N16+FEV!AE16+MAR!N16+MAR!AE16+ABR!N16+ABR!AE16+MAI!N16+MAI!AE16+JUN!N16+JUN!AE16+JUL!N16+JUL!AE16+AGO!N16+AGO!AE16+SET!N16+SET!AE16+OUT!N16+OUT!AE16+NOV!N16+NOV!AE16+DEZ!N16+DEZ!AE16</f>
        <v>330.16</v>
      </c>
      <c r="O16" s="37">
        <f>JAN!AF16+FEV!AF16+MAR!AF16+ABR!AF16+MAI!AF16+JUN!AF16+JUL!AF16+AGO!AF16+SET!AF16+OUT!AF16+NOV!AF16+DEZ!AF16</f>
        <v>30.448</v>
      </c>
      <c r="P16" s="37">
        <f>JAN!AG16+FEV!AG16+MAR!AG16+ABR!AG16+MAI!AG16+JUN!AG16+JUL!AG16+AGO!AG16+SET!AG16+OUT!AG16+NOV!AG16+DEZ!AG16</f>
        <v>0</v>
      </c>
      <c r="Q16" s="38">
        <f t="shared" si="0"/>
        <v>1082591.8799999999</v>
      </c>
      <c r="R16" s="15">
        <f t="shared" si="1"/>
        <v>33873.360000000001</v>
      </c>
    </row>
    <row r="17" spans="1:18">
      <c r="A17" s="18" t="s">
        <v>131</v>
      </c>
      <c r="B17" s="37">
        <f>JAN!B17+JAN!S17+FEV!B17+FEV!S17+MAR!B17+MAR!S17+ABR!B17+ABR!S17+MAI!B17+MAI!S17+JUN!B17+JUN!S17+JUL!B17+JUL!S17+AGO!B17+AGO!S17+SET!B17+SET!S17+OUT!B17+OUT!S17+NOV!B17+NOV!S17+DEZ!B17+DEZ!S17</f>
        <v>2007039.7119999998</v>
      </c>
      <c r="C17" s="37">
        <f>JAN!C17+JAN!T17+FEV!C17+FEV!T17+MAR!C17+MAR!T17+ABR!C17+ABR!T17+MAI!C17+MAI!T17+JUN!C17+JUN!T17+JUL!C17+JUL!T17+AGO!C17+AGO!T17+SET!C17+SET!T17+OUT!C17+OUT!T17+NOV!C17+NOV!T17+DEZ!C17+DEZ!T17</f>
        <v>369531.72800000006</v>
      </c>
      <c r="D17" s="37">
        <f>JAN!D17+JAN!U17+FEV!D17+FEV!U17+MAR!D17+MAR!U17+ABR!D17+ABR!U17+MAI!D17+MAI!U17+JUN!D17+JUN!U17+JUL!D17+JUL!U17+AGO!D17+AGO!U17+SET!D17+SET!U17+OUT!D17+OUT!U17+NOV!D17+NOV!U17+DEZ!D17+DEZ!U17</f>
        <v>232550.92</v>
      </c>
      <c r="E17" s="37">
        <f>JAN!E17+JAN!V17+FEV!E17+FEV!V17+MAR!E17+MAR!V17+ABR!E17+ABR!V17+MAI!E17+MAI!V17+JUN!E17+JUN!V17+JUL!E17+JUL!V17+AGO!E17+AGO!V17+SET!E17+SET!V17+OUT!E17+OUT!V17+NOV!E17+NOV!V17+DEZ!E17+DEZ!V17</f>
        <v>69245.464000000007</v>
      </c>
      <c r="F17" s="37">
        <f>JAN!F17+JAN!W17+FEV!F17+FEV!W17+MAR!F17+MAR!W17+ABR!F17+ABR!W17+MAI!F17+MAI!W17+JUN!F17+JUN!W17+JUL!F17+JUL!W17+AGO!F17+AGO!W17+SET!F17+SET!W17+OUT!F17+OUT!W17+NOV!F17+NOV!W17+DEZ!F17+DEZ!W17</f>
        <v>1235770.56</v>
      </c>
      <c r="G17" s="37">
        <f>JAN!G17+JAN!X17+FEV!G17+FEV!X17+MAR!G17+MAR!X17+ABR!G17+ABR!X17+MAI!G17+MAI!X17+JUN!G17+JUN!X17+JUL!G17+JUL!X17+AGO!G17+AGO!X17+SET!G17+SET!X17+OUT!G17+OUT!X17+NOV!G17+NOV!X17+DEZ!G17+DEZ!X17</f>
        <v>19179.424000000003</v>
      </c>
      <c r="H17" s="37">
        <f>JAN!H17+JAN!Y17+FEV!H17+FEV!Y17+MAR!H17+MAR!Y17+ABR!H17+ABR!Y17+MAI!H17+MAI!Y17+JUN!H17+JUN!Y17+JUL!H17+JUL!Y17+AGO!H17+AGO!Y17+SET!H17+SET!Y17+OUT!H17+OUT!Y17+NOV!H17+NOV!Y17+DEZ!H17+DEZ!Y17</f>
        <v>86045.35</v>
      </c>
      <c r="I17" s="37">
        <f>JAN!I17+JAN!Z17+FEV!I17+FEV!Z17+MAR!I17+MAR!Z17+ABR!I17+ABR!Z17+MAI!I17+MAI!Z17+JUN!I17+JUN!Z17+JUL!I17+JUL!Z17+AGO!I17+AGO!Z17+SET!I17+SET!Z17+OUT!I17+OUT!Z17+NOV!I17+NOV!Z17+DEZ!I17+DEZ!Z17</f>
        <v>0</v>
      </c>
      <c r="J17" s="37">
        <f>JAN!J17+JAN!AA17+FEV!J17+FEV!AA17+MAR!J17+MAR!AA17+ABR!J17+ABR!AA17+MAI!J17+MAI!AA17+JUN!J17+JUN!AA17+JUL!J17+JUL!AA17+AGO!J17+AGO!AA17+SET!J17+SET!AA17+OUT!J17+OUT!AA17+NOV!J17+NOV!AA17+DEZ!J17+DEZ!AA17</f>
        <v>55647.400000000009</v>
      </c>
      <c r="K17" s="37">
        <f>JAN!K17+JAN!AB17+FEV!K17+FEV!AB17+MAR!K17+MAR!AB17+ABR!K17+ABR!AB17+MAI!K17+MAI!AB17+JUN!K17+JUN!AB17+JUL!K17+JUL!AB17+AGO!K17+AGO!AB17+SET!K17+SET!AB17+OUT!K17+OUT!AB17+NOV!K17+NOV!AB17+DEZ!K17+DEZ!AB17</f>
        <v>9311.344000000001</v>
      </c>
      <c r="L17" s="37">
        <f>JAN!L17+JAN!AC17+FEV!L17+FEV!AC17+MAR!L17+MAR!AC17+ABR!L17+ABR!AC17+MAI!L17+MAI!AC17+JUN!L17+JUN!AC17+JUL!L17+JUL!AC17+AGO!L17+AGO!AC17+SET!L17+SET!AC17+OUT!L17+OUT!AC17+NOV!L17+NOV!AC17+DEZ!L17+DEZ!AC17</f>
        <v>0</v>
      </c>
      <c r="M17" s="37">
        <f>JAN!M17+JAN!AD17+FEV!M17+FEV!AD17+MAR!M17+MAR!AD17+ABR!M17+ABR!AD17+MAI!M17+MAI!AD17+JUN!M17+JUN!AD17+JUL!M17+JUL!AD17+AGO!M17+AGO!AD17+SET!M17+SET!AD17+OUT!M17+OUT!AD17+NOV!M17+NOV!AD17+DEZ!M17+DEZ!AD17</f>
        <v>0</v>
      </c>
      <c r="N17" s="37">
        <f>JAN!N17+JAN!AE17+FEV!N17+FEV!AE17+MAR!N17+MAR!AE17+ABR!N17+ABR!AE17+MAI!N17+MAI!AE17+JUN!N17+JUN!AE17+JUL!N17+JUL!AE17+AGO!N17+AGO!AE17+SET!N17+SET!AE17+OUT!N17+OUT!AE17+NOV!N17+NOV!AE17+DEZ!N17+DEZ!AE17</f>
        <v>2869.24</v>
      </c>
      <c r="O17" s="37">
        <f>JAN!AF17+FEV!AF17+MAR!AF17+ABR!AF17+MAI!AF17+JUN!AF17+JUL!AF17+AGO!AF17+SET!AF17+OUT!AF17+NOV!AF17+DEZ!AF17</f>
        <v>0</v>
      </c>
      <c r="P17" s="37">
        <f>JAN!AG17+FEV!AG17+MAR!AG17+ABR!AG17+MAI!AG17+JUN!AG17+JUL!AG17+AGO!AG17+SET!AG17+OUT!AG17+NOV!AG17+DEZ!AG17</f>
        <v>0</v>
      </c>
      <c r="Q17" s="38">
        <f t="shared" si="0"/>
        <v>4087191.1420000005</v>
      </c>
      <c r="R17" s="15">
        <f t="shared" si="1"/>
        <v>173052.758</v>
      </c>
    </row>
    <row r="18" spans="1:18">
      <c r="A18" s="18" t="s">
        <v>132</v>
      </c>
      <c r="B18" s="37">
        <f>JAN!B18+JAN!S18+FEV!B18+FEV!S18+MAR!B18+MAR!S18+ABR!B18+ABR!S18+MAI!B18+MAI!S18+JUN!B18+JUN!S18+JUL!B18+JUL!S18+AGO!B18+AGO!S18+SET!B18+SET!S18+OUT!B18+OUT!S18+NOV!B18+NOV!S18+DEZ!B18+DEZ!S18</f>
        <v>280469.84000000003</v>
      </c>
      <c r="C18" s="37">
        <f>JAN!C18+JAN!T18+FEV!C18+FEV!T18+MAR!C18+MAR!T18+ABR!C18+ABR!T18+MAI!C18+MAI!T18+JUN!C18+JUN!T18+JUL!C18+JUL!T18+AGO!C18+AGO!T18+SET!C18+SET!T18+OUT!C18+OUT!T18+NOV!C18+NOV!T18+DEZ!C18+DEZ!T18</f>
        <v>70447.831999999995</v>
      </c>
      <c r="D18" s="37">
        <f>JAN!D18+JAN!U18+FEV!D18+FEV!U18+MAR!D18+MAR!U18+ABR!D18+ABR!U18+MAI!D18+MAI!U18+JUN!D18+JUN!U18+JUL!D18+JUL!U18+AGO!D18+AGO!U18+SET!D18+SET!U18+OUT!D18+OUT!U18+NOV!D18+NOV!U18+DEZ!D18+DEZ!U18</f>
        <v>24116.239999999998</v>
      </c>
      <c r="E18" s="37">
        <f>JAN!E18+JAN!V18+FEV!E18+FEV!V18+MAR!E18+MAR!V18+ABR!E18+ABR!V18+MAI!E18+MAI!V18+JUN!E18+JUN!V18+JUL!E18+JUL!V18+AGO!E18+AGO!V18+SET!E18+SET!V18+OUT!E18+OUT!V18+NOV!E18+NOV!V18+DEZ!E18+DEZ!V18</f>
        <v>11245.432000000001</v>
      </c>
      <c r="F18" s="37">
        <f>JAN!F18+JAN!W18+FEV!F18+FEV!W18+MAR!F18+MAR!W18+ABR!F18+ABR!W18+MAI!F18+MAI!W18+JUN!F18+JUN!W18+JUL!F18+JUL!W18+AGO!F18+AGO!W18+SET!F18+SET!W18+OUT!F18+OUT!W18+NOV!F18+NOV!W18+DEZ!F18+DEZ!W18</f>
        <v>174031.872</v>
      </c>
      <c r="G18" s="37">
        <f>JAN!G18+JAN!X18+FEV!G18+FEV!X18+MAR!G18+MAR!X18+ABR!G18+ABR!X18+MAI!G18+MAI!X18+JUN!G18+JUN!X18+JUL!G18+JUL!X18+AGO!G18+AGO!X18+SET!G18+SET!X18+OUT!G18+OUT!X18+NOV!G18+NOV!X18+DEZ!G18+DEZ!X18</f>
        <v>7050.1440000000002</v>
      </c>
      <c r="H18" s="37">
        <f>JAN!H18+JAN!Y18+FEV!H18+FEV!Y18+MAR!H18+MAR!Y18+ABR!H18+ABR!Y18+MAI!H18+MAI!Y18+JUN!H18+JUN!Y18+JUL!H18+JUL!Y18+AGO!H18+AGO!Y18+SET!H18+SET!Y18+OUT!H18+OUT!Y18+NOV!H18+NOV!Y18+DEZ!H18+DEZ!Y18</f>
        <v>13618.288</v>
      </c>
      <c r="I18" s="37">
        <f>JAN!I18+JAN!Z18+FEV!I18+FEV!Z18+MAR!I18+MAR!Z18+ABR!I18+ABR!Z18+MAI!I18+MAI!Z18+JUN!I18+JUN!Z18+JUL!I18+JUL!Z18+AGO!I18+AGO!Z18+SET!I18+SET!Z18+OUT!I18+OUT!Z18+NOV!I18+NOV!Z18+DEZ!I18+DEZ!Z18</f>
        <v>0</v>
      </c>
      <c r="J18" s="37">
        <f>JAN!J18+JAN!AA18+FEV!J18+FEV!AA18+MAR!J18+MAR!AA18+ABR!J18+ABR!AA18+MAI!J18+MAI!AA18+JUN!J18+JUN!AA18+JUL!J18+JUL!AA18+AGO!J18+AGO!AA18+SET!J18+SET!AA18+OUT!J18+OUT!AA18+NOV!J18+NOV!AA18+DEZ!J18+DEZ!AA18</f>
        <v>9858.351999999999</v>
      </c>
      <c r="K18" s="37">
        <f>JAN!K18+JAN!AB18+FEV!K18+FEV!AB18+MAR!K18+MAR!AB18+ABR!K18+ABR!AB18+MAI!K18+MAI!AB18+JUN!K18+JUN!AB18+JUL!K18+JUL!AB18+AGO!K18+AGO!AB18+SET!K18+SET!AB18+OUT!K18+OUT!AB18+NOV!K18+NOV!AB18+DEZ!K18+DEZ!AB18</f>
        <v>606.46399999999994</v>
      </c>
      <c r="L18" s="37">
        <f>JAN!L18+JAN!AC18+FEV!L18+FEV!AC18+MAR!L18+MAR!AC18+ABR!L18+ABR!AC18+MAI!L18+MAI!AC18+JUN!L18+JUN!AC18+JUL!L18+JUL!AC18+AGO!L18+AGO!AC18+SET!L18+SET!AC18+OUT!L18+OUT!AC18+NOV!L18+NOV!AC18+DEZ!L18+DEZ!AC18</f>
        <v>0</v>
      </c>
      <c r="M18" s="37">
        <f>JAN!M18+JAN!AD18+FEV!M18+FEV!AD18+MAR!M18+MAR!AD18+ABR!M18+ABR!AD18+MAI!M18+MAI!AD18+JUN!M18+JUN!AD18+JUL!M18+JUL!AD18+AGO!M18+AGO!AD18+SET!M18+SET!AD18+OUT!M18+OUT!AD18+NOV!M18+NOV!AD18+DEZ!M18+DEZ!AD18</f>
        <v>0</v>
      </c>
      <c r="N18" s="37">
        <f>JAN!N18+JAN!AE18+FEV!N18+FEV!AE18+MAR!N18+MAR!AE18+ABR!N18+ABR!AE18+MAI!N18+MAI!AE18+JUN!N18+JUN!AE18+JUL!N18+JUL!AE18+AGO!N18+AGO!AE18+SET!N18+SET!AE18+OUT!N18+OUT!AE18+NOV!N18+NOV!AE18+DEZ!N18+DEZ!AE18</f>
        <v>331.68</v>
      </c>
      <c r="O18" s="37">
        <f>JAN!AF18+FEV!AF18+MAR!AF18+ABR!AF18+MAI!AF18+JUN!AF18+JUL!AF18+AGO!AF18+SET!AF18+OUT!AF18+NOV!AF18+DEZ!AF18</f>
        <v>0</v>
      </c>
      <c r="P18" s="37">
        <f>JAN!AG18+FEV!AG18+MAR!AG18+ABR!AG18+MAI!AG18+JUN!AG18+JUL!AG18+AGO!AG18+SET!AG18+OUT!AG18+NOV!AG18+DEZ!AG18</f>
        <v>0</v>
      </c>
      <c r="Q18" s="38">
        <f t="shared" si="0"/>
        <v>591776.14400000009</v>
      </c>
      <c r="R18" s="15">
        <f t="shared" si="1"/>
        <v>31464.928</v>
      </c>
    </row>
    <row r="19" spans="1:18">
      <c r="A19" s="18" t="s">
        <v>133</v>
      </c>
      <c r="B19" s="37">
        <f>JAN!B19+JAN!S19+FEV!B19+FEV!S19+MAR!B19+MAR!S19+ABR!B19+ABR!S19+MAI!B19+MAI!S19+JUN!B19+JUN!S19+JUL!B19+JUL!S19+AGO!B19+AGO!S19+SET!B19+SET!S19+OUT!B19+OUT!S19+NOV!B19+NOV!S19+DEZ!B19+DEZ!S19</f>
        <v>288798.68</v>
      </c>
      <c r="C19" s="37">
        <f>JAN!C19+JAN!T19+FEV!C19+FEV!T19+MAR!C19+MAR!T19+ABR!C19+ABR!T19+MAI!C19+MAI!T19+JUN!C19+JUN!T19+JUL!C19+JUL!T19+AGO!C19+AGO!T19+SET!C19+SET!T19+OUT!C19+OUT!T19+NOV!C19+NOV!T19+DEZ!C19+DEZ!T19</f>
        <v>56843.207999999999</v>
      </c>
      <c r="D19" s="37">
        <f>JAN!D19+JAN!U19+FEV!D19+FEV!U19+MAR!D19+MAR!U19+ABR!D19+ABR!U19+MAI!D19+MAI!U19+JUN!D19+JUN!U19+JUL!D19+JUL!U19+AGO!D19+AGO!U19+SET!D19+SET!U19+OUT!D19+OUT!U19+NOV!D19+NOV!U19+DEZ!D19+DEZ!U19</f>
        <v>29329.376000000004</v>
      </c>
      <c r="E19" s="37">
        <f>JAN!E19+JAN!V19+FEV!E19+FEV!V19+MAR!E19+MAR!V19+ABR!E19+ABR!V19+MAI!E19+MAI!V19+JUN!E19+JUN!V19+JUL!E19+JUL!V19+AGO!E19+AGO!V19+SET!E19+SET!V19+OUT!E19+OUT!V19+NOV!E19+NOV!V19+DEZ!E19+DEZ!V19</f>
        <v>8589.4160000000011</v>
      </c>
      <c r="F19" s="37">
        <f>JAN!F19+JAN!W19+FEV!F19+FEV!W19+MAR!F19+MAR!W19+ABR!F19+ABR!W19+MAI!F19+MAI!W19+JUN!F19+JUN!W19+JUL!F19+JUL!W19+AGO!F19+AGO!W19+SET!F19+SET!W19+OUT!F19+OUT!W19+NOV!F19+NOV!W19+DEZ!F19+DEZ!W19</f>
        <v>224551.47200000001</v>
      </c>
      <c r="G19" s="37">
        <f>JAN!G19+JAN!X19+FEV!G19+FEV!X19+MAR!G19+MAR!X19+ABR!G19+ABR!X19+MAI!G19+MAI!X19+JUN!G19+JUN!X19+JUL!G19+JUL!X19+AGO!G19+AGO!X19+SET!G19+SET!X19+OUT!G19+OUT!X19+NOV!G19+NOV!X19+DEZ!G19+DEZ!X19</f>
        <v>3259.7439999999997</v>
      </c>
      <c r="H19" s="37">
        <f>JAN!H19+JAN!Y19+FEV!H19+FEV!Y19+MAR!H19+MAR!Y19+ABR!H19+ABR!Y19+MAI!H19+MAI!Y19+JUN!H19+JUN!Y19+JUL!H19+JUL!Y19+AGO!H19+AGO!Y19+SET!H19+SET!Y19+OUT!H19+OUT!Y19+NOV!H19+NOV!Y19+DEZ!H19+DEZ!Y19</f>
        <v>10650.768000000002</v>
      </c>
      <c r="I19" s="37">
        <f>JAN!I19+JAN!Z19+FEV!I19+FEV!Z19+MAR!I19+MAR!Z19+ABR!I19+ABR!Z19+MAI!I19+MAI!Z19+JUN!I19+JUN!Z19+JUL!I19+JUL!Z19+AGO!I19+AGO!Z19+SET!I19+SET!Z19+OUT!I19+OUT!Z19+NOV!I19+NOV!Z19+DEZ!I19+DEZ!Z19</f>
        <v>646.62400000000002</v>
      </c>
      <c r="J19" s="37">
        <f>JAN!J19+JAN!AA19+FEV!J19+FEV!AA19+MAR!J19+MAR!AA19+ABR!J19+ABR!AA19+MAI!J19+MAI!AA19+JUN!J19+JUN!AA19+JUL!J19+JUL!AA19+AGO!J19+AGO!AA19+SET!J19+SET!AA19+OUT!J19+OUT!AA19+NOV!J19+NOV!AA19+DEZ!J19+DEZ!AA19</f>
        <v>9560.8559999999998</v>
      </c>
      <c r="K19" s="37">
        <f>JAN!K19+JAN!AB19+FEV!K19+FEV!AB19+MAR!K19+MAR!AB19+ABR!K19+ABR!AB19+MAI!K19+MAI!AB19+JUN!K19+JUN!AB19+JUL!K19+JUL!AB19+AGO!K19+AGO!AB19+SET!K19+SET!AB19+OUT!K19+OUT!AB19+NOV!K19+NOV!AB19+DEZ!K19+DEZ!AB19</f>
        <v>151.61600000000001</v>
      </c>
      <c r="L19" s="37">
        <f>JAN!L19+JAN!AC19+FEV!L19+FEV!AC19+MAR!L19+MAR!AC19+ABR!L19+ABR!AC19+MAI!L19+MAI!AC19+JUN!L19+JUN!AC19+JUL!L19+JUL!AC19+AGO!L19+AGO!AC19+SET!L19+SET!AC19+OUT!L19+OUT!AC19+NOV!L19+NOV!AC19+DEZ!L19+DEZ!AC19</f>
        <v>0</v>
      </c>
      <c r="M19" s="37">
        <f>JAN!M19+JAN!AD19+FEV!M19+FEV!AD19+MAR!M19+MAR!AD19+ABR!M19+ABR!AD19+MAI!M19+MAI!AD19+JUN!M19+JUN!AD19+JUL!M19+JUL!AD19+AGO!M19+AGO!AD19+SET!M19+SET!AD19+OUT!M19+OUT!AD19+NOV!M19+NOV!AD19+DEZ!M19+DEZ!AD19</f>
        <v>0</v>
      </c>
      <c r="N19" s="37">
        <f>JAN!N19+JAN!AE19+FEV!N19+FEV!AE19+MAR!N19+MAR!AE19+ABR!N19+ABR!AE19+MAI!N19+MAI!AE19+JUN!N19+JUN!AE19+JUL!N19+JUL!AE19+AGO!N19+AGO!AE19+SET!N19+SET!AE19+OUT!N19+OUT!AE19+NOV!N19+NOV!AE19+DEZ!N19+DEZ!AE19</f>
        <v>486.464</v>
      </c>
      <c r="O19" s="37">
        <f>JAN!AF19+FEV!AF19+MAR!AF19+ABR!AF19+MAI!AF19+JUN!AF19+JUL!AF19+AGO!AF19+SET!AF19+OUT!AF19+NOV!AF19+DEZ!AF19</f>
        <v>0</v>
      </c>
      <c r="P19" s="37">
        <f>JAN!AG19+FEV!AG19+MAR!AG19+ABR!AG19+MAI!AG19+JUN!AG19+JUL!AG19+AGO!AG19+SET!AG19+OUT!AG19+NOV!AG19+DEZ!AG19</f>
        <v>0</v>
      </c>
      <c r="Q19" s="38">
        <f t="shared" si="0"/>
        <v>632868.22400000005</v>
      </c>
      <c r="R19" s="15">
        <f t="shared" si="1"/>
        <v>24756.072000000004</v>
      </c>
    </row>
    <row r="20" spans="1:18">
      <c r="A20" s="18" t="s">
        <v>134</v>
      </c>
      <c r="B20" s="37">
        <f>JAN!B20+JAN!S20+FEV!B20+FEV!S20+MAR!B20+MAR!S20+ABR!B20+ABR!S20+MAI!B20+MAI!S20+JUN!B20+JUN!S20+JUL!B20+JUL!S20+AGO!B20+AGO!S20+SET!B20+SET!S20+OUT!B20+OUT!S20+NOV!B20+NOV!S20+DEZ!B20+DEZ!S20</f>
        <v>1786485.4080000001</v>
      </c>
      <c r="C20" s="37">
        <f>JAN!C20+JAN!T20+FEV!C20+FEV!T20+MAR!C20+MAR!T20+ABR!C20+ABR!T20+MAI!C20+MAI!T20+JUN!C20+JUN!T20+JUL!C20+JUL!T20+AGO!C20+AGO!T20+SET!C20+SET!T20+OUT!C20+OUT!T20+NOV!C20+NOV!T20+DEZ!C20+DEZ!T20</f>
        <v>215979.24000000002</v>
      </c>
      <c r="D20" s="37">
        <f>JAN!D20+JAN!U20+FEV!D20+FEV!U20+MAR!D20+MAR!U20+ABR!D20+ABR!U20+MAI!D20+MAI!U20+JUN!D20+JUN!U20+JUL!D20+JUL!U20+AGO!D20+AGO!U20+SET!D20+SET!U20+OUT!D20+OUT!U20+NOV!D20+NOV!U20+DEZ!D20+DEZ!U20</f>
        <v>302427.26400000008</v>
      </c>
      <c r="E20" s="37">
        <f>JAN!E20+JAN!V20+FEV!E20+FEV!V20+MAR!E20+MAR!V20+ABR!E20+ABR!V20+MAI!E20+MAI!V20+JUN!E20+JUN!V20+JUL!E20+JUL!V20+AGO!E20+AGO!V20+SET!E20+SET!V20+OUT!E20+OUT!V20+NOV!E20+NOV!V20+DEZ!E20+DEZ!V20</f>
        <v>62118</v>
      </c>
      <c r="F20" s="37">
        <f>JAN!F20+JAN!W20+FEV!F20+FEV!W20+MAR!F20+MAR!W20+ABR!F20+ABR!W20+MAI!F20+MAI!W20+JUN!F20+JUN!W20+JUL!F20+JUL!W20+AGO!F20+AGO!W20+SET!F20+SET!W20+OUT!F20+OUT!W20+NOV!F20+NOV!W20+DEZ!F20+DEZ!W20</f>
        <v>1827771.2319999998</v>
      </c>
      <c r="G20" s="37">
        <f>JAN!G20+JAN!X20+FEV!G20+FEV!X20+MAR!G20+MAR!X20+ABR!G20+ABR!X20+MAI!G20+MAI!X20+JUN!G20+JUN!X20+JUL!G20+JUL!X20+AGO!G20+AGO!X20+SET!G20+SET!X20+OUT!G20+OUT!X20+NOV!G20+NOV!X20+DEZ!G20+DEZ!X20</f>
        <v>19101.008000000002</v>
      </c>
      <c r="H20" s="37">
        <f>JAN!H20+JAN!Y20+FEV!H20+FEV!Y20+MAR!H20+MAR!Y20+ABR!H20+ABR!Y20+MAI!H20+MAI!Y20+JUN!H20+JUN!Y20+JUL!H20+JUL!Y20+AGO!H20+AGO!Y20+SET!H20+SET!Y20+OUT!H20+OUT!Y20+NOV!H20+NOV!Y20+DEZ!H20+DEZ!Y20</f>
        <v>31720.312000000002</v>
      </c>
      <c r="I20" s="37">
        <f>JAN!I20+JAN!Z20+FEV!I20+FEV!Z20+MAR!I20+MAR!Z20+ABR!I20+ABR!Z20+MAI!I20+MAI!Z20+JUN!I20+JUN!Z20+JUL!I20+JUL!Z20+AGO!I20+AGO!Z20+SET!I20+SET!Z20+OUT!I20+OUT!Z20+NOV!I20+NOV!Z20+DEZ!I20+DEZ!Z20</f>
        <v>442.22399999999999</v>
      </c>
      <c r="J20" s="37">
        <f>JAN!J20+JAN!AA20+FEV!J20+FEV!AA20+MAR!J20+MAR!AA20+ABR!J20+ABR!AA20+MAI!J20+MAI!AA20+JUN!J20+JUN!AA20+JUL!J20+JUL!AA20+AGO!J20+AGO!AA20+SET!J20+SET!AA20+OUT!J20+OUT!AA20+NOV!J20+NOV!AA20+DEZ!J20+DEZ!AA20</f>
        <v>44171.887999999999</v>
      </c>
      <c r="K20" s="37">
        <f>JAN!K20+JAN!AB20+FEV!K20+FEV!AB20+MAR!K20+MAR!AB20+ABR!K20+ABR!AB20+MAI!K20+MAI!AB20+JUN!K20+JUN!AB20+JUL!K20+JUL!AB20+AGO!K20+AGO!AB20+SET!K20+SET!AB20+OUT!K20+OUT!AB20+NOV!K20+NOV!AB20+DEZ!K20+DEZ!AB20</f>
        <v>7125.9520000000011</v>
      </c>
      <c r="L20" s="37">
        <f>JAN!L20+JAN!AC20+FEV!L20+FEV!AC20+MAR!L20+MAR!AC20+ABR!L20+ABR!AC20+MAI!L20+MAI!AC20+JUN!L20+JUN!AC20+JUL!L20+JUL!AC20+AGO!L20+AGO!AC20+SET!L20+SET!AC20+OUT!L20+OUT!AC20+NOV!L20+NOV!AC20+DEZ!L20+DEZ!AC20</f>
        <v>0</v>
      </c>
      <c r="M20" s="37">
        <f>JAN!M20+JAN!AD20+FEV!M20+FEV!AD20+MAR!M20+MAR!AD20+ABR!M20+ABR!AD20+MAI!M20+MAI!AD20+JUN!M20+JUN!AD20+JUL!M20+JUL!AD20+AGO!M20+AGO!AD20+SET!M20+SET!AD20+OUT!M20+OUT!AD20+NOV!M20+NOV!AD20+DEZ!M20+DEZ!AD20</f>
        <v>0</v>
      </c>
      <c r="N20" s="37">
        <f>JAN!N20+JAN!AE20+FEV!N20+FEV!AE20+MAR!N20+MAR!AE20+ABR!N20+ABR!AE20+MAI!N20+MAI!AE20+JUN!N20+JUN!AE20+JUL!N20+JUL!AE20+AGO!N20+AGO!AE20+SET!N20+SET!AE20+OUT!N20+OUT!AE20+NOV!N20+NOV!AE20+DEZ!N20+DEZ!AE20</f>
        <v>1720.1759999999999</v>
      </c>
      <c r="O20" s="37">
        <f>JAN!AF20+FEV!AF20+MAR!AF20+ABR!AF20+MAI!AF20+JUN!AF20+JUL!AF20+AGO!AF20+SET!AF20+OUT!AF20+NOV!AF20+DEZ!AF20</f>
        <v>0</v>
      </c>
      <c r="P20" s="37">
        <f>JAN!AG20+FEV!AG20+MAR!AG20+ABR!AG20+MAI!AG20+JUN!AG20+JUL!AG20+AGO!AG20+SET!AG20+OUT!AG20+NOV!AG20+DEZ!AG20</f>
        <v>0</v>
      </c>
      <c r="Q20" s="38">
        <f t="shared" si="0"/>
        <v>4299062.7039999999</v>
      </c>
      <c r="R20" s="15">
        <f t="shared" si="1"/>
        <v>104281.56000000001</v>
      </c>
    </row>
    <row r="21" spans="1:18">
      <c r="A21" s="18" t="s">
        <v>135</v>
      </c>
      <c r="B21" s="37">
        <f>JAN!B21+JAN!S21+FEV!B21+FEV!S21+MAR!B21+MAR!S21+ABR!B21+ABR!S21+MAI!B21+MAI!S21+JUN!B21+JUN!S21+JUL!B21+JUL!S21+AGO!B21+AGO!S21+SET!B21+SET!S21+OUT!B21+OUT!S21+NOV!B21+NOV!S21+DEZ!B21+DEZ!S21</f>
        <v>648099.57600000012</v>
      </c>
      <c r="C21" s="37">
        <f>JAN!C21+JAN!T21+FEV!C21+FEV!T21+MAR!C21+MAR!T21+ABR!C21+ABR!T21+MAI!C21+MAI!T21+JUN!C21+JUN!T21+JUL!C21+JUL!T21+AGO!C21+AGO!T21+SET!C21+SET!T21+OUT!C21+OUT!T21+NOV!C21+NOV!T21+DEZ!C21+DEZ!T21</f>
        <v>133308</v>
      </c>
      <c r="D21" s="37">
        <f>JAN!D21+JAN!U21+FEV!D21+FEV!U21+MAR!D21+MAR!U21+ABR!D21+ABR!U21+MAI!D21+MAI!U21+JUN!D21+JUN!U21+JUL!D21+JUL!U21+AGO!D21+AGO!U21+SET!D21+SET!U21+OUT!D21+OUT!U21+NOV!D21+NOV!U21+DEZ!D21+DEZ!U21</f>
        <v>79757.392000000022</v>
      </c>
      <c r="E21" s="37">
        <f>JAN!E21+JAN!V21+FEV!E21+FEV!V21+MAR!E21+MAR!V21+ABR!E21+ABR!V21+MAI!E21+MAI!V21+JUN!E21+JUN!V21+JUL!E21+JUL!V21+AGO!E21+AGO!V21+SET!E21+SET!V21+OUT!E21+OUT!V21+NOV!E21+NOV!V21+DEZ!E21+DEZ!V21</f>
        <v>16284.056</v>
      </c>
      <c r="F21" s="37">
        <f>JAN!F21+JAN!W21+FEV!F21+FEV!W21+MAR!F21+MAR!W21+ABR!F21+ABR!W21+MAI!F21+MAI!W21+JUN!F21+JUN!W21+JUL!F21+JUL!W21+AGO!F21+AGO!W21+SET!F21+SET!W21+OUT!F21+OUT!W21+NOV!F21+NOV!W21+DEZ!F21+DEZ!W21</f>
        <v>420855.24800000002</v>
      </c>
      <c r="G21" s="37">
        <f>JAN!G21+JAN!X21+FEV!G21+FEV!X21+MAR!G21+MAR!X21+ABR!G21+ABR!X21+MAI!G21+MAI!X21+JUN!G21+JUN!X21+JUL!G21+JUL!X21+AGO!G21+AGO!X21+SET!G21+SET!X21+OUT!G21+OUT!X21+NOV!G21+NOV!X21+DEZ!G21+DEZ!X21</f>
        <v>7949.4080000000013</v>
      </c>
      <c r="H21" s="37">
        <f>JAN!H21+JAN!Y21+FEV!H21+FEV!Y21+MAR!H21+MAR!Y21+ABR!H21+ABR!Y21+MAI!H21+MAI!Y21+JUN!H21+JUN!Y21+JUL!H21+JUL!Y21+AGO!H21+AGO!Y21+SET!H21+SET!Y21+OUT!H21+OUT!Y21+NOV!H21+NOV!Y21+DEZ!H21+DEZ!Y21</f>
        <v>17261.008000000002</v>
      </c>
      <c r="I21" s="37">
        <f>JAN!I21+JAN!Z21+FEV!I21+FEV!Z21+MAR!I21+MAR!Z21+ABR!I21+ABR!Z21+MAI!I21+MAI!Z21+JUN!I21+JUN!Z21+JUL!I21+JUL!Z21+AGO!I21+AGO!Z21+SET!I21+SET!Z21+OUT!I21+OUT!Z21+NOV!I21+NOV!Z21+DEZ!I21+DEZ!Z21</f>
        <v>8987.9359999999997</v>
      </c>
      <c r="J21" s="37">
        <f>JAN!J21+JAN!AA21+FEV!J21+FEV!AA21+MAR!J21+MAR!AA21+ABR!J21+ABR!AA21+MAI!J21+MAI!AA21+JUN!J21+JUN!AA21+JUL!J21+JUL!AA21+AGO!J21+AGO!AA21+SET!J21+SET!AA21+OUT!J21+OUT!AA21+NOV!J21+NOV!AA21+DEZ!J21+DEZ!AA21</f>
        <v>24780.199999999997</v>
      </c>
      <c r="K21" s="37">
        <f>JAN!K21+JAN!AB21+FEV!K21+FEV!AB21+MAR!K21+MAR!AB21+ABR!K21+ABR!AB21+MAI!K21+MAI!AB21+JUN!K21+JUN!AB21+JUL!K21+JUL!AB21+AGO!K21+AGO!AB21+SET!K21+SET!AB21+OUT!K21+OUT!AB21+NOV!K21+NOV!AB21+DEZ!K21+DEZ!AB21</f>
        <v>2046.8160000000003</v>
      </c>
      <c r="L21" s="37">
        <f>JAN!L21+JAN!AC21+FEV!L21+FEV!AC21+MAR!L21+MAR!AC21+ABR!L21+ABR!AC21+MAI!L21+MAI!AC21+JUN!L21+JUN!AC21+JUL!L21+JUL!AC21+AGO!L21+AGO!AC21+SET!L21+SET!AC21+OUT!L21+OUT!AC21+NOV!L21+NOV!AC21+DEZ!L21+DEZ!AC21</f>
        <v>151.61600000000001</v>
      </c>
      <c r="M21" s="37">
        <f>JAN!M21+JAN!AD21+FEV!M21+FEV!AD21+MAR!M21+MAR!AD21+ABR!M21+ABR!AD21+MAI!M21+MAI!AD21+JUN!M21+JUN!AD21+JUL!M21+JUL!AD21+AGO!M21+AGO!AD21+SET!M21+SET!AD21+OUT!M21+OUT!AD21+NOV!M21+NOV!AD21+DEZ!M21+DEZ!AD21</f>
        <v>0</v>
      </c>
      <c r="N21" s="37">
        <f>JAN!N21+JAN!AE21+FEV!N21+FEV!AE21+MAR!N21+MAR!AE21+ABR!N21+ABR!AE21+MAI!N21+MAI!AE21+JUN!N21+JUN!AE21+JUL!N21+JUL!AE21+AGO!N21+AGO!AE21+SET!N21+SET!AE21+OUT!N21+OUT!AE21+NOV!N21+NOV!AE21+DEZ!N21+DEZ!AE21</f>
        <v>704.5440000000001</v>
      </c>
      <c r="O21" s="37">
        <f>JAN!AF21+FEV!AF21+MAR!AF21+ABR!AF21+MAI!AF21+JUN!AF21+JUL!AF21+AGO!AF21+SET!AF21+OUT!AF21+NOV!AF21+DEZ!AF21</f>
        <v>0</v>
      </c>
      <c r="P21" s="37">
        <f>JAN!AG21+FEV!AG21+MAR!AG21+ABR!AG21+MAI!AG21+JUN!AG21+JUL!AG21+AGO!AG21+SET!AG21+OUT!AG21+NOV!AG21+DEZ!AG21</f>
        <v>0</v>
      </c>
      <c r="Q21" s="38">
        <f t="shared" si="0"/>
        <v>1360185.8</v>
      </c>
      <c r="R21" s="15">
        <f t="shared" si="1"/>
        <v>61881.528000000006</v>
      </c>
    </row>
    <row r="22" spans="1:18">
      <c r="A22" s="18" t="s">
        <v>136</v>
      </c>
      <c r="B22" s="37">
        <f>JAN!B22+JAN!S22+FEV!B22+FEV!S22+MAR!B22+MAR!S22+ABR!B22+ABR!S22+MAI!B22+MAI!S22+JUN!B22+JUN!S22+JUL!B22+JUL!S22+AGO!B22+AGO!S22+SET!B22+SET!S22+OUT!B22+OUT!S22+NOV!B22+NOV!S22+DEZ!B22+DEZ!S22</f>
        <v>148691.54400000002</v>
      </c>
      <c r="C22" s="37">
        <f>JAN!C22+JAN!T22+FEV!C22+FEV!T22+MAR!C22+MAR!T22+ABR!C22+ABR!T22+MAI!C22+MAI!T22+JUN!C22+JUN!T22+JUL!C22+JUL!T22+AGO!C22+AGO!T22+SET!C22+SET!T22+OUT!C22+OUT!T22+NOV!C22+NOV!T22+DEZ!C22+DEZ!T22</f>
        <v>16559.36</v>
      </c>
      <c r="D22" s="37">
        <f>JAN!D22+JAN!U22+FEV!D22+FEV!U22+MAR!D22+MAR!U22+ABR!D22+ABR!U22+MAI!D22+MAI!U22+JUN!D22+JUN!U22+JUL!D22+JUL!U22+AGO!D22+AGO!U22+SET!D22+SET!U22+OUT!D22+OUT!U22+NOV!D22+NOV!U22+DEZ!D22+DEZ!U22</f>
        <v>21149.52</v>
      </c>
      <c r="E22" s="37">
        <f>JAN!E22+JAN!V22+FEV!E22+FEV!V22+MAR!E22+MAR!V22+ABR!E22+ABR!V22+MAI!E22+MAI!V22+JUN!E22+JUN!V22+JUL!E22+JUL!V22+AGO!E22+AGO!V22+SET!E22+SET!V22+OUT!E22+OUT!V22+NOV!E22+NOV!V22+DEZ!E22+DEZ!V22</f>
        <v>1501.6000000000001</v>
      </c>
      <c r="F22" s="37">
        <f>JAN!F22+JAN!W22+FEV!F22+FEV!W22+MAR!F22+MAR!W22+ABR!F22+ABR!W22+MAI!F22+MAI!W22+JUN!F22+JUN!W22+JUL!F22+JUL!W22+AGO!F22+AGO!W22+SET!F22+SET!W22+OUT!F22+OUT!W22+NOV!F22+NOV!W22+DEZ!F22+DEZ!W22</f>
        <v>100649.072</v>
      </c>
      <c r="G22" s="37">
        <f>JAN!G22+JAN!X22+FEV!G22+FEV!X22+MAR!G22+MAR!X22+ABR!G22+ABR!X22+MAI!G22+MAI!X22+JUN!G22+JUN!X22+JUL!G22+JUL!X22+AGO!G22+AGO!X22+SET!G22+SET!X22+OUT!G22+OUT!X22+NOV!G22+NOV!X22+DEZ!G22+DEZ!X22</f>
        <v>6137.84</v>
      </c>
      <c r="H22" s="37">
        <f>JAN!H22+JAN!Y22+FEV!H22+FEV!Y22+MAR!H22+MAR!Y22+ABR!H22+ABR!Y22+MAI!H22+MAI!Y22+JUN!H22+JUN!Y22+JUL!H22+JUL!Y22+AGO!H22+AGO!Y22+SET!H22+SET!Y22+OUT!H22+OUT!Y22+NOV!H22+NOV!Y22+DEZ!H22+DEZ!Y22</f>
        <v>1638.944</v>
      </c>
      <c r="I22" s="37">
        <f>JAN!I22+JAN!Z22+FEV!I22+FEV!Z22+MAR!I22+MAR!Z22+ABR!I22+ABR!Z22+MAI!I22+MAI!Z22+JUN!I22+JUN!Z22+JUL!I22+JUL!Z22+AGO!I22+AGO!Z22+SET!I22+SET!Z22+OUT!I22+OUT!Z22+NOV!I22+NOV!Z22+DEZ!I22+DEZ!Z22</f>
        <v>6932.6</v>
      </c>
      <c r="J22" s="37">
        <f>JAN!J22+JAN!AA22+FEV!J22+FEV!AA22+MAR!J22+MAR!AA22+ABR!J22+ABR!AA22+MAI!J22+MAI!AA22+JUN!J22+JUN!AA22+JUL!J22+JUL!AA22+AGO!J22+AGO!AA22+SET!J22+SET!AA22+OUT!J22+OUT!AA22+NOV!J22+NOV!AA22+DEZ!J22+DEZ!AA22</f>
        <v>3017.0160000000001</v>
      </c>
      <c r="K22" s="37">
        <f>JAN!K22+JAN!AB22+FEV!K22+FEV!AB22+MAR!K22+MAR!AB22+ABR!K22+ABR!AB22+MAI!K22+MAI!AB22+JUN!K22+JUN!AB22+JUL!K22+JUL!AB22+AGO!K22+AGO!AB22+SET!K22+SET!AB22+OUT!K22+OUT!AB22+NOV!K22+NOV!AB22+DEZ!K22+DEZ!AB22</f>
        <v>227.42400000000004</v>
      </c>
      <c r="L22" s="37">
        <f>JAN!L22+JAN!AC22+FEV!L22+FEV!AC22+MAR!L22+MAR!AC22+ABR!L22+ABR!AC22+MAI!L22+MAI!AC22+JUN!L22+JUN!AC22+JUL!L22+JUL!AC22+AGO!L22+AGO!AC22+SET!L22+SET!AC22+OUT!L22+OUT!AC22+NOV!L22+NOV!AC22+DEZ!L22+DEZ!AC22</f>
        <v>0</v>
      </c>
      <c r="M22" s="37">
        <f>JAN!M22+JAN!AD22+FEV!M22+FEV!AD22+MAR!M22+MAR!AD22+ABR!M22+ABR!AD22+MAI!M22+MAI!AD22+JUN!M22+JUN!AD22+JUL!M22+JUL!AD22+AGO!M22+AGO!AD22+SET!M22+SET!AD22+OUT!M22+OUT!AD22+NOV!M22+NOV!AD22+DEZ!M22+DEZ!AD22</f>
        <v>0</v>
      </c>
      <c r="N22" s="37">
        <f>JAN!N22+JAN!AE22+FEV!N22+FEV!AE22+MAR!N22+MAR!AE22+ABR!N22+ABR!AE22+MAI!N22+MAI!AE22+JUN!N22+JUN!AE22+JUL!N22+JUL!AE22+AGO!N22+AGO!AE22+SET!N22+SET!AE22+OUT!N22+OUT!AE22+NOV!N22+NOV!AE22+DEZ!N22+DEZ!AE22</f>
        <v>132.67200000000003</v>
      </c>
      <c r="O22" s="37">
        <f>JAN!AF22+FEV!AF22+MAR!AF22+ABR!AF22+MAI!AF22+JUN!AF22+JUL!AF22+AGO!AF22+SET!AF22+OUT!AF22+NOV!AF22+DEZ!AF22</f>
        <v>43.1</v>
      </c>
      <c r="P22" s="37">
        <f>JAN!AG22+FEV!AG22+MAR!AG22+ABR!AG22+MAI!AG22+JUN!AG22+JUL!AG22+AGO!AG22+SET!AG22+OUT!AG22+NOV!AG22+DEZ!AG22</f>
        <v>430.95</v>
      </c>
      <c r="Q22" s="38">
        <f t="shared" si="0"/>
        <v>307111.64200000005</v>
      </c>
      <c r="R22" s="15">
        <f t="shared" si="1"/>
        <v>18560.545999999998</v>
      </c>
    </row>
    <row r="23" spans="1:18">
      <c r="A23" s="18" t="s">
        <v>137</v>
      </c>
      <c r="B23" s="37">
        <f>JAN!B23+JAN!S23+FEV!B23+FEV!S23+MAR!B23+MAR!S23+ABR!B23+ABR!S23+MAI!B23+MAI!S23+JUN!B23+JUN!S23+JUL!B23+JUL!S23+AGO!B23+AGO!S23+SET!B23+SET!S23+OUT!B23+OUT!S23+NOV!B23+NOV!S23+DEZ!B23+DEZ!S23</f>
        <v>2530541.3199999998</v>
      </c>
      <c r="C23" s="37">
        <f>JAN!C23+JAN!T23+FEV!C23+FEV!T23+MAR!C23+MAR!T23+ABR!C23+ABR!T23+MAI!C23+MAI!T23+JUN!C23+JUN!T23+JUL!C23+JUL!T23+AGO!C23+AGO!T23+SET!C23+SET!T23+OUT!C23+OUT!T23+NOV!C23+NOV!T23+DEZ!C23+DEZ!T23</f>
        <v>322863.57800000004</v>
      </c>
      <c r="D23" s="37">
        <f>JAN!D23+JAN!U23+FEV!D23+FEV!U23+MAR!D23+MAR!U23+ABR!D23+ABR!U23+MAI!D23+MAI!U23+JUN!D23+JUN!U23+JUL!D23+JUL!U23+AGO!D23+AGO!U23+SET!D23+SET!U23+OUT!D23+OUT!U23+NOV!D23+NOV!U23+DEZ!D23+DEZ!U23</f>
        <v>363129.60800000007</v>
      </c>
      <c r="E23" s="37">
        <f>JAN!E23+JAN!V23+FEV!E23+FEV!V23+MAR!E23+MAR!V23+ABR!E23+ABR!V23+MAI!E23+MAI!V23+JUN!E23+JUN!V23+JUL!E23+JUL!V23+AGO!E23+AGO!V23+SET!E23+SET!V23+OUT!E23+OUT!V23+NOV!E23+NOV!V23+DEZ!E23+DEZ!V23</f>
        <v>56500.298000000003</v>
      </c>
      <c r="F23" s="37">
        <f>JAN!F23+JAN!W23+FEV!F23+FEV!W23+MAR!F23+MAR!W23+ABR!F23+ABR!W23+MAI!F23+MAI!W23+JUN!F23+JUN!W23+JUL!F23+JUL!W23+AGO!F23+AGO!W23+SET!F23+SET!W23+OUT!F23+OUT!W23+NOV!F23+NOV!W23+DEZ!F23+DEZ!W23</f>
        <v>1418394.9920000001</v>
      </c>
      <c r="G23" s="37">
        <f>JAN!G23+JAN!X23+FEV!G23+FEV!X23+MAR!G23+MAR!X23+ABR!G23+ABR!X23+MAI!G23+MAI!X23+JUN!G23+JUN!X23+JUL!G23+JUL!X23+AGO!G23+AGO!X23+SET!G23+SET!X23+OUT!G23+OUT!X23+NOV!G23+NOV!X23+DEZ!G23+DEZ!X23</f>
        <v>58110.832000000002</v>
      </c>
      <c r="H23" s="37">
        <f>JAN!H23+JAN!Y23+FEV!H23+FEV!Y23+MAR!H23+MAR!Y23+ABR!H23+ABR!Y23+MAI!H23+MAI!Y23+JUN!H23+JUN!Y23+JUL!H23+JUL!Y23+AGO!H23+AGO!Y23+SET!H23+SET!Y23+OUT!H23+OUT!Y23+NOV!H23+NOV!Y23+DEZ!H23+DEZ!Y23</f>
        <v>57350.696000000011</v>
      </c>
      <c r="I23" s="37">
        <f>JAN!I23+JAN!Z23+FEV!I23+FEV!Z23+MAR!I23+MAR!Z23+ABR!I23+ABR!Z23+MAI!I23+MAI!Z23+JUN!I23+JUN!Z23+JUL!I23+JUL!Z23+AGO!I23+AGO!Z23+SET!I23+SET!Z23+OUT!I23+OUT!Z23+NOV!I23+NOV!Z23+DEZ!I23+DEZ!Z23</f>
        <v>7234.3600000000006</v>
      </c>
      <c r="J23" s="37">
        <f>JAN!J23+JAN!AA23+FEV!J23+FEV!AA23+MAR!J23+MAR!AA23+ABR!J23+ABR!AA23+MAI!J23+MAI!AA23+JUN!J23+JUN!AA23+JUL!J23+JUL!AA23+AGO!J23+AGO!AA23+SET!J23+SET!AA23+OUT!J23+OUT!AA23+NOV!J23+NOV!AA23+DEZ!J23+DEZ!AA23</f>
        <v>57208.584000000003</v>
      </c>
      <c r="K23" s="37">
        <f>JAN!K23+JAN!AB23+FEV!K23+FEV!AB23+MAR!K23+MAR!AB23+ABR!K23+ABR!AB23+MAI!K23+MAI!AB23+JUN!K23+JUN!AB23+JUL!K23+JUL!AB23+AGO!K23+AGO!AB23+SET!K23+SET!AB23+OUT!K23+OUT!AB23+NOV!K23+NOV!AB23+DEZ!K23+DEZ!AB23</f>
        <v>5003.3280000000004</v>
      </c>
      <c r="L23" s="37">
        <f>JAN!L23+JAN!AC23+FEV!L23+FEV!AC23+MAR!L23+MAR!AC23+ABR!L23+ABR!AC23+MAI!L23+MAI!AC23+JUN!L23+JUN!AC23+JUL!L23+JUL!AC23+AGO!L23+AGO!AC23+SET!L23+SET!AC23+OUT!L23+OUT!AC23+NOV!L23+NOV!AC23+DEZ!L23+DEZ!AC23</f>
        <v>1061.3119999999999</v>
      </c>
      <c r="M23" s="37">
        <f>JAN!M23+JAN!AD23+FEV!M23+FEV!AD23+MAR!M23+MAR!AD23+ABR!M23+ABR!AD23+MAI!M23+MAI!AD23+JUN!M23+JUN!AD23+JUL!M23+JUL!AD23+AGO!M23+AGO!AD23+SET!M23+SET!AD23+OUT!M23+OUT!AD23+NOV!M23+NOV!AD23+DEZ!M23+DEZ!AD23</f>
        <v>0</v>
      </c>
      <c r="N23" s="37">
        <f>JAN!N23+JAN!AE23+FEV!N23+FEV!AE23+MAR!N23+MAR!AE23+ABR!N23+ABR!AE23+MAI!N23+MAI!AE23+JUN!N23+JUN!AE23+JUL!N23+JUL!AE23+AGO!N23+AGO!AE23+SET!N23+SET!AE23+OUT!N23+OUT!AE23+NOV!N23+NOV!AE23+DEZ!N23+DEZ!AE23</f>
        <v>5404.52</v>
      </c>
      <c r="O23" s="37">
        <f>JAN!AF23+FEV!AF23+MAR!AF23+ABR!AF23+MAI!AF23+JUN!AF23+JUL!AF23+AGO!AF23+SET!AF23+OUT!AF23+NOV!AF23+DEZ!AF23</f>
        <v>0</v>
      </c>
      <c r="P23" s="37">
        <f>JAN!AG23+FEV!AG23+MAR!AG23+ABR!AG23+MAI!AG23+JUN!AG23+JUL!AG23+AGO!AG23+SET!AG23+OUT!AG23+NOV!AG23+DEZ!AG23</f>
        <v>0</v>
      </c>
      <c r="Q23" s="38">
        <f t="shared" si="0"/>
        <v>4882803.4280000003</v>
      </c>
      <c r="R23" s="15">
        <f t="shared" si="1"/>
        <v>191373.63200000001</v>
      </c>
    </row>
    <row r="24" spans="1:18">
      <c r="A24" s="18" t="s">
        <v>138</v>
      </c>
      <c r="B24" s="37">
        <f>JAN!B24+JAN!S24+FEV!B24+FEV!S24+MAR!B24+MAR!S24+ABR!B24+ABR!S24+MAI!B24+MAI!S24+JUN!B24+JUN!S24+JUL!B24+JUL!S24+AGO!B24+AGO!S24+SET!B24+SET!S24+OUT!B24+OUT!S24+NOV!B24+NOV!S24+DEZ!B24+DEZ!S24</f>
        <v>293633.62400000001</v>
      </c>
      <c r="C24" s="37">
        <f>JAN!C24+JAN!T24+FEV!C24+FEV!T24+MAR!C24+MAR!T24+ABR!C24+ABR!T24+MAI!C24+MAI!T24+JUN!C24+JUN!T24+JUL!C24+JUL!T24+AGO!C24+AGO!T24+SET!C24+SET!T24+OUT!C24+OUT!T24+NOV!C24+NOV!T24+DEZ!C24+DEZ!T24</f>
        <v>61394.414000000004</v>
      </c>
      <c r="D24" s="37">
        <f>JAN!D24+JAN!U24+FEV!D24+FEV!U24+MAR!D24+MAR!U24+ABR!D24+ABR!U24+MAI!D24+MAI!U24+JUN!D24+JUN!U24+JUL!D24+JUL!U24+AGO!D24+AGO!U24+SET!D24+SET!U24+OUT!D24+OUT!U24+NOV!D24+NOV!U24+DEZ!D24+DEZ!U24</f>
        <v>21537.968000000001</v>
      </c>
      <c r="E24" s="37">
        <f>JAN!E24+JAN!V24+FEV!E24+FEV!V24+MAR!E24+MAR!V24+ABR!E24+ABR!V24+MAI!E24+MAI!V24+JUN!E24+JUN!V24+JUL!E24+JUL!V24+AGO!E24+AGO!V24+SET!E24+SET!V24+OUT!E24+OUT!V24+NOV!E24+NOV!V24+DEZ!E24+DEZ!V24</f>
        <v>7149.5760000000009</v>
      </c>
      <c r="F24" s="37">
        <f>JAN!F24+JAN!W24+FEV!F24+FEV!W24+MAR!F24+MAR!W24+ABR!F24+ABR!W24+MAI!F24+MAI!W24+JUN!F24+JUN!W24+JUL!F24+JUL!W24+AGO!F24+AGO!W24+SET!F24+SET!W24+OUT!F24+OUT!W24+NOV!F24+NOV!W24+DEZ!F24+DEZ!W24</f>
        <v>185873.74400000001</v>
      </c>
      <c r="G24" s="37">
        <f>JAN!G24+JAN!X24+FEV!G24+FEV!X24+MAR!G24+MAR!X24+ABR!G24+ABR!X24+MAI!G24+MAI!X24+JUN!G24+JUN!X24+JUL!G24+JUL!X24+AGO!G24+AGO!X24+SET!G24+SET!X24+OUT!G24+OUT!X24+NOV!G24+NOV!X24+DEZ!G24+DEZ!X24</f>
        <v>6284.24</v>
      </c>
      <c r="H24" s="37">
        <f>JAN!H24+JAN!Y24+FEV!H24+FEV!Y24+MAR!H24+MAR!Y24+ABR!H24+ABR!Y24+MAI!H24+MAI!Y24+JUN!H24+JUN!Y24+JUL!H24+JUL!Y24+AGO!H24+AGO!Y24+SET!H24+SET!Y24+OUT!H24+OUT!Y24+NOV!H24+NOV!Y24+DEZ!H24+DEZ!Y24</f>
        <v>11190.794</v>
      </c>
      <c r="I24" s="37">
        <f>JAN!I24+JAN!Z24+FEV!I24+FEV!Z24+MAR!I24+MAR!Z24+ABR!I24+ABR!Z24+MAI!I24+MAI!Z24+JUN!I24+JUN!Z24+JUL!I24+JUL!Z24+AGO!I24+AGO!Z24+SET!I24+SET!Z24+OUT!I24+OUT!Z24+NOV!I24+NOV!Z24+DEZ!I24+DEZ!Z24</f>
        <v>0</v>
      </c>
      <c r="J24" s="37">
        <f>JAN!J24+JAN!AA24+FEV!J24+FEV!AA24+MAR!J24+MAR!AA24+ABR!J24+ABR!AA24+MAI!J24+MAI!AA24+JUN!J24+JUN!AA24+JUL!J24+JUL!AA24+AGO!J24+AGO!AA24+SET!J24+SET!AA24+OUT!J24+OUT!AA24+NOV!J24+NOV!AA24+DEZ!J24+DEZ!AA24</f>
        <v>9810.232</v>
      </c>
      <c r="K24" s="37">
        <f>JAN!K24+JAN!AB24+FEV!K24+FEV!AB24+MAR!K24+MAR!AB24+ABR!K24+ABR!AB24+MAI!K24+MAI!AB24+JUN!K24+JUN!AB24+JUL!K24+JUL!AB24+AGO!K24+AGO!AB24+SET!K24+SET!AB24+OUT!K24+OUT!AB24+NOV!K24+NOV!AB24+DEZ!K24+DEZ!AB24</f>
        <v>300.62400000000002</v>
      </c>
      <c r="L24" s="37">
        <f>JAN!L24+JAN!AC24+FEV!L24+FEV!AC24+MAR!L24+MAR!AC24+ABR!L24+ABR!AC24+MAI!L24+MAI!AC24+JUN!L24+JUN!AC24+JUL!L24+JUL!AC24+AGO!L24+AGO!AC24+SET!L24+SET!AC24+OUT!L24+OUT!AC24+NOV!L24+NOV!AC24+DEZ!L24+DEZ!AC24</f>
        <v>151.61600000000001</v>
      </c>
      <c r="M24" s="37">
        <f>JAN!M24+JAN!AD24+FEV!M24+FEV!AD24+MAR!M24+MAR!AD24+ABR!M24+ABR!AD24+MAI!M24+MAI!AD24+JUN!M24+JUN!AD24+JUL!M24+JUL!AD24+AGO!M24+AGO!AD24+SET!M24+SET!AD24+OUT!M24+OUT!AD24+NOV!M24+NOV!AD24+DEZ!M24+DEZ!AD24</f>
        <v>0</v>
      </c>
      <c r="N24" s="37">
        <f>JAN!N24+JAN!AE24+FEV!N24+FEV!AE24+MAR!N24+MAR!AE24+ABR!N24+ABR!AE24+MAI!N24+MAI!AE24+JUN!N24+JUN!AE24+JUL!N24+JUL!AE24+AGO!N24+AGO!AE24+SET!N24+SET!AE24+OUT!N24+OUT!AE24+NOV!N24+NOV!AE24+DEZ!N24+DEZ!AE24</f>
        <v>397.25600000000003</v>
      </c>
      <c r="O24" s="37">
        <f>JAN!AF24+FEV!AF24+MAR!AF24+ABR!AF24+MAI!AF24+JUN!AF24+JUL!AF24+AGO!AF24+SET!AF24+OUT!AF24+NOV!AF24+DEZ!AF24</f>
        <v>0</v>
      </c>
      <c r="P24" s="37">
        <f>JAN!AG24+FEV!AG24+MAR!AG24+ABR!AG24+MAI!AG24+JUN!AG24+JUL!AG24+AGO!AG24+SET!AG24+OUT!AG24+NOV!AG24+DEZ!AG24</f>
        <v>0</v>
      </c>
      <c r="Q24" s="38">
        <f t="shared" si="0"/>
        <v>597724.08799999999</v>
      </c>
      <c r="R24" s="15">
        <f t="shared" si="1"/>
        <v>28134.762000000002</v>
      </c>
    </row>
    <row r="25" spans="1:18">
      <c r="A25" s="18" t="s">
        <v>139</v>
      </c>
      <c r="B25" s="37">
        <f>JAN!B25+JAN!S25+FEV!B25+FEV!S25+MAR!B25+MAR!S25+ABR!B25+ABR!S25+MAI!B25+MAI!S25+JUN!B25+JUN!S25+JUL!B25+JUL!S25+AGO!B25+AGO!S25+SET!B25+SET!S25+OUT!B25+OUT!S25+NOV!B25+NOV!S25+DEZ!B25+DEZ!S25</f>
        <v>2434621.4160000002</v>
      </c>
      <c r="C25" s="37">
        <f>JAN!C25+JAN!T25+FEV!C25+FEV!T25+MAR!C25+MAR!T25+ABR!C25+ABR!T25+MAI!C25+MAI!T25+JUN!C25+JUN!T25+JUL!C25+JUL!T25+AGO!C25+AGO!T25+SET!C25+SET!T25+OUT!C25+OUT!T25+NOV!C25+NOV!T25+DEZ!C25+DEZ!T25</f>
        <v>370682.07</v>
      </c>
      <c r="D25" s="37">
        <f>JAN!D25+JAN!U25+FEV!D25+FEV!U25+MAR!D25+MAR!U25+ABR!D25+ABR!U25+MAI!D25+MAI!U25+JUN!D25+JUN!U25+JUL!D25+JUL!U25+AGO!D25+AGO!U25+SET!D25+SET!U25+OUT!D25+OUT!U25+NOV!D25+NOV!U25+DEZ!D25+DEZ!U25</f>
        <v>319506.61600000004</v>
      </c>
      <c r="E25" s="37">
        <f>JAN!E25+JAN!V25+FEV!E25+FEV!V25+MAR!E25+MAR!V25+ABR!E25+ABR!V25+MAI!E25+MAI!V25+JUN!E25+JUN!V25+JUL!E25+JUL!V25+AGO!E25+AGO!V25+SET!E25+SET!V25+OUT!E25+OUT!V25+NOV!E25+NOV!V25+DEZ!E25+DEZ!V25</f>
        <v>83099.662000000011</v>
      </c>
      <c r="F25" s="37">
        <f>JAN!F25+JAN!W25+FEV!F25+FEV!W25+MAR!F25+MAR!W25+ABR!F25+ABR!W25+MAI!F25+MAI!W25+JUN!F25+JUN!W25+JUL!F25+JUL!W25+AGO!F25+AGO!W25+SET!F25+SET!W25+OUT!F25+OUT!W25+NOV!F25+NOV!W25+DEZ!F25+DEZ!W25</f>
        <v>2349225.9440000001</v>
      </c>
      <c r="G25" s="37">
        <f>JAN!G25+JAN!X25+FEV!G25+FEV!X25+MAR!G25+MAR!X25+ABR!G25+ABR!X25+MAI!G25+MAI!X25+JUN!G25+JUN!X25+JUL!G25+JUL!X25+AGO!G25+AGO!X25+SET!G25+SET!X25+OUT!G25+OUT!X25+NOV!G25+NOV!X25+DEZ!G25+DEZ!X25</f>
        <v>25683.264000000003</v>
      </c>
      <c r="H25" s="37">
        <f>JAN!H25+JAN!Y25+FEV!H25+FEV!Y25+MAR!H25+MAR!Y25+ABR!H25+ABR!Y25+MAI!H25+MAI!Y25+JUN!H25+JUN!Y25+JUL!H25+JUL!Y25+AGO!H25+AGO!Y25+SET!H25+SET!Y25+OUT!H25+OUT!Y25+NOV!H25+NOV!Y25+DEZ!H25+DEZ!Y25</f>
        <v>74518.79800000001</v>
      </c>
      <c r="I25" s="37">
        <f>JAN!I25+JAN!Z25+FEV!I25+FEV!Z25+MAR!I25+MAR!Z25+ABR!I25+ABR!Z25+MAI!I25+MAI!Z25+JUN!I25+JUN!Z25+JUL!I25+JUL!Z25+AGO!I25+AGO!Z25+SET!I25+SET!Z25+OUT!I25+OUT!Z25+NOV!I25+NOV!Z25+DEZ!I25+DEZ!Z25</f>
        <v>3904.0480000000007</v>
      </c>
      <c r="J25" s="37">
        <f>JAN!J25+JAN!AA25+FEV!J25+FEV!AA25+MAR!J25+MAR!AA25+ABR!J25+ABR!AA25+MAI!J25+MAI!AA25+JUN!J25+JUN!AA25+JUL!J25+JUL!AA25+AGO!J25+AGO!AA25+SET!J25+SET!AA25+OUT!J25+OUT!AA25+NOV!J25+NOV!AA25+DEZ!J25+DEZ!AA25</f>
        <v>60634.760000000009</v>
      </c>
      <c r="K25" s="37">
        <f>JAN!K25+JAN!AB25+FEV!K25+FEV!AB25+MAR!K25+MAR!AB25+ABR!K25+ABR!AB25+MAI!K25+MAI!AB25+JUN!K25+JUN!AB25+JUL!K25+JUL!AB25+AGO!K25+AGO!AB25+SET!K25+SET!AB25+OUT!K25+OUT!AB25+NOV!K25+NOV!AB25+DEZ!K25+DEZ!AB25</f>
        <v>5076.5280000000002</v>
      </c>
      <c r="L25" s="37">
        <f>JAN!L25+JAN!AC25+FEV!L25+FEV!AC25+MAR!L25+MAR!AC25+ABR!L25+ABR!AC25+MAI!L25+MAI!AC25+JUN!L25+JUN!AC25+JUL!L25+JUL!AC25+AGO!L25+AGO!AC25+SET!L25+SET!AC25+OUT!L25+OUT!AC25+NOV!L25+NOV!AC25+DEZ!L25+DEZ!AC25</f>
        <v>151.61600000000001</v>
      </c>
      <c r="M25" s="37">
        <f>JAN!M25+JAN!AD25+FEV!M25+FEV!AD25+MAR!M25+MAR!AD25+ABR!M25+ABR!AD25+MAI!M25+MAI!AD25+JUN!M25+JUN!AD25+JUL!M25+JUL!AD25+AGO!M25+AGO!AD25+SET!M25+SET!AD25+OUT!M25+OUT!AD25+NOV!M25+NOV!AD25+DEZ!M25+DEZ!AD25</f>
        <v>0</v>
      </c>
      <c r="N25" s="37">
        <f>JAN!N25+JAN!AE25+FEV!N25+FEV!AE25+MAR!N25+MAR!AE25+ABR!N25+ABR!AE25+MAI!N25+MAI!AE25+JUN!N25+JUN!AE25+JUL!N25+JUL!AE25+AGO!N25+AGO!AE25+SET!N25+SET!AE25+OUT!N25+OUT!AE25+NOV!N25+NOV!AE25+DEZ!N25+DEZ!AE25</f>
        <v>1823.896</v>
      </c>
      <c r="O25" s="37">
        <f>JAN!AF25+FEV!AF25+MAR!AF25+ABR!AF25+MAI!AF25+JUN!AF25+JUL!AF25+AGO!AF25+SET!AF25+OUT!AF25+NOV!AF25+DEZ!AF25</f>
        <v>0</v>
      </c>
      <c r="P25" s="37">
        <f>JAN!AG25+FEV!AG25+MAR!AG25+ABR!AG25+MAI!AG25+JUN!AG25+JUL!AG25+AGO!AG25+SET!AG25+OUT!AG25+NOV!AG25+DEZ!AG25</f>
        <v>0</v>
      </c>
      <c r="Q25" s="38">
        <f t="shared" si="0"/>
        <v>5728928.6180000016</v>
      </c>
      <c r="R25" s="15">
        <f t="shared" si="1"/>
        <v>171792.91</v>
      </c>
    </row>
    <row r="26" spans="1:18">
      <c r="A26" s="18" t="s">
        <v>140</v>
      </c>
      <c r="B26" s="37">
        <f>JAN!B26+JAN!S26+FEV!B26+FEV!S26+MAR!B26+MAR!S26+ABR!B26+ABR!S26+MAI!B26+MAI!S26+JUN!B26+JUN!S26+JUL!B26+JUL!S26+AGO!B26+AGO!S26+SET!B26+SET!S26+OUT!B26+OUT!S26+NOV!B26+NOV!S26+DEZ!B26+DEZ!S26</f>
        <v>113993.09600000001</v>
      </c>
      <c r="C26" s="37">
        <f>JAN!C26+JAN!T26+FEV!C26+FEV!T26+MAR!C26+MAR!T26+ABR!C26+ABR!T26+MAI!C26+MAI!T26+JUN!C26+JUN!T26+JUL!C26+JUL!T26+AGO!C26+AGO!T26+SET!C26+SET!T26+OUT!C26+OUT!T26+NOV!C26+NOV!T26+DEZ!C26+DEZ!T26</f>
        <v>16284.136000000002</v>
      </c>
      <c r="D26" s="37">
        <f>JAN!D26+JAN!U26+FEV!D26+FEV!U26+MAR!D26+MAR!U26+ABR!D26+ABR!U26+MAI!D26+MAI!U26+JUN!D26+JUN!U26+JUL!D26+JUL!U26+AGO!D26+AGO!U26+SET!D26+SET!U26+OUT!D26+OUT!U26+NOV!D26+NOV!U26+DEZ!D26+DEZ!U26</f>
        <v>16101.848000000002</v>
      </c>
      <c r="E26" s="37">
        <f>JAN!E26+JAN!V26+FEV!E26+FEV!V26+MAR!E26+MAR!V26+ABR!E26+ABR!V26+MAI!E26+MAI!V26+JUN!E26+JUN!V26+JUL!E26+JUL!V26+AGO!E26+AGO!V26+SET!E26+SET!V26+OUT!E26+OUT!V26+NOV!E26+NOV!V26+DEZ!E26+DEZ!V26</f>
        <v>3695.0320000000002</v>
      </c>
      <c r="F26" s="37">
        <f>JAN!F26+JAN!W26+FEV!F26+FEV!W26+MAR!F26+MAR!W26+ABR!F26+ABR!W26+MAI!F26+MAI!W26+JUN!F26+JUN!W26+JUL!F26+JUL!W26+AGO!F26+AGO!W26+SET!F26+SET!W26+OUT!F26+OUT!W26+NOV!F26+NOV!W26+DEZ!F26+DEZ!W26</f>
        <v>182274.08000000002</v>
      </c>
      <c r="G26" s="37">
        <f>JAN!G26+JAN!X26+FEV!G26+FEV!X26+MAR!G26+MAR!X26+ABR!G26+ABR!X26+MAI!G26+MAI!X26+JUN!G26+JUN!X26+JUL!G26+JUL!X26+AGO!G26+AGO!X26+SET!G26+SET!X26+OUT!G26+OUT!X26+NOV!G26+NOV!X26+DEZ!G26+DEZ!X26</f>
        <v>1591.9680000000001</v>
      </c>
      <c r="H26" s="37">
        <f>JAN!H26+JAN!Y26+FEV!H26+FEV!Y26+MAR!H26+MAR!Y26+ABR!H26+ABR!Y26+MAI!H26+MAI!Y26+JUN!H26+JUN!Y26+JUL!H26+JUL!Y26+AGO!H26+AGO!Y26+SET!H26+SET!Y26+OUT!H26+OUT!Y26+NOV!H26+NOV!Y26+DEZ!H26+DEZ!Y26</f>
        <v>1693.4080000000001</v>
      </c>
      <c r="I26" s="37">
        <f>JAN!I26+JAN!Z26+FEV!I26+FEV!Z26+MAR!I26+MAR!Z26+ABR!I26+ABR!Z26+MAI!I26+MAI!Z26+JUN!I26+JUN!Z26+JUL!I26+JUL!Z26+AGO!I26+AGO!Z26+SET!I26+SET!Z26+OUT!I26+OUT!Z26+NOV!I26+NOV!Z26+DEZ!I26+DEZ!Z26</f>
        <v>0</v>
      </c>
      <c r="J26" s="37">
        <f>JAN!J26+JAN!AA26+FEV!J26+FEV!AA26+MAR!J26+MAR!AA26+ABR!J26+ABR!AA26+MAI!J26+MAI!AA26+JUN!J26+JUN!AA26+JUL!J26+JUL!AA26+AGO!J26+AGO!AA26+SET!J26+SET!AA26+OUT!J26+OUT!AA26+NOV!J26+NOV!AA26+DEZ!J26+DEZ!AA26</f>
        <v>3445.5680000000007</v>
      </c>
      <c r="K26" s="37">
        <f>JAN!K26+JAN!AB26+FEV!K26+FEV!AB26+MAR!K26+MAR!AB26+ABR!K26+ABR!AB26+MAI!K26+MAI!AB26+JUN!K26+JUN!AB26+JUL!K26+JUL!AB26+AGO!K26+AGO!AB26+SET!K26+SET!AB26+OUT!K26+OUT!AB26+NOV!K26+NOV!AB26+DEZ!K26+DEZ!AB26</f>
        <v>606.46400000000006</v>
      </c>
      <c r="L26" s="37">
        <f>JAN!L26+JAN!AC26+FEV!L26+FEV!AC26+MAR!L26+MAR!AC26+ABR!L26+ABR!AC26+MAI!L26+MAI!AC26+JUN!L26+JUN!AC26+JUL!L26+JUL!AC26+AGO!L26+AGO!AC26+SET!L26+SET!AC26+OUT!L26+OUT!AC26+NOV!L26+NOV!AC26+DEZ!L26+DEZ!AC26</f>
        <v>0</v>
      </c>
      <c r="M26" s="37">
        <f>JAN!M26+JAN!AD26+FEV!M26+FEV!AD26+MAR!M26+MAR!AD26+ABR!M26+ABR!AD26+MAI!M26+MAI!AD26+JUN!M26+JUN!AD26+JUL!M26+JUL!AD26+AGO!M26+AGO!AD26+SET!M26+SET!AD26+OUT!M26+OUT!AD26+NOV!M26+NOV!AD26+DEZ!M26+DEZ!AD26</f>
        <v>0</v>
      </c>
      <c r="N26" s="37">
        <f>JAN!N26+JAN!AE26+FEV!N26+FEV!AE26+MAR!N26+MAR!AE26+ABR!N26+ABR!AE26+MAI!N26+MAI!AE26+JUN!N26+JUN!AE26+JUL!N26+JUL!AE26+AGO!N26+AGO!AE26+SET!N26+SET!AE26+OUT!N26+OUT!AE26+NOV!N26+NOV!AE26+DEZ!N26+DEZ!AE26</f>
        <v>65.576000000000008</v>
      </c>
      <c r="O26" s="37">
        <f>JAN!AF26+FEV!AF26+MAR!AF26+ABR!AF26+MAI!AF26+JUN!AF26+JUL!AF26+AGO!AF26+SET!AF26+OUT!AF26+NOV!AF26+DEZ!AF26</f>
        <v>0</v>
      </c>
      <c r="P26" s="37">
        <f>JAN!AG26+FEV!AG26+MAR!AG26+ABR!AG26+MAI!AG26+JUN!AG26+JUL!AG26+AGO!AG26+SET!AG26+OUT!AG26+NOV!AG26+DEZ!AG26</f>
        <v>0</v>
      </c>
      <c r="Q26" s="38">
        <f t="shared" si="0"/>
        <v>339751.17600000004</v>
      </c>
      <c r="R26" s="15">
        <f t="shared" si="1"/>
        <v>7402.9840000000013</v>
      </c>
    </row>
    <row r="27" spans="1:18">
      <c r="A27" s="18" t="s">
        <v>141</v>
      </c>
      <c r="B27" s="37">
        <f>JAN!B27+JAN!S27+FEV!B27+FEV!S27+MAR!B27+MAR!S27+ABR!B27+ABR!S27+MAI!B27+MAI!S27+JUN!B27+JUN!S27+JUL!B27+JUL!S27+AGO!B27+AGO!S27+SET!B27+SET!S27+OUT!B27+OUT!S27+NOV!B27+NOV!S27+DEZ!B27+DEZ!S27</f>
        <v>26127.167999999998</v>
      </c>
      <c r="C27" s="37">
        <f>JAN!C27+JAN!T27+FEV!C27+FEV!T27+MAR!C27+MAR!T27+ABR!C27+ABR!T27+MAI!C27+MAI!T27+JUN!C27+JUN!T27+JUL!C27+JUL!T27+AGO!C27+AGO!T27+SET!C27+SET!T27+OUT!C27+OUT!T27+NOV!C27+NOV!T27+DEZ!C27+DEZ!T27</f>
        <v>2883.5840000000003</v>
      </c>
      <c r="D27" s="37">
        <f>JAN!D27+JAN!U27+FEV!D27+FEV!U27+MAR!D27+MAR!U27+ABR!D27+ABR!U27+MAI!D27+MAI!U27+JUN!D27+JUN!U27+JUL!D27+JUL!U27+AGO!D27+AGO!U27+SET!D27+SET!U27+OUT!D27+OUT!U27+NOV!D27+NOV!U27+DEZ!D27+DEZ!U27</f>
        <v>2500.7439999999997</v>
      </c>
      <c r="E27" s="37">
        <f>JAN!E27+JAN!V27+FEV!E27+FEV!V27+MAR!E27+MAR!V27+ABR!E27+ABR!V27+MAI!E27+MAI!V27+JUN!E27+JUN!V27+JUL!E27+JUL!V27+AGO!E27+AGO!V27+SET!E27+SET!V27+OUT!E27+OUT!V27+NOV!E27+NOV!V27+DEZ!E27+DEZ!V27</f>
        <v>152.43200000000002</v>
      </c>
      <c r="F27" s="37">
        <f>JAN!F27+JAN!W27+FEV!F27+FEV!W27+MAR!F27+MAR!W27+ABR!F27+ABR!W27+MAI!F27+MAI!W27+JUN!F27+JUN!W27+JUL!F27+JUL!W27+AGO!F27+AGO!W27+SET!F27+SET!W27+OUT!F27+OUT!W27+NOV!F27+NOV!W27+DEZ!F27+DEZ!W27</f>
        <v>37658.320000000007</v>
      </c>
      <c r="G27" s="37">
        <f>JAN!G27+JAN!X27+FEV!G27+FEV!X27+MAR!G27+MAR!X27+ABR!G27+ABR!X27+MAI!G27+MAI!X27+JUN!G27+JUN!X27+JUL!G27+JUL!X27+AGO!G27+AGO!X27+SET!G27+SET!X27+OUT!G27+OUT!X27+NOV!G27+NOV!X27+DEZ!G27+DEZ!X27</f>
        <v>454.84799999999996</v>
      </c>
      <c r="H27" s="37">
        <f>JAN!H27+JAN!Y27+FEV!H27+FEV!Y27+MAR!H27+MAR!Y27+ABR!H27+ABR!Y27+MAI!H27+MAI!Y27+JUN!H27+JUN!Y27+JUL!H27+JUL!Y27+AGO!H27+AGO!Y27+SET!H27+SET!Y27+OUT!H27+OUT!Y27+NOV!H27+NOV!Y27+DEZ!H27+DEZ!Y27</f>
        <v>236.79200000000003</v>
      </c>
      <c r="I27" s="37">
        <f>JAN!I27+JAN!Z27+FEV!I27+FEV!Z27+MAR!I27+MAR!Z27+ABR!I27+ABR!Z27+MAI!I27+MAI!Z27+JUN!I27+JUN!Z27+JUL!I27+JUL!Z27+AGO!I27+AGO!Z27+SET!I27+SET!Z27+OUT!I27+OUT!Z27+NOV!I27+NOV!Z27+DEZ!I27+DEZ!Z27</f>
        <v>0</v>
      </c>
      <c r="J27" s="37">
        <f>JAN!J27+JAN!AA27+FEV!J27+FEV!AA27+MAR!J27+MAR!AA27+ABR!J27+ABR!AA27+MAI!J27+MAI!AA27+JUN!J27+JUN!AA27+JUL!J27+JUL!AA27+AGO!J27+AGO!AA27+SET!J27+SET!AA27+OUT!J27+OUT!AA27+NOV!J27+NOV!AA27+DEZ!J27+DEZ!AA27</f>
        <v>523.02400000000011</v>
      </c>
      <c r="K27" s="37">
        <f>JAN!K27+JAN!AB27+FEV!K27+FEV!AB27+MAR!K27+MAR!AB27+ABR!K27+ABR!AB27+MAI!K27+MAI!AB27+JUN!K27+JUN!AB27+JUL!K27+JUL!AB27+AGO!K27+AGO!AB27+SET!K27+SET!AB27+OUT!K27+OUT!AB27+NOV!K27+NOV!AB27+DEZ!K27+DEZ!AB27</f>
        <v>0</v>
      </c>
      <c r="L27" s="37">
        <f>JAN!L27+JAN!AC27+FEV!L27+FEV!AC27+MAR!L27+MAR!AC27+ABR!L27+ABR!AC27+MAI!L27+MAI!AC27+JUN!L27+JUN!AC27+JUL!L27+JUL!AC27+AGO!L27+AGO!AC27+SET!L27+SET!AC27+OUT!L27+OUT!AC27+NOV!L27+NOV!AC27+DEZ!L27+DEZ!AC27</f>
        <v>0</v>
      </c>
      <c r="M27" s="37">
        <f>JAN!M27+JAN!AD27+FEV!M27+FEV!AD27+MAR!M27+MAR!AD27+ABR!M27+ABR!AD27+MAI!M27+MAI!AD27+JUN!M27+JUN!AD27+JUL!M27+JUL!AD27+AGO!M27+AGO!AD27+SET!M27+SET!AD27+OUT!M27+OUT!AD27+NOV!M27+NOV!AD27+DEZ!M27+DEZ!AD27</f>
        <v>0</v>
      </c>
      <c r="N27" s="37">
        <f>JAN!N27+JAN!AE27+FEV!N27+FEV!AE27+MAR!N27+MAR!AE27+ABR!N27+ABR!AE27+MAI!N27+MAI!AE27+JUN!N27+JUN!AE27+JUL!N27+JUL!AE27+AGO!N27+AGO!AE27+SET!N27+SET!AE27+OUT!N27+OUT!AE27+NOV!N27+NOV!AE27+DEZ!N27+DEZ!AE27</f>
        <v>0</v>
      </c>
      <c r="O27" s="37">
        <f>JAN!AF27+FEV!AF27+MAR!AF27+ABR!AF27+MAI!AF27+JUN!AF27+JUL!AF27+AGO!AF27+SET!AF27+OUT!AF27+NOV!AF27+DEZ!AF27</f>
        <v>0</v>
      </c>
      <c r="P27" s="37">
        <f>JAN!AG27+FEV!AG27+MAR!AG27+ABR!AG27+MAI!AG27+JUN!AG27+JUL!AG27+AGO!AG27+SET!AG27+OUT!AG27+NOV!AG27+DEZ!AG27</f>
        <v>0</v>
      </c>
      <c r="Q27" s="38">
        <f t="shared" si="0"/>
        <v>70536.912000000011</v>
      </c>
      <c r="R27" s="15">
        <f t="shared" si="1"/>
        <v>1214.6640000000002</v>
      </c>
    </row>
    <row r="28" spans="1:18">
      <c r="A28" s="18" t="s">
        <v>142</v>
      </c>
      <c r="B28" s="37">
        <f>JAN!B28+JAN!S28+FEV!B28+FEV!S28+MAR!B28+MAR!S28+ABR!B28+ABR!S28+MAI!B28+MAI!S28+JUN!B28+JUN!S28+JUL!B28+JUL!S28+AGO!B28+AGO!S28+SET!B28+SET!S28+OUT!B28+OUT!S28+NOV!B28+NOV!S28+DEZ!B28+DEZ!S28</f>
        <v>1550006.76</v>
      </c>
      <c r="C28" s="37">
        <f>JAN!C28+JAN!T28+FEV!C28+FEV!T28+MAR!C28+MAR!T28+ABR!C28+ABR!T28+MAI!C28+MAI!T28+JUN!C28+JUN!T28+JUL!C28+JUL!T28+AGO!C28+AGO!T28+SET!C28+SET!T28+OUT!C28+OUT!T28+NOV!C28+NOV!T28+DEZ!C28+DEZ!T28</f>
        <v>163490.72</v>
      </c>
      <c r="D28" s="37">
        <f>JAN!D28+JAN!U28+FEV!D28+FEV!U28+MAR!D28+MAR!U28+ABR!D28+ABR!U28+MAI!D28+MAI!U28+JUN!D28+JUN!U28+JUL!D28+JUL!U28+AGO!D28+AGO!U28+SET!D28+SET!U28+OUT!D28+OUT!U28+NOV!D28+NOV!U28+DEZ!D28+DEZ!U28</f>
        <v>193981.09600000002</v>
      </c>
      <c r="E28" s="37">
        <f>JAN!E28+JAN!V28+FEV!E28+FEV!V28+MAR!E28+MAR!V28+ABR!E28+ABR!V28+MAI!E28+MAI!V28+JUN!E28+JUN!V28+JUL!E28+JUL!V28+AGO!E28+AGO!V28+SET!E28+SET!V28+OUT!E28+OUT!V28+NOV!E28+NOV!V28+DEZ!E28+DEZ!V28</f>
        <v>33841.392000000007</v>
      </c>
      <c r="F28" s="37">
        <f>JAN!F28+JAN!W28+FEV!F28+FEV!W28+MAR!F28+MAR!W28+ABR!F28+ABR!W28+MAI!F28+MAI!W28+JUN!F28+JUN!W28+JUL!F28+JUL!W28+AGO!F28+AGO!W28+SET!F28+SET!W28+OUT!F28+OUT!W28+NOV!F28+NOV!W28+DEZ!F28+DEZ!W28</f>
        <v>1326162.56</v>
      </c>
      <c r="G28" s="37">
        <f>JAN!G28+JAN!X28+FEV!G28+FEV!X28+MAR!G28+MAR!X28+ABR!G28+ABR!X28+MAI!G28+MAI!X28+JUN!G28+JUN!X28+JUL!G28+JUL!X28+AGO!G28+AGO!X28+SET!G28+SET!X28+OUT!G28+OUT!X28+NOV!G28+NOV!X28+DEZ!G28+DEZ!X28</f>
        <v>12424.688</v>
      </c>
      <c r="H28" s="37">
        <f>JAN!H28+JAN!Y28+FEV!H28+FEV!Y28+MAR!H28+MAR!Y28+ABR!H28+ABR!Y28+MAI!H28+MAI!Y28+JUN!H28+JUN!Y28+JUL!H28+JUL!Y28+AGO!H28+AGO!Y28+SET!H28+SET!Y28+OUT!H28+OUT!Y28+NOV!H28+NOV!Y28+DEZ!H28+DEZ!Y28</f>
        <v>24115.279999999999</v>
      </c>
      <c r="I28" s="37">
        <f>JAN!I28+JAN!Z28+FEV!I28+FEV!Z28+MAR!I28+MAR!Z28+ABR!I28+ABR!Z28+MAI!I28+MAI!Z28+JUN!I28+JUN!Z28+JUL!I28+JUL!Z28+AGO!I28+AGO!Z28+SET!I28+SET!Z28+OUT!I28+OUT!Z28+NOV!I28+NOV!Z28+DEZ!I28+DEZ!Z28</f>
        <v>0</v>
      </c>
      <c r="J28" s="37">
        <f>JAN!J28+JAN!AA28+FEV!J28+FEV!AA28+MAR!J28+MAR!AA28+ABR!J28+ABR!AA28+MAI!J28+MAI!AA28+JUN!J28+JUN!AA28+JUL!J28+JUL!AA28+AGO!J28+AGO!AA28+SET!J28+SET!AA28+OUT!J28+OUT!AA28+NOV!J28+NOV!AA28+DEZ!J28+DEZ!AA28</f>
        <v>28408.192000000003</v>
      </c>
      <c r="K28" s="37">
        <f>JAN!K28+JAN!AB28+FEV!K28+FEV!AB28+MAR!K28+MAR!AB28+ABR!K28+ABR!AB28+MAI!K28+MAI!AB28+JUN!K28+JUN!AB28+JUL!K28+JUL!AB28+AGO!K28+AGO!AB28+SET!K28+SET!AB28+OUT!K28+OUT!AB28+NOV!K28+NOV!AB28+DEZ!K28+DEZ!AB28</f>
        <v>1516.16</v>
      </c>
      <c r="L28" s="37">
        <f>JAN!L28+JAN!AC28+FEV!L28+FEV!AC28+MAR!L28+MAR!AC28+ABR!L28+ABR!AC28+MAI!L28+MAI!AC28+JUN!L28+JUN!AC28+JUL!L28+JUL!AC28+AGO!L28+AGO!AC28+SET!L28+SET!AC28+OUT!L28+OUT!AC28+NOV!L28+NOV!AC28+DEZ!L28+DEZ!AC28</f>
        <v>151.61600000000001</v>
      </c>
      <c r="M28" s="37">
        <f>JAN!M28+JAN!AD28+FEV!M28+FEV!AD28+MAR!M28+MAR!AD28+ABR!M28+ABR!AD28+MAI!M28+MAI!AD28+JUN!M28+JUN!AD28+JUL!M28+JUL!AD28+AGO!M28+AGO!AD28+SET!M28+SET!AD28+OUT!M28+OUT!AD28+NOV!M28+NOV!AD28+DEZ!M28+DEZ!AD28</f>
        <v>216.33600000000001</v>
      </c>
      <c r="N28" s="37">
        <f>JAN!N28+JAN!AE28+FEV!N28+FEV!AE28+MAR!N28+MAR!AE28+ABR!N28+ABR!AE28+MAI!N28+MAI!AE28+JUN!N28+JUN!AE28+JUL!N28+JUL!AE28+AGO!N28+AGO!AE28+SET!N28+SET!AE28+OUT!N28+OUT!AE28+NOV!N28+NOV!AE28+DEZ!N28+DEZ!AE28</f>
        <v>1523.4479999999999</v>
      </c>
      <c r="O28" s="37">
        <f>JAN!AF28+FEV!AF28+MAR!AF28+ABR!AF28+MAI!AF28+JUN!AF28+JUL!AF28+AGO!AF28+SET!AF28+OUT!AF28+NOV!AF28+DEZ!AF28</f>
        <v>0</v>
      </c>
      <c r="P28" s="37">
        <f>JAN!AG28+FEV!AG28+MAR!AG28+ABR!AG28+MAI!AG28+JUN!AG28+JUL!AG28+AGO!AG28+SET!AG28+OUT!AG28+NOV!AG28+DEZ!AG28</f>
        <v>0</v>
      </c>
      <c r="Q28" s="38">
        <f t="shared" si="0"/>
        <v>3335838.2479999997</v>
      </c>
      <c r="R28" s="15">
        <f t="shared" si="1"/>
        <v>68355.72</v>
      </c>
    </row>
    <row r="29" spans="1:18">
      <c r="A29" s="18" t="s">
        <v>143</v>
      </c>
      <c r="B29" s="37">
        <f>JAN!B29+JAN!S29+FEV!B29+FEV!S29+MAR!B29+MAR!S29+ABR!B29+ABR!S29+MAI!B29+MAI!S29+JUN!B29+JUN!S29+JUL!B29+JUL!S29+AGO!B29+AGO!S29+SET!B29+SET!S29+OUT!B29+OUT!S29+NOV!B29+NOV!S29+DEZ!B29+DEZ!S29</f>
        <v>8507058.2400000002</v>
      </c>
      <c r="C29" s="37">
        <f>JAN!C29+JAN!T29+FEV!C29+FEV!T29+MAR!C29+MAR!T29+ABR!C29+ABR!T29+MAI!C29+MAI!T29+JUN!C29+JUN!T29+JUL!C29+JUL!T29+AGO!C29+AGO!T29+SET!C29+SET!T29+OUT!C29+OUT!T29+NOV!C29+NOV!T29+DEZ!C29+DEZ!T29</f>
        <v>1153900.5959999999</v>
      </c>
      <c r="D29" s="37">
        <f>JAN!D29+JAN!U29+FEV!D29+FEV!U29+MAR!D29+MAR!U29+ABR!D29+ABR!U29+MAI!D29+MAI!U29+JUN!D29+JUN!U29+JUL!D29+JUL!U29+AGO!D29+AGO!U29+SET!D29+SET!U29+OUT!D29+OUT!U29+NOV!D29+NOV!U29+DEZ!D29+DEZ!U29</f>
        <v>1036639.0640000001</v>
      </c>
      <c r="E29" s="37">
        <f>JAN!E29+JAN!V29+FEV!E29+FEV!V29+MAR!E29+MAR!V29+ABR!E29+ABR!V29+MAI!E29+MAI!V29+JUN!E29+JUN!V29+JUL!E29+JUL!V29+AGO!E29+AGO!V29+SET!E29+SET!V29+OUT!E29+OUT!V29+NOV!E29+NOV!V29+DEZ!E29+DEZ!V29</f>
        <v>154376.66999999998</v>
      </c>
      <c r="F29" s="37">
        <f>JAN!F29+JAN!W29+FEV!F29+FEV!W29+MAR!F29+MAR!W29+ABR!F29+ABR!W29+MAI!F29+MAI!W29+JUN!F29+JUN!W29+JUL!F29+JUL!W29+AGO!F29+AGO!W29+SET!F29+SET!W29+OUT!F29+OUT!W29+NOV!F29+NOV!W29+DEZ!F29+DEZ!W29</f>
        <v>7776187.7280000001</v>
      </c>
      <c r="G29" s="37">
        <f>JAN!G29+JAN!X29+FEV!G29+FEV!X29+MAR!G29+MAR!X29+ABR!G29+ABR!X29+MAI!G29+MAI!X29+JUN!G29+JUN!X29+JUL!G29+JUL!X29+AGO!G29+AGO!X29+SET!G29+SET!X29+OUT!G29+OUT!X29+NOV!G29+NOV!X29+DEZ!G29+DEZ!X29</f>
        <v>66256.351999999999</v>
      </c>
      <c r="H29" s="37">
        <f>JAN!H29+JAN!Y29+FEV!H29+FEV!Y29+MAR!H29+MAR!Y29+ABR!H29+ABR!Y29+MAI!H29+MAI!Y29+JUN!H29+JUN!Y29+JUL!H29+JUL!Y29+AGO!H29+AGO!Y29+SET!H29+SET!Y29+OUT!H29+OUT!Y29+NOV!H29+NOV!Y29+DEZ!H29+DEZ!Y29</f>
        <v>225733.68200000003</v>
      </c>
      <c r="I29" s="37">
        <f>JAN!I29+JAN!Z29+FEV!I29+FEV!Z29+MAR!I29+MAR!Z29+ABR!I29+ABR!Z29+MAI!I29+MAI!Z29+JUN!I29+JUN!Z29+JUL!I29+JUL!Z29+AGO!I29+AGO!Z29+SET!I29+SET!Z29+OUT!I29+OUT!Z29+NOV!I29+NOV!Z29+DEZ!I29+DEZ!Z29</f>
        <v>14263.872000000001</v>
      </c>
      <c r="J29" s="37">
        <f>JAN!J29+JAN!AA29+FEV!J29+FEV!AA29+MAR!J29+MAR!AA29+ABR!J29+ABR!AA29+MAI!J29+MAI!AA29+JUN!J29+JUN!AA29+JUL!J29+JUL!AA29+AGO!J29+AGO!AA29+SET!J29+SET!AA29+OUT!J29+OUT!AA29+NOV!J29+NOV!AA29+DEZ!J29+DEZ!AA29</f>
        <v>181719.8504</v>
      </c>
      <c r="K29" s="37">
        <f>JAN!K29+JAN!AB29+FEV!K29+FEV!AB29+MAR!K29+MAR!AB29+ABR!K29+ABR!AB29+MAI!K29+MAI!AB29+JUN!K29+JUN!AB29+JUL!K29+JUL!AB29+AGO!K29+AGO!AB29+SET!K29+SET!AB29+OUT!K29+OUT!AB29+NOV!K29+NOV!AB29+DEZ!K29+DEZ!AB29</f>
        <v>14549.92</v>
      </c>
      <c r="L29" s="37">
        <f>JAN!L29+JAN!AC29+FEV!L29+FEV!AC29+MAR!L29+MAR!AC29+ABR!L29+ABR!AC29+MAI!L29+MAI!AC29+JUN!L29+JUN!AC29+JUL!L29+JUL!AC29+AGO!L29+AGO!AC29+SET!L29+SET!AC29+OUT!L29+OUT!AC29+NOV!L29+NOV!AC29+DEZ!L29+DEZ!AC29</f>
        <v>2269.0239999999999</v>
      </c>
      <c r="M29" s="37">
        <f>JAN!M29+JAN!AD29+FEV!M29+FEV!AD29+MAR!M29+MAR!AD29+ABR!M29+ABR!AD29+MAI!M29+MAI!AD29+JUN!M29+JUN!AD29+JUL!M29+JUL!AD29+AGO!M29+AGO!AD29+SET!M29+SET!AD29+OUT!M29+OUT!AD29+NOV!M29+NOV!AD29+DEZ!M29+DEZ!AD29</f>
        <v>0</v>
      </c>
      <c r="N29" s="37">
        <f>JAN!N29+JAN!AE29+FEV!N29+FEV!AE29+MAR!N29+MAR!AE29+ABR!N29+ABR!AE29+MAI!N29+MAI!AE29+JUN!N29+JUN!AE29+JUL!N29+JUL!AE29+AGO!N29+AGO!AE29+SET!N29+SET!AE29+OUT!N29+OUT!AE29+NOV!N29+NOV!AE29+DEZ!N29+DEZ!AE29</f>
        <v>12241.76</v>
      </c>
      <c r="O29" s="37">
        <f>JAN!AF29+FEV!AF29+MAR!AF29+ABR!AF29+MAI!AF29+JUN!AF29+JUL!AF29+AGO!AF29+SET!AF29+OUT!AF29+NOV!AF29+DEZ!AF29</f>
        <v>1935.7900000000002</v>
      </c>
      <c r="P29" s="37">
        <f>JAN!AG29+FEV!AG29+MAR!AG29+ABR!AG29+MAI!AG29+JUN!AG29+JUL!AG29+AGO!AG29+SET!AG29+OUT!AG29+NOV!AG29+DEZ!AG29</f>
        <v>18887.939999999999</v>
      </c>
      <c r="Q29" s="38">
        <f t="shared" si="0"/>
        <v>19166020.488400009</v>
      </c>
      <c r="R29" s="15">
        <f t="shared" si="1"/>
        <v>537858.19039999996</v>
      </c>
    </row>
    <row r="30" spans="1:18">
      <c r="A30" s="18" t="s">
        <v>144</v>
      </c>
      <c r="B30" s="37">
        <f>JAN!B30+JAN!S30+FEV!B30+FEV!S30+MAR!B30+MAR!S30+ABR!B30+ABR!S30+MAI!B30+MAI!S30+JUN!B30+JUN!S30+JUL!B30+JUL!S30+AGO!B30+AGO!S30+SET!B30+SET!S30+OUT!B30+OUT!S30+NOV!B30+NOV!S30+DEZ!B30+DEZ!S30</f>
        <v>170012.89600000004</v>
      </c>
      <c r="C30" s="37">
        <f>JAN!C30+JAN!T30+FEV!C30+FEV!T30+MAR!C30+MAR!T30+ABR!C30+ABR!T30+MAI!C30+MAI!T30+JUN!C30+JUN!T30+JUL!C30+JUL!T30+AGO!C30+AGO!T30+SET!C30+SET!T30+OUT!C30+OUT!T30+NOV!C30+NOV!T30+DEZ!C30+DEZ!T30</f>
        <v>41925.928000000007</v>
      </c>
      <c r="D30" s="37">
        <f>JAN!D30+JAN!U30+FEV!D30+FEV!U30+MAR!D30+MAR!U30+ABR!D30+ABR!U30+MAI!D30+MAI!U30+JUN!D30+JUN!U30+JUL!D30+JUL!U30+AGO!D30+AGO!U30+SET!D30+SET!U30+OUT!D30+OUT!U30+NOV!D30+NOV!U30+DEZ!D30+DEZ!U30</f>
        <v>19886.888000000003</v>
      </c>
      <c r="E30" s="37">
        <f>JAN!E30+JAN!V30+FEV!E30+FEV!V30+MAR!E30+MAR!V30+ABR!E30+ABR!V30+MAI!E30+MAI!V30+JUN!E30+JUN!V30+JUL!E30+JUL!V30+AGO!E30+AGO!V30+SET!E30+SET!V30+OUT!E30+OUT!V30+NOV!E30+NOV!V30+DEZ!E30+DEZ!V30</f>
        <v>2669.52</v>
      </c>
      <c r="F30" s="37">
        <f>JAN!F30+JAN!W30+FEV!F30+FEV!W30+MAR!F30+MAR!W30+ABR!F30+ABR!W30+MAI!F30+MAI!W30+JUN!F30+JUN!W30+JUL!F30+JUL!W30+AGO!F30+AGO!W30+SET!F30+SET!W30+OUT!F30+OUT!W30+NOV!F30+NOV!W30+DEZ!F30+DEZ!W30</f>
        <v>157189.45600000001</v>
      </c>
      <c r="G30" s="37">
        <f>JAN!G30+JAN!X30+FEV!G30+FEV!X30+MAR!G30+MAR!X30+ABR!G30+ABR!X30+MAI!G30+MAI!X30+JUN!G30+JUN!X30+JUL!G30+JUL!X30+AGO!G30+AGO!X30+SET!G30+SET!X30+OUT!G30+OUT!X30+NOV!G30+NOV!X30+DEZ!G30+DEZ!X30</f>
        <v>4851.7120000000004</v>
      </c>
      <c r="H30" s="37">
        <f>JAN!H30+JAN!Y30+FEV!H30+FEV!Y30+MAR!H30+MAR!Y30+ABR!H30+ABR!Y30+MAI!H30+MAI!Y30+JUN!H30+JUN!Y30+JUL!H30+JUL!Y30+AGO!H30+AGO!Y30+SET!H30+SET!Y30+OUT!H30+OUT!Y30+NOV!H30+NOV!Y30+DEZ!H30+DEZ!Y30</f>
        <v>3839.7120000000004</v>
      </c>
      <c r="I30" s="37">
        <f>JAN!I30+JAN!Z30+FEV!I30+FEV!Z30+MAR!I30+MAR!Z30+ABR!I30+ABR!Z30+MAI!I30+MAI!Z30+JUN!I30+JUN!Z30+JUL!I30+JUL!Z30+AGO!I30+AGO!Z30+SET!I30+SET!Z30+OUT!I30+OUT!Z30+NOV!I30+NOV!Z30+DEZ!I30+DEZ!Z30</f>
        <v>0</v>
      </c>
      <c r="J30" s="37">
        <f>JAN!J30+JAN!AA30+FEV!J30+FEV!AA30+MAR!J30+MAR!AA30+ABR!J30+ABR!AA30+MAI!J30+MAI!AA30+JUN!J30+JUN!AA30+JUL!J30+JUL!AA30+AGO!J30+AGO!AA30+SET!J30+SET!AA30+OUT!J30+OUT!AA30+NOV!J30+NOV!AA30+DEZ!J30+DEZ!AA30</f>
        <v>7219.5680000000002</v>
      </c>
      <c r="K30" s="37">
        <f>JAN!K30+JAN!AB30+FEV!K30+FEV!AB30+MAR!K30+MAR!AB30+ABR!K30+ABR!AB30+MAI!K30+MAI!AB30+JUN!K30+JUN!AB30+JUL!K30+JUL!AB30+AGO!K30+AGO!AB30+SET!K30+SET!AB30+OUT!K30+OUT!AB30+NOV!K30+NOV!AB30+DEZ!K30+DEZ!AB30</f>
        <v>530.65599999999995</v>
      </c>
      <c r="L30" s="37">
        <f>JAN!L30+JAN!AC30+FEV!L30+FEV!AC30+MAR!L30+MAR!AC30+ABR!L30+ABR!AC30+MAI!L30+MAI!AC30+JUN!L30+JUN!AC30+JUL!L30+JUL!AC30+AGO!L30+AGO!AC30+SET!L30+SET!AC30+OUT!L30+OUT!AC30+NOV!L30+NOV!AC30+DEZ!L30+DEZ!AC30</f>
        <v>0</v>
      </c>
      <c r="M30" s="37">
        <f>JAN!M30+JAN!AD30+FEV!M30+FEV!AD30+MAR!M30+MAR!AD30+ABR!M30+ABR!AD30+MAI!M30+MAI!AD30+JUN!M30+JUN!AD30+JUL!M30+JUL!AD30+AGO!M30+AGO!AD30+SET!M30+SET!AD30+OUT!M30+OUT!AD30+NOV!M30+NOV!AD30+DEZ!M30+DEZ!AD30</f>
        <v>0</v>
      </c>
      <c r="N30" s="37">
        <f>JAN!N30+JAN!AE30+FEV!N30+FEV!AE30+MAR!N30+MAR!AE30+ABR!N30+ABR!AE30+MAI!N30+MAI!AE30+JUN!N30+JUN!AE30+JUL!N30+JUL!AE30+AGO!N30+AGO!AE30+SET!N30+SET!AE30+OUT!N30+OUT!AE30+NOV!N30+NOV!AE30+DEZ!N30+DEZ!AE30</f>
        <v>154.78400000000002</v>
      </c>
      <c r="O30" s="37">
        <f>JAN!AF30+FEV!AF30+MAR!AF30+ABR!AF30+MAI!AF30+JUN!AF30+JUL!AF30+AGO!AF30+SET!AF30+OUT!AF30+NOV!AF30+DEZ!AF30</f>
        <v>0</v>
      </c>
      <c r="P30" s="37">
        <f>JAN!AG30+FEV!AG30+MAR!AG30+ABR!AG30+MAI!AG30+JUN!AG30+JUL!AG30+AGO!AG30+SET!AG30+OUT!AG30+NOV!AG30+DEZ!AG30</f>
        <v>0</v>
      </c>
      <c r="Q30" s="38">
        <f t="shared" si="0"/>
        <v>408281.12000000011</v>
      </c>
      <c r="R30" s="15">
        <f t="shared" si="1"/>
        <v>16596.432000000001</v>
      </c>
    </row>
    <row r="31" spans="1:18">
      <c r="A31" s="18" t="s">
        <v>145</v>
      </c>
      <c r="B31" s="37">
        <f>JAN!B31+JAN!S31+FEV!B31+FEV!S31+MAR!B31+MAR!S31+ABR!B31+ABR!S31+MAI!B31+MAI!S31+JUN!B31+JUN!S31+JUL!B31+JUL!S31+AGO!B31+AGO!S31+SET!B31+SET!S31+OUT!B31+OUT!S31+NOV!B31+NOV!S31+DEZ!B31+DEZ!S31</f>
        <v>81492.112000000008</v>
      </c>
      <c r="C31" s="37">
        <f>JAN!C31+JAN!T31+FEV!C31+FEV!T31+MAR!C31+MAR!T31+ABR!C31+ABR!T31+MAI!C31+MAI!T31+JUN!C31+JUN!T31+JUL!C31+JUL!T31+AGO!C31+AGO!T31+SET!C31+SET!T31+OUT!C31+OUT!T31+NOV!C31+NOV!T31+DEZ!C31+DEZ!T31</f>
        <v>20319.464</v>
      </c>
      <c r="D31" s="37">
        <f>JAN!D31+JAN!U31+FEV!D31+FEV!U31+MAR!D31+MAR!U31+ABR!D31+ABR!U31+MAI!D31+MAI!U31+JUN!D31+JUN!U31+JUL!D31+JUL!U31+AGO!D31+AGO!U31+SET!D31+SET!U31+OUT!D31+OUT!U31+NOV!D31+NOV!U31+DEZ!D31+DEZ!U31</f>
        <v>11070.392</v>
      </c>
      <c r="E31" s="37">
        <f>JAN!E31+JAN!V31+FEV!E31+FEV!V31+MAR!E31+MAR!V31+ABR!E31+ABR!V31+MAI!E31+MAI!V31+JUN!E31+JUN!V31+JUL!E31+JUL!V31+AGO!E31+AGO!V31+SET!E31+SET!V31+OUT!E31+OUT!V31+NOV!E31+NOV!V31+DEZ!E31+DEZ!V31</f>
        <v>7135.7040000000006</v>
      </c>
      <c r="F31" s="37">
        <f>JAN!F31+JAN!W31+FEV!F31+FEV!W31+MAR!F31+MAR!W31+ABR!F31+ABR!W31+MAI!F31+MAI!W31+JUN!F31+JUN!W31+JUL!F31+JUL!W31+AGO!F31+AGO!W31+SET!F31+SET!W31+OUT!F31+OUT!W31+NOV!F31+NOV!W31+DEZ!F31+DEZ!W31</f>
        <v>98524.32</v>
      </c>
      <c r="G31" s="37">
        <f>JAN!G31+JAN!X31+FEV!G31+FEV!X31+MAR!G31+MAR!X31+ABR!G31+ABR!X31+MAI!G31+MAI!X31+JUN!G31+JUN!X31+JUL!G31+JUL!X31+AGO!G31+AGO!X31+SET!G31+SET!X31+OUT!G31+OUT!X31+NOV!G31+NOV!X31+DEZ!G31+DEZ!X31</f>
        <v>1516.1599999999999</v>
      </c>
      <c r="H31" s="37">
        <f>JAN!H31+JAN!Y31+FEV!H31+FEV!Y31+MAR!H31+MAR!Y31+ABR!H31+ABR!Y31+MAI!H31+MAI!Y31+JUN!H31+JUN!Y31+JUL!H31+JUL!Y31+AGO!H31+AGO!Y31+SET!H31+SET!Y31+OUT!H31+OUT!Y31+NOV!H31+NOV!Y31+DEZ!H31+DEZ!Y31</f>
        <v>5137.4719999999998</v>
      </c>
      <c r="I31" s="37">
        <f>JAN!I31+JAN!Z31+FEV!I31+FEV!Z31+MAR!I31+MAR!Z31+ABR!I31+ABR!Z31+MAI!I31+MAI!Z31+JUN!I31+JUN!Z31+JUL!I31+JUL!Z31+AGO!I31+AGO!Z31+SET!I31+SET!Z31+OUT!I31+OUT!Z31+NOV!I31+NOV!Z31+DEZ!I31+DEZ!Z31</f>
        <v>1753.6959999999999</v>
      </c>
      <c r="J31" s="37">
        <f>JAN!J31+JAN!AA31+FEV!J31+FEV!AA31+MAR!J31+MAR!AA31+ABR!J31+ABR!AA31+MAI!J31+MAI!AA31+JUN!J31+JUN!AA31+JUL!J31+JUL!AA31+AGO!J31+AGO!AA31+SET!J31+SET!AA31+OUT!J31+OUT!AA31+NOV!J31+NOV!AA31+DEZ!J31+DEZ!AA31</f>
        <v>3077.2560000000008</v>
      </c>
      <c r="K31" s="37">
        <f>JAN!K31+JAN!AB31+FEV!K31+FEV!AB31+MAR!K31+MAR!AB31+ABR!K31+ABR!AB31+MAI!K31+MAI!AB31+JUN!K31+JUN!AB31+JUL!K31+JUL!AB31+AGO!K31+AGO!AB31+SET!K31+SET!AB31+OUT!K31+OUT!AB31+NOV!K31+NOV!AB31+DEZ!K31+DEZ!AB31</f>
        <v>454.84800000000001</v>
      </c>
      <c r="L31" s="37">
        <f>JAN!L31+JAN!AC31+FEV!L31+FEV!AC31+MAR!L31+MAR!AC31+ABR!L31+ABR!AC31+MAI!L31+MAI!AC31+JUN!L31+JUN!AC31+JUL!L31+JUL!AC31+AGO!L31+AGO!AC31+SET!L31+SET!AC31+OUT!L31+OUT!AC31+NOV!L31+NOV!AC31+DEZ!L31+DEZ!AC31</f>
        <v>146.4</v>
      </c>
      <c r="M31" s="37">
        <f>JAN!M31+JAN!AD31+FEV!M31+FEV!AD31+MAR!M31+MAR!AD31+ABR!M31+ABR!AD31+MAI!M31+MAI!AD31+JUN!M31+JUN!AD31+JUL!M31+JUL!AD31+AGO!M31+AGO!AD31+SET!M31+SET!AD31+OUT!M31+OUT!AD31+NOV!M31+NOV!AD31+DEZ!M31+DEZ!AD31</f>
        <v>0</v>
      </c>
      <c r="N31" s="37">
        <f>JAN!N31+JAN!AE31+FEV!N31+FEV!AE31+MAR!N31+MAR!AE31+ABR!N31+ABR!AE31+MAI!N31+MAI!AE31+JUN!N31+JUN!AE31+JUL!N31+JUL!AE31+AGO!N31+AGO!AE31+SET!N31+SET!AE31+OUT!N31+OUT!AE31+NOV!N31+NOV!AE31+DEZ!N31+DEZ!AE31</f>
        <v>66.336000000000013</v>
      </c>
      <c r="O31" s="37">
        <f>JAN!AF31+FEV!AF31+MAR!AF31+ABR!AF31+MAI!AF31+JUN!AF31+JUL!AF31+AGO!AF31+SET!AF31+OUT!AF31+NOV!AF31+DEZ!AF31</f>
        <v>0</v>
      </c>
      <c r="P31" s="37">
        <f>JAN!AG31+FEV!AG31+MAR!AG31+ABR!AG31+MAI!AG31+JUN!AG31+JUL!AG31+AGO!AG31+SET!AG31+OUT!AG31+NOV!AG31+DEZ!AG31</f>
        <v>520.18399999999997</v>
      </c>
      <c r="Q31" s="38">
        <f t="shared" si="0"/>
        <v>231214.34400000001</v>
      </c>
      <c r="R31" s="15">
        <f t="shared" si="1"/>
        <v>12672.351999999999</v>
      </c>
    </row>
    <row r="32" spans="1:18">
      <c r="A32" s="6" t="s">
        <v>37</v>
      </c>
      <c r="B32" s="7">
        <f>SUM(B5:B31)</f>
        <v>25349868.192000002</v>
      </c>
      <c r="C32" s="7">
        <f t="shared" ref="C32:P32" si="2">SUM(C5:C31)</f>
        <v>3802474.452</v>
      </c>
      <c r="D32" s="7">
        <f t="shared" si="2"/>
        <v>3193547.7520000003</v>
      </c>
      <c r="E32" s="7">
        <f>SUM(E5:E31)</f>
        <v>617757.598</v>
      </c>
      <c r="F32" s="7">
        <f t="shared" si="2"/>
        <v>21247314.448000003</v>
      </c>
      <c r="G32" s="7">
        <f t="shared" si="2"/>
        <v>335084.91200000001</v>
      </c>
      <c r="H32" s="7">
        <f t="shared" si="2"/>
        <v>692187.52000000014</v>
      </c>
      <c r="I32" s="7">
        <f t="shared" si="2"/>
        <v>64438.960000000006</v>
      </c>
      <c r="J32" s="7">
        <f t="shared" si="2"/>
        <v>623255.2424000001</v>
      </c>
      <c r="K32" s="7">
        <f t="shared" si="2"/>
        <v>59258.384000000005</v>
      </c>
      <c r="L32" s="7">
        <f t="shared" si="2"/>
        <v>4841.2799999999988</v>
      </c>
      <c r="M32" s="7">
        <f t="shared" si="2"/>
        <v>3205.5039999999999</v>
      </c>
      <c r="N32" s="7">
        <f t="shared" si="2"/>
        <v>33040.936000000002</v>
      </c>
      <c r="O32" s="7">
        <f t="shared" si="2"/>
        <v>2092.8340000000003</v>
      </c>
      <c r="P32" s="7">
        <f t="shared" si="2"/>
        <v>20695.714</v>
      </c>
      <c r="Q32" s="7">
        <f>SUM(Q5:Q31)</f>
        <v>56049063.728399999</v>
      </c>
      <c r="R32" s="15">
        <f t="shared" si="1"/>
        <v>1838101.2864000003</v>
      </c>
    </row>
    <row r="33" spans="1:18">
      <c r="A33" s="10"/>
      <c r="B33" s="15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5"/>
    </row>
    <row r="34" spans="1:18">
      <c r="A34" s="28"/>
      <c r="B34" s="28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30"/>
    </row>
    <row r="35" spans="1:18" ht="46.5">
      <c r="A35" s="292" t="s">
        <v>118</v>
      </c>
      <c r="B35" s="293"/>
      <c r="C35" s="293"/>
      <c r="D35" s="293"/>
      <c r="E35" s="293"/>
      <c r="F35" s="293"/>
      <c r="G35" s="293"/>
      <c r="H35" s="293"/>
      <c r="I35" s="293"/>
      <c r="J35" s="293"/>
      <c r="K35" s="293"/>
      <c r="L35" s="293"/>
      <c r="M35" s="293"/>
      <c r="N35" s="293"/>
      <c r="O35" s="293"/>
      <c r="P35" s="293"/>
      <c r="Q35" s="294"/>
    </row>
    <row r="36" spans="1:18" ht="29.25" customHeight="1">
      <c r="A36" s="290" t="s">
        <v>33</v>
      </c>
      <c r="B36" s="287" t="s">
        <v>27</v>
      </c>
      <c r="C36" s="288"/>
      <c r="D36" s="287" t="s">
        <v>29</v>
      </c>
      <c r="E36" s="288"/>
      <c r="F36" s="285" t="s">
        <v>28</v>
      </c>
      <c r="G36" s="285" t="s">
        <v>36</v>
      </c>
      <c r="H36" s="285" t="s">
        <v>30</v>
      </c>
      <c r="I36" s="285" t="s">
        <v>31</v>
      </c>
      <c r="J36" s="285" t="s">
        <v>32</v>
      </c>
      <c r="K36" s="285" t="s">
        <v>35</v>
      </c>
      <c r="L36" s="285" t="s">
        <v>40</v>
      </c>
      <c r="M36" s="285" t="s">
        <v>42</v>
      </c>
      <c r="N36" s="285" t="s">
        <v>45</v>
      </c>
      <c r="O36" s="287" t="s">
        <v>52</v>
      </c>
      <c r="P36" s="288"/>
      <c r="Q36" s="285" t="s">
        <v>34</v>
      </c>
    </row>
    <row r="37" spans="1:18" ht="30">
      <c r="A37" s="291"/>
      <c r="B37" s="5" t="s">
        <v>43</v>
      </c>
      <c r="C37" s="36" t="s">
        <v>44</v>
      </c>
      <c r="D37" s="5" t="s">
        <v>43</v>
      </c>
      <c r="E37" s="36" t="s">
        <v>44</v>
      </c>
      <c r="F37" s="286"/>
      <c r="G37" s="286"/>
      <c r="H37" s="286"/>
      <c r="I37" s="286"/>
      <c r="J37" s="286"/>
      <c r="K37" s="286"/>
      <c r="L37" s="286"/>
      <c r="M37" s="286"/>
      <c r="N37" s="286"/>
      <c r="O37" s="48" t="s">
        <v>53</v>
      </c>
      <c r="P37" s="48" t="s">
        <v>54</v>
      </c>
      <c r="Q37" s="286"/>
      <c r="R37" t="s">
        <v>233</v>
      </c>
    </row>
    <row r="38" spans="1:18">
      <c r="A38" s="1" t="s">
        <v>119</v>
      </c>
      <c r="B38" s="35">
        <f>JAN!B40+JAN!S40+FEV!S40+FEV!B40+MAR!S40+MAR!B40+ABR!S40+ABR!B40+MAI!S40+MAI!B40+JUN!S40+JUN!B40+JUL!S40+JUL!B40+AGO!S40+AGO!B40+SET!S40+SET!B40+OUT!S40+OUT!B40+NOV!S40+NOV!B40+DEZ!S40+DEZ!B40</f>
        <v>15511.644000000002</v>
      </c>
      <c r="C38" s="35">
        <f>JAN!C40+JAN!T40+FEV!T40+FEV!C40+MAR!T40+MAR!C40+ABR!T40+ABR!C40+MAI!T40+MAI!C40+JUN!T40+JUN!C40+JUL!T40+JUL!C40+AGO!T40+AGO!C40+SET!T40+SET!C40+OUT!T40+OUT!C40+NOV!T40+NOV!C40+DEZ!T40+DEZ!C40</f>
        <v>1672.1880000000003</v>
      </c>
      <c r="D38" s="35">
        <f>JAN!D40+JAN!U40+FEV!U40+FEV!D40+MAR!U40+MAR!D40+ABR!U40+ABR!D40+MAI!U40+MAI!D40+JUN!U40+JUN!D40+JUL!U40+JUL!D40+AGO!U40+AGO!D40+SET!U40+SET!D40+OUT!U40+OUT!D40+NOV!U40+NOV!D40+DEZ!U40+DEZ!D40</f>
        <v>2084.2960000000003</v>
      </c>
      <c r="E38" s="35">
        <f>JAN!E40+JAN!V40+FEV!V40+FEV!E40+MAR!V40+MAR!E40+ABR!V40+ABR!E40+MAI!V40+MAI!E40+JUN!V40+JUN!E40+JUL!V40+JUL!E40+AGO!V40+AGO!E40+SET!V40+SET!E40+OUT!V40+OUT!E40+NOV!V40+NOV!E40+DEZ!V40+DEZ!E40</f>
        <v>323.04200000000003</v>
      </c>
      <c r="F38" s="35">
        <f>JAN!F40+JAN!W40+FEV!W40+FEV!F40+MAR!W40+MAR!F40+ABR!W40+ABR!F40+MAI!W40+MAI!F40+JUN!W40+JUN!F40+JUL!W40+JUL!F40+AGO!W40+AGO!F40+SET!W40+SET!F40+OUT!W40+OUT!F40+NOV!W40+NOV!F40+DEZ!W40+DEZ!F40</f>
        <v>11101.96</v>
      </c>
      <c r="G38" s="35">
        <f>JAN!G40+JAN!X40+FEV!X40+FEV!G40+MAR!X40+MAR!G40+ABR!X40+ABR!G40+MAI!X40+MAI!G40+JUN!X40+JUN!G40+JUL!X40+JUL!G40+AGO!X40+AGO!G40+SET!X40+SET!G40+OUT!X40+OUT!G40+NOV!X40+NOV!G40+DEZ!X40+DEZ!G40</f>
        <v>662.66800000000012</v>
      </c>
      <c r="H38" s="35">
        <f>JAN!H40+JAN!Y40+FEV!Y40+FEV!H40+MAR!Y40+MAR!H40+ABR!Y40+ABR!H40+MAI!Y40+MAI!H40+JUN!Y40+JUN!H40+JUL!Y40+JUL!H40+AGO!Y40+AGO!H40+SET!Y40+SET!H40+OUT!Y40+OUT!H40+NOV!Y40+NOV!H40+DEZ!Y40+DEZ!H40</f>
        <v>274.85599999999999</v>
      </c>
      <c r="I38" s="35">
        <f>JAN!I40+JAN!Z40+FEV!Z40+FEV!I40+MAR!Z40+MAR!I40+ABR!Z40+ABR!I40+MAI!Z40+MAI!I40+JUN!Z40+JUN!I40+JUL!Z40+JUL!I40+AGO!Z40+AGO!I40+SET!Z40+SET!I40+OUT!Z40+OUT!I40+NOV!Z40+NOV!I40+DEZ!Z40+DEZ!I40</f>
        <v>56.855999999999995</v>
      </c>
      <c r="J38" s="35">
        <f>JAN!J40+JAN!AA40+FEV!AA40+FEV!J40+MAR!AA40+MAR!J40+ABR!AA40+ABR!J40+MAI!AA40+MAI!J40+JUN!AA40+JUN!J40+JUL!AA40+JUL!J40+AGO!AA40+AGO!J40+SET!AA40+SET!J40+OUT!AA40+OUT!J40+NOV!AA40+NOV!J40+DEZ!AA40+DEZ!J40</f>
        <v>332.05799999999999</v>
      </c>
      <c r="K38" s="35">
        <f>JAN!K40+JAN!AB40+FEV!AB40+FEV!K40+MAR!AB40+MAR!K40+ABR!AB40+ABR!K40+MAI!AB40+MAI!K40+JUN!AB40+JUN!K40+JUL!AB40+JUL!K40+AGO!AB40+AGO!K40+SET!AB40+SET!K40+OUT!AB40+OUT!K40+NOV!AB40+NOV!K40+DEZ!AB40+DEZ!K40</f>
        <v>37.904000000000003</v>
      </c>
      <c r="L38" s="35">
        <f>JAN!L40+JAN!AC40+FEV!AC40+FEV!L40+MAR!AC40+MAR!L40+ABR!AC40+ABR!L40+MAI!AC40+MAI!L40+JUN!AC40+JUN!L40+JUL!AC40+JUL!L40+AGO!AC40+AGO!L40+SET!AC40+SET!L40+OUT!AC40+OUT!L40+NOV!AC40+NOV!L40+DEZ!AC40+DEZ!L40</f>
        <v>0</v>
      </c>
      <c r="M38" s="35">
        <f>JAN!M40+JAN!AD40+FEV!AD40+FEV!M40+MAR!AD40+MAR!M40+ABR!AD40+ABR!M40+MAI!AD40+MAI!M40+JUN!AD40+JUN!M40+JUL!AD40+JUL!M40+AGO!AD40+AGO!M40+SET!AD40+SET!M40+OUT!AD40+OUT!M40+NOV!AD40+NOV!M40+DEZ!AD40+DEZ!M40</f>
        <v>0</v>
      </c>
      <c r="N38" s="35">
        <f>JAN!N40+JAN!AE40+FEV!AE40+FEV!N40+MAR!AE40+MAR!N40+ABR!AE40+ABR!N40+MAI!AE40+MAI!N40+JUN!AE40+JUN!N40+JUL!AE40+JUL!N40+AGO!AE40+AGO!N40+SET!AE40+SET!N40+OUT!AE40+OUT!N40+NOV!AE40+NOV!N40+DEZ!AE40+DEZ!N40</f>
        <v>5.5280000000000005</v>
      </c>
      <c r="O38" s="35">
        <f>JAN!AF40+FEV!AF40+MAR!AF40+ABR!AF40+MAI!AF40+JUN!AF40+JUL!AF40+AGO!AF40+SET!AF40+OUT!AF40+NOV!AF40+DEZ!AF40</f>
        <v>0</v>
      </c>
      <c r="P38" s="35">
        <f>JAN!AG40+FEV!AG40+MAR!AG40+ABR!AG40+MAI!AG40+JUN!AG40+JUL!AG40+AGO!AG40+SET!AG40+OUT!AG40+NOV!AG40+DEZ!AG40</f>
        <v>0</v>
      </c>
      <c r="Q38" s="4">
        <f>SUM(B38:P38)</f>
        <v>32063.000000000004</v>
      </c>
      <c r="R38" s="15">
        <f>SUM(G38:P38)</f>
        <v>1369.8700000000001</v>
      </c>
    </row>
    <row r="39" spans="1:18">
      <c r="A39" s="1" t="s">
        <v>120</v>
      </c>
      <c r="B39" s="35">
        <f>JAN!B41+JAN!S41+FEV!S41+FEV!B41+MAR!S41+MAR!B41+ABR!S41+ABR!B41+MAI!S41+MAI!B41+JUN!S41+JUN!B41+JUL!S41+JUL!B41+AGO!S41+AGO!B41+SET!S41+SET!B41+OUT!S41+OUT!B41+NOV!S41+NOV!B41+DEZ!S41+DEZ!B41</f>
        <v>60988.872000000003</v>
      </c>
      <c r="C39" s="35">
        <f>JAN!C41+JAN!T41+FEV!T41+FEV!C41+MAR!T41+MAR!C41+ABR!T41+ABR!C41+MAI!T41+MAI!C41+JUN!T41+JUN!C41+JUL!T41+JUL!C41+AGO!T41+AGO!C41+SET!T41+SET!C41+OUT!T41+OUT!C41+NOV!T41+NOV!C41+DEZ!T41+DEZ!C41</f>
        <v>9533.0260000000017</v>
      </c>
      <c r="D39" s="35">
        <f>JAN!D41+JAN!U41+FEV!U41+FEV!D41+MAR!U41+MAR!D41+ABR!U41+ABR!D41+MAI!U41+MAI!D41+JUN!U41+JUN!D41+JUL!U41+JUL!D41+AGO!U41+AGO!D41+SET!U41+SET!D41+OUT!U41+OUT!D41+NOV!U41+NOV!D41+DEZ!U41+DEZ!D41</f>
        <v>3085.4359999999997</v>
      </c>
      <c r="E39" s="35">
        <f>JAN!E41+JAN!V41+FEV!V41+FEV!E41+MAR!V41+MAR!E41+ABR!V41+ABR!E41+MAI!V41+MAI!E41+JUN!V41+JUN!E41+JUL!V41+JUL!E41+AGO!V41+AGO!E41+SET!V41+SET!E41+OUT!V41+OUT!E41+NOV!V41+NOV!E41+DEZ!V41+DEZ!E41</f>
        <v>238.96800000000002</v>
      </c>
      <c r="F39" s="35">
        <f>JAN!F41+JAN!W41+FEV!W41+FEV!F41+MAR!W41+MAR!F41+ABR!W41+ABR!F41+MAI!W41+MAI!F41+JUN!W41+JUN!F41+JUL!W41+JUL!F41+AGO!W41+AGO!F41+SET!W41+SET!F41+OUT!W41+OUT!F41+NOV!W41+NOV!F41+DEZ!W41+DEZ!F41</f>
        <v>39273.804000000004</v>
      </c>
      <c r="G39" s="35">
        <f>JAN!G41+JAN!X41+FEV!X41+FEV!G41+MAR!X41+MAR!G41+ABR!X41+ABR!G41+MAI!X41+MAI!G41+JUN!X41+JUN!G41+JUL!X41+JUL!G41+AGO!X41+AGO!G41+SET!X41+SET!G41+OUT!X41+OUT!G41+NOV!X41+NOV!G41+DEZ!X41+DEZ!G41</f>
        <v>1156.0720000000001</v>
      </c>
      <c r="H39" s="35">
        <f>JAN!H41+JAN!Y41+FEV!Y41+FEV!H41+MAR!Y41+MAR!H41+ABR!Y41+ABR!H41+MAI!Y41+MAI!H41+JUN!Y41+JUN!H41+JUL!Y41+JUL!H41+AGO!Y41+AGO!H41+SET!Y41+SET!H41+OUT!Y41+OUT!H41+NOV!Y41+NOV!H41+DEZ!Y41+DEZ!H41</f>
        <v>1328.5920000000001</v>
      </c>
      <c r="I39" s="35">
        <f>JAN!I41+JAN!Z41+FEV!Z41+FEV!I41+MAR!Z41+MAR!I41+ABR!Z41+ABR!I41+MAI!Z41+MAI!I41+JUN!Z41+JUN!I41+JUL!Z41+JUL!I41+AGO!Z41+AGO!I41+SET!Z41+SET!I41+OUT!Z41+OUT!I41+NOV!Z41+NOV!I41+DEZ!Z41+DEZ!I41</f>
        <v>268.41200000000003</v>
      </c>
      <c r="J39" s="35">
        <f>JAN!J41+JAN!AA41+FEV!AA41+FEV!J41+MAR!AA41+MAR!J41+ABR!AA41+ABR!J41+MAI!AA41+MAI!J41+JUN!AA41+JUN!J41+JUL!AA41+JUL!J41+AGO!AA41+AGO!J41+SET!AA41+SET!J41+OUT!AA41+OUT!J41+NOV!AA41+NOV!J41+DEZ!AA41+DEZ!J41</f>
        <v>1284.4519999999998</v>
      </c>
      <c r="K39" s="35">
        <f>JAN!K41+JAN!AB41+FEV!AB41+FEV!K41+MAR!AB41+MAR!K41+ABR!AB41+ABR!K41+MAI!AB41+MAI!K41+JUN!AB41+JUN!K41+JUL!AB41+JUL!K41+AGO!AB41+AGO!K41+SET!AB41+SET!K41+OUT!AB41+OUT!K41+NOV!AB41+NOV!K41+DEZ!AB41+DEZ!K41</f>
        <v>56.856000000000009</v>
      </c>
      <c r="L39" s="35">
        <f>JAN!L41+JAN!AC41+FEV!AC41+FEV!L41+MAR!AC41+MAR!L41+ABR!AC41+ABR!L41+MAI!AC41+MAI!L41+JUN!AC41+JUN!L41+JUL!AC41+JUL!L41+AGO!AC41+AGO!L41+SET!AC41+SET!L41+OUT!AC41+OUT!L41+NOV!AC41+NOV!L41+DEZ!AC41+DEZ!L41</f>
        <v>37.904000000000003</v>
      </c>
      <c r="M39" s="35">
        <f>JAN!M41+JAN!AD41+FEV!AD41+FEV!M41+MAR!AD41+MAR!M41+ABR!AD41+ABR!M41+MAI!AD41+MAI!M41+JUN!AD41+JUN!M41+JUL!AD41+JUL!M41+AGO!AD41+AGO!M41+SET!AD41+SET!M41+OUT!AD41+OUT!M41+NOV!AD41+NOV!M41+DEZ!AD41+DEZ!M41</f>
        <v>0</v>
      </c>
      <c r="N39" s="35">
        <f>JAN!N41+JAN!AE41+FEV!AE41+FEV!N41+MAR!AE41+MAR!N41+ABR!AE41+ABR!N41+MAI!AE41+MAI!N41+JUN!AE41+JUN!N41+JUL!AE41+JUL!N41+AGO!AE41+AGO!N41+SET!AE41+SET!N41+OUT!AE41+OUT!N41+NOV!AE41+NOV!N41+DEZ!AE41+DEZ!N41</f>
        <v>60.808</v>
      </c>
      <c r="O39" s="35">
        <f>JAN!AF41+FEV!AF41+MAR!AF41+ABR!AF41+MAI!AF41+JUN!AF41+JUL!AF41+AGO!AF41+SET!AF41+OUT!AF41+NOV!AF41+DEZ!AF41</f>
        <v>0</v>
      </c>
      <c r="P39" s="35">
        <f>JAN!AG41+FEV!AG41+MAR!AG41+ABR!AG41+MAI!AG41+JUN!AG41+JUL!AG41+AGO!AG41+SET!AG41+OUT!AG41+NOV!AG41+DEZ!AG41</f>
        <v>0</v>
      </c>
      <c r="Q39" s="4">
        <f t="shared" ref="Q39:Q63" si="3">SUM(B39:P39)</f>
        <v>117313.202</v>
      </c>
      <c r="R39" s="15">
        <f t="shared" ref="R39:R65" si="4">SUM(G39:P39)</f>
        <v>4193.0960000000005</v>
      </c>
    </row>
    <row r="40" spans="1:18">
      <c r="A40" s="18" t="s">
        <v>121</v>
      </c>
      <c r="B40" s="35">
        <f>JAN!B42+JAN!S42+FEV!S42+FEV!B42+MAR!S42+MAR!B42+ABR!S42+ABR!B42+MAI!S42+MAI!B42+JUN!S42+JUN!B42+JUL!S42+JUL!B42+AGO!S42+AGO!B42+SET!S42+SET!B42+OUT!S42+OUT!B42+NOV!S42+NOV!B42+DEZ!S42+DEZ!B42</f>
        <v>14677.264000000001</v>
      </c>
      <c r="C40" s="35">
        <f>JAN!C42+JAN!T42+FEV!T42+FEV!C42+MAR!T42+MAR!C42+ABR!T42+ABR!C42+MAI!T42+MAI!C42+JUN!T42+JUN!C42+JUL!T42+JUL!C42+AGO!T42+AGO!C42+SET!T42+SET!C42+OUT!T42+OUT!C42+NOV!T42+NOV!C42+DEZ!T42+DEZ!C42</f>
        <v>5944.2759999999998</v>
      </c>
      <c r="D40" s="35">
        <f>JAN!D42+JAN!U42+FEV!U42+FEV!D42+MAR!U42+MAR!D42+ABR!U42+ABR!D42+MAI!U42+MAI!D42+JUN!U42+JUN!D42+JUL!U42+JUL!D42+AGO!U42+AGO!D42+SET!U42+SET!D42+OUT!U42+OUT!D42+NOV!U42+NOV!D42+DEZ!U42+DEZ!D42</f>
        <v>2005.856</v>
      </c>
      <c r="E40" s="35">
        <f>JAN!E42+JAN!V42+FEV!V42+FEV!E42+MAR!V42+MAR!E42+ABR!V42+ABR!E42+MAI!V42+MAI!E42+JUN!V42+JUN!E42+JUL!V42+JUL!E42+AGO!V42+AGO!E42+SET!V42+SET!E42+OUT!V42+OUT!E42+NOV!V42+NOV!E42+DEZ!V42+DEZ!E42</f>
        <v>508.65800000000002</v>
      </c>
      <c r="F40" s="35">
        <f>JAN!F42+JAN!W42+FEV!W42+FEV!F42+MAR!W42+MAR!F42+ABR!W42+ABR!F42+MAI!W42+MAI!F42+JUN!W42+JUN!F42+JUL!W42+JUL!F42+AGO!W42+AGO!F42+SET!W42+SET!F42+OUT!W42+OUT!F42+NOV!W42+NOV!F42+DEZ!W42+DEZ!F42</f>
        <v>16877.822</v>
      </c>
      <c r="G40" s="35">
        <f>JAN!G42+JAN!X42+FEV!X42+FEV!G42+MAR!X42+MAR!G42+ABR!X42+ABR!G42+MAI!X42+MAI!G42+JUN!X42+JUN!G42+JUL!X42+JUL!G42+AGO!X42+AGO!G42+SET!X42+SET!G42+OUT!X42+OUT!G42+NOV!X42+NOV!G42+DEZ!X42+DEZ!G42</f>
        <v>1401.796</v>
      </c>
      <c r="H40" s="35">
        <f>JAN!H42+JAN!Y42+FEV!Y42+FEV!H42+MAR!Y42+MAR!H42+ABR!Y42+ABR!H42+MAI!Y42+MAI!H42+JUN!Y42+JUN!H42+JUL!Y42+JUL!H42+AGO!Y42+AGO!H42+SET!Y42+SET!H42+OUT!Y42+OUT!H42+NOV!Y42+NOV!H42+DEZ!Y42+DEZ!H42</f>
        <v>670.1880000000001</v>
      </c>
      <c r="I40" s="35">
        <f>JAN!I42+JAN!Z42+FEV!Z42+FEV!I42+MAR!Z42+MAR!I42+ABR!Z42+ABR!I42+MAI!Z42+MAI!I42+JUN!Z42+JUN!I42+JUL!Z42+JUL!I42+AGO!Z42+AGO!I42+SET!Z42+SET!I42+OUT!Z42+OUT!I42+NOV!Z42+NOV!I42+DEZ!Z42+DEZ!I42</f>
        <v>108.75</v>
      </c>
      <c r="J40" s="35">
        <f>JAN!J42+JAN!AA42+FEV!AA42+FEV!J42+MAR!AA42+MAR!J42+ABR!AA42+ABR!J42+MAI!AA42+MAI!J42+JUN!AA42+JUN!J42+JUL!AA42+JUL!J42+AGO!AA42+AGO!J42+SET!AA42+SET!J42+OUT!AA42+OUT!J42+NOV!AA42+NOV!J42+DEZ!AA42+DEZ!J42</f>
        <v>1021.2600000000001</v>
      </c>
      <c r="K40" s="35">
        <f>JAN!K42+JAN!AB42+FEV!AB42+FEV!K42+MAR!AB42+MAR!K42+ABR!AB42+ABR!K42+MAI!AB42+MAI!K42+JUN!AB42+JUN!K42+JUL!AB42+JUL!K42+AGO!AB42+AGO!K42+SET!AB42+SET!K42+OUT!AB42+OUT!K42+NOV!AB42+NOV!K42+DEZ!AB42+DEZ!K42</f>
        <v>151.61599999999999</v>
      </c>
      <c r="L40" s="35">
        <f>JAN!L42+JAN!AC42+FEV!AC42+FEV!L42+MAR!AC42+MAR!L42+ABR!AC42+ABR!L42+MAI!AC42+MAI!L42+JUN!AC42+JUN!L42+JUL!AC42+JUL!L42+AGO!AC42+AGO!L42+SET!AC42+SET!L42+OUT!AC42+OUT!L42+NOV!AC42+NOV!L42+DEZ!AC42+DEZ!L42</f>
        <v>0</v>
      </c>
      <c r="M40" s="35">
        <f>JAN!M42+JAN!AD42+FEV!AD42+FEV!M42+MAR!AD42+MAR!M42+ABR!AD42+ABR!M42+MAI!AD42+MAI!M42+JUN!AD42+JUN!M42+JUL!AD42+JUL!M42+AGO!AD42+AGO!M42+SET!AD42+SET!M42+OUT!AD42+OUT!M42+NOV!AD42+NOV!M42+DEZ!AD42+DEZ!M42</f>
        <v>0</v>
      </c>
      <c r="N40" s="35">
        <f>JAN!N42+JAN!AE42+FEV!AE42+FEV!N42+MAR!AE42+MAR!N42+ABR!AE42+ABR!N42+MAI!AE42+MAI!N42+JUN!AE42+JUN!N42+JUL!AE42+JUL!N42+AGO!AE42+AGO!N42+SET!AE42+SET!N42+OUT!AE42+OUT!N42+NOV!AE42+NOV!N42+DEZ!AE42+DEZ!N42</f>
        <v>5.5280000000000005</v>
      </c>
      <c r="O40" s="35">
        <f>JAN!AF42+FEV!AF42+MAR!AF42+ABR!AF42+MAI!AF42+JUN!AF42+JUL!AF42+AGO!AF42+SET!AF42+OUT!AF42+NOV!AF42+DEZ!AF42</f>
        <v>0</v>
      </c>
      <c r="P40" s="35">
        <f>JAN!AG42+FEV!AG42+MAR!AG42+ABR!AG42+MAI!AG42+JUN!AG42+JUL!AG42+AGO!AG42+SET!AG42+OUT!AG42+NOV!AG42+DEZ!AG42</f>
        <v>0</v>
      </c>
      <c r="Q40" s="4">
        <f t="shared" si="3"/>
        <v>43373.01400000001</v>
      </c>
      <c r="R40" s="15">
        <f t="shared" si="4"/>
        <v>3359.1380000000004</v>
      </c>
    </row>
    <row r="41" spans="1:18">
      <c r="A41" s="2" t="s">
        <v>122</v>
      </c>
      <c r="B41" s="35">
        <f>JAN!B43+JAN!S43+FEV!S43+FEV!B43+MAR!S43+MAR!B43+ABR!S43+ABR!B43+MAI!S43+MAI!B43+JUN!S43+JUN!B43+JUL!S43+JUL!B43+AGO!S43+AGO!B43+SET!S43+SET!B43+OUT!S43+OUT!B43+NOV!S43+NOV!B43+DEZ!S43+DEZ!B43</f>
        <v>50124.556000000004</v>
      </c>
      <c r="C41" s="35">
        <f>JAN!C43+JAN!T43+FEV!T43+FEV!C43+MAR!T43+MAR!C43+ABR!T43+ABR!C43+MAI!T43+MAI!C43+JUN!T43+JUN!C43+JUL!T43+JUL!C43+AGO!T43+AGO!C43+SET!T43+SET!C43+OUT!T43+OUT!C43+NOV!T43+NOV!C43+DEZ!T43+DEZ!C43</f>
        <v>18688.054000000004</v>
      </c>
      <c r="D41" s="35">
        <f>JAN!D43+JAN!U43+FEV!U43+FEV!D43+MAR!U43+MAR!D43+ABR!U43+ABR!D43+MAI!U43+MAI!D43+JUN!U43+JUN!D43+JUL!U43+JUL!D43+AGO!U43+AGO!D43+SET!U43+SET!D43+OUT!U43+OUT!D43+NOV!U43+NOV!D43+DEZ!U43+DEZ!D43</f>
        <v>5444.1740000000009</v>
      </c>
      <c r="E41" s="35">
        <f>JAN!E43+JAN!V43+FEV!V43+FEV!E43+MAR!V43+MAR!E43+ABR!V43+ABR!E43+MAI!V43+MAI!E43+JUN!V43+JUN!E43+JUL!V43+JUL!E43+AGO!V43+AGO!E43+SET!V43+SET!E43+OUT!V43+OUT!E43+NOV!V43+NOV!E43+DEZ!V43+DEZ!E43</f>
        <v>1730.172</v>
      </c>
      <c r="F41" s="35">
        <f>JAN!F43+JAN!W43+FEV!W43+FEV!F43+MAR!W43+MAR!F43+ABR!W43+ABR!F43+MAI!W43+MAI!F43+JUN!W43+JUN!F43+JUL!W43+JUL!F43+AGO!W43+AGO!F43+SET!W43+SET!F43+OUT!W43+OUT!F43+NOV!W43+NOV!F43+DEZ!W43+DEZ!F43</f>
        <v>33371.255999999994</v>
      </c>
      <c r="G41" s="35">
        <f>JAN!G43+JAN!X43+FEV!X43+FEV!G43+MAR!X43+MAR!G43+ABR!X43+ABR!G43+MAI!X43+MAI!G43+JUN!X43+JUN!G43+JUL!X43+JUL!G43+AGO!X43+AGO!G43+SET!X43+SET!G43+OUT!X43+OUT!G43+NOV!X43+NOV!G43+DEZ!X43+DEZ!G43</f>
        <v>738.47600000000011</v>
      </c>
      <c r="H41" s="35">
        <f>JAN!H43+JAN!Y43+FEV!Y43+FEV!H43+MAR!Y43+MAR!H43+ABR!Y43+ABR!H43+MAI!Y43+MAI!H43+JUN!Y43+JUN!H43+JUL!Y43+JUL!H43+AGO!Y43+AGO!H43+SET!Y43+SET!H43+OUT!Y43+OUT!H43+NOV!Y43+NOV!H43+DEZ!Y43+DEZ!H43</f>
        <v>2343.1780000000003</v>
      </c>
      <c r="I41" s="35">
        <f>JAN!I43+JAN!Z43+FEV!Z43+FEV!I43+MAR!Z43+MAR!I43+ABR!Z43+ABR!I43+MAI!Z43+MAI!I43+JUN!Z43+JUN!I43+JUL!Z43+JUL!I43+AGO!Z43+AGO!I43+SET!Z43+SET!I43+OUT!Z43+OUT!I43+NOV!Z43+NOV!I43+DEZ!Z43+DEZ!I43</f>
        <v>0</v>
      </c>
      <c r="J41" s="35">
        <f>JAN!J43+JAN!AA43+FEV!AA43+FEV!J43+MAR!AA43+MAR!J43+ABR!AA43+ABR!J43+MAI!AA43+MAI!J43+JUN!AA43+JUN!J43+JUL!AA43+JUL!J43+AGO!AA43+AGO!J43+SET!AA43+SET!J43+OUT!AA43+OUT!J43+NOV!AA43+NOV!J43+DEZ!AA43+DEZ!J43</f>
        <v>2562.6560000000004</v>
      </c>
      <c r="K41" s="35">
        <f>JAN!K43+JAN!AB43+FEV!AB43+FEV!K43+MAR!AB43+MAR!K43+ABR!AB43+ABR!K43+MAI!AB43+MAI!K43+JUN!AB43+JUN!K43+JUL!AB43+JUL!K43+AGO!AB43+AGO!K43+SET!AB43+SET!K43+OUT!AB43+OUT!K43+NOV!AB43+NOV!K43+DEZ!AB43+DEZ!K43</f>
        <v>94.759999999999991</v>
      </c>
      <c r="L41" s="35">
        <f>JAN!L43+JAN!AC43+FEV!AC43+FEV!L43+MAR!AC43+MAR!L43+ABR!AC43+ABR!L43+MAI!AC43+MAI!L43+JUN!AC43+JUN!L43+JUL!AC43+JUL!L43+AGO!AC43+AGO!L43+SET!AC43+SET!L43+OUT!AC43+OUT!L43+NOV!AC43+NOV!L43+DEZ!AC43+DEZ!L43</f>
        <v>0</v>
      </c>
      <c r="M41" s="35">
        <f>JAN!M43+JAN!AD43+FEV!AD43+FEV!M43+MAR!AD43+MAR!M43+ABR!AD43+ABR!M43+MAI!AD43+MAI!M43+JUN!AD43+JUN!M43+JUL!AD43+JUL!M43+AGO!AD43+AGO!M43+SET!AD43+SET!M43+OUT!AD43+OUT!M43+NOV!AD43+NOV!M43+DEZ!AD43+DEZ!M43</f>
        <v>0</v>
      </c>
      <c r="N41" s="35">
        <f>JAN!N43+JAN!AE43+FEV!AE43+FEV!N43+MAR!AE43+MAR!N43+ABR!AE43+ABR!N43+MAI!AE43+MAI!N43+JUN!AE43+JUN!N43+JUL!AE43+JUL!N43+AGO!AE43+AGO!N43+SET!AE43+SET!N43+OUT!AE43+OUT!N43+NOV!AE43+NOV!N43+DEZ!AE43+DEZ!N43</f>
        <v>16.584000000000003</v>
      </c>
      <c r="O41" s="35">
        <f>JAN!AF43+FEV!AF43+MAR!AF43+ABR!AF43+MAI!AF43+JUN!AF43+JUL!AF43+AGO!AF43+SET!AF43+OUT!AF43+NOV!AF43+DEZ!AF43</f>
        <v>6.5840000000000005</v>
      </c>
      <c r="P41" s="35">
        <f>JAN!AG43+FEV!AG43+MAR!AG43+ABR!AG43+MAI!AG43+JUN!AG43+JUL!AG43+AGO!AG43+SET!AG43+OUT!AG43+NOV!AG43+DEZ!AG43</f>
        <v>0</v>
      </c>
      <c r="Q41" s="4">
        <f t="shared" si="3"/>
        <v>115120.45000000001</v>
      </c>
      <c r="R41" s="15">
        <f t="shared" si="4"/>
        <v>5762.2380000000012</v>
      </c>
    </row>
    <row r="42" spans="1:18">
      <c r="A42" s="1" t="s">
        <v>123</v>
      </c>
      <c r="B42" s="35">
        <f>JAN!B44+JAN!S44+FEV!S44+FEV!B44+MAR!S44+MAR!B44+ABR!S44+ABR!B44+MAI!S44+MAI!B44+JUN!S44+JUN!B44+JUL!S44+JUL!B44+AGO!S44+AGO!B44+SET!S44+SET!B44+OUT!S44+OUT!B44+NOV!S44+NOV!B44+DEZ!S44+DEZ!B44</f>
        <v>174887.204</v>
      </c>
      <c r="C42" s="35">
        <f>JAN!C44+JAN!T44+FEV!T44+FEV!C44+MAR!T44+MAR!C44+ABR!T44+ABR!C44+MAI!T44+MAI!C44+JUN!T44+JUN!C44+JUL!T44+JUL!C44+AGO!T44+AGO!C44+SET!T44+SET!C44+OUT!T44+OUT!C44+NOV!T44+NOV!C44+DEZ!T44+DEZ!C44</f>
        <v>26871.054000000004</v>
      </c>
      <c r="D42" s="35">
        <f>JAN!D44+JAN!U44+FEV!U44+FEV!D44+MAR!U44+MAR!D44+ABR!U44+ABR!D44+MAI!U44+MAI!D44+JUN!U44+JUN!D44+JUL!U44+JUL!D44+AGO!U44+AGO!D44+SET!U44+SET!D44+OUT!U44+OUT!D44+NOV!U44+NOV!D44+DEZ!U44+DEZ!D44</f>
        <v>26611.964</v>
      </c>
      <c r="E42" s="35">
        <f>JAN!E44+JAN!V44+FEV!V44+FEV!E44+MAR!V44+MAR!E44+ABR!V44+ABR!E44+MAI!V44+MAI!E44+JUN!V44+JUN!E44+JUL!V44+JUL!E44+AGO!V44+AGO!E44+SET!V44+SET!E44+OUT!V44+OUT!E44+NOV!V44+NOV!E44+DEZ!V44+DEZ!E44</f>
        <v>3636.9280000000003</v>
      </c>
      <c r="F42" s="35">
        <f>JAN!F44+JAN!W44+FEV!W44+FEV!F44+MAR!W44+MAR!F44+ABR!W44+ABR!F44+MAI!W44+MAI!F44+JUN!W44+JUN!F44+JUL!W44+JUL!F44+AGO!W44+AGO!F44+SET!W44+SET!F44+OUT!W44+OUT!F44+NOV!W44+NOV!F44+DEZ!W44+DEZ!F44</f>
        <v>112729.236</v>
      </c>
      <c r="G42" s="35">
        <f>JAN!G44+JAN!X44+FEV!X44+FEV!G44+MAR!X44+MAR!G44+ABR!X44+ABR!G44+MAI!X44+MAI!G44+JUN!X44+JUN!G44+JUL!X44+JUL!G44+AGO!X44+AGO!G44+SET!X44+SET!G44+OUT!X44+OUT!G44+NOV!X44+NOV!G44+DEZ!X44+DEZ!G44</f>
        <v>2748.0400000000004</v>
      </c>
      <c r="H42" s="35">
        <f>JAN!H44+JAN!Y44+FEV!Y44+FEV!H44+MAR!Y44+MAR!H44+ABR!Y44+ABR!H44+MAI!Y44+MAI!H44+JUN!Y44+JUN!H44+JUL!Y44+JUL!H44+AGO!Y44+AGO!H44+SET!Y44+SET!H44+OUT!Y44+OUT!H44+NOV!Y44+NOV!H44+DEZ!Y44+DEZ!H44</f>
        <v>4651.4560000000001</v>
      </c>
      <c r="I42" s="35">
        <f>JAN!I44+JAN!Z44+FEV!Z44+FEV!I44+MAR!Z44+MAR!I44+ABR!Z44+ABR!I44+MAI!Z44+MAI!I44+JUN!Z44+JUN!I44+JUL!Z44+JUL!I44+AGO!Z44+AGO!I44+SET!Z44+SET!I44+OUT!Z44+OUT!I44+NOV!Z44+NOV!I44+DEZ!Z44+DEZ!I44</f>
        <v>0</v>
      </c>
      <c r="J42" s="35">
        <f>JAN!J44+JAN!AA44+FEV!AA44+FEV!J44+MAR!AA44+MAR!J44+ABR!AA44+ABR!J44+MAI!AA44+MAI!J44+JUN!AA44+JUN!J44+JUL!AA44+JUL!J44+AGO!AA44+AGO!J44+SET!AA44+SET!J44+OUT!AA44+OUT!J44+NOV!AA44+NOV!J44+DEZ!AA44+DEZ!J44</f>
        <v>4381.6379999999999</v>
      </c>
      <c r="K42" s="35">
        <f>JAN!K44+JAN!AB44+FEV!AB44+FEV!K44+MAR!AB44+MAR!K44+ABR!AB44+ABR!K44+MAI!AB44+MAI!K44+JUN!AB44+JUN!K44+JUL!AB44+JUL!K44+AGO!AB44+AGO!K44+SET!AB44+SET!K44+OUT!AB44+OUT!K44+NOV!AB44+NOV!K44+DEZ!AB44+DEZ!K44</f>
        <v>530.65600000000006</v>
      </c>
      <c r="L42" s="35">
        <f>JAN!L44+JAN!AC44+FEV!AC44+FEV!L44+MAR!AC44+MAR!L44+ABR!AC44+ABR!L44+MAI!AC44+MAI!L44+JUN!AC44+JUN!L44+JUL!AC44+JUL!L44+AGO!AC44+AGO!L44+SET!AC44+SET!L44+OUT!AC44+OUT!L44+NOV!AC44+NOV!L44+DEZ!AC44+DEZ!L44</f>
        <v>75.808000000000007</v>
      </c>
      <c r="M42" s="35">
        <f>JAN!M44+JAN!AD44+FEV!AD44+FEV!M44+MAR!AD44+MAR!M44+ABR!AD44+ABR!M44+MAI!AD44+MAI!M44+JUN!AD44+JUN!M44+JUL!AD44+JUL!M44+AGO!AD44+AGO!M44+SET!AD44+SET!M44+OUT!AD44+OUT!M44+NOV!AD44+NOV!M44+DEZ!AD44+DEZ!M44</f>
        <v>0</v>
      </c>
      <c r="N42" s="35">
        <f>JAN!N44+JAN!AE44+FEV!AE44+FEV!N44+MAR!AE44+MAR!N44+ABR!AE44+ABR!N44+MAI!AE44+MAI!N44+JUN!AE44+JUN!N44+JUL!AE44+JUL!N44+AGO!AE44+AGO!N44+SET!AE44+SET!N44+OUT!AE44+OUT!N44+NOV!AE44+NOV!N44+DEZ!AE44+DEZ!N44</f>
        <v>286.50600000000003</v>
      </c>
      <c r="O42" s="35">
        <f>JAN!AF44+FEV!AF44+MAR!AF44+ABR!AF44+MAI!AF44+JUN!AF44+JUL!AF44+AGO!AF44+SET!AF44+OUT!AF44+NOV!AF44+DEZ!AF44</f>
        <v>0</v>
      </c>
      <c r="P42" s="35">
        <f>JAN!AG44+FEV!AG44+MAR!AG44+ABR!AG44+MAI!AG44+JUN!AG44+JUL!AG44+AGO!AG44+SET!AG44+OUT!AG44+NOV!AG44+DEZ!AG44</f>
        <v>0</v>
      </c>
      <c r="Q42" s="4">
        <f t="shared" si="3"/>
        <v>357410.49000000005</v>
      </c>
      <c r="R42" s="15">
        <f t="shared" si="4"/>
        <v>12674.104000000003</v>
      </c>
    </row>
    <row r="43" spans="1:18">
      <c r="A43" s="1" t="s">
        <v>124</v>
      </c>
      <c r="B43" s="35">
        <f>JAN!B45+JAN!S45+FEV!S45+FEV!B45+MAR!S45+MAR!B45+ABR!S45+ABR!B45+MAI!S45+MAI!B45+JUN!S45+JUN!B45+JUL!S45+JUL!B45+AGO!S45+AGO!B45+SET!S45+SET!B45+OUT!S45+OUT!B45+NOV!S45+NOV!B45+DEZ!S45+DEZ!B45</f>
        <v>98402.347999999998</v>
      </c>
      <c r="C43" s="35">
        <f>JAN!C45+JAN!T45+FEV!T45+FEV!C45+MAR!T45+MAR!C45+ABR!T45+ABR!C45+MAI!T45+MAI!C45+JUN!T45+JUN!C45+JUL!T45+JUL!C45+AGO!T45+AGO!C45+SET!T45+SET!C45+OUT!T45+OUT!C45+NOV!T45+NOV!C45+DEZ!T45+DEZ!C45</f>
        <v>15419.094000000001</v>
      </c>
      <c r="D43" s="35">
        <f>JAN!D45+JAN!U45+FEV!U45+FEV!D45+MAR!U45+MAR!D45+ABR!U45+ABR!D45+MAI!U45+MAI!D45+JUN!U45+JUN!D45+JUL!U45+JUL!D45+AGO!U45+AGO!D45+SET!U45+SET!D45+OUT!U45+OUT!D45+NOV!U45+NOV!D45+DEZ!U45+DEZ!D45</f>
        <v>9927.0820000000003</v>
      </c>
      <c r="E43" s="35">
        <f>JAN!E45+JAN!V45+FEV!V45+FEV!E45+MAR!V45+MAR!E45+ABR!V45+ABR!E45+MAI!V45+MAI!E45+JUN!V45+JUN!E45+JUL!V45+JUL!E45+AGO!V45+AGO!E45+SET!V45+SET!E45+OUT!V45+OUT!E45+NOV!V45+NOV!E45+DEZ!V45+DEZ!E45</f>
        <v>1629.78</v>
      </c>
      <c r="F43" s="35">
        <f>JAN!F45+JAN!W45+FEV!W45+FEV!F45+MAR!W45+MAR!F45+ABR!W45+ABR!F45+MAI!W45+MAI!F45+JUN!W45+JUN!F45+JUL!W45+JUL!F45+AGO!W45+AGO!F45+SET!W45+SET!F45+OUT!W45+OUT!F45+NOV!W45+NOV!F45+DEZ!W45+DEZ!F45</f>
        <v>59739.400000000009</v>
      </c>
      <c r="G43" s="35">
        <f>JAN!G45+JAN!X45+FEV!X45+FEV!G45+MAR!X45+MAR!G45+ABR!X45+ABR!G45+MAI!X45+MAI!G45+JUN!X45+JUN!G45+JUL!X45+JUL!G45+AGO!X45+AGO!G45+SET!X45+SET!G45+OUT!X45+OUT!G45+NOV!X45+NOV!G45+DEZ!X45+DEZ!G45</f>
        <v>340.48400000000004</v>
      </c>
      <c r="H43" s="35">
        <f>JAN!H45+JAN!Y45+FEV!Y45+FEV!H45+MAR!Y45+MAR!H45+ABR!Y45+ABR!H45+MAI!Y45+MAI!H45+JUN!Y45+JUN!H45+JUL!Y45+JUL!H45+AGO!Y45+AGO!H45+SET!Y45+SET!H45+OUT!Y45+OUT!H45+NOV!Y45+NOV!H45+DEZ!Y45+DEZ!H45</f>
        <v>2443.518</v>
      </c>
      <c r="I43" s="35">
        <f>JAN!I45+JAN!Z45+FEV!Z45+FEV!I45+MAR!Z45+MAR!I45+ABR!Z45+ABR!I45+MAI!Z45+MAI!I45+JUN!Z45+JUN!I45+JUL!Z45+JUL!I45+AGO!Z45+AGO!I45+SET!Z45+SET!I45+OUT!Z45+OUT!I45+NOV!Z45+NOV!I45+DEZ!Z45+DEZ!I45</f>
        <v>1019.588</v>
      </c>
      <c r="J43" s="35">
        <f>JAN!J45+JAN!AA45+FEV!AA45+FEV!J45+MAR!AA45+MAR!J45+ABR!AA45+ABR!J45+MAI!AA45+MAI!J45+JUN!AA45+JUN!J45+JUL!AA45+JUL!J45+AGO!AA45+AGO!J45+SET!AA45+SET!J45+OUT!AA45+OUT!J45+NOV!AA45+NOV!J45+DEZ!AA45+DEZ!J45</f>
        <v>2242.2000000000003</v>
      </c>
      <c r="K43" s="35">
        <f>JAN!K45+JAN!AB45+FEV!AB45+FEV!K45+MAR!AB45+MAR!K45+ABR!AB45+ABR!K45+MAI!AB45+MAI!K45+JUN!AB45+JUN!K45+JUL!AB45+JUL!K45+AGO!AB45+AGO!K45+SET!AB45+SET!K45+OUT!AB45+OUT!K45+NOV!AB45+NOV!K45+DEZ!AB45+DEZ!K45</f>
        <v>435.89599999999996</v>
      </c>
      <c r="L43" s="35">
        <f>JAN!L45+JAN!AC45+FEV!AC45+FEV!L45+MAR!AC45+MAR!L45+ABR!AC45+ABR!L45+MAI!AC45+MAI!L45+JUN!AC45+JUN!L45+JUL!AC45+JUL!L45+AGO!AC45+AGO!L45+SET!AC45+SET!L45+OUT!AC45+OUT!L45+NOV!AC45+NOV!L45+DEZ!AC45+DEZ!L45</f>
        <v>0</v>
      </c>
      <c r="M43" s="35">
        <f>JAN!M45+JAN!AD45+FEV!AD45+FEV!M45+MAR!AD45+MAR!M45+ABR!AD45+ABR!M45+MAI!AD45+MAI!M45+JUN!AD45+JUN!M45+JUL!AD45+JUL!M45+AGO!AD45+AGO!M45+SET!AD45+SET!M45+OUT!AD45+OUT!M45+NOV!AD45+NOV!M45+DEZ!AD45+DEZ!M45</f>
        <v>0</v>
      </c>
      <c r="N43" s="35">
        <f>JAN!N45+JAN!AE45+FEV!AE45+FEV!N45+MAR!AE45+MAR!N45+ABR!AE45+ABR!N45+MAI!AE45+MAI!N45+JUN!AE45+JUN!N45+JUL!AE45+JUL!N45+AGO!AE45+AGO!N45+SET!AE45+SET!N45+OUT!AE45+OUT!N45+NOV!AE45+NOV!N45+DEZ!AE45+DEZ!N45</f>
        <v>77.201999999999998</v>
      </c>
      <c r="O43" s="35">
        <f>JAN!AF45+FEV!AF45+MAR!AF45+ABR!AF45+MAI!AF45+JUN!AF45+JUL!AF45+AGO!AF45+SET!AF45+OUT!AF45+NOV!AF45+DEZ!AF45</f>
        <v>0</v>
      </c>
      <c r="P43" s="35">
        <f>JAN!AG45+FEV!AG45+MAR!AG45+ABR!AG45+MAI!AG45+JUN!AG45+JUL!AG45+AGO!AG45+SET!AG45+OUT!AG45+NOV!AG45+DEZ!AG45</f>
        <v>0</v>
      </c>
      <c r="Q43" s="4">
        <f t="shared" si="3"/>
        <v>191676.592</v>
      </c>
      <c r="R43" s="15">
        <f t="shared" si="4"/>
        <v>6558.8880000000008</v>
      </c>
    </row>
    <row r="44" spans="1:18">
      <c r="A44" s="1" t="s">
        <v>125</v>
      </c>
      <c r="B44" s="35">
        <f>JAN!B46+JAN!S46+FEV!S46+FEV!B46+MAR!S46+MAR!B46+ABR!S46+ABR!B46+MAI!S46+MAI!B46+JUN!S46+JUN!B46+JUL!S46+JUL!B46+AGO!S46+AGO!B46+SET!S46+SET!B46+OUT!S46+OUT!B46+NOV!S46+NOV!B46+DEZ!S46+DEZ!B46</f>
        <v>199076.67600000004</v>
      </c>
      <c r="C44" s="35">
        <f>JAN!C46+JAN!T46+FEV!T46+FEV!C46+MAR!T46+MAR!C46+ABR!T46+ABR!C46+MAI!T46+MAI!C46+JUN!T46+JUN!C46+JUL!T46+JUL!C46+AGO!T46+AGO!C46+SET!T46+SET!C46+OUT!T46+OUT!C46+NOV!T46+NOV!C46+DEZ!T46+DEZ!C46</f>
        <v>30965.348000000002</v>
      </c>
      <c r="D44" s="35">
        <f>JAN!D46+JAN!U46+FEV!U46+FEV!D46+MAR!U46+MAR!D46+ABR!U46+ABR!D46+MAI!U46+MAI!D46+JUN!U46+JUN!D46+JUL!U46+JUL!D46+AGO!U46+AGO!D46+SET!U46+SET!D46+OUT!U46+OUT!D46+NOV!U46+NOV!D46+DEZ!U46+DEZ!D46</f>
        <v>18175.760000000002</v>
      </c>
      <c r="E44" s="35">
        <f>JAN!E46+JAN!V46+FEV!V46+FEV!E46+MAR!V46+MAR!E46+ABR!V46+ABR!E46+MAI!V46+MAI!E46+JUN!V46+JUN!E46+JUL!V46+JUL!E46+AGO!V46+AGO!E46+SET!V46+SET!E46+OUT!V46+OUT!E46+NOV!V46+NOV!E46+DEZ!V46+DEZ!E46</f>
        <v>5608.9660000000003</v>
      </c>
      <c r="F44" s="35">
        <f>JAN!F46+JAN!W46+FEV!W46+FEV!F46+MAR!W46+MAR!F46+ABR!W46+ABR!F46+MAI!W46+MAI!F46+JUN!W46+JUN!F46+JUL!W46+JUL!F46+AGO!W46+AGO!F46+SET!W46+SET!F46+OUT!W46+OUT!F46+NOV!W46+NOV!F46+DEZ!W46+DEZ!F46</f>
        <v>87849.17200000002</v>
      </c>
      <c r="G44" s="35">
        <f>JAN!G46+JAN!X46+FEV!X46+FEV!G46+MAR!X46+MAR!G46+ABR!X46+ABR!G46+MAI!X46+MAI!G46+JUN!X46+JUN!G46+JUL!X46+JUL!G46+AGO!X46+AGO!G46+SET!X46+SET!G46+OUT!X46+OUT!G46+NOV!X46+NOV!G46+DEZ!X46+DEZ!G46</f>
        <v>2501.0120000000002</v>
      </c>
      <c r="H44" s="35">
        <f>JAN!H46+JAN!Y46+FEV!Y46+FEV!H46+MAR!Y46+MAR!H46+ABR!Y46+ABR!H46+MAI!Y46+MAI!H46+JUN!Y46+JUN!H46+JUL!Y46+JUL!H46+AGO!Y46+AGO!H46+SET!Y46+SET!H46+OUT!Y46+OUT!H46+NOV!Y46+NOV!H46+DEZ!Y46+DEZ!H46</f>
        <v>5509.1779999999999</v>
      </c>
      <c r="I44" s="35">
        <f>JAN!I46+JAN!Z46+FEV!Z46+FEV!I46+MAR!Z46+MAR!I46+ABR!Z46+ABR!I46+MAI!Z46+MAI!I46+JUN!Z46+JUN!I46+JUL!Z46+JUL!I46+AGO!Z46+AGO!I46+SET!Z46+SET!I46+OUT!Z46+OUT!I46+NOV!Z46+NOV!I46+DEZ!Z46+DEZ!I46</f>
        <v>0</v>
      </c>
      <c r="J44" s="35">
        <f>JAN!J46+JAN!AA46+FEV!AA46+FEV!J46+MAR!AA46+MAR!J46+ABR!AA46+ABR!J46+MAI!AA46+MAI!J46+JUN!AA46+JUN!J46+JUL!AA46+JUL!J46+AGO!AA46+AGO!J46+SET!AA46+SET!J46+OUT!AA46+OUT!J46+NOV!AA46+NOV!J46+DEZ!AA46+DEZ!J46</f>
        <v>4980.7400000000007</v>
      </c>
      <c r="K44" s="35">
        <f>JAN!K46+JAN!AB46+FEV!AB46+FEV!K46+MAR!AB46+MAR!K46+ABR!AB46+ABR!K46+MAI!AB46+MAI!K46+JUN!AB46+JUN!K46+JUL!AB46+JUL!K46+AGO!AB46+AGO!K46+SET!AB46+SET!K46+OUT!AB46+OUT!K46+NOV!AB46+NOV!K46+DEZ!AB46+DEZ!K46</f>
        <v>322.18399999999997</v>
      </c>
      <c r="L44" s="35">
        <f>JAN!L46+JAN!AC46+FEV!AC46+FEV!L46+MAR!AC46+MAR!L46+ABR!AC46+ABR!L46+MAI!AC46+MAI!L46+JUN!AC46+JUN!L46+JUL!AC46+JUL!L46+AGO!AC46+AGO!L46+SET!AC46+SET!L46+OUT!AC46+OUT!L46+NOV!AC46+NOV!L46+DEZ!AC46+DEZ!L46</f>
        <v>37.904000000000003</v>
      </c>
      <c r="M44" s="35">
        <f>JAN!M46+JAN!AD46+FEV!AD46+FEV!M46+MAR!AD46+MAR!M46+ABR!AD46+ABR!M46+MAI!AD46+MAI!M46+JUN!AD46+JUN!M46+JUL!AD46+JUL!M46+AGO!AD46+AGO!M46+SET!AD46+SET!M46+OUT!AD46+OUT!M46+NOV!AD46+NOV!M46+DEZ!AD46+DEZ!M46</f>
        <v>0</v>
      </c>
      <c r="N44" s="35">
        <f>JAN!N46+JAN!AE46+FEV!AE46+FEV!N46+MAR!AE46+MAR!N46+ABR!AE46+ABR!N46+MAI!AE46+MAI!N46+JUN!AE46+JUN!N46+JUL!AE46+JUL!N46+AGO!AE46+AGO!N46+SET!AE46+SET!N46+OUT!AE46+OUT!N46+NOV!AE46+NOV!N46+DEZ!AE46+DEZ!N46</f>
        <v>358.18000000000006</v>
      </c>
      <c r="O44" s="35">
        <f>JAN!AF46+FEV!AF46+MAR!AF46+ABR!AF46+MAI!AF46+JUN!AF46+JUL!AF46+AGO!AF46+SET!AF46+OUT!AF46+NOV!AF46+DEZ!AF46</f>
        <v>0</v>
      </c>
      <c r="P44" s="35">
        <f>JAN!AG46+FEV!AG46+MAR!AG46+ABR!AG46+MAI!AG46+JUN!AG46+JUL!AG46+AGO!AG46+SET!AG46+OUT!AG46+NOV!AG46+DEZ!AG46</f>
        <v>0</v>
      </c>
      <c r="Q44" s="4">
        <f t="shared" si="3"/>
        <v>355385.12000000005</v>
      </c>
      <c r="R44" s="15">
        <f t="shared" si="4"/>
        <v>13709.198</v>
      </c>
    </row>
    <row r="45" spans="1:18">
      <c r="A45" s="1" t="s">
        <v>126</v>
      </c>
      <c r="B45" s="35">
        <f>JAN!B47+JAN!S47+FEV!S47+FEV!B47+MAR!S47+MAR!B47+ABR!S47+ABR!B47+MAI!S47+MAI!B47+JUN!S47+JUN!B47+JUL!S47+JUL!B47+AGO!S47+AGO!B47+SET!S47+SET!B47+OUT!S47+OUT!B47+NOV!S47+NOV!B47+DEZ!S47+DEZ!B47</f>
        <v>145965.93</v>
      </c>
      <c r="C45" s="35">
        <f>JAN!C47+JAN!T47+FEV!T47+FEV!C47+MAR!T47+MAR!C47+ABR!T47+ABR!C47+MAI!T47+MAI!C47+JUN!T47+JUN!C47+JUL!T47+JUL!C47+AGO!T47+AGO!C47+SET!T47+SET!C47+OUT!T47+OUT!C47+NOV!T47+NOV!C47+DEZ!T47+DEZ!C47</f>
        <v>21516.466</v>
      </c>
      <c r="D45" s="35">
        <f>JAN!D47+JAN!U47+FEV!U47+FEV!D47+MAR!U47+MAR!D47+ABR!U47+ABR!D47+MAI!U47+MAI!D47+JUN!U47+JUN!D47+JUL!U47+JUL!D47+AGO!U47+AGO!D47+SET!U47+SET!D47+OUT!U47+OUT!D47+NOV!U47+NOV!D47+DEZ!U47+DEZ!D47</f>
        <v>16112.856000000002</v>
      </c>
      <c r="E45" s="35">
        <f>JAN!E47+JAN!V47+FEV!V47+FEV!E47+MAR!V47+MAR!E47+ABR!V47+ABR!E47+MAI!V47+MAI!E47+JUN!V47+JUN!E47+JUL!V47+JUL!E47+AGO!V47+AGO!E47+SET!V47+SET!E47+OUT!V47+OUT!E47+NOV!V47+NOV!E47+DEZ!V47+DEZ!E47</f>
        <v>3197.7840000000001</v>
      </c>
      <c r="F45" s="35">
        <f>JAN!F47+JAN!W47+FEV!W47+FEV!F47+MAR!W47+MAR!F47+ABR!W47+ABR!F47+MAI!W47+MAI!F47+JUN!W47+JUN!F47+JUL!W47+JUL!F47+AGO!W47+AGO!F47+SET!W47+SET!F47+OUT!W47+OUT!F47+NOV!W47+NOV!F47+DEZ!W47+DEZ!F47</f>
        <v>82015.216</v>
      </c>
      <c r="G45" s="35">
        <f>JAN!G47+JAN!X47+FEV!X47+FEV!G47+MAR!X47+MAR!G47+ABR!X47+ABR!G47+MAI!X47+MAI!G47+JUN!X47+JUN!G47+JUL!X47+JUL!G47+AGO!X47+AGO!G47+SET!X47+SET!G47+OUT!X47+OUT!G47+NOV!X47+NOV!G47+DEZ!X47+DEZ!G47</f>
        <v>2228.5120000000002</v>
      </c>
      <c r="H45" s="35">
        <f>JAN!H47+JAN!Y47+FEV!Y47+FEV!H47+MAR!Y47+MAR!H47+ABR!Y47+ABR!H47+MAI!Y47+MAI!H47+JUN!Y47+JUN!H47+JUL!Y47+JUL!H47+AGO!Y47+AGO!H47+SET!Y47+SET!H47+OUT!Y47+OUT!H47+NOV!Y47+NOV!H47+DEZ!Y47+DEZ!H47</f>
        <v>3657.4940000000001</v>
      </c>
      <c r="I45" s="35">
        <f>JAN!I47+JAN!Z47+FEV!Z47+FEV!I47+MAR!Z47+MAR!I47+ABR!Z47+ABR!I47+MAI!Z47+MAI!I47+JUN!Z47+JUN!I47+JUL!Z47+JUL!I47+AGO!Z47+AGO!I47+SET!Z47+SET!I47+OUT!Z47+OUT!I47+NOV!Z47+NOV!I47+DEZ!Z47+DEZ!I47</f>
        <v>973.6579999999999</v>
      </c>
      <c r="J45" s="35">
        <f>JAN!J47+JAN!AA47+FEV!AA47+FEV!J47+MAR!AA47+MAR!J47+ABR!AA47+ABR!J47+MAI!AA47+MAI!J47+JUN!AA47+JUN!J47+JUL!AA47+JUL!J47+AGO!AA47+AGO!J47+SET!AA47+SET!J47+OUT!AA47+OUT!J47+NOV!AA47+NOV!J47+DEZ!AA47+DEZ!J47</f>
        <v>3305.3180000000007</v>
      </c>
      <c r="K45" s="35">
        <f>JAN!K47+JAN!AB47+FEV!AB47+FEV!K47+MAR!AB47+MAR!K47+ABR!AB47+ABR!K47+MAI!AB47+MAI!K47+JUN!AB47+JUN!K47+JUL!AB47+JUL!K47+AGO!AB47+AGO!K47+SET!AB47+SET!K47+OUT!AB47+OUT!K47+NOV!AB47+NOV!K47+DEZ!AB47+DEZ!K47</f>
        <v>284.27999999999997</v>
      </c>
      <c r="L45" s="35">
        <f>JAN!L47+JAN!AC47+FEV!AC47+FEV!L47+MAR!AC47+MAR!L47+ABR!AC47+ABR!L47+MAI!AC47+MAI!L47+JUN!AC47+JUN!L47+JUL!AC47+JUL!L47+AGO!AC47+AGO!L47+SET!AC47+SET!L47+OUT!AC47+OUT!L47+NOV!AC47+NOV!L47+DEZ!AC47+DEZ!L47</f>
        <v>0</v>
      </c>
      <c r="M45" s="35">
        <f>JAN!M47+JAN!AD47+FEV!AD47+FEV!M47+MAR!AD47+MAR!M47+ABR!AD47+ABR!M47+MAI!AD47+MAI!M47+JUN!AD47+JUN!M47+JUL!AD47+JUL!M47+AGO!AD47+AGO!M47+SET!AD47+SET!M47+OUT!AD47+OUT!M47+NOV!AD47+NOV!M47+DEZ!AD47+DEZ!M47</f>
        <v>0</v>
      </c>
      <c r="N45" s="35">
        <f>JAN!N47+JAN!AE47+FEV!AE47+FEV!N47+MAR!AE47+MAR!N47+ABR!AE47+ABR!N47+MAI!AE47+MAI!N47+JUN!AE47+JUN!N47+JUL!AE47+JUL!N47+AGO!AE47+AGO!N47+SET!AE47+SET!N47+OUT!AE47+OUT!N47+NOV!AE47+NOV!N47+DEZ!AE47+DEZ!N47</f>
        <v>93.786000000000001</v>
      </c>
      <c r="O45" s="35">
        <f>JAN!AF47+FEV!AF47+MAR!AF47+ABR!AF47+MAI!AF47+JUN!AF47+JUL!AF47+AGO!AF47+SET!AF47+OUT!AF47+NOV!AF47+DEZ!AF47</f>
        <v>0</v>
      </c>
      <c r="P45" s="35">
        <f>JAN!AG47+FEV!AG47+MAR!AG47+ABR!AG47+MAI!AG47+JUN!AG47+JUL!AG47+AGO!AG47+SET!AG47+OUT!AG47+NOV!AG47+DEZ!AG47</f>
        <v>0</v>
      </c>
      <c r="Q45" s="4">
        <f t="shared" si="3"/>
        <v>279351.3000000001</v>
      </c>
      <c r="R45" s="15">
        <f t="shared" si="4"/>
        <v>10543.048000000003</v>
      </c>
    </row>
    <row r="46" spans="1:18">
      <c r="A46" s="1" t="s">
        <v>127</v>
      </c>
      <c r="B46" s="35">
        <f>JAN!B48+JAN!S48+FEV!S48+FEV!B48+MAR!S48+MAR!B48+ABR!S48+ABR!B48+MAI!S48+MAI!B48+JUN!S48+JUN!B48+JUL!S48+JUL!B48+AGO!S48+AGO!B48+SET!S48+SET!B48+OUT!S48+OUT!B48+NOV!S48+NOV!B48+DEZ!S48+DEZ!B48</f>
        <v>133519.13400000002</v>
      </c>
      <c r="C46" s="35">
        <f>JAN!C48+JAN!T48+FEV!T48+FEV!C48+MAR!T48+MAR!C48+ABR!T48+ABR!C48+MAI!T48+MAI!C48+JUN!T48+JUN!C48+JUL!T48+JUL!C48+AGO!T48+AGO!C48+SET!T48+SET!C48+OUT!T48+OUT!C48+NOV!T48+NOV!C48+DEZ!T48+DEZ!C48</f>
        <v>24704.578000000001</v>
      </c>
      <c r="D46" s="35">
        <f>JAN!D48+JAN!U48+FEV!U48+FEV!D48+MAR!U48+MAR!D48+ABR!U48+ABR!D48+MAI!U48+MAI!D48+JUN!U48+JUN!D48+JUL!U48+JUL!D48+AGO!U48+AGO!D48+SET!U48+SET!D48+OUT!U48+OUT!D48+NOV!U48+NOV!D48+DEZ!U48+DEZ!D48</f>
        <v>16106.368</v>
      </c>
      <c r="E46" s="35">
        <f>JAN!E48+JAN!V48+FEV!V48+FEV!E48+MAR!V48+MAR!E48+ABR!V48+ABR!E48+MAI!V48+MAI!E48+JUN!V48+JUN!E48+JUL!V48+JUL!E48+AGO!V48+AGO!E48+SET!V48+SET!E48+OUT!V48+OUT!E48+NOV!V48+NOV!E48+DEZ!V48+DEZ!E48</f>
        <v>3247.4300000000003</v>
      </c>
      <c r="F46" s="35">
        <f>JAN!F48+JAN!W48+FEV!W48+FEV!F48+MAR!W48+MAR!F48+ABR!W48+ABR!F48+MAI!W48+MAI!F48+JUN!W48+JUN!F48+JUL!W48+JUL!F48+AGO!W48+AGO!F48+SET!W48+SET!F48+OUT!W48+OUT!F48+NOV!W48+NOV!F48+DEZ!W48+DEZ!F48</f>
        <v>164357.788</v>
      </c>
      <c r="G46" s="35">
        <f>JAN!G48+JAN!X48+FEV!X48+FEV!G48+MAR!X48+MAR!G48+ABR!X48+ABR!G48+MAI!X48+MAI!G48+JUN!X48+JUN!G48+JUL!X48+JUL!G48+AGO!X48+AGO!G48+SET!X48+SET!G48+OUT!X48+OUT!G48+NOV!X48+NOV!G48+DEZ!X48+DEZ!G48</f>
        <v>7731.764000000001</v>
      </c>
      <c r="H46" s="35">
        <f>JAN!H48+JAN!Y48+FEV!Y48+FEV!H48+MAR!Y48+MAR!H48+ABR!Y48+ABR!H48+MAI!Y48+MAI!H48+JUN!Y48+JUN!H48+JUL!Y48+JUL!H48+AGO!Y48+AGO!H48+SET!Y48+SET!H48+OUT!Y48+OUT!H48+NOV!Y48+NOV!H48+DEZ!Y48+DEZ!H48</f>
        <v>4643.8119999999999</v>
      </c>
      <c r="I46" s="35">
        <f>JAN!I48+JAN!Z48+FEV!Z48+FEV!I48+MAR!Z48+MAR!I48+ABR!Z48+ABR!I48+MAI!Z48+MAI!I48+JUN!Z48+JUN!I48+JUL!Z48+JUL!I48+AGO!Z48+AGO!I48+SET!Z48+SET!I48+OUT!Z48+OUT!I48+NOV!Z48+NOV!I48+DEZ!Z48+DEZ!I48</f>
        <v>845.29200000000003</v>
      </c>
      <c r="J46" s="35">
        <f>JAN!J48+JAN!AA48+FEV!AA48+FEV!J48+MAR!AA48+MAR!J48+ABR!AA48+ABR!J48+MAI!AA48+MAI!J48+JUN!AA48+JUN!J48+JUL!AA48+JUL!J48+AGO!AA48+AGO!J48+SET!AA48+SET!J48+OUT!AA48+OUT!J48+NOV!AA48+NOV!J48+DEZ!AA48+DEZ!J48</f>
        <v>4595.478000000001</v>
      </c>
      <c r="K46" s="35">
        <f>JAN!K48+JAN!AB48+FEV!AB48+FEV!K48+MAR!AB48+MAR!K48+ABR!AB48+ABR!K48+MAI!AB48+MAI!K48+JUN!AB48+JUN!K48+JUL!AB48+JUL!K48+AGO!AB48+AGO!K48+SET!AB48+SET!K48+OUT!AB48+OUT!K48+NOV!AB48+NOV!K48+DEZ!AB48+DEZ!K48</f>
        <v>208.47200000000001</v>
      </c>
      <c r="L46" s="35">
        <f>JAN!L48+JAN!AC48+FEV!AC48+FEV!L48+MAR!AC48+MAR!L48+ABR!AC48+ABR!L48+MAI!AC48+MAI!L48+JUN!AC48+JUN!L48+JUL!AC48+JUL!L48+AGO!AC48+AGO!L48+SET!AC48+SET!L48+OUT!AC48+OUT!L48+NOV!AC48+NOV!L48+DEZ!AC48+DEZ!L48</f>
        <v>0</v>
      </c>
      <c r="M46" s="35">
        <f>JAN!M48+JAN!AD48+FEV!AD48+FEV!M48+MAR!AD48+MAR!M48+ABR!AD48+ABR!M48+MAI!AD48+MAI!M48+JUN!AD48+JUN!M48+JUL!AD48+JUL!M48+AGO!AD48+AGO!M48+SET!AD48+SET!M48+OUT!AD48+OUT!M48+NOV!AD48+NOV!M48+DEZ!AD48+DEZ!M48</f>
        <v>0</v>
      </c>
      <c r="N46" s="35">
        <f>JAN!N48+JAN!AE48+FEV!AE48+FEV!N48+MAR!AE48+MAR!N48+ABR!AE48+ABR!N48+MAI!AE48+MAI!N48+JUN!AE48+JUN!N48+JUL!AE48+JUL!N48+AGO!AE48+AGO!N48+SET!AE48+SET!N48+OUT!AE48+OUT!N48+NOV!AE48+NOV!N48+DEZ!AE48+DEZ!N48</f>
        <v>171.36799999999999</v>
      </c>
      <c r="O46" s="35">
        <f>JAN!AF48+FEV!AF48+MAR!AF48+ABR!AF48+MAI!AF48+JUN!AF48+JUL!AF48+AGO!AF48+SET!AF48+OUT!AF48+NOV!AF48+DEZ!AF48</f>
        <v>0</v>
      </c>
      <c r="P46" s="35">
        <f>JAN!AG48+FEV!AG48+MAR!AG48+ABR!AG48+MAI!AG48+JUN!AG48+JUL!AG48+AGO!AG48+SET!AG48+OUT!AG48+NOV!AG48+DEZ!AG48</f>
        <v>0</v>
      </c>
      <c r="Q46" s="4">
        <f t="shared" si="3"/>
        <v>360131.48400000005</v>
      </c>
      <c r="R46" s="15">
        <f t="shared" si="4"/>
        <v>18196.186000000002</v>
      </c>
    </row>
    <row r="47" spans="1:18">
      <c r="A47" s="2" t="s">
        <v>128</v>
      </c>
      <c r="B47" s="35">
        <f>JAN!B49+JAN!S49+FEV!S49+FEV!B49+MAR!S49+MAR!B49+ABR!S49+ABR!B49+MAI!S49+MAI!B49+JUN!S49+JUN!B49+JUL!S49+JUL!B49+AGO!S49+AGO!B49+SET!S49+SET!B49+OUT!S49+OUT!B49+NOV!S49+NOV!B49+DEZ!S49+DEZ!B49</f>
        <v>42227.736000000004</v>
      </c>
      <c r="C47" s="35">
        <f>JAN!C49+JAN!T49+FEV!T49+FEV!C49+MAR!T49+MAR!C49+ABR!T49+ABR!C49+MAI!T49+MAI!C49+JUN!T49+JUN!C49+JUL!T49+JUL!C49+AGO!T49+AGO!C49+SET!T49+SET!C49+OUT!T49+OUT!C49+NOV!T49+NOV!C49+DEZ!T49+DEZ!C49</f>
        <v>10825.07</v>
      </c>
      <c r="D47" s="35">
        <f>JAN!D49+JAN!U49+FEV!U49+FEV!D49+MAR!U49+MAR!D49+ABR!U49+ABR!D49+MAI!U49+MAI!D49+JUN!U49+JUN!D49+JUL!U49+JUL!D49+AGO!U49+AGO!D49+SET!U49+SET!D49+OUT!U49+OUT!D49+NOV!U49+NOV!D49+DEZ!U49+DEZ!D49</f>
        <v>5050.1319999999996</v>
      </c>
      <c r="E47" s="35">
        <f>JAN!E49+JAN!V49+FEV!V49+FEV!E49+MAR!V49+MAR!E49+ABR!V49+ABR!E49+MAI!V49+MAI!E49+JUN!V49+JUN!E49+JUL!V49+JUL!E49+AGO!V49+AGO!E49+SET!V49+SET!E49+OUT!V49+OUT!E49+NOV!V49+NOV!E49+DEZ!V49+DEZ!E49</f>
        <v>1381.1980000000001</v>
      </c>
      <c r="F47" s="35">
        <f>JAN!F49+JAN!W49+FEV!W49+FEV!F49+MAR!W49+MAR!F49+ABR!W49+ABR!F49+MAI!W49+MAI!F49+JUN!W49+JUN!F49+JUL!W49+JUL!F49+AGO!W49+AGO!F49+SET!W49+SET!F49+OUT!W49+OUT!F49+NOV!W49+NOV!F49+DEZ!W49+DEZ!F49</f>
        <v>26917.1</v>
      </c>
      <c r="G47" s="35">
        <f>JAN!G49+JAN!X49+FEV!X49+FEV!G49+MAR!X49+MAR!G49+ABR!X49+ABR!G49+MAI!X49+MAI!G49+JUN!X49+JUN!G49+JUL!X49+JUL!G49+AGO!X49+AGO!G49+SET!X49+SET!G49+OUT!X49+OUT!G49+NOV!X49+NOV!G49+DEZ!X49+DEZ!G49</f>
        <v>814.93599999999992</v>
      </c>
      <c r="H47" s="35">
        <f>JAN!H49+JAN!Y49+FEV!Y49+FEV!H49+MAR!Y49+MAR!H49+ABR!Y49+ABR!H49+MAI!Y49+MAI!H49+JUN!Y49+JUN!H49+JUL!Y49+JUL!H49+AGO!Y49+AGO!H49+SET!Y49+SET!H49+OUT!Y49+OUT!H49+NOV!Y49+NOV!H49+DEZ!Y49+DEZ!H49</f>
        <v>2037.146</v>
      </c>
      <c r="I47" s="35">
        <f>JAN!I49+JAN!Z49+FEV!Z49+FEV!I49+MAR!Z49+MAR!I49+ABR!Z49+ABR!I49+MAI!Z49+MAI!I49+JUN!Z49+JUN!I49+JUL!Z49+JUL!I49+AGO!Z49+AGO!I49+SET!Z49+SET!I49+OUT!Z49+OUT!I49+NOV!Z49+NOV!I49+DEZ!Z49+DEZ!I49</f>
        <v>609.63600000000008</v>
      </c>
      <c r="J47" s="35">
        <f>JAN!J49+JAN!AA49+FEV!AA49+FEV!J49+MAR!AA49+MAR!J49+ABR!AA49+ABR!J49+MAI!AA49+MAI!J49+JUN!AA49+JUN!J49+JUL!AA49+JUL!J49+AGO!AA49+AGO!J49+SET!AA49+SET!J49+OUT!AA49+OUT!J49+NOV!AA49+NOV!J49+DEZ!AA49+DEZ!J49</f>
        <v>1457.5000000000002</v>
      </c>
      <c r="K47" s="35">
        <f>JAN!K49+JAN!AB49+FEV!AB49+FEV!K49+MAR!AB49+MAR!K49+ABR!AB49+ABR!K49+MAI!AB49+MAI!K49+JUN!AB49+JUN!K49+JUL!AB49+JUL!K49+AGO!AB49+AGO!K49+SET!AB49+SET!K49+OUT!AB49+OUT!K49+NOV!AB49+NOV!K49+DEZ!AB49+DEZ!K49</f>
        <v>189.51999999999998</v>
      </c>
      <c r="L47" s="35">
        <f>JAN!L49+JAN!AC49+FEV!AC49+FEV!L49+MAR!AC49+MAR!L49+ABR!AC49+ABR!L49+MAI!AC49+MAI!L49+JUN!AC49+JUN!L49+JUL!AC49+JUL!L49+AGO!AC49+AGO!L49+SET!AC49+SET!L49+OUT!AC49+OUT!L49+NOV!AC49+NOV!L49+DEZ!AC49+DEZ!L49</f>
        <v>0</v>
      </c>
      <c r="M47" s="35">
        <f>JAN!M49+JAN!AD49+FEV!AD49+FEV!M49+MAR!AD49+MAR!M49+ABR!AD49+ABR!M49+MAI!AD49+MAI!M49+JUN!AD49+JUN!M49+JUL!AD49+JUL!M49+AGO!AD49+AGO!M49+SET!AD49+SET!M49+OUT!AD49+OUT!M49+NOV!AD49+NOV!M49+DEZ!AD49+DEZ!M49</f>
        <v>0</v>
      </c>
      <c r="N47" s="35">
        <f>JAN!N49+JAN!AE49+FEV!AE49+FEV!N49+MAR!AE49+MAR!N49+ABR!AE49+ABR!N49+MAI!AE49+MAI!N49+JUN!AE49+JUN!N49+JUL!AE49+JUL!N49+AGO!AE49+AGO!N49+SET!AE49+SET!N49+OUT!AE49+OUT!N49+NOV!AE49+NOV!N49+DEZ!AE49+DEZ!N49</f>
        <v>44.224000000000004</v>
      </c>
      <c r="O47" s="35">
        <f>JAN!AF49+FEV!AF49+MAR!AF49+ABR!AF49+MAI!AF49+JUN!AF49+JUL!AF49+AGO!AF49+SET!AF49+OUT!AF49+NOV!AF49+DEZ!AF49</f>
        <v>0</v>
      </c>
      <c r="P47" s="35">
        <f>JAN!AG49+FEV!AG49+MAR!AG49+ABR!AG49+MAI!AG49+JUN!AG49+JUL!AG49+AGO!AG49+SET!AG49+OUT!AG49+NOV!AG49+DEZ!AG49</f>
        <v>0</v>
      </c>
      <c r="Q47" s="4">
        <f t="shared" si="3"/>
        <v>91554.198000000004</v>
      </c>
      <c r="R47" s="15">
        <f t="shared" si="4"/>
        <v>5152.9619999999995</v>
      </c>
    </row>
    <row r="48" spans="1:18">
      <c r="A48" s="18" t="s">
        <v>129</v>
      </c>
      <c r="B48" s="35">
        <f>JAN!B50+JAN!S50+FEV!S50+FEV!B50+MAR!S50+MAR!B50+ABR!S50+ABR!B50+MAI!S50+MAI!B50+JUN!S50+JUN!B50+JUL!S50+JUL!B50+AGO!S50+AGO!B50+SET!S50+SET!B50+OUT!S50+OUT!B50+NOV!S50+NOV!B50+DEZ!S50+DEZ!B50</f>
        <v>92019.032000000007</v>
      </c>
      <c r="C48" s="35">
        <f>JAN!C50+JAN!T50+FEV!T50+FEV!C50+MAR!T50+MAR!C50+ABR!T50+ABR!C50+MAI!T50+MAI!C50+JUN!T50+JUN!C50+JUL!T50+JUL!C50+AGO!T50+AGO!C50+SET!T50+SET!C50+OUT!T50+OUT!C50+NOV!T50+NOV!C50+DEZ!T50+DEZ!C50</f>
        <v>14993.643999999998</v>
      </c>
      <c r="D48" s="35">
        <f>JAN!D50+JAN!U50+FEV!U50+FEV!D50+MAR!U50+MAR!D50+ABR!U50+ABR!D50+MAI!U50+MAI!D50+JUN!U50+JUN!D50+JUL!U50+JUL!D50+AGO!U50+AGO!D50+SET!U50+SET!D50+OUT!U50+OUT!D50+NOV!U50+NOV!D50+DEZ!U50+DEZ!D50</f>
        <v>10545.448</v>
      </c>
      <c r="E48" s="35">
        <f>JAN!E50+JAN!V50+FEV!V50+FEV!E50+MAR!V50+MAR!E50+ABR!V50+ABR!E50+MAI!V50+MAI!E50+JUN!V50+JUN!E50+JUL!V50+JUL!E50+AGO!V50+AGO!E50+SET!V50+SET!E50+OUT!V50+OUT!E50+NOV!V50+NOV!E50+DEZ!V50+DEZ!E50</f>
        <v>1187.702</v>
      </c>
      <c r="F48" s="35">
        <f>JAN!F50+JAN!W50+FEV!W50+FEV!F50+MAR!W50+MAR!F50+ABR!W50+ABR!F50+MAI!W50+MAI!F50+JUN!W50+JUN!F50+JUL!W50+JUL!F50+AGO!W50+AGO!F50+SET!W50+SET!F50+OUT!W50+OUT!F50+NOV!W50+NOV!F50+DEZ!W50+DEZ!F50</f>
        <v>162314.84000000003</v>
      </c>
      <c r="G48" s="35">
        <f>JAN!G50+JAN!X50+FEV!X50+FEV!G50+MAR!X50+MAR!G50+ABR!X50+ABR!G50+MAI!X50+MAI!G50+JUN!X50+JUN!G50+JUL!X50+JUL!G50+AGO!X50+AGO!G50+SET!X50+SET!G50+OUT!X50+OUT!G50+NOV!X50+NOV!G50+DEZ!X50+DEZ!G50</f>
        <v>1646.2160000000001</v>
      </c>
      <c r="H48" s="35">
        <f>JAN!H50+JAN!Y50+FEV!Y50+FEV!H50+MAR!Y50+MAR!H50+ABR!Y50+ABR!H50+MAI!Y50+MAI!H50+JUN!Y50+JUN!H50+JUL!Y50+JUL!H50+AGO!Y50+AGO!H50+SET!Y50+SET!H50+OUT!Y50+OUT!H50+NOV!Y50+NOV!H50+DEZ!Y50+DEZ!H50</f>
        <v>1389.6120000000001</v>
      </c>
      <c r="I48" s="35">
        <f>JAN!I50+JAN!Z50+FEV!Z50+FEV!I50+MAR!Z50+MAR!I50+ABR!Z50+ABR!I50+MAI!Z50+MAI!I50+JUN!Z50+JUN!I50+JUL!Z50+JUL!I50+AGO!Z50+AGO!I50+SET!Z50+SET!I50+OUT!Z50+OUT!I50+NOV!Z50+NOV!I50+DEZ!Z50+DEZ!I50</f>
        <v>209.44000000000003</v>
      </c>
      <c r="J48" s="35">
        <f>JAN!J50+JAN!AA50+FEV!AA50+FEV!J50+MAR!AA50+MAR!J50+ABR!AA50+ABR!J50+MAI!AA50+MAI!J50+JUN!AA50+JUN!J50+JUL!AA50+JUL!J50+AGO!AA50+AGO!J50+SET!AA50+SET!J50+OUT!AA50+OUT!J50+NOV!AA50+NOV!J50+DEZ!AA50+DEZ!J50</f>
        <v>2595.0480000000007</v>
      </c>
      <c r="K48" s="35">
        <f>JAN!K50+JAN!AB50+FEV!AB50+FEV!K50+MAR!AB50+MAR!K50+ABR!AB50+ABR!K50+MAI!AB50+MAI!K50+JUN!AB50+JUN!K50+JUL!AB50+JUL!K50+AGO!AB50+AGO!K50+SET!AB50+SET!K50+OUT!AB50+OUT!K50+NOV!AB50+NOV!K50+DEZ!AB50+DEZ!K50</f>
        <v>189.51999999999998</v>
      </c>
      <c r="L48" s="35">
        <f>JAN!L50+JAN!AC50+FEV!AC50+FEV!L50+MAR!AC50+MAR!L50+ABR!AC50+ABR!L50+MAI!AC50+MAI!L50+JUN!AC50+JUN!L50+JUL!AC50+JUL!L50+AGO!AC50+AGO!L50+SET!AC50+SET!L50+OUT!AC50+OUT!L50+NOV!AC50+NOV!L50+DEZ!AC50+DEZ!L50</f>
        <v>37.904000000000003</v>
      </c>
      <c r="M48" s="35">
        <f>JAN!M50+JAN!AD50+FEV!AD50+FEV!M50+MAR!AD50+MAR!M50+ABR!AD50+ABR!M50+MAI!AD50+MAI!M50+JUN!AD50+JUN!M50+JUL!AD50+JUL!M50+AGO!AD50+AGO!M50+SET!AD50+SET!M50+OUT!AD50+OUT!M50+NOV!AD50+NOV!M50+DEZ!AD50+DEZ!M50</f>
        <v>747.29200000000003</v>
      </c>
      <c r="N48" s="35">
        <f>JAN!N50+JAN!AE50+FEV!AE50+FEV!N50+MAR!AE50+MAR!N50+ABR!AE50+ABR!N50+MAI!AE50+MAI!N50+JUN!AE50+JUN!N50+JUL!AE50+JUL!N50+AGO!AE50+AGO!N50+SET!AE50+SET!N50+OUT!AE50+OUT!N50+NOV!AE50+NOV!N50+DEZ!AE50+DEZ!N50</f>
        <v>77.39200000000001</v>
      </c>
      <c r="O48" s="35">
        <f>JAN!AF50+FEV!AF50+MAR!AF50+ABR!AF50+MAI!AF50+JUN!AF50+JUL!AF50+AGO!AF50+SET!AF50+OUT!AF50+NOV!AF50+DEZ!AF50</f>
        <v>0</v>
      </c>
      <c r="P48" s="35">
        <f>JAN!AG50+FEV!AG50+MAR!AG50+ABR!AG50+MAI!AG50+JUN!AG50+JUL!AG50+AGO!AG50+SET!AG50+OUT!AG50+NOV!AG50+DEZ!AG50</f>
        <v>0</v>
      </c>
      <c r="Q48" s="4">
        <f t="shared" si="3"/>
        <v>287953.09000000008</v>
      </c>
      <c r="R48" s="15">
        <f t="shared" si="4"/>
        <v>6892.4240000000018</v>
      </c>
    </row>
    <row r="49" spans="1:18">
      <c r="A49" s="1" t="s">
        <v>130</v>
      </c>
      <c r="B49" s="35">
        <f>JAN!B51+JAN!S51+FEV!S51+FEV!B51+MAR!S51+MAR!B51+ABR!S51+ABR!B51+MAI!S51+MAI!B51+JUN!S51+JUN!B51+JUL!S51+JUL!B51+AGO!S51+AGO!B51+SET!S51+SET!B51+OUT!S51+OUT!B51+NOV!S51+NOV!B51+DEZ!S51+DEZ!B51</f>
        <v>93298.804000000004</v>
      </c>
      <c r="C49" s="35">
        <f>JAN!C51+JAN!T51+FEV!T51+FEV!C51+MAR!T51+MAR!C51+ABR!T51+ABR!C51+MAI!T51+MAI!C51+JUN!T51+JUN!C51+JUL!T51+JUL!C51+AGO!T51+AGO!C51+SET!T51+SET!C51+OUT!T51+OUT!C51+NOV!T51+NOV!C51+DEZ!T51+DEZ!C51</f>
        <v>15215.918000000001</v>
      </c>
      <c r="D49" s="35">
        <f>JAN!D51+JAN!U51+FEV!U51+FEV!D51+MAR!U51+MAR!D51+ABR!U51+ABR!D51+MAI!U51+MAI!D51+JUN!U51+JUN!D51+JUL!U51+JUL!D51+AGO!U51+AGO!D51+SET!U51+SET!D51+OUT!U51+OUT!D51+NOV!U51+NOV!D51+DEZ!U51+DEZ!D51</f>
        <v>14816.332</v>
      </c>
      <c r="E49" s="35">
        <f>JAN!E51+JAN!V51+FEV!V51+FEV!E51+MAR!V51+MAR!E51+ABR!V51+ABR!E51+MAI!V51+MAI!E51+JUN!V51+JUN!E51+JUL!V51+JUL!E51+AGO!V51+AGO!E51+SET!V51+SET!E51+OUT!V51+OUT!E51+NOV!V51+NOV!E51+DEZ!V51+DEZ!E51</f>
        <v>2347.7080000000001</v>
      </c>
      <c r="F49" s="35">
        <f>JAN!F51+JAN!W51+FEV!W51+FEV!F51+MAR!W51+MAR!F51+ABR!W51+ABR!F51+MAI!W51+MAI!F51+JUN!W51+JUN!F51+JUL!W51+JUL!F51+AGO!W51+AGO!F51+SET!W51+SET!F51+OUT!W51+OUT!F51+NOV!W51+NOV!F51+DEZ!W51+DEZ!F51</f>
        <v>136500.86800000002</v>
      </c>
      <c r="G49" s="35">
        <f>JAN!G51+JAN!X51+FEV!X51+FEV!G51+MAR!X51+MAR!G51+ABR!X51+ABR!G51+MAI!X51+MAI!G51+JUN!X51+JUN!G51+JUL!X51+JUL!G51+AGO!X51+AGO!G51+SET!X51+SET!G51+OUT!X51+OUT!G51+NOV!X51+NOV!G51+DEZ!X51+DEZ!G51</f>
        <v>1838.3440000000001</v>
      </c>
      <c r="H49" s="35">
        <f>JAN!H51+JAN!Y51+FEV!Y51+FEV!H51+MAR!Y51+MAR!H51+ABR!Y51+ABR!H51+MAI!Y51+MAI!H51+JUN!Y51+JUN!H51+JUL!Y51+JUL!H51+AGO!Y51+AGO!H51+SET!Y51+SET!H51+OUT!Y51+OUT!H51+NOV!Y51+NOV!H51+DEZ!Y51+DEZ!H51</f>
        <v>2842.404</v>
      </c>
      <c r="I49" s="35">
        <f>JAN!I51+JAN!Z51+FEV!Z51+FEV!I51+MAR!Z51+MAR!I51+ABR!Z51+ABR!I51+MAI!Z51+MAI!I51+JUN!Z51+JUN!I51+JUL!Z51+JUL!I51+AGO!Z51+AGO!I51+SET!Z51+SET!I51+OUT!Z51+OUT!I51+NOV!Z51+NOV!I51+DEZ!Z51+DEZ!I51</f>
        <v>976.76800000000026</v>
      </c>
      <c r="J49" s="35">
        <f>JAN!J51+JAN!AA51+FEV!AA51+FEV!J51+MAR!AA51+MAR!J51+ABR!AA51+ABR!J51+MAI!AA51+MAI!J51+JUN!AA51+JUN!J51+JUL!AA51+JUL!J51+AGO!AA51+AGO!J51+SET!AA51+SET!J51+OUT!AA51+OUT!J51+NOV!AA51+NOV!J51+DEZ!AA51+DEZ!J51</f>
        <v>2284.7760000000003</v>
      </c>
      <c r="K49" s="35">
        <f>JAN!K51+JAN!AB51+FEV!AB51+FEV!K51+MAR!AB51+MAR!K51+ABR!AB51+ABR!K51+MAI!AB51+MAI!K51+JUN!AB51+JUN!K51+JUL!AB51+JUL!K51+AGO!AB51+AGO!K51+SET!AB51+SET!K51+OUT!AB51+OUT!K51+NOV!AB51+NOV!K51+DEZ!AB51+DEZ!K51</f>
        <v>435.89600000000007</v>
      </c>
      <c r="L49" s="35">
        <f>JAN!L51+JAN!AC51+FEV!AC51+FEV!L51+MAR!AC51+MAR!L51+ABR!AC51+ABR!L51+MAI!AC51+MAI!L51+JUN!AC51+JUN!L51+JUL!AC51+JUL!L51+AGO!AC51+AGO!L51+SET!AC51+SET!L51+OUT!AC51+OUT!L51+NOV!AC51+NOV!L51+DEZ!AC51+DEZ!L51</f>
        <v>0</v>
      </c>
      <c r="M49" s="35">
        <f>JAN!M51+JAN!AD51+FEV!AD51+FEV!M51+MAR!AD51+MAR!M51+ABR!AD51+ABR!M51+MAI!AD51+MAI!M51+JUN!AD51+JUN!M51+JUL!AD51+JUL!M51+AGO!AD51+AGO!M51+SET!AD51+SET!M51+OUT!AD51+OUT!M51+NOV!AD51+NOV!M51+DEZ!AD51+DEZ!M51</f>
        <v>0</v>
      </c>
      <c r="N49" s="35">
        <f>JAN!N51+JAN!AE51+FEV!AE51+FEV!N51+MAR!AE51+MAR!N51+ABR!AE51+ABR!N51+MAI!AE51+MAI!N51+JUN!AE51+JUN!N51+JUL!AE51+JUL!N51+AGO!AE51+AGO!N51+SET!AE51+SET!N51+OUT!AE51+OUT!N51+NOV!AE51+NOV!N51+DEZ!AE51+DEZ!N51</f>
        <v>82.54</v>
      </c>
      <c r="O49" s="35">
        <f>JAN!AF51+FEV!AF51+MAR!AF51+ABR!AF51+MAI!AF51+JUN!AF51+JUL!AF51+AGO!AF51+SET!AF51+OUT!AF51+NOV!AF51+DEZ!AF51</f>
        <v>7.6120000000000001</v>
      </c>
      <c r="P49" s="35">
        <f>JAN!AG51+FEV!AG51+MAR!AG51+ABR!AG51+MAI!AG51+JUN!AG51+JUL!AG51+AGO!AG51+SET!AG51+OUT!AG51+NOV!AG51+DEZ!AG51</f>
        <v>0</v>
      </c>
      <c r="Q49" s="4">
        <f t="shared" si="3"/>
        <v>270647.96999999997</v>
      </c>
      <c r="R49" s="15">
        <f t="shared" si="4"/>
        <v>8468.34</v>
      </c>
    </row>
    <row r="50" spans="1:18">
      <c r="A50" s="1" t="s">
        <v>131</v>
      </c>
      <c r="B50" s="35">
        <f>JAN!B52+JAN!S52+FEV!S52+FEV!B52+MAR!S52+MAR!B52+ABR!S52+ABR!B52+MAI!S52+MAI!B52+JUN!S52+JUN!B52+JUL!S52+JUL!B52+AGO!S52+AGO!B52+SET!S52+SET!B52+OUT!S52+OUT!B52+NOV!S52+NOV!B52+DEZ!S52+DEZ!B52</f>
        <v>501759.92799999996</v>
      </c>
      <c r="C50" s="35">
        <f>JAN!C52+JAN!T52+FEV!T52+FEV!C52+MAR!T52+MAR!C52+ABR!T52+ABR!C52+MAI!T52+MAI!C52+JUN!T52+JUN!C52+JUL!T52+JUL!C52+AGO!T52+AGO!C52+SET!T52+SET!C52+OUT!T52+OUT!C52+NOV!T52+NOV!C52+DEZ!T52+DEZ!C52</f>
        <v>92204.342000000004</v>
      </c>
      <c r="D50" s="35">
        <f>JAN!D52+JAN!U52+FEV!U52+FEV!D52+MAR!U52+MAR!D52+ABR!U52+ABR!D52+MAI!U52+MAI!D52+JUN!U52+JUN!D52+JUL!U52+JUL!D52+AGO!U52+AGO!D52+SET!U52+SET!D52+OUT!U52+OUT!D52+NOV!U52+NOV!D52+DEZ!U52+DEZ!D52</f>
        <v>58137.73</v>
      </c>
      <c r="E50" s="35">
        <f>JAN!E52+JAN!V52+FEV!V52+FEV!E52+MAR!V52+MAR!E52+ABR!V52+ABR!E52+MAI!V52+MAI!E52+JUN!V52+JUN!E52+JUL!V52+JUL!E52+AGO!V52+AGO!E52+SET!V52+SET!E52+OUT!V52+OUT!E52+NOV!V52+NOV!E52+DEZ!V52+DEZ!E52</f>
        <v>17311.366000000002</v>
      </c>
      <c r="F50" s="35">
        <f>JAN!F52+JAN!W52+FEV!W52+FEV!F52+MAR!W52+MAR!F52+ABR!W52+ABR!F52+MAI!W52+MAI!F52+JUN!W52+JUN!F52+JUL!W52+JUL!F52+AGO!W52+AGO!F52+SET!W52+SET!F52+OUT!W52+OUT!F52+NOV!W52+NOV!F52+DEZ!W52+DEZ!F52</f>
        <v>308942.64</v>
      </c>
      <c r="G50" s="35">
        <f>JAN!G52+JAN!X52+FEV!X52+FEV!G52+MAR!X52+MAR!G52+ABR!X52+ABR!G52+MAI!X52+MAI!G52+JUN!X52+JUN!G52+JUL!X52+JUL!G52+AGO!X52+AGO!G52+SET!X52+SET!G52+OUT!X52+OUT!G52+NOV!X52+NOV!G52+DEZ!X52+DEZ!G52</f>
        <v>4794.8560000000007</v>
      </c>
      <c r="H50" s="35">
        <f>JAN!H52+JAN!Y52+FEV!Y52+FEV!H52+MAR!Y52+MAR!H52+ABR!Y52+ABR!H52+MAI!Y52+MAI!H52+JUN!Y52+JUN!H52+JUL!Y52+JUL!H52+AGO!Y52+AGO!H52+SET!Y52+SET!H52+OUT!Y52+OUT!H52+NOV!Y52+NOV!H52+DEZ!Y52+DEZ!H52</f>
        <v>21440.21</v>
      </c>
      <c r="I50" s="35">
        <f>JAN!I52+JAN!Z52+FEV!Z52+FEV!I52+MAR!Z52+MAR!I52+ABR!Z52+ABR!I52+MAI!Z52+MAI!I52+JUN!Z52+JUN!I52+JUL!Z52+JUL!I52+AGO!Z52+AGO!I52+SET!Z52+SET!I52+OUT!Z52+OUT!I52+NOV!Z52+NOV!I52+DEZ!Z52+DEZ!I52</f>
        <v>0</v>
      </c>
      <c r="J50" s="35">
        <f>JAN!J52+JAN!AA52+FEV!AA52+FEV!J52+MAR!AA52+MAR!J52+ABR!AA52+ABR!J52+MAI!AA52+MAI!J52+JUN!AA52+JUN!J52+JUL!AA52+JUL!J52+AGO!AA52+AGO!J52+SET!AA52+SET!J52+OUT!AA52+OUT!J52+NOV!AA52+NOV!J52+DEZ!AA52+DEZ!J52</f>
        <v>13911.850000000002</v>
      </c>
      <c r="K50" s="35">
        <f>JAN!K52+JAN!AB52+FEV!AB52+FEV!K52+MAR!AB52+MAR!K52+ABR!AB52+ABR!K52+MAI!AB52+MAI!K52+JUN!AB52+JUN!K52+JUL!AB52+JUL!K52+AGO!AB52+AGO!K52+SET!AB52+SET!K52+OUT!AB52+OUT!K52+NOV!AB52+NOV!K52+DEZ!AB52+DEZ!K52</f>
        <v>2327.8360000000002</v>
      </c>
      <c r="L50" s="35">
        <f>JAN!L52+JAN!AC52+FEV!AC52+FEV!L52+MAR!AC52+MAR!L52+ABR!AC52+ABR!L52+MAI!AC52+MAI!L52+JUN!AC52+JUN!L52+JUL!AC52+JUL!L52+AGO!AC52+AGO!L52+SET!AC52+SET!L52+OUT!AC52+OUT!L52+NOV!AC52+NOV!L52+DEZ!AC52+DEZ!L52</f>
        <v>0</v>
      </c>
      <c r="M50" s="35">
        <f>JAN!M52+JAN!AD52+FEV!AD52+FEV!M52+MAR!AD52+MAR!M52+ABR!AD52+ABR!M52+MAI!AD52+MAI!M52+JUN!AD52+JUN!M52+JUL!AD52+JUL!M52+AGO!AD52+AGO!M52+SET!AD52+SET!M52+OUT!AD52+OUT!M52+NOV!AD52+NOV!M52+DEZ!AD52+DEZ!M52</f>
        <v>0</v>
      </c>
      <c r="N50" s="35">
        <f>JAN!N52+JAN!AE52+FEV!AE52+FEV!N52+MAR!AE52+MAR!N52+ABR!AE52+ABR!N52+MAI!AE52+MAI!N52+JUN!AE52+JUN!N52+JUL!AE52+JUL!N52+AGO!AE52+AGO!N52+SET!AE52+SET!N52+OUT!AE52+OUT!N52+NOV!AE52+NOV!N52+DEZ!AE52+DEZ!N52</f>
        <v>717.31</v>
      </c>
      <c r="O50" s="35">
        <f>JAN!AF52+FEV!AF52+MAR!AF52+ABR!AF52+MAI!AF52+JUN!AF52+JUL!AF52+AGO!AF52+SET!AF52+OUT!AF52+NOV!AF52+DEZ!AF52</f>
        <v>0</v>
      </c>
      <c r="P50" s="35">
        <f>JAN!AG52+FEV!AG52+MAR!AG52+ABR!AG52+MAI!AG52+JUN!AG52+JUL!AG52+AGO!AG52+SET!AG52+OUT!AG52+NOV!AG52+DEZ!AG52</f>
        <v>0</v>
      </c>
      <c r="Q50" s="4">
        <f t="shared" si="3"/>
        <v>1021548.0680000001</v>
      </c>
      <c r="R50" s="15">
        <f t="shared" si="4"/>
        <v>43192.061999999998</v>
      </c>
    </row>
    <row r="51" spans="1:18">
      <c r="A51" s="1" t="s">
        <v>132</v>
      </c>
      <c r="B51" s="35">
        <f>JAN!B53+JAN!S53+FEV!S53+FEV!B53+MAR!S53+MAR!B53+ABR!S53+ABR!B53+MAI!S53+MAI!B53+JUN!S53+JUN!B53+JUL!S53+JUL!B53+AGO!S53+AGO!B53+SET!S53+SET!B53+OUT!S53+OUT!B53+NOV!S53+NOV!B53+DEZ!S53+DEZ!B53</f>
        <v>70117.460000000006</v>
      </c>
      <c r="C51" s="35">
        <f>JAN!C53+JAN!T53+FEV!T53+FEV!C53+MAR!T53+MAR!C53+ABR!T53+ABR!C53+MAI!T53+MAI!C53+JUN!T53+JUN!C53+JUL!T53+JUL!C53+AGO!T53+AGO!C53+SET!T53+SET!C53+OUT!T53+OUT!C53+NOV!T53+NOV!C53+DEZ!T53+DEZ!C53</f>
        <v>17611.957999999999</v>
      </c>
      <c r="D51" s="35">
        <f>JAN!D53+JAN!U53+FEV!U53+FEV!D53+MAR!U53+MAR!D53+ABR!U53+ABR!D53+MAI!U53+MAI!D53+JUN!U53+JUN!D53+JUL!U53+JUL!D53+AGO!U53+AGO!D53+SET!U53+SET!D53+OUT!U53+OUT!D53+NOV!U53+NOV!D53+DEZ!U53+DEZ!D53</f>
        <v>6029.0599999999995</v>
      </c>
      <c r="E51" s="35">
        <f>JAN!E53+JAN!V53+FEV!V53+FEV!E53+MAR!V53+MAR!E53+ABR!V53+ABR!E53+MAI!V53+MAI!E53+JUN!V53+JUN!E53+JUL!V53+JUL!E53+AGO!V53+AGO!E53+SET!V53+SET!E53+OUT!V53+OUT!E53+NOV!V53+NOV!E53+DEZ!V53+DEZ!E53</f>
        <v>2811.3580000000002</v>
      </c>
      <c r="F51" s="35">
        <f>JAN!F53+JAN!W53+FEV!W53+FEV!F53+MAR!W53+MAR!F53+ABR!W53+ABR!F53+MAI!W53+MAI!F53+JUN!W53+JUN!F53+JUL!W53+JUL!F53+AGO!W53+AGO!F53+SET!W53+SET!F53+OUT!W53+OUT!F53+NOV!W53+NOV!F53+DEZ!W53+DEZ!F53</f>
        <v>43955.987999999998</v>
      </c>
      <c r="G51" s="35">
        <f>JAN!G53+JAN!X53+FEV!X53+FEV!G53+MAR!X53+MAR!G53+ABR!X53+ABR!G53+MAI!X53+MAI!G53+JUN!X53+JUN!G53+JUL!X53+JUL!G53+AGO!X53+AGO!G53+SET!X53+SET!G53+OUT!X53+OUT!G53+NOV!X53+NOV!G53+DEZ!X53+DEZ!G53</f>
        <v>1762.5360000000001</v>
      </c>
      <c r="H51" s="35">
        <f>JAN!H53+JAN!Y53+FEV!Y53+FEV!H53+MAR!Y53+MAR!H53+ABR!Y53+ABR!H53+MAI!Y53+MAI!H53+JUN!Y53+JUN!H53+JUL!Y53+JUL!H53+AGO!Y53+AGO!H53+SET!Y53+SET!H53+OUT!Y53+OUT!H53+NOV!Y53+NOV!H53+DEZ!Y53+DEZ!H53</f>
        <v>3404.5720000000001</v>
      </c>
      <c r="I51" s="35">
        <f>JAN!I53+JAN!Z53+FEV!Z53+FEV!I53+MAR!Z53+MAR!I53+ABR!Z53+ABR!I53+MAI!Z53+MAI!I53+JUN!Z53+JUN!I53+JUL!Z53+JUL!I53+AGO!Z53+AGO!I53+SET!Z53+SET!I53+OUT!Z53+OUT!I53+NOV!Z53+NOV!I53+DEZ!Z53+DEZ!I53</f>
        <v>0</v>
      </c>
      <c r="J51" s="35">
        <f>JAN!J53+JAN!AA53+FEV!AA53+FEV!J53+MAR!AA53+MAR!J53+ABR!AA53+ABR!J53+MAI!AA53+MAI!J53+JUN!AA53+JUN!J53+JUL!AA53+JUL!J53+AGO!AA53+AGO!J53+SET!AA53+SET!J53+OUT!AA53+OUT!J53+NOV!AA53+NOV!J53+DEZ!AA53+DEZ!J53</f>
        <v>2464.5879999999997</v>
      </c>
      <c r="K51" s="35">
        <f>JAN!K53+JAN!AB53+FEV!AB53+FEV!K53+MAR!AB53+MAR!K53+ABR!AB53+ABR!K53+MAI!AB53+MAI!K53+JUN!AB53+JUN!K53+JUL!AB53+JUL!K53+AGO!AB53+AGO!K53+SET!AB53+SET!K53+OUT!AB53+OUT!K53+NOV!AB53+NOV!K53+DEZ!AB53+DEZ!K53</f>
        <v>151.61599999999999</v>
      </c>
      <c r="L51" s="35">
        <f>JAN!L53+JAN!AC53+FEV!AC53+FEV!L53+MAR!AC53+MAR!L53+ABR!AC53+ABR!L53+MAI!AC53+MAI!L53+JUN!AC53+JUN!L53+JUL!AC53+JUL!L53+AGO!AC53+AGO!L53+SET!AC53+SET!L53+OUT!AC53+OUT!L53+NOV!AC53+NOV!L53+DEZ!AC53+DEZ!L53</f>
        <v>0</v>
      </c>
      <c r="M51" s="35">
        <f>JAN!M53+JAN!AD53+FEV!AD53+FEV!M53+MAR!AD53+MAR!M53+ABR!AD53+ABR!M53+MAI!AD53+MAI!M53+JUN!AD53+JUN!M53+JUL!AD53+JUL!M53+AGO!AD53+AGO!M53+SET!AD53+SET!M53+OUT!AD53+OUT!M53+NOV!AD53+NOV!M53+DEZ!AD53+DEZ!M53</f>
        <v>0</v>
      </c>
      <c r="N51" s="35">
        <f>JAN!N53+JAN!AE53+FEV!AE53+FEV!N53+MAR!AE53+MAR!N53+ABR!AE53+ABR!N53+MAI!AE53+MAI!N53+JUN!AE53+JUN!N53+JUL!AE53+JUL!N53+AGO!AE53+AGO!N53+SET!AE53+SET!N53+OUT!AE53+OUT!N53+NOV!AE53+NOV!N53+DEZ!AE53+DEZ!N53</f>
        <v>82.92</v>
      </c>
      <c r="O51" s="35">
        <f>JAN!AF53+FEV!AF53+MAR!AF53+ABR!AF53+MAI!AF53+JUN!AF53+JUL!AF53+AGO!AF53+SET!AF53+OUT!AF53+NOV!AF53+DEZ!AF53</f>
        <v>0</v>
      </c>
      <c r="P51" s="35">
        <f>JAN!AG53+FEV!AG53+MAR!AG53+ABR!AG53+MAI!AG53+JUN!AG53+JUL!AG53+AGO!AG53+SET!AG53+OUT!AG53+NOV!AG53+DEZ!AG53</f>
        <v>0</v>
      </c>
      <c r="Q51" s="4">
        <f t="shared" si="3"/>
        <v>148392.05600000004</v>
      </c>
      <c r="R51" s="15">
        <f t="shared" si="4"/>
        <v>7866.232</v>
      </c>
    </row>
    <row r="52" spans="1:18">
      <c r="A52" s="1" t="s">
        <v>133</v>
      </c>
      <c r="B52" s="35">
        <f>JAN!B54+JAN!S54+FEV!S54+FEV!B54+MAR!S54+MAR!B54+ABR!S54+ABR!B54+MAI!S54+MAI!B54+JUN!S54+JUN!B54+JUL!S54+JUL!B54+AGO!S54+AGO!B54+SET!S54+SET!B54+OUT!S54+OUT!B54+NOV!S54+NOV!B54+DEZ!S54+DEZ!B54</f>
        <v>72199.67</v>
      </c>
      <c r="C52" s="35">
        <f>JAN!C54+JAN!T54+FEV!T54+FEV!C54+MAR!T54+MAR!C54+ABR!T54+ABR!C54+MAI!T54+MAI!C54+JUN!T54+JUN!C54+JUL!T54+JUL!C54+AGO!T54+AGO!C54+SET!T54+SET!C54+OUT!T54+OUT!C54+NOV!T54+NOV!C54+DEZ!T54+DEZ!C54</f>
        <v>14210.802000000003</v>
      </c>
      <c r="D52" s="35">
        <f>JAN!D54+JAN!U54+FEV!U54+FEV!D54+MAR!U54+MAR!D54+ABR!U54+ABR!D54+MAI!U54+MAI!D54+JUN!U54+JUN!D54+JUL!U54+JUL!D54+AGO!U54+AGO!D54+SET!U54+SET!D54+OUT!U54+OUT!D54+NOV!U54+NOV!D54+DEZ!U54+DEZ!D54</f>
        <v>7332.344000000001</v>
      </c>
      <c r="E52" s="35">
        <f>JAN!E54+JAN!V54+FEV!V54+FEV!E54+MAR!V54+MAR!E54+ABR!V54+ABR!E54+MAI!V54+MAI!E54+JUN!V54+JUN!E54+JUL!V54+JUL!E54+AGO!V54+AGO!E54+SET!V54+SET!E54+OUT!V54+OUT!E54+NOV!V54+NOV!E54+DEZ!V54+DEZ!E54</f>
        <v>2147.3540000000003</v>
      </c>
      <c r="F52" s="35">
        <f>JAN!F54+JAN!W54+FEV!W54+FEV!F54+MAR!W54+MAR!F54+ABR!W54+ABR!F54+MAI!W54+MAI!F54+JUN!W54+JUN!F54+JUL!W54+JUL!F54+AGO!W54+AGO!F54+SET!W54+SET!F54+OUT!W54+OUT!F54+NOV!W54+NOV!F54+DEZ!W54+DEZ!F54</f>
        <v>56137.868000000002</v>
      </c>
      <c r="G52" s="35">
        <f>JAN!G54+JAN!X54+FEV!X54+FEV!G54+MAR!X54+MAR!G54+ABR!X54+ABR!G54+MAI!X54+MAI!G54+JUN!X54+JUN!G54+JUL!X54+JUL!G54+AGO!X54+AGO!G54+SET!X54+SET!G54+OUT!X54+OUT!G54+NOV!X54+NOV!G54+DEZ!X54+DEZ!G54</f>
        <v>814.93599999999992</v>
      </c>
      <c r="H52" s="35">
        <f>JAN!H54+JAN!Y54+FEV!Y54+FEV!H54+MAR!Y54+MAR!H54+ABR!Y54+ABR!H54+MAI!Y54+MAI!H54+JUN!Y54+JUN!H54+JUL!Y54+JUL!H54+AGO!Y54+AGO!H54+SET!Y54+SET!H54+OUT!Y54+OUT!H54+NOV!Y54+NOV!H54+DEZ!Y54+DEZ!H54</f>
        <v>2662.692</v>
      </c>
      <c r="I52" s="35">
        <f>JAN!I54+JAN!Z54+FEV!Z54+FEV!I54+MAR!Z54+MAR!I54+ABR!Z54+ABR!I54+MAI!Z54+MAI!I54+JUN!Z54+JUN!I54+JUL!Z54+JUL!I54+AGO!Z54+AGO!I54+SET!Z54+SET!I54+OUT!Z54+OUT!I54+NOV!Z54+NOV!I54+DEZ!Z54+DEZ!I54</f>
        <v>161.65600000000001</v>
      </c>
      <c r="J52" s="35">
        <f>JAN!J54+JAN!AA54+FEV!AA54+FEV!J54+MAR!AA54+MAR!J54+ABR!AA54+ABR!J54+MAI!AA54+MAI!J54+JUN!AA54+JUN!J54+JUL!AA54+JUL!J54+AGO!AA54+AGO!J54+SET!AA54+SET!J54+OUT!AA54+OUT!J54+NOV!AA54+NOV!J54+DEZ!AA54+DEZ!J54</f>
        <v>2390.2139999999999</v>
      </c>
      <c r="K52" s="35">
        <f>JAN!K54+JAN!AB54+FEV!AB54+FEV!K54+MAR!AB54+MAR!K54+ABR!AB54+ABR!K54+MAI!AB54+MAI!K54+JUN!AB54+JUN!K54+JUL!AB54+JUL!K54+AGO!AB54+AGO!K54+SET!AB54+SET!K54+OUT!AB54+OUT!K54+NOV!AB54+NOV!K54+DEZ!AB54+DEZ!K54</f>
        <v>37.904000000000003</v>
      </c>
      <c r="L52" s="35">
        <f>JAN!L54+JAN!AC54+FEV!AC54+FEV!L54+MAR!AC54+MAR!L54+ABR!AC54+ABR!L54+MAI!AC54+MAI!L54+JUN!AC54+JUN!L54+JUL!AC54+JUL!L54+AGO!AC54+AGO!L54+SET!AC54+SET!L54+OUT!AC54+OUT!L54+NOV!AC54+NOV!L54+DEZ!AC54+DEZ!L54</f>
        <v>0</v>
      </c>
      <c r="M52" s="35">
        <f>JAN!M54+JAN!AD54+FEV!AD54+FEV!M54+MAR!AD54+MAR!M54+ABR!AD54+ABR!M54+MAI!AD54+MAI!M54+JUN!AD54+JUN!M54+JUL!AD54+JUL!M54+AGO!AD54+AGO!M54+SET!AD54+SET!M54+OUT!AD54+OUT!M54+NOV!AD54+NOV!M54+DEZ!AD54+DEZ!M54</f>
        <v>0</v>
      </c>
      <c r="N52" s="35">
        <f>JAN!N54+JAN!AE54+FEV!AE54+FEV!N54+MAR!AE54+MAR!N54+ABR!AE54+ABR!N54+MAI!AE54+MAI!N54+JUN!AE54+JUN!N54+JUL!AE54+JUL!N54+AGO!AE54+AGO!N54+SET!AE54+SET!N54+OUT!AE54+OUT!N54+NOV!AE54+NOV!N54+DEZ!AE54+DEZ!N54</f>
        <v>121.616</v>
      </c>
      <c r="O52" s="35">
        <f>JAN!AF54+FEV!AF54+MAR!AF54+ABR!AF54+MAI!AF54+JUN!AF54+JUL!AF54+AGO!AF54+SET!AF54+OUT!AF54+NOV!AF54+DEZ!AF54</f>
        <v>0</v>
      </c>
      <c r="P52" s="35">
        <f>JAN!AG54+FEV!AG54+MAR!AG54+ABR!AG54+MAI!AG54+JUN!AG54+JUL!AG54+AGO!AG54+SET!AG54+OUT!AG54+NOV!AG54+DEZ!AG54</f>
        <v>0</v>
      </c>
      <c r="Q52" s="4">
        <f t="shared" si="3"/>
        <v>158217.05600000001</v>
      </c>
      <c r="R52" s="15">
        <f t="shared" si="4"/>
        <v>6189.018</v>
      </c>
    </row>
    <row r="53" spans="1:18">
      <c r="A53" s="18" t="s">
        <v>134</v>
      </c>
      <c r="B53" s="35">
        <f>JAN!B55+JAN!S55+FEV!S55+FEV!B55+MAR!S55+MAR!B55+ABR!S55+ABR!B55+MAI!S55+MAI!B55+JUN!S55+JUN!B55+JUL!S55+JUL!B55+AGO!S55+AGO!B55+SET!S55+SET!B55+OUT!S55+OUT!B55+NOV!S55+NOV!B55+DEZ!S55+DEZ!B55</f>
        <v>446621.35200000001</v>
      </c>
      <c r="C53" s="35">
        <f>JAN!C55+JAN!T55+FEV!T55+FEV!C55+MAR!T55+MAR!C55+ABR!T55+ABR!C55+MAI!T55+MAI!C55+JUN!T55+JUN!C55+JUL!T55+JUL!C55+AGO!T55+AGO!C55+SET!T55+SET!C55+OUT!T55+OUT!C55+NOV!T55+NOV!C55+DEZ!T55+DEZ!C55</f>
        <v>53994.810000000005</v>
      </c>
      <c r="D53" s="35">
        <f>JAN!D55+JAN!U55+FEV!U55+FEV!D55+MAR!U55+MAR!D55+ABR!U55+ABR!D55+MAI!U55+MAI!D55+JUN!U55+JUN!D55+JUL!U55+JUL!D55+AGO!U55+AGO!D55+SET!U55+SET!D55+OUT!U55+OUT!D55+NOV!U55+NOV!D55+DEZ!U55+DEZ!D55</f>
        <v>75606.816000000021</v>
      </c>
      <c r="E53" s="35">
        <f>JAN!E55+JAN!V55+FEV!V55+FEV!E55+MAR!V55+MAR!E55+ABR!V55+ABR!E55+MAI!V55+MAI!E55+JUN!V55+JUN!E55+JUL!V55+JUL!E55+AGO!V55+AGO!E55+SET!V55+SET!E55+OUT!V55+OUT!E55+NOV!V55+NOV!E55+DEZ!V55+DEZ!E55</f>
        <v>15529.5</v>
      </c>
      <c r="F53" s="35">
        <f>JAN!F55+JAN!W55+FEV!W55+FEV!F55+MAR!W55+MAR!F55+ABR!W55+ABR!F55+MAI!W55+MAI!F55+JUN!W55+JUN!F55+JUL!W55+JUL!F55+AGO!W55+AGO!F55+SET!W55+SET!F55+OUT!W55+OUT!F55+NOV!W55+NOV!F55+DEZ!W55+DEZ!F55</f>
        <v>456942.80799999996</v>
      </c>
      <c r="G53" s="35">
        <f>JAN!G55+JAN!X55+FEV!X55+FEV!G55+MAR!X55+MAR!G55+ABR!X55+ABR!G55+MAI!X55+MAI!G55+JUN!X55+JUN!G55+JUL!X55+JUL!G55+AGO!X55+AGO!G55+SET!X55+SET!G55+OUT!X55+OUT!G55+NOV!X55+NOV!G55+DEZ!X55+DEZ!G55</f>
        <v>4775.2520000000004</v>
      </c>
      <c r="H53" s="35">
        <f>JAN!H55+JAN!Y55+FEV!Y55+FEV!H55+MAR!Y55+MAR!H55+ABR!Y55+ABR!H55+MAI!Y55+MAI!H55+JUN!Y55+JUN!H55+JUL!Y55+JUL!H55+AGO!Y55+AGO!H55+SET!Y55+SET!H55+OUT!Y55+OUT!H55+NOV!Y55+NOV!H55+DEZ!Y55+DEZ!H55</f>
        <v>7930.0780000000004</v>
      </c>
      <c r="I53" s="35">
        <f>JAN!I55+JAN!Z55+FEV!Z55+FEV!I55+MAR!Z55+MAR!I55+ABR!Z55+ABR!I55+MAI!Z55+MAI!I55+JUN!Z55+JUN!I55+JUL!Z55+JUL!I55+AGO!Z55+AGO!I55+SET!Z55+SET!I55+OUT!Z55+OUT!I55+NOV!Z55+NOV!I55+DEZ!Z55+DEZ!I55</f>
        <v>110.556</v>
      </c>
      <c r="J53" s="35">
        <f>JAN!J55+JAN!AA55+FEV!AA55+FEV!J55+MAR!AA55+MAR!J55+ABR!AA55+ABR!J55+MAI!AA55+MAI!J55+JUN!AA55+JUN!J55+JUL!AA55+JUL!J55+AGO!AA55+AGO!J55+SET!AA55+SET!J55+OUT!AA55+OUT!J55+NOV!AA55+NOV!J55+DEZ!AA55+DEZ!J55</f>
        <v>11042.972</v>
      </c>
      <c r="K53" s="35">
        <f>JAN!K55+JAN!AB55+FEV!AB55+FEV!K55+MAR!AB55+MAR!K55+ABR!AB55+ABR!K55+MAI!AB55+MAI!K55+JUN!AB55+JUN!K55+JUL!AB55+JUL!K55+AGO!AB55+AGO!K55+SET!AB55+SET!K55+OUT!AB55+OUT!K55+NOV!AB55+NOV!K55+DEZ!AB55+DEZ!K55</f>
        <v>1781.4880000000003</v>
      </c>
      <c r="L53" s="35">
        <f>JAN!L55+JAN!AC55+FEV!AC55+FEV!L55+MAR!AC55+MAR!L55+ABR!AC55+ABR!L55+MAI!AC55+MAI!L55+JUN!AC55+JUN!L55+JUL!AC55+JUL!L55+AGO!AC55+AGO!L55+SET!AC55+SET!L55+OUT!AC55+OUT!L55+NOV!AC55+NOV!L55+DEZ!AC55+DEZ!L55</f>
        <v>0</v>
      </c>
      <c r="M53" s="35">
        <f>JAN!M55+JAN!AD55+FEV!AD55+FEV!M55+MAR!AD55+MAR!M55+ABR!AD55+ABR!M55+MAI!AD55+MAI!M55+JUN!AD55+JUN!M55+JUL!AD55+JUL!M55+AGO!AD55+AGO!M55+SET!AD55+SET!M55+OUT!AD55+OUT!M55+NOV!AD55+NOV!M55+DEZ!AD55+DEZ!M55</f>
        <v>0</v>
      </c>
      <c r="N53" s="35">
        <f>JAN!N55+JAN!AE55+FEV!AE55+FEV!N55+MAR!AE55+MAR!N55+ABR!AE55+ABR!N55+MAI!AE55+MAI!N55+JUN!AE55+JUN!N55+JUL!AE55+JUL!N55+AGO!AE55+AGO!N55+SET!AE55+SET!N55+OUT!AE55+OUT!N55+NOV!AE55+NOV!N55+DEZ!AE55+DEZ!N55</f>
        <v>430.04399999999998</v>
      </c>
      <c r="O53" s="35">
        <f>JAN!AF55+FEV!AF55+MAR!AF55+ABR!AF55+MAI!AF55+JUN!AF55+JUL!AF55+AGO!AF55+SET!AF55+OUT!AF55+NOV!AF55+DEZ!AF55</f>
        <v>0</v>
      </c>
      <c r="P53" s="35">
        <f>JAN!AG55+FEV!AG55+MAR!AG55+ABR!AG55+MAI!AG55+JUN!AG55+JUL!AG55+AGO!AG55+SET!AG55+OUT!AG55+NOV!AG55+DEZ!AG55</f>
        <v>0</v>
      </c>
      <c r="Q53" s="4">
        <f t="shared" si="3"/>
        <v>1074765.676</v>
      </c>
      <c r="R53" s="15">
        <f t="shared" si="4"/>
        <v>26070.390000000003</v>
      </c>
    </row>
    <row r="54" spans="1:18">
      <c r="A54" s="1" t="s">
        <v>135</v>
      </c>
      <c r="B54" s="35">
        <f>JAN!B56+JAN!S56+FEV!S56+FEV!B56+MAR!S56+MAR!B56+ABR!S56+ABR!B56+MAI!S56+MAI!B56+JUN!S56+JUN!B56+JUL!S56+JUL!B56+AGO!S56+AGO!B56+SET!S56+SET!B56+OUT!S56+OUT!B56+NOV!S56+NOV!B56+DEZ!S56+DEZ!B56</f>
        <v>162024.89400000003</v>
      </c>
      <c r="C54" s="35">
        <f>JAN!C56+JAN!T56+FEV!T56+FEV!C56+MAR!T56+MAR!C56+ABR!T56+ABR!C56+MAI!T56+MAI!C56+JUN!T56+JUN!C56+JUL!T56+JUL!C56+AGO!T56+AGO!C56+SET!T56+SET!C56+OUT!T56+OUT!C56+NOV!T56+NOV!C56+DEZ!T56+DEZ!C56</f>
        <v>33327</v>
      </c>
      <c r="D54" s="35">
        <f>JAN!D56+JAN!U56+FEV!U56+FEV!D56+MAR!U56+MAR!D56+ABR!U56+ABR!D56+MAI!U56+MAI!D56+JUN!U56+JUN!D56+JUL!U56+JUL!D56+AGO!U56+AGO!D56+SET!U56+SET!D56+OUT!U56+OUT!D56+NOV!U56+NOV!D56+DEZ!U56+DEZ!D56</f>
        <v>19939.348000000005</v>
      </c>
      <c r="E54" s="35">
        <f>JAN!E56+JAN!V56+FEV!V56+FEV!E56+MAR!V56+MAR!E56+ABR!V56+ABR!E56+MAI!V56+MAI!E56+JUN!V56+JUN!E56+JUL!V56+JUL!E56+AGO!V56+AGO!E56+SET!V56+SET!E56+OUT!V56+OUT!E56+NOV!V56+NOV!E56+DEZ!V56+DEZ!E56</f>
        <v>4071.0140000000001</v>
      </c>
      <c r="F54" s="35">
        <f>JAN!F56+JAN!W56+FEV!W56+FEV!F56+MAR!W56+MAR!F56+ABR!W56+ABR!F56+MAI!W56+MAI!F56+JUN!W56+JUN!F56+JUL!W56+JUL!F56+AGO!W56+AGO!F56+SET!W56+SET!F56+OUT!W56+OUT!F56+NOV!W56+NOV!F56+DEZ!W56+DEZ!F56</f>
        <v>105213.81200000001</v>
      </c>
      <c r="G54" s="35">
        <f>JAN!G56+JAN!X56+FEV!X56+FEV!G56+MAR!X56+MAR!G56+ABR!X56+ABR!G56+MAI!X56+MAI!G56+JUN!X56+JUN!G56+JUL!X56+JUL!G56+AGO!X56+AGO!G56+SET!X56+SET!G56+OUT!X56+OUT!G56+NOV!X56+NOV!G56+DEZ!X56+DEZ!G56</f>
        <v>1987.3520000000003</v>
      </c>
      <c r="H54" s="35">
        <f>JAN!H56+JAN!Y56+FEV!Y56+FEV!H56+MAR!Y56+MAR!H56+ABR!Y56+ABR!H56+MAI!Y56+MAI!H56+JUN!Y56+JUN!H56+JUL!Y56+JUL!H56+AGO!Y56+AGO!H56+SET!Y56+SET!H56+OUT!Y56+OUT!H56+NOV!Y56+NOV!H56+DEZ!Y56+DEZ!H56</f>
        <v>4315.2520000000004</v>
      </c>
      <c r="I54" s="35">
        <f>JAN!I56+JAN!Z56+FEV!Z56+FEV!I56+MAR!Z56+MAR!I56+ABR!Z56+ABR!I56+MAI!Z56+MAI!I56+JUN!Z56+JUN!I56+JUL!Z56+JUL!I56+AGO!Z56+AGO!I56+SET!Z56+SET!I56+OUT!Z56+OUT!I56+NOV!Z56+NOV!I56+DEZ!Z56+DEZ!I56</f>
        <v>2246.9839999999999</v>
      </c>
      <c r="J54" s="35">
        <f>JAN!J56+JAN!AA56+FEV!AA56+FEV!J56+MAR!AA56+MAR!J56+ABR!AA56+ABR!J56+MAI!AA56+MAI!J56+JUN!AA56+JUN!J56+JUL!AA56+JUL!J56+AGO!AA56+AGO!J56+SET!AA56+SET!J56+OUT!AA56+OUT!J56+NOV!AA56+NOV!J56+DEZ!AA56+DEZ!J56</f>
        <v>6195.0499999999993</v>
      </c>
      <c r="K54" s="35">
        <f>JAN!K56+JAN!AB56+FEV!AB56+FEV!K56+MAR!AB56+MAR!K56+ABR!AB56+ABR!K56+MAI!AB56+MAI!K56+JUN!AB56+JUN!K56+JUL!AB56+JUL!K56+AGO!AB56+AGO!K56+SET!AB56+SET!K56+OUT!AB56+OUT!K56+NOV!AB56+NOV!K56+DEZ!AB56+DEZ!K56</f>
        <v>511.70400000000006</v>
      </c>
      <c r="L54" s="35">
        <f>JAN!L56+JAN!AC56+FEV!AC56+FEV!L56+MAR!AC56+MAR!L56+ABR!AC56+ABR!L56+MAI!AC56+MAI!L56+JUN!AC56+JUN!L56+JUL!AC56+JUL!L56+AGO!AC56+AGO!L56+SET!AC56+SET!L56+OUT!AC56+OUT!L56+NOV!AC56+NOV!L56+DEZ!AC56+DEZ!L56</f>
        <v>37.904000000000003</v>
      </c>
      <c r="M54" s="35">
        <f>JAN!M56+JAN!AD56+FEV!AD56+FEV!M56+MAR!AD56+MAR!M56+ABR!AD56+ABR!M56+MAI!AD56+MAI!M56+JUN!AD56+JUN!M56+JUL!AD56+JUL!M56+AGO!AD56+AGO!M56+SET!AD56+SET!M56+OUT!AD56+OUT!M56+NOV!AD56+NOV!M56+DEZ!AD56+DEZ!M56</f>
        <v>0</v>
      </c>
      <c r="N54" s="35">
        <f>JAN!N56+JAN!AE56+FEV!AE56+FEV!N56+MAR!AE56+MAR!N56+ABR!AE56+ABR!N56+MAI!AE56+MAI!N56+JUN!AE56+JUN!N56+JUL!AE56+JUL!N56+AGO!AE56+AGO!N56+SET!AE56+SET!N56+OUT!AE56+OUT!N56+NOV!AE56+NOV!N56+DEZ!AE56+DEZ!N56</f>
        <v>176.13600000000002</v>
      </c>
      <c r="O54" s="35">
        <f>JAN!AF56+FEV!AF56+MAR!AF56+ABR!AF56+MAI!AF56+JUN!AF56+JUL!AF56+AGO!AF56+SET!AF56+OUT!AF56+NOV!AF56+DEZ!AF56</f>
        <v>0</v>
      </c>
      <c r="P54" s="35">
        <f>JAN!AG56+FEV!AG56+MAR!AG56+ABR!AG56+MAI!AG56+JUN!AG56+JUL!AG56+AGO!AG56+SET!AG56+OUT!AG56+NOV!AG56+DEZ!AG56</f>
        <v>0</v>
      </c>
      <c r="Q54" s="4">
        <f t="shared" si="3"/>
        <v>340046.45</v>
      </c>
      <c r="R54" s="15">
        <f t="shared" si="4"/>
        <v>15470.382000000001</v>
      </c>
    </row>
    <row r="55" spans="1:18">
      <c r="A55" s="1" t="s">
        <v>136</v>
      </c>
      <c r="B55" s="35">
        <f>JAN!B57+JAN!S57+FEV!S57+FEV!B57+MAR!S57+MAR!B57+ABR!S57+ABR!B57+MAI!S57+MAI!B57+JUN!S57+JUN!B57+JUL!S57+JUL!B57+AGO!S57+AGO!B57+SET!S57+SET!B57+OUT!S57+OUT!B57+NOV!S57+NOV!B57+DEZ!S57+DEZ!B57</f>
        <v>37172.886000000006</v>
      </c>
      <c r="C55" s="35">
        <f>JAN!C57+JAN!T57+FEV!T57+FEV!C57+MAR!T57+MAR!C57+ABR!T57+ABR!C57+MAI!T57+MAI!C57+JUN!T57+JUN!C57+JUL!T57+JUL!C57+AGO!T57+AGO!C57+SET!T57+SET!C57+OUT!T57+OUT!C57+NOV!T57+NOV!C57+DEZ!T57+DEZ!C57</f>
        <v>4139.84</v>
      </c>
      <c r="D55" s="35">
        <f>JAN!D57+JAN!U57+FEV!U57+FEV!D57+MAR!U57+MAR!D57+ABR!U57+ABR!D57+MAI!U57+MAI!D57+JUN!U57+JUN!D57+JUL!U57+JUL!D57+AGO!U57+AGO!D57+SET!U57+SET!D57+OUT!U57+OUT!D57+NOV!U57+NOV!D57+DEZ!U57+DEZ!D57</f>
        <v>5287.38</v>
      </c>
      <c r="E55" s="35">
        <f>JAN!E57+JAN!V57+FEV!V57+FEV!E57+MAR!V57+MAR!E57+ABR!V57+ABR!E57+MAI!V57+MAI!E57+JUN!V57+JUN!E57+JUL!V57+JUL!E57+AGO!V57+AGO!E57+SET!V57+SET!E57+OUT!V57+OUT!E57+NOV!V57+NOV!E57+DEZ!V57+DEZ!E57</f>
        <v>375.40000000000003</v>
      </c>
      <c r="F55" s="35">
        <f>JAN!F57+JAN!W57+FEV!W57+FEV!F57+MAR!W57+MAR!F57+ABR!W57+ABR!F57+MAI!W57+MAI!F57+JUN!W57+JUN!F57+JUL!W57+JUL!F57+AGO!W57+AGO!F57+SET!W57+SET!F57+OUT!W57+OUT!F57+NOV!W57+NOV!F57+DEZ!W57+DEZ!F57</f>
        <v>25162.268</v>
      </c>
      <c r="G55" s="35">
        <f>JAN!G57+JAN!X57+FEV!X57+FEV!G57+MAR!X57+MAR!G57+ABR!X57+ABR!G57+MAI!X57+MAI!G57+JUN!X57+JUN!G57+JUL!X57+JUL!G57+AGO!X57+AGO!G57+SET!X57+SET!G57+OUT!X57+OUT!G57+NOV!X57+NOV!G57+DEZ!X57+DEZ!G57</f>
        <v>1534.46</v>
      </c>
      <c r="H55" s="35">
        <f>JAN!H57+JAN!Y57+FEV!Y57+FEV!H57+MAR!Y57+MAR!H57+ABR!Y57+ABR!H57+MAI!Y57+MAI!H57+JUN!Y57+JUN!H57+JUL!Y57+JUL!H57+AGO!Y57+AGO!H57+SET!Y57+SET!H57+OUT!Y57+OUT!H57+NOV!Y57+NOV!H57+DEZ!Y57+DEZ!H57</f>
        <v>409.73599999999999</v>
      </c>
      <c r="I55" s="35">
        <f>JAN!I57+JAN!Z57+FEV!Z57+FEV!I57+MAR!Z57+MAR!I57+ABR!Z57+ABR!I57+MAI!Z57+MAI!I57+JUN!Z57+JUN!I57+JUL!Z57+JUL!I57+AGO!Z57+AGO!I57+SET!Z57+SET!I57+OUT!Z57+OUT!I57+NOV!Z57+NOV!I57+DEZ!Z57+DEZ!I57</f>
        <v>1733.15</v>
      </c>
      <c r="J55" s="35">
        <f>JAN!J57+JAN!AA57+FEV!AA57+FEV!J57+MAR!AA57+MAR!J57+ABR!AA57+ABR!J57+MAI!AA57+MAI!J57+JUN!AA57+JUN!J57+JUL!AA57+JUL!J57+AGO!AA57+AGO!J57+SET!AA57+SET!J57+OUT!AA57+OUT!J57+NOV!AA57+NOV!J57+DEZ!AA57+DEZ!J57</f>
        <v>754.25400000000002</v>
      </c>
      <c r="K55" s="35">
        <f>JAN!K57+JAN!AB57+FEV!AB57+FEV!K57+MAR!AB57+MAR!K57+ABR!AB57+ABR!K57+MAI!AB57+MAI!K57+JUN!AB57+JUN!K57+JUL!AB57+JUL!K57+AGO!AB57+AGO!K57+SET!AB57+SET!K57+OUT!AB57+OUT!K57+NOV!AB57+NOV!K57+DEZ!AB57+DEZ!K57</f>
        <v>56.856000000000009</v>
      </c>
      <c r="L55" s="35">
        <f>JAN!L57+JAN!AC57+FEV!AC57+FEV!L57+MAR!AC57+MAR!L57+ABR!AC57+ABR!L57+MAI!AC57+MAI!L57+JUN!AC57+JUN!L57+JUL!AC57+JUL!L57+AGO!AC57+AGO!L57+SET!AC57+SET!L57+OUT!AC57+OUT!L57+NOV!AC57+NOV!L57+DEZ!AC57+DEZ!L57</f>
        <v>0</v>
      </c>
      <c r="M55" s="35">
        <f>JAN!M57+JAN!AD57+FEV!AD57+FEV!M57+MAR!AD57+MAR!M57+ABR!AD57+ABR!M57+MAI!AD57+MAI!M57+JUN!AD57+JUN!M57+JUL!AD57+JUL!M57+AGO!AD57+AGO!M57+SET!AD57+SET!M57+OUT!AD57+OUT!M57+NOV!AD57+NOV!M57+DEZ!AD57+DEZ!M57</f>
        <v>0</v>
      </c>
      <c r="N55" s="35">
        <f>JAN!N57+JAN!AE57+FEV!AE57+FEV!N57+MAR!AE57+MAR!N57+ABR!AE57+ABR!N57+MAI!AE57+MAI!N57+JUN!AE57+JUN!N57+JUL!AE57+JUL!N57+AGO!AE57+AGO!N57+SET!AE57+SET!N57+OUT!AE57+OUT!N57+NOV!AE57+NOV!N57+DEZ!AE57+DEZ!N57</f>
        <v>33.168000000000006</v>
      </c>
      <c r="O55" s="35">
        <f>JAN!AF57+FEV!AF57+MAR!AF57+ABR!AF57+MAI!AF57+JUN!AF57+JUL!AF57+AGO!AF57+SET!AF57+OUT!AF57+NOV!AF57+DEZ!AF57</f>
        <v>0</v>
      </c>
      <c r="P55" s="35">
        <f>JAN!AG57+FEV!AG57+MAR!AG57+ABR!AG57+MAI!AG57+JUN!AG57+JUL!AG57+AGO!AG57+SET!AG57+OUT!AG57+NOV!AG57+DEZ!AG57</f>
        <v>0</v>
      </c>
      <c r="Q55" s="4">
        <f t="shared" si="3"/>
        <v>76659.398000000016</v>
      </c>
      <c r="R55" s="15">
        <f t="shared" si="4"/>
        <v>4521.6239999999998</v>
      </c>
    </row>
    <row r="56" spans="1:18">
      <c r="A56" s="1" t="s">
        <v>137</v>
      </c>
      <c r="B56" s="35">
        <f>JAN!B58+JAN!S58+FEV!S58+FEV!B58+MAR!S58+MAR!B58+ABR!S58+ABR!B58+MAI!S58+MAI!B58+JUN!S58+JUN!B58+JUL!S58+JUL!B58+AGO!S58+AGO!B58+SET!S58+SET!B58+OUT!S58+OUT!B58+NOV!S58+NOV!B58+DEZ!S58+DEZ!B58</f>
        <v>632635.32999999996</v>
      </c>
      <c r="C56" s="35">
        <f>JAN!C58+JAN!T58+FEV!T58+FEV!C58+MAR!T58+MAR!C58+ABR!T58+ABR!C58+MAI!T58+MAI!C58+JUN!T58+JUN!C58+JUL!T58+JUL!C58+AGO!T58+AGO!C58+SET!T58+SET!C58+OUT!T58+OUT!C58+NOV!T58+NOV!C58+DEZ!T58+DEZ!C58</f>
        <v>80352.552000000011</v>
      </c>
      <c r="D56" s="35">
        <f>JAN!D58+JAN!U58+FEV!U58+FEV!D58+MAR!U58+MAR!D58+ABR!U58+ABR!D58+MAI!U58+MAI!D58+JUN!U58+JUN!D58+JUL!U58+JUL!D58+AGO!U58+AGO!D58+SET!U58+SET!D58+OUT!U58+OUT!D58+NOV!U58+NOV!D58+DEZ!U58+DEZ!D58</f>
        <v>90782.402000000016</v>
      </c>
      <c r="E56" s="35">
        <f>JAN!E58+JAN!V58+FEV!V58+FEV!E58+MAR!V58+MAR!E58+ABR!V58+ABR!E58+MAI!V58+MAI!E58+JUN!V58+JUN!E58+JUL!V58+JUL!E58+AGO!V58+AGO!E58+SET!V58+SET!E58+OUT!V58+OUT!E58+NOV!V58+NOV!E58+DEZ!V58+DEZ!E58</f>
        <v>13913.702000000001</v>
      </c>
      <c r="F56" s="35">
        <f>JAN!F58+JAN!W58+FEV!W58+FEV!F58+MAR!W58+MAR!F58+ABR!W58+ABR!F58+MAI!W58+MAI!F58+JUN!W58+JUN!F58+JUL!W58+JUL!F58+AGO!W58+AGO!F58+SET!W58+SET!F58+OUT!W58+OUT!F58+NOV!W58+NOV!F58+DEZ!W58+DEZ!F58</f>
        <v>354598.74800000002</v>
      </c>
      <c r="G56" s="35">
        <f>JAN!G58+JAN!X58+FEV!X58+FEV!G58+MAR!X58+MAR!G58+ABR!X58+ABR!G58+MAI!X58+MAI!G58+JUN!X58+JUN!G58+JUL!X58+JUL!G58+AGO!X58+AGO!G58+SET!X58+SET!G58+OUT!X58+OUT!G58+NOV!X58+NOV!G58+DEZ!X58+DEZ!G58</f>
        <v>14527.708000000001</v>
      </c>
      <c r="H56" s="35">
        <f>JAN!H58+JAN!Y58+FEV!Y58+FEV!H58+MAR!Y58+MAR!H58+ABR!Y58+ABR!H58+MAI!Y58+MAI!H58+JUN!Y58+JUN!H58+JUL!Y58+JUL!H58+AGO!Y58+AGO!H58+SET!Y58+SET!H58+OUT!Y58+OUT!H58+NOV!Y58+NOV!H58+DEZ!Y58+DEZ!H58</f>
        <v>14104.424000000001</v>
      </c>
      <c r="I56" s="35">
        <f>JAN!I58+JAN!Z58+FEV!Z58+FEV!I58+MAR!Z58+MAR!I58+ABR!Z58+ABR!I58+MAI!Z58+MAI!I58+JUN!Z58+JUN!I58+JUL!Z58+JUL!I58+AGO!Z58+AGO!I58+SET!Z58+SET!I58+OUT!Z58+OUT!I58+NOV!Z58+NOV!I58+DEZ!Z58+DEZ!I58</f>
        <v>1808.5900000000001</v>
      </c>
      <c r="J56" s="35">
        <f>JAN!J58+JAN!AA58+FEV!AA58+FEV!J58+MAR!AA58+MAR!J58+ABR!AA58+ABR!J58+MAI!AA58+MAI!J58+JUN!AA58+JUN!J58+JUL!AA58+JUL!J58+AGO!AA58+AGO!J58+SET!AA58+SET!J58+OUT!AA58+OUT!J58+NOV!AA58+NOV!J58+DEZ!AA58+DEZ!J58</f>
        <v>14302.146000000001</v>
      </c>
      <c r="K56" s="35">
        <f>JAN!K58+JAN!AB58+FEV!AB58+FEV!K58+MAR!AB58+MAR!K58+ABR!AB58+ABR!K58+MAI!AB58+MAI!K58+JUN!AB58+JUN!K58+JUL!AB58+JUL!K58+AGO!AB58+AGO!K58+SET!AB58+SET!K58+OUT!AB58+OUT!K58+NOV!AB58+NOV!K58+DEZ!AB58+DEZ!K58</f>
        <v>1250.8320000000001</v>
      </c>
      <c r="L56" s="35">
        <f>JAN!L58+JAN!AC58+FEV!AC58+FEV!L58+MAR!AC58+MAR!L58+ABR!AC58+ABR!L58+MAI!AC58+MAI!L58+JUN!AC58+JUN!L58+JUL!AC58+JUL!L58+AGO!AC58+AGO!L58+SET!AC58+SET!L58+OUT!AC58+OUT!L58+NOV!AC58+NOV!L58+DEZ!AC58+DEZ!L58</f>
        <v>265.32799999999997</v>
      </c>
      <c r="M56" s="35">
        <f>JAN!M58+JAN!AD58+FEV!AD58+FEV!M58+MAR!AD58+MAR!M58+ABR!AD58+ABR!M58+MAI!AD58+MAI!M58+JUN!AD58+JUN!M58+JUL!AD58+JUL!M58+AGO!AD58+AGO!M58+SET!AD58+SET!M58+OUT!AD58+OUT!M58+NOV!AD58+NOV!M58+DEZ!AD58+DEZ!M58</f>
        <v>0</v>
      </c>
      <c r="N56" s="35">
        <f>JAN!N58+JAN!AE58+FEV!AE58+FEV!N58+MAR!AE58+MAR!N58+ABR!AE58+ABR!N58+MAI!AE58+MAI!N58+JUN!AE58+JUN!N58+JUL!AE58+JUL!N58+AGO!AE58+AGO!N58+SET!AE58+SET!N58+OUT!AE58+OUT!N58+NOV!AE58+NOV!N58+DEZ!AE58+DEZ!N58</f>
        <v>1351.13</v>
      </c>
      <c r="O56" s="35">
        <f>JAN!AF58+FEV!AF58+MAR!AF58+ABR!AF58+MAI!AF58+JUN!AF58+JUL!AF58+AGO!AF58+SET!AF58+OUT!AF58+NOV!AF58+DEZ!AF58</f>
        <v>0</v>
      </c>
      <c r="P56" s="35">
        <f>JAN!AG58+FEV!AG58+MAR!AG58+ABR!AG58+MAI!AG58+JUN!AG58+JUL!AG58+AGO!AG58+SET!AG58+OUT!AG58+NOV!AG58+DEZ!AG58</f>
        <v>0</v>
      </c>
      <c r="Q56" s="4">
        <f t="shared" si="3"/>
        <v>1219892.8920000002</v>
      </c>
      <c r="R56" s="15">
        <f t="shared" si="4"/>
        <v>47610.158000000003</v>
      </c>
    </row>
    <row r="57" spans="1:18">
      <c r="A57" s="1" t="s">
        <v>138</v>
      </c>
      <c r="B57" s="35">
        <f>JAN!B59+JAN!S59+FEV!S59+FEV!B59+MAR!S59+MAR!B59+ABR!S59+ABR!B59+MAI!S59+MAI!B59+JUN!S59+JUN!B59+JUL!S59+JUL!B59+AGO!S59+AGO!B59+SET!S59+SET!B59+OUT!S59+OUT!B59+NOV!S59+NOV!B59+DEZ!S59+DEZ!B59</f>
        <v>73408.406000000003</v>
      </c>
      <c r="C57" s="35">
        <f>JAN!C59+JAN!T59+FEV!T59+FEV!C59+MAR!T59+MAR!C59+ABR!T59+ABR!C59+MAI!T59+MAI!C59+JUN!T59+JUN!C59+JUL!T59+JUL!C59+AGO!T59+AGO!C59+SET!T59+SET!C59+OUT!T59+OUT!C59+NOV!T59+NOV!C59+DEZ!T59+DEZ!C59</f>
        <v>15149.006000000001</v>
      </c>
      <c r="D57" s="35">
        <f>JAN!D59+JAN!U59+FEV!U59+FEV!D59+MAR!U59+MAR!D59+ABR!U59+ABR!D59+MAI!U59+MAI!D59+JUN!U59+JUN!D59+JUL!U59+JUL!D59+AGO!U59+AGO!D59+SET!U59+SET!D59+OUT!U59+OUT!D59+NOV!U59+NOV!D59+DEZ!U59+DEZ!D59</f>
        <v>5384.4920000000002</v>
      </c>
      <c r="E57" s="35">
        <f>JAN!E59+JAN!V59+FEV!V59+FEV!E59+MAR!V59+MAR!E59+ABR!V59+ABR!E59+MAI!V59+MAI!E59+JUN!V59+JUN!E59+JUL!V59+JUL!E59+AGO!V59+AGO!E59+SET!V59+SET!E59+OUT!V59+OUT!E59+NOV!V59+NOV!E59+DEZ!V59+DEZ!E59</f>
        <v>1787.3940000000002</v>
      </c>
      <c r="F57" s="35">
        <f>JAN!F59+JAN!W59+FEV!W59+FEV!F59+MAR!W59+MAR!F59+ABR!W59+ABR!F59+MAI!W59+MAI!F59+JUN!W59+JUN!F59+JUL!W59+JUL!F59+AGO!W59+AGO!F59+SET!W59+SET!F59+OUT!W59+OUT!F59+NOV!W59+NOV!F59+DEZ!W59+DEZ!F59</f>
        <v>46468.436000000002</v>
      </c>
      <c r="G57" s="35">
        <f>JAN!G59+JAN!X59+FEV!X59+FEV!G59+MAR!X59+MAR!G59+ABR!X59+ABR!G59+MAI!X59+MAI!G59+JUN!X59+JUN!G59+JUL!X59+JUL!G59+AGO!X59+AGO!G59+SET!X59+SET!G59+OUT!X59+OUT!G59+NOV!X59+NOV!G59+DEZ!X59+DEZ!G59</f>
        <v>1571.06</v>
      </c>
      <c r="H57" s="35">
        <f>JAN!H59+JAN!Y59+FEV!Y59+FEV!H59+MAR!Y59+MAR!H59+ABR!Y59+ABR!H59+MAI!Y59+MAI!H59+JUN!Y59+JUN!H59+JUL!Y59+JUL!H59+AGO!Y59+AGO!H59+SET!Y59+SET!H59+OUT!Y59+OUT!H59+NOV!Y59+NOV!H59+DEZ!Y59+DEZ!H59</f>
        <v>2717.7560000000003</v>
      </c>
      <c r="I57" s="35">
        <f>JAN!I59+JAN!Z59+FEV!Z59+FEV!I59+MAR!Z59+MAR!I59+ABR!Z59+ABR!I59+MAI!Z59+MAI!I59+JUN!Z59+JUN!I59+JUL!Z59+JUL!I59+AGO!Z59+AGO!I59+SET!Z59+SET!I59+OUT!Z59+OUT!I59+NOV!Z59+NOV!I59+DEZ!Z59+DEZ!I59</f>
        <v>0</v>
      </c>
      <c r="J57" s="35">
        <f>JAN!J59+JAN!AA59+FEV!AA59+FEV!J59+MAR!AA59+MAR!J59+ABR!AA59+ABR!J59+MAI!AA59+MAI!J59+JUN!AA59+JUN!J59+JUL!AA59+JUL!J59+AGO!AA59+AGO!J59+SET!AA59+SET!J59+OUT!AA59+OUT!J59+NOV!AA59+NOV!J59+DEZ!AA59+DEZ!J59</f>
        <v>2452.558</v>
      </c>
      <c r="K57" s="35">
        <f>JAN!K59+JAN!AB59+FEV!AB59+FEV!K59+MAR!AB59+MAR!K59+ABR!AB59+ABR!K59+MAI!AB59+MAI!K59+JUN!AB59+JUN!K59+JUL!AB59+JUL!K59+AGO!AB59+AGO!K59+SET!AB59+SET!K59+OUT!AB59+OUT!K59+NOV!AB59+NOV!K59+DEZ!AB59+DEZ!K59</f>
        <v>75.156000000000006</v>
      </c>
      <c r="L57" s="35">
        <f>JAN!L59+JAN!AC59+FEV!AC59+FEV!L59+MAR!AC59+MAR!L59+ABR!AC59+ABR!L59+MAI!AC59+MAI!L59+JUN!AC59+JUN!L59+JUL!AC59+JUL!L59+AGO!AC59+AGO!L59+SET!AC59+SET!L59+OUT!AC59+OUT!L59+NOV!AC59+NOV!L59+DEZ!AC59+DEZ!L59</f>
        <v>37.904000000000003</v>
      </c>
      <c r="M57" s="35">
        <f>JAN!M59+JAN!AD59+FEV!AD59+FEV!M59+MAR!AD59+MAR!M59+ABR!AD59+ABR!M59+MAI!AD59+MAI!M59+JUN!AD59+JUN!M59+JUL!AD59+JUL!M59+AGO!AD59+AGO!M59+SET!AD59+SET!M59+OUT!AD59+OUT!M59+NOV!AD59+NOV!M59+DEZ!AD59+DEZ!M59</f>
        <v>0</v>
      </c>
      <c r="N57" s="35">
        <f>JAN!N59+JAN!AE59+FEV!AE59+FEV!N59+MAR!AE59+MAR!N59+ABR!AE59+ABR!N59+MAI!AE59+MAI!N59+JUN!AE59+JUN!N59+JUL!AE59+JUL!N59+AGO!AE59+AGO!N59+SET!AE59+SET!N59+OUT!AE59+OUT!N59+NOV!AE59+NOV!N59+DEZ!AE59+DEZ!N59</f>
        <v>99.314000000000007</v>
      </c>
      <c r="O57" s="35">
        <f>JAN!AF59+FEV!AF59+MAR!AF59+ABR!AF59+MAI!AF59+JUN!AF59+JUL!AF59+AGO!AF59+SET!AF59+OUT!AF59+NOV!AF59+DEZ!AF59</f>
        <v>0</v>
      </c>
      <c r="P57" s="35">
        <f>JAN!AG59+FEV!AG59+MAR!AG59+ABR!AG59+MAI!AG59+JUN!AG59+JUL!AG59+AGO!AG59+SET!AG59+OUT!AG59+NOV!AG59+DEZ!AG59</f>
        <v>0</v>
      </c>
      <c r="Q57" s="4">
        <f t="shared" si="3"/>
        <v>149151.48199999999</v>
      </c>
      <c r="R57" s="15">
        <f t="shared" si="4"/>
        <v>6953.7480000000014</v>
      </c>
    </row>
    <row r="58" spans="1:18">
      <c r="A58" s="1" t="s">
        <v>139</v>
      </c>
      <c r="B58" s="35">
        <f>JAN!B60+JAN!S60+FEV!S60+FEV!B60+MAR!S60+MAR!B60+ABR!S60+ABR!B60+MAI!S60+MAI!B60+JUN!S60+JUN!B60+JUL!S60+JUL!B60+AGO!S60+AGO!B60+SET!S60+SET!B60+OUT!S60+OUT!B60+NOV!S60+NOV!B60+DEZ!S60+DEZ!B60</f>
        <v>608655.35400000005</v>
      </c>
      <c r="C58" s="35">
        <f>JAN!C60+JAN!T60+FEV!T60+FEV!C60+MAR!T60+MAR!C60+ABR!T60+ABR!C60+MAI!T60+MAI!C60+JUN!T60+JUN!C60+JUL!T60+JUL!C60+AGO!T60+AGO!C60+SET!T60+SET!C60+OUT!T60+OUT!C60+NOV!T60+NOV!C60+DEZ!T60+DEZ!C60</f>
        <v>92795.26</v>
      </c>
      <c r="D58" s="35">
        <f>JAN!D60+JAN!U60+FEV!U60+FEV!D60+MAR!U60+MAR!D60+ABR!U60+ABR!D60+MAI!U60+MAI!D60+JUN!U60+JUN!D60+JUL!U60+JUL!D60+AGO!U60+AGO!D60+SET!U60+SET!D60+OUT!U60+OUT!D60+NOV!U60+NOV!D60+DEZ!U60+DEZ!D60</f>
        <v>79876.65400000001</v>
      </c>
      <c r="E58" s="35">
        <f>JAN!E60+JAN!V60+FEV!V60+FEV!E60+MAR!V60+MAR!E60+ABR!V60+ABR!E60+MAI!V60+MAI!E60+JUN!V60+JUN!E60+JUL!V60+JUL!E60+AGO!V60+AGO!E60+SET!V60+SET!E60+OUT!V60+OUT!E60+NOV!V60+NOV!E60+DEZ!V60+DEZ!E60</f>
        <v>20711.887999999999</v>
      </c>
      <c r="F58" s="35">
        <f>JAN!F60+JAN!W60+FEV!W60+FEV!F60+MAR!W60+MAR!F60+ABR!W60+ABR!F60+MAI!W60+MAI!F60+JUN!W60+JUN!F60+JUL!W60+JUL!F60+AGO!W60+AGO!F60+SET!W60+SET!F60+OUT!W60+OUT!F60+NOV!W60+NOV!F60+DEZ!W60+DEZ!F60</f>
        <v>587306.48600000003</v>
      </c>
      <c r="G58" s="35">
        <f>JAN!G60+JAN!X60+FEV!X60+FEV!G60+MAR!X60+MAR!G60+ABR!X60+ABR!G60+MAI!X60+MAI!G60+JUN!X60+JUN!G60+JUL!X60+JUL!G60+AGO!X60+AGO!G60+SET!X60+SET!G60+OUT!X60+OUT!G60+NOV!X60+NOV!G60+DEZ!X60+DEZ!G60</f>
        <v>6420.8160000000007</v>
      </c>
      <c r="H58" s="35">
        <f>JAN!H60+JAN!Y60+FEV!Y60+FEV!H60+MAR!Y60+MAR!H60+ABR!Y60+ABR!H60+MAI!Y60+MAI!H60+JUN!Y60+JUN!H60+JUL!Y60+JUL!H60+AGO!Y60+AGO!H60+SET!Y60+SET!H60+OUT!Y60+OUT!H60+NOV!Y60+NOV!H60+DEZ!Y60+DEZ!H60</f>
        <v>18717.062000000002</v>
      </c>
      <c r="I58" s="35">
        <f>JAN!I60+JAN!Z60+FEV!Z60+FEV!I60+MAR!Z60+MAR!I60+ABR!Z60+ABR!I60+MAI!Z60+MAI!I60+JUN!Z60+JUN!I60+JUL!Z60+JUL!I60+AGO!Z60+AGO!I60+SET!Z60+SET!I60+OUT!Z60+OUT!I60+NOV!Z60+NOV!I60+DEZ!Z60+DEZ!I60</f>
        <v>1718.3020000000001</v>
      </c>
      <c r="J58" s="35">
        <f>JAN!J60+JAN!AA60+FEV!AA60+FEV!J60+MAR!AA60+MAR!J60+ABR!AA60+ABR!J60+MAI!AA60+MAI!J60+JUN!AA60+JUN!J60+JUL!AA60+JUL!J60+AGO!AA60+AGO!J60+SET!AA60+SET!J60+OUT!AA60+OUT!J60+NOV!AA60+NOV!J60+DEZ!AA60+DEZ!J60</f>
        <v>15280.05</v>
      </c>
      <c r="K58" s="35">
        <f>JAN!K60+JAN!AB60+FEV!AB60+FEV!K60+MAR!AB60+MAR!K60+ABR!AB60+ABR!K60+MAI!AB60+MAI!K60+JUN!AB60+JUN!K60+JUL!AB60+JUL!K60+AGO!AB60+AGO!K60+SET!AB60+SET!K60+OUT!AB60+OUT!K60+NOV!AB60+NOV!K60+DEZ!AB60+DEZ!K60</f>
        <v>1269.1320000000001</v>
      </c>
      <c r="L58" s="35">
        <f>JAN!L60+JAN!AC60+FEV!AC60+FEV!L60+MAR!AC60+MAR!L60+ABR!AC60+ABR!L60+MAI!AC60+MAI!L60+JUN!AC60+JUN!L60+JUL!AC60+JUL!L60+AGO!AC60+AGO!L60+SET!AC60+SET!L60+OUT!AC60+OUT!L60+NOV!AC60+NOV!L60+DEZ!AC60+DEZ!L60</f>
        <v>37.904000000000003</v>
      </c>
      <c r="M58" s="35">
        <f>JAN!M60+JAN!AD60+FEV!AD60+FEV!M60+MAR!AD60+MAR!M60+ABR!AD60+ABR!M60+MAI!AD60+MAI!M60+JUN!AD60+JUN!M60+JUL!AD60+JUL!M60+AGO!AD60+AGO!M60+SET!AD60+SET!M60+OUT!AD60+OUT!M60+NOV!AD60+NOV!M60+DEZ!AD60+DEZ!M60</f>
        <v>0</v>
      </c>
      <c r="N58" s="35">
        <f>JAN!N60+JAN!AE60+FEV!AE60+FEV!N60+MAR!AE60+MAR!N60+ABR!AE60+ABR!N60+MAI!AE60+MAI!N60+JUN!AE60+JUN!N60+JUL!AE60+JUL!N60+AGO!AE60+AGO!N60+SET!AE60+SET!N60+OUT!AE60+OUT!N60+NOV!AE60+NOV!N60+DEZ!AE60+DEZ!N60</f>
        <v>455.97399999999999</v>
      </c>
      <c r="O58" s="35">
        <f>JAN!AF60+FEV!AF60+MAR!AF60+ABR!AF60+MAI!AF60+JUN!AF60+JUL!AF60+AGO!AF60+SET!AF60+OUT!AF60+NOV!AF60+DEZ!AF60</f>
        <v>0</v>
      </c>
      <c r="P58" s="35">
        <f>JAN!AG60+FEV!AG60+MAR!AG60+ABR!AG60+MAI!AG60+JUN!AG60+JUL!AG60+AGO!AG60+SET!AG60+OUT!AG60+NOV!AG60+DEZ!AG60</f>
        <v>0</v>
      </c>
      <c r="Q58" s="4">
        <f t="shared" si="3"/>
        <v>1433244.882</v>
      </c>
      <c r="R58" s="15">
        <f t="shared" si="4"/>
        <v>43899.240000000005</v>
      </c>
    </row>
    <row r="59" spans="1:18">
      <c r="A59" s="18" t="s">
        <v>140</v>
      </c>
      <c r="B59" s="35">
        <f>JAN!B61+JAN!S61+FEV!S61+FEV!B61+MAR!S61+MAR!B61+ABR!S61+ABR!B61+MAI!S61+MAI!B61+JUN!S61+JUN!B61+JUL!S61+JUL!B61+AGO!S61+AGO!B61+SET!S61+SET!B61+OUT!S61+OUT!B61+NOV!S61+NOV!B61+DEZ!S61+DEZ!B61</f>
        <v>28498.274000000001</v>
      </c>
      <c r="C59" s="35">
        <f>JAN!C61+JAN!T61+FEV!T61+FEV!C61+MAR!T61+MAR!C61+ABR!T61+ABR!C61+MAI!T61+MAI!C61+JUN!T61+JUN!C61+JUL!T61+JUL!C61+AGO!T61+AGO!C61+SET!T61+SET!C61+OUT!T61+OUT!C61+NOV!T61+NOV!C61+DEZ!T61+DEZ!C61</f>
        <v>4071.0340000000006</v>
      </c>
      <c r="D59" s="35">
        <f>JAN!D61+JAN!U61+FEV!U61+FEV!D61+MAR!U61+MAR!D61+ABR!U61+ABR!D61+MAI!U61+MAI!D61+JUN!U61+JUN!D61+JUL!U61+JUL!D61+AGO!U61+AGO!D61+SET!U61+SET!D61+OUT!U61+OUT!D61+NOV!U61+NOV!D61+DEZ!U61+DEZ!D61</f>
        <v>4025.4620000000004</v>
      </c>
      <c r="E59" s="35">
        <f>JAN!E61+JAN!V61+FEV!V61+FEV!E61+MAR!V61+MAR!E61+ABR!V61+ABR!E61+MAI!V61+MAI!E61+JUN!V61+JUN!E61+JUL!V61+JUL!E61+AGO!V61+AGO!E61+SET!V61+SET!E61+OUT!V61+OUT!E61+NOV!V61+NOV!E61+DEZ!V61+DEZ!E61</f>
        <v>923.75800000000004</v>
      </c>
      <c r="F59" s="35">
        <f>JAN!F61+JAN!W61+FEV!W61+FEV!F61+MAR!W61+MAR!F61+ABR!W61+ABR!F61+MAI!W61+MAI!F61+JUN!W61+JUN!F61+JUL!W61+JUL!F61+AGO!W61+AGO!F61+SET!W61+SET!F61+OUT!W61+OUT!F61+NOV!W61+NOV!F61+DEZ!W61+DEZ!F61</f>
        <v>45568.520000000004</v>
      </c>
      <c r="G59" s="35">
        <f>JAN!G61+JAN!X61+FEV!X61+FEV!G61+MAR!X61+MAR!G61+ABR!X61+ABR!G61+MAI!X61+MAI!G61+JUN!X61+JUN!G61+JUL!X61+JUL!G61+AGO!X61+AGO!G61+SET!X61+SET!G61+OUT!X61+OUT!G61+NOV!X61+NOV!G61+DEZ!X61+DEZ!G61</f>
        <v>397.99200000000002</v>
      </c>
      <c r="H59" s="35">
        <f>JAN!H61+JAN!Y61+FEV!Y61+FEV!H61+MAR!Y61+MAR!H61+ABR!Y61+ABR!H61+MAI!Y61+MAI!H61+JUN!Y61+JUN!H61+JUL!Y61+JUL!H61+AGO!Y61+AGO!H61+SET!Y61+SET!H61+OUT!Y61+OUT!H61+NOV!Y61+NOV!H61+DEZ!Y61+DEZ!H61</f>
        <v>423.35200000000003</v>
      </c>
      <c r="I59" s="35">
        <f>JAN!I61+JAN!Z61+FEV!Z61+FEV!I61+MAR!Z61+MAR!I61+ABR!Z61+ABR!I61+MAI!Z61+MAI!I61+JUN!Z61+JUN!I61+JUL!Z61+JUL!I61+AGO!Z61+AGO!I61+SET!Z61+SET!I61+OUT!Z61+OUT!I61+NOV!Z61+NOV!I61+DEZ!Z61+DEZ!I61</f>
        <v>0</v>
      </c>
      <c r="J59" s="35">
        <f>JAN!J61+JAN!AA61+FEV!AA61+FEV!J61+MAR!AA61+MAR!J61+ABR!AA61+ABR!J61+MAI!AA61+MAI!J61+JUN!AA61+JUN!J61+JUL!AA61+JUL!J61+AGO!AA61+AGO!J61+SET!AA61+SET!J61+OUT!AA61+OUT!J61+NOV!AA61+NOV!J61+DEZ!AA61+DEZ!J61</f>
        <v>861.39200000000017</v>
      </c>
      <c r="K59" s="35">
        <f>JAN!K61+JAN!AB61+FEV!AB61+FEV!K61+MAR!AB61+MAR!K61+ABR!AB61+ABR!K61+MAI!AB61+MAI!K61+JUN!AB61+JUN!K61+JUL!AB61+JUL!K61+AGO!AB61+AGO!K61+SET!AB61+SET!K61+OUT!AB61+OUT!K61+NOV!AB61+NOV!K61+DEZ!AB61+DEZ!K61</f>
        <v>151.61600000000001</v>
      </c>
      <c r="L59" s="35">
        <f>JAN!L61+JAN!AC61+FEV!AC61+FEV!L61+MAR!AC61+MAR!L61+ABR!AC61+ABR!L61+MAI!AC61+MAI!L61+JUN!AC61+JUN!L61+JUL!AC61+JUL!L61+AGO!AC61+AGO!L61+SET!AC61+SET!L61+OUT!AC61+OUT!L61+NOV!AC61+NOV!L61+DEZ!AC61+DEZ!L61</f>
        <v>0</v>
      </c>
      <c r="M59" s="35">
        <f>JAN!M61+JAN!AD61+FEV!AD61+FEV!M61+MAR!AD61+MAR!M61+ABR!AD61+ABR!M61+MAI!AD61+MAI!M61+JUN!AD61+JUN!M61+JUL!AD61+JUL!M61+AGO!AD61+AGO!M61+SET!AD61+SET!M61+OUT!AD61+OUT!M61+NOV!AD61+NOV!M61+DEZ!AD61+DEZ!M61</f>
        <v>0</v>
      </c>
      <c r="N59" s="35">
        <f>JAN!N61+JAN!AE61+FEV!AE61+FEV!N61+MAR!AE61+MAR!N61+ABR!AE61+ABR!N61+MAI!AE61+MAI!N61+JUN!AE61+JUN!N61+JUL!AE61+JUL!N61+AGO!AE61+AGO!N61+SET!AE61+SET!N61+OUT!AE61+OUT!N61+NOV!AE61+NOV!N61+DEZ!AE61+DEZ!N61</f>
        <v>16.394000000000002</v>
      </c>
      <c r="O59" s="35">
        <f>JAN!AF61+FEV!AF61+MAR!AF61+ABR!AF61+MAI!AF61+JUN!AF61+JUL!AF61+AGO!AF61+SET!AF61+OUT!AF61+NOV!AF61+DEZ!AF61</f>
        <v>0</v>
      </c>
      <c r="P59" s="35">
        <f>JAN!AG61+FEV!AG61+MAR!AG61+ABR!AG61+MAI!AG61+JUN!AG61+JUL!AG61+AGO!AG61+SET!AG61+OUT!AG61+NOV!AG61+DEZ!AG61</f>
        <v>0</v>
      </c>
      <c r="Q59" s="4">
        <f t="shared" si="3"/>
        <v>84937.794000000009</v>
      </c>
      <c r="R59" s="15">
        <f t="shared" si="4"/>
        <v>1850.7460000000003</v>
      </c>
    </row>
    <row r="60" spans="1:18">
      <c r="A60" s="2" t="s">
        <v>141</v>
      </c>
      <c r="B60" s="35">
        <f>JAN!B62+JAN!S62+FEV!S62+FEV!B62+MAR!S62+MAR!B62+ABR!S62+ABR!B62+MAI!S62+MAI!B62+JUN!S62+JUN!B62+JUL!S62+JUL!B62+AGO!S62+AGO!B62+SET!S62+SET!B62+OUT!S62+OUT!B62+NOV!S62+NOV!B62+DEZ!S62+DEZ!B62</f>
        <v>6531.7919999999995</v>
      </c>
      <c r="C60" s="35">
        <f>JAN!C62+JAN!T62+FEV!T62+FEV!C62+MAR!T62+MAR!C62+ABR!T62+ABR!C62+MAI!T62+MAI!C62+JUN!T62+JUN!C62+JUL!T62+JUL!C62+AGO!T62+AGO!C62+SET!T62+SET!C62+OUT!T62+OUT!C62+NOV!T62+NOV!C62+DEZ!T62+DEZ!C62</f>
        <v>720.89600000000007</v>
      </c>
      <c r="D60" s="35">
        <f>JAN!D62+JAN!U62+FEV!U62+FEV!D62+MAR!U62+MAR!D62+ABR!U62+ABR!D62+MAI!U62+MAI!D62+JUN!U62+JUN!D62+JUL!U62+JUL!D62+AGO!U62+AGO!D62+SET!U62+SET!D62+OUT!U62+OUT!D62+NOV!U62+NOV!D62+DEZ!U62+DEZ!D62</f>
        <v>625.18599999999992</v>
      </c>
      <c r="E60" s="35">
        <f>JAN!E62+JAN!V62+FEV!V62+FEV!E62+MAR!V62+MAR!E62+ABR!V62+ABR!E62+MAI!V62+MAI!E62+JUN!V62+JUN!E62+JUL!V62+JUL!E62+AGO!V62+AGO!E62+SET!V62+SET!E62+OUT!V62+OUT!E62+NOV!V62+NOV!E62+DEZ!V62+DEZ!E62</f>
        <v>38.108000000000004</v>
      </c>
      <c r="F60" s="35">
        <f>JAN!F62+JAN!W62+FEV!W62+FEV!F62+MAR!W62+MAR!F62+ABR!W62+ABR!F62+MAI!W62+MAI!F62+JUN!W62+JUN!F62+JUL!W62+JUL!F62+AGO!W62+AGO!F62+SET!W62+SET!F62+OUT!W62+OUT!F62+NOV!W62+NOV!F62+DEZ!W62+DEZ!F62</f>
        <v>9414.5800000000017</v>
      </c>
      <c r="G60" s="35">
        <f>JAN!G62+JAN!X62+FEV!X62+FEV!G62+MAR!X62+MAR!G62+ABR!X62+ABR!G62+MAI!X62+MAI!G62+JUN!X62+JUN!G62+JUL!X62+JUL!G62+AGO!X62+AGO!G62+SET!X62+SET!G62+OUT!X62+OUT!G62+NOV!X62+NOV!G62+DEZ!X62+DEZ!G62</f>
        <v>113.71199999999999</v>
      </c>
      <c r="H60" s="35">
        <f>JAN!H62+JAN!Y62+FEV!Y62+FEV!H62+MAR!Y62+MAR!H62+ABR!Y62+ABR!H62+MAI!Y62+MAI!H62+JUN!Y62+JUN!H62+JUL!Y62+JUL!H62+AGO!Y62+AGO!H62+SET!Y62+SET!H62+OUT!Y62+OUT!H62+NOV!Y62+NOV!H62+DEZ!Y62+DEZ!H62</f>
        <v>59.198000000000008</v>
      </c>
      <c r="I60" s="35">
        <f>JAN!I62+JAN!Z62+FEV!Z62+FEV!I62+MAR!Z62+MAR!I62+ABR!Z62+ABR!I62+MAI!Z62+MAI!I62+JUN!Z62+JUN!I62+JUL!Z62+JUL!I62+AGO!Z62+AGO!I62+SET!Z62+SET!I62+OUT!Z62+OUT!I62+NOV!Z62+NOV!I62+DEZ!Z62+DEZ!I62</f>
        <v>0</v>
      </c>
      <c r="J60" s="35">
        <f>JAN!J62+JAN!AA62+FEV!AA62+FEV!J62+MAR!AA62+MAR!J62+ABR!AA62+ABR!J62+MAI!AA62+MAI!J62+JUN!AA62+JUN!J62+JUL!AA62+JUL!J62+AGO!AA62+AGO!J62+SET!AA62+SET!J62+OUT!AA62+OUT!J62+NOV!AA62+NOV!J62+DEZ!AA62+DEZ!J62</f>
        <v>130.75600000000003</v>
      </c>
      <c r="K60" s="35">
        <f>JAN!K62+JAN!AB62+FEV!AB62+FEV!K62+MAR!AB62+MAR!K62+ABR!AB62+ABR!K62+MAI!AB62+MAI!K62+JUN!AB62+JUN!K62+JUL!AB62+JUL!K62+AGO!AB62+AGO!K62+SET!AB62+SET!K62+OUT!AB62+OUT!K62+NOV!AB62+NOV!K62+DEZ!AB62+DEZ!K62</f>
        <v>0</v>
      </c>
      <c r="L60" s="35">
        <f>JAN!L62+JAN!AC62+FEV!AC62+FEV!L62+MAR!AC62+MAR!L62+ABR!AC62+ABR!L62+MAI!AC62+MAI!L62+JUN!AC62+JUN!L62+JUL!AC62+JUL!L62+AGO!AC62+AGO!L62+SET!AC62+SET!L62+OUT!AC62+OUT!L62+NOV!AC62+NOV!L62+DEZ!AC62+DEZ!L62</f>
        <v>0</v>
      </c>
      <c r="M60" s="35">
        <f>JAN!M62+JAN!AD62+FEV!AD62+FEV!M62+MAR!AD62+MAR!M62+ABR!AD62+ABR!M62+MAI!AD62+MAI!M62+JUN!AD62+JUN!M62+JUL!AD62+JUL!M62+AGO!AD62+AGO!M62+SET!AD62+SET!M62+OUT!AD62+OUT!M62+NOV!AD62+NOV!M62+DEZ!AD62+DEZ!M62</f>
        <v>0</v>
      </c>
      <c r="N60" s="35">
        <f>JAN!N62+JAN!AE62+FEV!AE62+FEV!N62+MAR!AE62+MAR!N62+ABR!AE62+ABR!N62+MAI!AE62+MAI!N62+JUN!AE62+JUN!N62+JUL!AE62+JUL!N62+AGO!AE62+AGO!N62+SET!AE62+SET!N62+OUT!AE62+OUT!N62+NOV!AE62+NOV!N62+DEZ!AE62+DEZ!N62</f>
        <v>0</v>
      </c>
      <c r="O60" s="35">
        <f>JAN!AF62+FEV!AF62+MAR!AF62+ABR!AF62+MAI!AF62+JUN!AF62+JUL!AF62+AGO!AF62+SET!AF62+OUT!AF62+NOV!AF62+DEZ!AF62</f>
        <v>0</v>
      </c>
      <c r="P60" s="35">
        <f>JAN!AG62+FEV!AG62+MAR!AG62+ABR!AG62+MAI!AG62+JUN!AG62+JUL!AG62+AGO!AG62+SET!AG62+OUT!AG62+NOV!AG62+DEZ!AG62</f>
        <v>0</v>
      </c>
      <c r="Q60" s="4">
        <f t="shared" si="3"/>
        <v>17634.228000000003</v>
      </c>
      <c r="R60" s="15">
        <f t="shared" si="4"/>
        <v>303.66600000000005</v>
      </c>
    </row>
    <row r="61" spans="1:18">
      <c r="A61" s="1" t="s">
        <v>142</v>
      </c>
      <c r="B61" s="35">
        <f>JAN!B63+JAN!S63+FEV!S63+FEV!B63+MAR!S63+MAR!B63+ABR!S63+ABR!B63+MAI!S63+MAI!B63+JUN!S63+JUN!B63+JUL!S63+JUL!B63+AGO!S63+AGO!B63+SET!S63+SET!B63+OUT!S63+OUT!B63+NOV!S63+NOV!B63+DEZ!S63+DEZ!B63</f>
        <v>387501.69</v>
      </c>
      <c r="C61" s="35">
        <f>JAN!C63+JAN!T63+FEV!T63+FEV!C63+MAR!T63+MAR!C63+ABR!T63+ABR!C63+MAI!T63+MAI!C63+JUN!T63+JUN!C63+JUL!T63+JUL!C63+AGO!T63+AGO!C63+SET!T63+SET!C63+OUT!T63+OUT!C63+NOV!T63+NOV!C63+DEZ!T63+DEZ!C63</f>
        <v>40872.68</v>
      </c>
      <c r="D61" s="35">
        <f>JAN!D63+JAN!U63+FEV!U63+FEV!D63+MAR!U63+MAR!D63+ABR!U63+ABR!D63+MAI!U63+MAI!D63+JUN!U63+JUN!D63+JUL!U63+JUL!D63+AGO!U63+AGO!D63+SET!U63+SET!D63+OUT!U63+OUT!D63+NOV!U63+NOV!D63+DEZ!U63+DEZ!D63</f>
        <v>48495.274000000005</v>
      </c>
      <c r="E61" s="35">
        <f>JAN!E63+JAN!V63+FEV!V63+FEV!E63+MAR!V63+MAR!E63+ABR!V63+ABR!E63+MAI!V63+MAI!E63+JUN!V63+JUN!E63+JUL!V63+JUL!E63+AGO!V63+AGO!E63+SET!V63+SET!E63+OUT!V63+OUT!E63+NOV!V63+NOV!E63+DEZ!V63+DEZ!E63</f>
        <v>8460.3480000000018</v>
      </c>
      <c r="F61" s="35">
        <f>JAN!F63+JAN!W63+FEV!W63+FEV!F63+MAR!W63+MAR!F63+ABR!W63+ABR!F63+MAI!W63+MAI!F63+JUN!W63+JUN!F63+JUL!W63+JUL!F63+AGO!W63+AGO!F63+SET!W63+SET!F63+OUT!W63+OUT!F63+NOV!W63+NOV!F63+DEZ!W63+DEZ!F63</f>
        <v>331540.64</v>
      </c>
      <c r="G61" s="35">
        <f>JAN!G63+JAN!X63+FEV!X63+FEV!G63+MAR!X63+MAR!G63+ABR!X63+ABR!G63+MAI!X63+MAI!G63+JUN!X63+JUN!G63+JUL!X63+JUL!G63+AGO!X63+AGO!G63+SET!X63+SET!G63+OUT!X63+OUT!G63+NOV!X63+NOV!G63+DEZ!X63+DEZ!G63</f>
        <v>3106.172</v>
      </c>
      <c r="H61" s="35">
        <f>JAN!H63+JAN!Y63+FEV!Y63+FEV!H63+MAR!Y63+MAR!H63+ABR!Y63+ABR!H63+MAI!Y63+MAI!H63+JUN!Y63+JUN!H63+JUL!Y63+JUL!H63+AGO!Y63+AGO!H63+SET!Y63+SET!H63+OUT!Y63+OUT!H63+NOV!Y63+NOV!H63+DEZ!Y63+DEZ!H63</f>
        <v>6028.82</v>
      </c>
      <c r="I61" s="35">
        <f>JAN!I63+JAN!Z63+FEV!Z63+FEV!I63+MAR!Z63+MAR!I63+ABR!Z63+ABR!I63+MAI!Z63+MAI!I63+JUN!Z63+JUN!I63+JUL!Z63+JUL!I63+AGO!Z63+AGO!I63+SET!Z63+SET!I63+OUT!Z63+OUT!I63+NOV!Z63+NOV!I63+DEZ!Z63+DEZ!I63</f>
        <v>0</v>
      </c>
      <c r="J61" s="35">
        <f>JAN!J63+JAN!AA63+FEV!AA63+FEV!J63+MAR!AA63+MAR!J63+ABR!AA63+ABR!J63+MAI!AA63+MAI!J63+JUN!AA63+JUN!J63+JUL!AA63+JUL!J63+AGO!AA63+AGO!J63+SET!AA63+SET!J63+OUT!AA63+OUT!J63+NOV!AA63+NOV!J63+DEZ!AA63+DEZ!J63</f>
        <v>7102.0480000000007</v>
      </c>
      <c r="K61" s="35">
        <f>JAN!K63+JAN!AB63+FEV!AB63+FEV!K63+MAR!AB63+MAR!K63+ABR!AB63+ABR!K63+MAI!AB63+MAI!K63+JUN!AB63+JUN!K63+JUL!AB63+JUL!K63+AGO!AB63+AGO!K63+SET!AB63+SET!K63+OUT!AB63+OUT!K63+NOV!AB63+NOV!K63+DEZ!AB63+DEZ!K63</f>
        <v>379.04</v>
      </c>
      <c r="L61" s="35">
        <f>JAN!L63+JAN!AC63+FEV!AC63+FEV!L63+MAR!AC63+MAR!L63+ABR!AC63+ABR!L63+MAI!AC63+MAI!L63+JUN!AC63+JUN!L63+JUL!AC63+JUL!L63+AGO!AC63+AGO!L63+SET!AC63+SET!L63+OUT!AC63+OUT!L63+NOV!AC63+NOV!L63+DEZ!AC63+DEZ!L63</f>
        <v>37.904000000000003</v>
      </c>
      <c r="M61" s="35">
        <f>JAN!M63+JAN!AD63+FEV!AD63+FEV!M63+MAR!AD63+MAR!M63+ABR!AD63+ABR!M63+MAI!AD63+MAI!M63+JUN!AD63+JUN!M63+JUL!AD63+JUL!M63+AGO!AD63+AGO!M63+SET!AD63+SET!M63+OUT!AD63+OUT!M63+NOV!AD63+NOV!M63+DEZ!AD63+DEZ!M63</f>
        <v>54.084000000000003</v>
      </c>
      <c r="N61" s="35">
        <f>JAN!N63+JAN!AE63+FEV!AE63+FEV!N63+MAR!AE63+MAR!N63+ABR!AE63+ABR!N63+MAI!AE63+MAI!N63+JUN!AE63+JUN!N63+JUL!AE63+JUL!N63+AGO!AE63+AGO!N63+SET!AE63+SET!N63+OUT!AE63+OUT!N63+NOV!AE63+NOV!N63+DEZ!AE63+DEZ!N63</f>
        <v>380.86199999999997</v>
      </c>
      <c r="O61" s="35">
        <f>JAN!AF63+FEV!AF63+MAR!AF63+ABR!AF63+MAI!AF63+JUN!AF63+JUL!AF63+AGO!AF63+SET!AF63+OUT!AF63+NOV!AF63+DEZ!AF63</f>
        <v>0</v>
      </c>
      <c r="P61" s="35">
        <f>JAN!AG63+FEV!AG63+MAR!AG63+ABR!AG63+MAI!AG63+JUN!AG63+JUL!AG63+AGO!AG63+SET!AG63+OUT!AG63+NOV!AG63+DEZ!AG63</f>
        <v>0</v>
      </c>
      <c r="Q61" s="4">
        <f t="shared" si="3"/>
        <v>833959.56199999992</v>
      </c>
      <c r="R61" s="15">
        <f t="shared" si="4"/>
        <v>17088.93</v>
      </c>
    </row>
    <row r="62" spans="1:18">
      <c r="A62" s="1" t="s">
        <v>143</v>
      </c>
      <c r="B62" s="35">
        <f>JAN!B64+JAN!S64+FEV!S64+FEV!B64+MAR!S64+MAR!B64+ABR!S64+ABR!B64+MAI!S64+MAI!B64+JUN!S64+JUN!B64+JUL!S64+JUL!B64+AGO!S64+AGO!B64+SET!S64+SET!B64+OUT!S64+OUT!B64+NOV!S64+NOV!B64+DEZ!S64+DEZ!B64</f>
        <v>2126764.56</v>
      </c>
      <c r="C62" s="35">
        <f>JAN!C64+JAN!T64+FEV!T64+FEV!C64+MAR!T64+MAR!C64+ABR!T64+ABR!C64+MAI!T64+MAI!C64+JUN!T64+JUN!C64+JUL!T64+JUL!C64+AGO!T64+AGO!C64+SET!T64+SET!C64+OUT!T64+OUT!C64+NOV!T64+NOV!C64+DEZ!T64+DEZ!C64</f>
        <v>287683.84399999998</v>
      </c>
      <c r="D62" s="35">
        <f>JAN!D64+JAN!U64+FEV!U64+FEV!D64+MAR!U64+MAR!D64+ABR!U64+ABR!D64+MAI!U64+MAI!D64+JUN!U64+JUN!D64+JUL!U64+JUL!D64+AGO!U64+AGO!D64+SET!U64+SET!D64+OUT!U64+OUT!D64+NOV!U64+NOV!D64+DEZ!U64+DEZ!D64</f>
        <v>259159.76600000003</v>
      </c>
      <c r="E62" s="35">
        <f>JAN!E64+JAN!V64+FEV!V64+FEV!E64+MAR!V64+MAR!E64+ABR!V64+ABR!E64+MAI!V64+MAI!E64+JUN!V64+JUN!E64+JUL!V64+JUL!E64+AGO!V64+AGO!E64+SET!V64+SET!E64+OUT!V64+OUT!E64+NOV!V64+NOV!E64+DEZ!V64+DEZ!E64</f>
        <v>38594.15</v>
      </c>
      <c r="F62" s="35">
        <f>JAN!F64+JAN!W64+FEV!W64+FEV!F64+MAR!W64+MAR!F64+ABR!W64+ABR!F64+MAI!W64+MAI!F64+JUN!W64+JUN!F64+JUL!W64+JUL!F64+AGO!W64+AGO!F64+SET!W64+SET!F64+OUT!W64+OUT!F64+NOV!W64+NOV!F64+DEZ!W64+DEZ!F64</f>
        <v>1944577.5320000001</v>
      </c>
      <c r="G62" s="35">
        <f>JAN!G64+JAN!X64+FEV!X64+FEV!G64+MAR!X64+MAR!G64+ABR!X64+ABR!G64+MAI!X64+MAI!G64+JUN!X64+JUN!G64+JUL!X64+JUL!G64+AGO!X64+AGO!G64+SET!X64+SET!G64+OUT!X64+OUT!G64+NOV!X64+NOV!G64+DEZ!X64+DEZ!G64</f>
        <v>16583.038</v>
      </c>
      <c r="H62" s="35">
        <f>JAN!H64+JAN!Y64+FEV!Y64+FEV!H64+MAR!Y64+MAR!H64+ABR!Y64+ABR!H64+MAI!Y64+MAI!H64+JUN!Y64+JUN!H64+JUL!Y64+JUL!H64+AGO!Y64+AGO!H64+SET!Y64+SET!H64+OUT!Y64+OUT!H64+NOV!Y64+NOV!H64+DEZ!Y64+DEZ!H64</f>
        <v>56089.888000000006</v>
      </c>
      <c r="I62" s="35">
        <f>JAN!I64+JAN!Z64+FEV!Z64+FEV!I64+MAR!Z64+MAR!I64+ABR!Z64+ABR!I64+MAI!Z64+MAI!I64+JUN!Z64+JUN!I64+JUL!Z64+JUL!I64+AGO!Z64+AGO!I64+SET!Z64+SET!I64+OUT!Z64+OUT!I64+NOV!Z64+NOV!I64+DEZ!Z64+DEZ!I64</f>
        <v>3565.9680000000003</v>
      </c>
      <c r="J62" s="35">
        <f>JAN!J64+JAN!AA64+FEV!AA64+FEV!J64+MAR!AA64+MAR!J64+ABR!AA64+ABR!J64+MAI!AA64+MAI!J64+JUN!AA64+JUN!J64+JUL!AA64+JUL!J64+AGO!AA64+AGO!J64+SET!AA64+SET!J64+OUT!AA64+OUT!J64+NOV!AA64+NOV!J64+DEZ!AA64+DEZ!J64</f>
        <v>45429.962599999999</v>
      </c>
      <c r="K62" s="35">
        <f>JAN!K64+JAN!AB64+FEV!AB64+FEV!K64+MAR!AB64+MAR!K64+ABR!AB64+ABR!K64+MAI!AB64+MAI!K64+JUN!AB64+JUN!K64+JUL!AB64+JUL!K64+AGO!AB64+AGO!K64+SET!AB64+SET!K64+OUT!AB64+OUT!K64+NOV!AB64+NOV!K64+DEZ!AB64+DEZ!K64</f>
        <v>3637.48</v>
      </c>
      <c r="L62" s="35">
        <f>JAN!L64+JAN!AC64+FEV!AC64+FEV!L64+MAR!AC64+MAR!L64+ABR!AC64+ABR!L64+MAI!AC64+MAI!L64+JUN!AC64+JUN!L64+JUL!AC64+JUL!L64+AGO!AC64+AGO!L64+SET!AC64+SET!L64+OUT!AC64+OUT!L64+NOV!AC64+NOV!L64+DEZ!AC64+DEZ!L64</f>
        <v>567.25599999999997</v>
      </c>
      <c r="M62" s="35">
        <f>JAN!M64+JAN!AD64+FEV!AD64+FEV!M64+MAR!AD64+MAR!M64+ABR!AD64+ABR!M64+MAI!AD64+MAI!M64+JUN!AD64+JUN!M64+JUL!AD64+JUL!M64+AGO!AD64+AGO!M64+SET!AD64+SET!M64+OUT!AD64+OUT!M64+NOV!AD64+NOV!M64+DEZ!AD64+DEZ!M64</f>
        <v>0</v>
      </c>
      <c r="N62" s="35">
        <f>JAN!N64+JAN!AE64+FEV!AE64+FEV!N64+MAR!AE64+MAR!N64+ABR!AE64+ABR!N64+MAI!AE64+MAI!N64+JUN!AE64+JUN!N64+JUL!AE64+JUL!N64+AGO!AE64+AGO!N64+SET!AE64+SET!N64+OUT!AE64+OUT!N64+NOV!AE64+NOV!N64+DEZ!AE64+DEZ!N64</f>
        <v>3060.44</v>
      </c>
      <c r="O62" s="35">
        <f>JAN!AF64+FEV!AF64+MAR!AF64+ABR!AF64+MAI!AF64+JUN!AF64+JUL!AF64+AGO!AF64+SET!AF64+OUT!AF64+NOV!AF64+DEZ!AF64</f>
        <v>0</v>
      </c>
      <c r="P62" s="35">
        <f>JAN!AG64+FEV!AG64+MAR!AG64+ABR!AG64+MAI!AG64+JUN!AG64+JUL!AG64+AGO!AG64+SET!AG64+OUT!AG64+NOV!AG64+DEZ!AG64</f>
        <v>0</v>
      </c>
      <c r="Q62" s="4">
        <f t="shared" si="3"/>
        <v>4785713.8846000014</v>
      </c>
      <c r="R62" s="15">
        <f t="shared" si="4"/>
        <v>128934.03259999999</v>
      </c>
    </row>
    <row r="63" spans="1:18">
      <c r="A63" s="1" t="s">
        <v>144</v>
      </c>
      <c r="B63" s="35">
        <f>JAN!B65+JAN!S65+FEV!S65+FEV!B65+MAR!S65+MAR!B65+ABR!S65+ABR!B65+MAI!S65+MAI!B65+JUN!S65+JUN!B65+JUL!S65+JUL!B65+AGO!S65+AGO!B65+SET!S65+SET!B65+OUT!S65+OUT!B65+NOV!S65+NOV!B65+DEZ!S65+DEZ!B65</f>
        <v>42503.224000000009</v>
      </c>
      <c r="C63" s="35">
        <f>JAN!C65+JAN!T65+FEV!T65+FEV!C65+MAR!T65+MAR!C65+ABR!T65+ABR!C65+MAI!T65+MAI!C65+JUN!T65+JUN!C65+JUL!T65+JUL!C65+AGO!T65+AGO!C65+SET!T65+SET!C65+OUT!T65+OUT!C65+NOV!T65+NOV!C65+DEZ!T65+DEZ!C65</f>
        <v>10481.482000000002</v>
      </c>
      <c r="D63" s="35">
        <f>JAN!D65+JAN!U65+FEV!U65+FEV!D65+MAR!U65+MAR!D65+ABR!U65+ABR!D65+MAI!U65+MAI!D65+JUN!U65+JUN!D65+JUL!U65+JUL!D65+AGO!U65+AGO!D65+SET!U65+SET!D65+OUT!U65+OUT!D65+NOV!U65+NOV!D65+DEZ!U65+DEZ!D65</f>
        <v>4971.7220000000007</v>
      </c>
      <c r="E63" s="35">
        <f>JAN!E65+JAN!V65+FEV!V65+FEV!E65+MAR!V65+MAR!E65+ABR!V65+ABR!E65+MAI!V65+MAI!E65+JUN!V65+JUN!E65+JUL!V65+JUL!E65+AGO!V65+AGO!E65+SET!V65+SET!E65+OUT!V65+OUT!E65+NOV!V65+NOV!E65+DEZ!V65+DEZ!E65</f>
        <v>667.38</v>
      </c>
      <c r="F63" s="35">
        <f>JAN!F65+JAN!W65+FEV!W65+FEV!F65+MAR!W65+MAR!F65+ABR!W65+ABR!F65+MAI!W65+MAI!F65+JUN!W65+JUN!F65+JUL!W65+JUL!F65+AGO!W65+AGO!F65+SET!W65+SET!F65+OUT!W65+OUT!F65+NOV!W65+NOV!F65+DEZ!W65+DEZ!F65</f>
        <v>39297.364000000001</v>
      </c>
      <c r="G63" s="35">
        <f>JAN!G65+JAN!X65+FEV!X65+FEV!G65+MAR!X65+MAR!G65+ABR!X65+ABR!G65+MAI!X65+MAI!G65+JUN!X65+JUN!G65+JUL!X65+JUL!G65+AGO!X65+AGO!G65+SET!X65+SET!G65+OUT!X65+OUT!G65+NOV!X65+NOV!G65+DEZ!X65+DEZ!G65</f>
        <v>1212.9280000000001</v>
      </c>
      <c r="H63" s="35">
        <f>JAN!H65+JAN!Y65+FEV!Y65+FEV!H65+MAR!Y65+MAR!H65+ABR!Y65+ABR!H65+MAI!Y65+MAI!H65+JUN!Y65+JUN!H65+JUL!Y65+JUL!H65+AGO!Y65+AGO!H65+SET!Y65+SET!H65+OUT!Y65+OUT!H65+NOV!Y65+NOV!H65+DEZ!Y65+DEZ!H65</f>
        <v>959.92800000000011</v>
      </c>
      <c r="I63" s="35">
        <f>JAN!I65+JAN!Z65+FEV!Z65+FEV!I65+MAR!Z65+MAR!I65+ABR!Z65+ABR!I65+MAI!Z65+MAI!I65+JUN!Z65+JUN!I65+JUL!Z65+JUL!I65+AGO!Z65+AGO!I65+SET!Z65+SET!I65+OUT!Z65+OUT!I65+NOV!Z65+NOV!I65+DEZ!Z65+DEZ!I65</f>
        <v>0</v>
      </c>
      <c r="J63" s="35">
        <f>JAN!J65+JAN!AA65+FEV!AA65+FEV!J65+MAR!AA65+MAR!J65+ABR!AA65+ABR!J65+MAI!AA65+MAI!J65+JUN!AA65+JUN!J65+JUL!AA65+JUL!J65+AGO!AA65+AGO!J65+SET!AA65+SET!J65+OUT!AA65+OUT!J65+NOV!AA65+NOV!J65+DEZ!AA65+DEZ!J65</f>
        <v>1804.8920000000001</v>
      </c>
      <c r="K63" s="35">
        <f>JAN!K65+JAN!AB65+FEV!AB65+FEV!K65+MAR!AB65+MAR!K65+ABR!AB65+ABR!K65+MAI!AB65+MAI!K65+JUN!AB65+JUN!K65+JUL!AB65+JUL!K65+AGO!AB65+AGO!K65+SET!AB65+SET!K65+OUT!AB65+OUT!K65+NOV!AB65+NOV!K65+DEZ!AB65+DEZ!K65</f>
        <v>132.66399999999999</v>
      </c>
      <c r="L63" s="35">
        <f>JAN!L65+JAN!AC65+FEV!AC65+FEV!L65+MAR!AC65+MAR!L65+ABR!AC65+ABR!L65+MAI!AC65+MAI!L65+JUN!AC65+JUN!L65+JUL!AC65+JUL!L65+AGO!AC65+AGO!L65+SET!AC65+SET!L65+OUT!AC65+OUT!L65+NOV!AC65+NOV!L65+DEZ!AC65+DEZ!L65</f>
        <v>0</v>
      </c>
      <c r="M63" s="35">
        <f>JAN!M65+JAN!AD65+FEV!AD65+FEV!M65+MAR!AD65+MAR!M65+ABR!AD65+ABR!M65+MAI!AD65+MAI!M65+JUN!AD65+JUN!M65+JUL!AD65+JUL!M65+AGO!AD65+AGO!M65+SET!AD65+SET!M65+OUT!AD65+OUT!M65+NOV!AD65+NOV!M65+DEZ!AD65+DEZ!M65</f>
        <v>0</v>
      </c>
      <c r="N63" s="35">
        <f>JAN!N65+JAN!AE65+FEV!AE65+FEV!N65+MAR!AE65+MAR!N65+ABR!AE65+ABR!N65+MAI!AE65+MAI!N65+JUN!AE65+JUN!N65+JUL!AE65+JUL!N65+AGO!AE65+AGO!N65+SET!AE65+SET!N65+OUT!AE65+OUT!N65+NOV!AE65+NOV!N65+DEZ!AE65+DEZ!N65</f>
        <v>38.696000000000005</v>
      </c>
      <c r="O63" s="35">
        <f>JAN!AF65+FEV!AF65+MAR!AF65+ABR!AF65+MAI!AF65+JUN!AF65+JUL!AF65+AGO!AF65+SET!AF65+OUT!AF65+NOV!AF65+DEZ!AF65</f>
        <v>0</v>
      </c>
      <c r="P63" s="35">
        <f>JAN!AG65+FEV!AG65+MAR!AG65+ABR!AG65+MAI!AG65+JUN!AG65+JUL!AG65+AGO!AG65+SET!AG65+OUT!AG65+NOV!AG65+DEZ!AG65</f>
        <v>0</v>
      </c>
      <c r="Q63" s="4">
        <f t="shared" si="3"/>
        <v>102070.28000000003</v>
      </c>
      <c r="R63" s="15">
        <f t="shared" si="4"/>
        <v>4149.1080000000002</v>
      </c>
    </row>
    <row r="64" spans="1:18">
      <c r="A64" s="1" t="s">
        <v>145</v>
      </c>
      <c r="B64" s="35">
        <f>JAN!B66+JAN!S66+FEV!S66+FEV!B66+MAR!S66+MAR!B66+ABR!S66+ABR!B66+MAI!S66+MAI!B66+JUN!S66+JUN!B66+JUL!S66+JUL!B66+AGO!S66+AGO!B66+SET!S66+SET!B66+OUT!S66+OUT!B66+NOV!S66+NOV!B66+DEZ!S66+DEZ!B66</f>
        <v>20373.028000000002</v>
      </c>
      <c r="C64" s="35">
        <f>JAN!C66+JAN!T66+FEV!T66+FEV!C66+MAR!T66+MAR!C66+ABR!T66+ABR!C66+MAI!T66+MAI!C66+JUN!T66+JUN!C66+JUL!T66+JUL!C66+AGO!T66+AGO!C66+SET!T66+SET!C66+OUT!T66+OUT!C66+NOV!T66+NOV!C66+DEZ!T66+DEZ!C66</f>
        <v>5079.866</v>
      </c>
      <c r="D64" s="35">
        <f>JAN!D66+JAN!U66+FEV!U66+FEV!D66+MAR!U66+MAR!D66+ABR!U66+ABR!D66+MAI!U66+MAI!D66+JUN!U66+JUN!D66+JUL!U66+JUL!D66+AGO!U66+AGO!D66+SET!U66+SET!D66+OUT!U66+OUT!D66+NOV!U66+NOV!D66+DEZ!U66+DEZ!D66</f>
        <v>2767.598</v>
      </c>
      <c r="E64" s="35">
        <f>JAN!E66+JAN!V66+FEV!V66+FEV!E66+MAR!V66+MAR!E66+ABR!V66+ABR!E66+MAI!V66+MAI!E66+JUN!V66+JUN!E66+JUL!V66+JUL!E66+AGO!V66+AGO!E66+SET!V66+SET!E66+OUT!V66+OUT!E66+NOV!V66+NOV!E66+DEZ!V66+DEZ!E66</f>
        <v>1783.9260000000002</v>
      </c>
      <c r="F64" s="35">
        <f>JAN!F66+JAN!W66+FEV!W66+FEV!F66+MAR!W66+MAR!F66+ABR!W66+ABR!F66+MAI!W66+MAI!F66+JUN!W66+JUN!F66+JUL!W66+JUL!F66+AGO!W66+AGO!F66+SET!W66+SET!F66+OUT!W66+OUT!F66+NOV!W66+NOV!F66+DEZ!W66+DEZ!F66</f>
        <v>24631.08</v>
      </c>
      <c r="G64" s="35">
        <f>JAN!G66+JAN!X66+FEV!X66+FEV!G66+MAR!X66+MAR!G66+ABR!X66+ABR!G66+MAI!X66+MAI!G66+JUN!X66+JUN!G66+JUL!X66+JUL!G66+AGO!X66+AGO!G66+SET!X66+SET!G66+OUT!X66+OUT!G66+NOV!X66+NOV!G66+DEZ!X66+DEZ!G66</f>
        <v>379.03999999999996</v>
      </c>
      <c r="H64" s="35">
        <f>JAN!H66+JAN!Y66+FEV!Y66+FEV!H66+MAR!Y66+MAR!H66+ABR!Y66+ABR!H66+MAI!Y66+MAI!H66+JUN!Y66+JUN!H66+JUL!Y66+JUL!H66+AGO!Y66+AGO!H66+SET!Y66+SET!H66+OUT!Y66+OUT!H66+NOV!Y66+NOV!H66+DEZ!Y66+DEZ!H66</f>
        <v>1284.3679999999999</v>
      </c>
      <c r="I64" s="35">
        <f>JAN!I66+JAN!Z66+FEV!Z66+FEV!I66+MAR!Z66+MAR!I66+ABR!Z66+ABR!I66+MAI!Z66+MAI!I66+JUN!Z66+JUN!I66+JUL!Z66+JUL!I66+AGO!Z66+AGO!I66+SET!Z66+SET!I66+OUT!Z66+OUT!I66+NOV!Z66+NOV!I66+DEZ!Z66+DEZ!I66</f>
        <v>438.42399999999998</v>
      </c>
      <c r="J64" s="35">
        <f>JAN!J66+JAN!AA66+FEV!AA66+FEV!J66+MAR!AA66+MAR!J66+ABR!AA66+ABR!J66+MAI!AA66+MAI!J66+JUN!AA66+JUN!J66+JUL!AA66+JUL!J66+AGO!AA66+AGO!J66+SET!AA66+SET!J66+OUT!AA66+OUT!J66+NOV!AA66+NOV!J66+DEZ!AA66+DEZ!J66</f>
        <v>769.31400000000019</v>
      </c>
      <c r="K64" s="35">
        <f>JAN!K66+JAN!AB66+FEV!AB66+FEV!K66+MAR!AB66+MAR!K66+ABR!AB66+ABR!K66+MAI!AB66+MAI!K66+JUN!AB66+JUN!K66+JUL!AB66+JUL!K66+AGO!AB66+AGO!K66+SET!AB66+SET!K66+OUT!AB66+OUT!K66+NOV!AB66+NOV!K66+DEZ!AB66+DEZ!K66</f>
        <v>113.712</v>
      </c>
      <c r="L64" s="35">
        <f>JAN!L66+JAN!AC66+FEV!AC66+FEV!L66+MAR!AC66+MAR!L66+ABR!AC66+ABR!L66+MAI!AC66+MAI!L66+JUN!AC66+JUN!L66+JUL!AC66+JUL!L66+AGO!AC66+AGO!L66+SET!AC66+SET!L66+OUT!AC66+OUT!L66+NOV!AC66+NOV!L66+DEZ!AC66+DEZ!L66</f>
        <v>36.6</v>
      </c>
      <c r="M64" s="35">
        <f>JAN!M66+JAN!AD66+FEV!AD66+FEV!M66+MAR!AD66+MAR!M66+ABR!AD66+ABR!M66+MAI!AD66+MAI!M66+JUN!AD66+JUN!M66+JUL!AD66+JUL!M66+AGO!AD66+AGO!M66+SET!AD66+SET!M66+OUT!AD66+OUT!M66+NOV!AD66+NOV!M66+DEZ!AD66+DEZ!M66</f>
        <v>0</v>
      </c>
      <c r="N64" s="35">
        <f>JAN!N66+JAN!AE66+FEV!AE66+FEV!N66+MAR!AE66+MAR!N66+ABR!AE66+ABR!N66+MAI!AE66+MAI!N66+JUN!AE66+JUN!N66+JUL!AE66+JUL!N66+AGO!AE66+AGO!N66+SET!AE66+SET!N66+OUT!AE66+OUT!N66+NOV!AE66+NOV!N66+DEZ!AE66+DEZ!N66</f>
        <v>16.584000000000003</v>
      </c>
      <c r="O64" s="35">
        <f>JAN!AF66+FEV!AF66+MAR!AF66+ABR!AF66+MAI!AF66+JUN!AF66+JUL!AF66+AGO!AF66+SET!AF66+OUT!AF66+NOV!AF66+DEZ!AF66</f>
        <v>0</v>
      </c>
      <c r="P64" s="35">
        <f>JAN!AG66+FEV!AG66+MAR!AG66+ABR!AG66+MAI!AG66+JUN!AG66+JUL!AG66+AGO!AG66+SET!AG66+OUT!AG66+NOV!AG66+DEZ!AG66</f>
        <v>130.04599999999999</v>
      </c>
      <c r="Q64" s="4">
        <f>SUM(B64:P64)</f>
        <v>57803.586000000003</v>
      </c>
      <c r="R64" s="15">
        <f t="shared" si="4"/>
        <v>3168.0879999999997</v>
      </c>
    </row>
    <row r="65" spans="1:18">
      <c r="A65" s="8" t="s">
        <v>37</v>
      </c>
      <c r="B65" s="9">
        <f t="shared" ref="B65:Q65" si="5">SUM(B38:B64)</f>
        <v>6337467.0480000004</v>
      </c>
      <c r="C65" s="9">
        <f t="shared" si="5"/>
        <v>949044.08799999999</v>
      </c>
      <c r="D65" s="9">
        <f t="shared" si="5"/>
        <v>798386.93800000008</v>
      </c>
      <c r="E65" s="9">
        <f t="shared" si="5"/>
        <v>154164.98200000002</v>
      </c>
      <c r="F65" s="9">
        <f t="shared" si="5"/>
        <v>5312807.2320000008</v>
      </c>
      <c r="G65" s="9">
        <f t="shared" si="5"/>
        <v>83790.178</v>
      </c>
      <c r="H65" s="9">
        <f t="shared" si="5"/>
        <v>172338.77000000002</v>
      </c>
      <c r="I65" s="9">
        <f t="shared" si="5"/>
        <v>16852.03</v>
      </c>
      <c r="J65" s="9">
        <f t="shared" si="5"/>
        <v>155935.17060000001</v>
      </c>
      <c r="K65" s="9">
        <f t="shared" si="5"/>
        <v>14814.596000000001</v>
      </c>
      <c r="L65" s="9">
        <f t="shared" si="5"/>
        <v>1210.3199999999997</v>
      </c>
      <c r="M65" s="9">
        <f t="shared" si="5"/>
        <v>801.37599999999998</v>
      </c>
      <c r="N65" s="9">
        <f t="shared" si="5"/>
        <v>8260.2340000000004</v>
      </c>
      <c r="O65" s="9">
        <f t="shared" si="5"/>
        <v>14.196000000000002</v>
      </c>
      <c r="P65" s="9">
        <f t="shared" si="5"/>
        <v>130.04599999999999</v>
      </c>
      <c r="Q65" s="13">
        <f t="shared" si="5"/>
        <v>14006017.204600001</v>
      </c>
      <c r="R65" s="15">
        <f t="shared" si="4"/>
        <v>454146.9166</v>
      </c>
    </row>
    <row r="66" spans="1:18">
      <c r="Q66" s="3"/>
    </row>
    <row r="68" spans="1:18" ht="46.5">
      <c r="A68" s="292" t="s">
        <v>38</v>
      </c>
      <c r="B68" s="293"/>
      <c r="C68" s="293"/>
      <c r="D68" s="293"/>
      <c r="E68" s="293"/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  <c r="Q68" s="294"/>
    </row>
    <row r="69" spans="1:18" ht="27" customHeight="1">
      <c r="A69" s="290" t="s">
        <v>33</v>
      </c>
      <c r="B69" s="287" t="s">
        <v>27</v>
      </c>
      <c r="C69" s="288"/>
      <c r="D69" s="287" t="s">
        <v>29</v>
      </c>
      <c r="E69" s="288"/>
      <c r="F69" s="285" t="s">
        <v>28</v>
      </c>
      <c r="G69" s="285" t="s">
        <v>36</v>
      </c>
      <c r="H69" s="285" t="s">
        <v>30</v>
      </c>
      <c r="I69" s="285" t="s">
        <v>31</v>
      </c>
      <c r="J69" s="285" t="s">
        <v>32</v>
      </c>
      <c r="K69" s="285" t="s">
        <v>35</v>
      </c>
      <c r="L69" s="285" t="s">
        <v>40</v>
      </c>
      <c r="M69" s="285" t="s">
        <v>42</v>
      </c>
      <c r="N69" s="285" t="s">
        <v>45</v>
      </c>
      <c r="O69" s="287" t="s">
        <v>52</v>
      </c>
      <c r="P69" s="288"/>
      <c r="Q69" s="285" t="s">
        <v>34</v>
      </c>
    </row>
    <row r="70" spans="1:18" ht="30">
      <c r="A70" s="291"/>
      <c r="B70" s="5" t="s">
        <v>43</v>
      </c>
      <c r="C70" s="36" t="s">
        <v>44</v>
      </c>
      <c r="D70" s="5" t="s">
        <v>43</v>
      </c>
      <c r="E70" s="36" t="s">
        <v>44</v>
      </c>
      <c r="F70" s="286"/>
      <c r="G70" s="286"/>
      <c r="H70" s="286"/>
      <c r="I70" s="286"/>
      <c r="J70" s="286"/>
      <c r="K70" s="286"/>
      <c r="L70" s="286"/>
      <c r="M70" s="286"/>
      <c r="N70" s="286"/>
      <c r="O70" s="48" t="s">
        <v>53</v>
      </c>
      <c r="P70" s="48" t="s">
        <v>54</v>
      </c>
      <c r="Q70" s="286"/>
    </row>
    <row r="71" spans="1:18">
      <c r="A71" s="1" t="s">
        <v>119</v>
      </c>
      <c r="B71" s="22">
        <f>B5+B38</f>
        <v>77558.220000000016</v>
      </c>
      <c r="C71" s="22">
        <f t="shared" ref="C71:E71" si="6">C5+C38</f>
        <v>8360.9400000000023</v>
      </c>
      <c r="D71" s="22">
        <f t="shared" si="6"/>
        <v>10421.480000000001</v>
      </c>
      <c r="E71" s="22">
        <f t="shared" si="6"/>
        <v>1615.21</v>
      </c>
      <c r="F71" s="22">
        <f t="shared" ref="F71:P71" si="7">F5+F38</f>
        <v>55509.799999999996</v>
      </c>
      <c r="G71" s="22">
        <f t="shared" si="7"/>
        <v>3313.3400000000006</v>
      </c>
      <c r="H71" s="22">
        <f t="shared" si="7"/>
        <v>1374.28</v>
      </c>
      <c r="I71" s="22">
        <f t="shared" si="7"/>
        <v>284.27999999999997</v>
      </c>
      <c r="J71" s="22">
        <f t="shared" si="7"/>
        <v>1660.29</v>
      </c>
      <c r="K71" s="22">
        <f t="shared" si="7"/>
        <v>189.52</v>
      </c>
      <c r="L71" s="22">
        <f t="shared" si="7"/>
        <v>0</v>
      </c>
      <c r="M71" s="22">
        <f t="shared" si="7"/>
        <v>0</v>
      </c>
      <c r="N71" s="22">
        <f t="shared" si="7"/>
        <v>27.64</v>
      </c>
      <c r="O71" s="22">
        <f t="shared" si="7"/>
        <v>0</v>
      </c>
      <c r="P71" s="22">
        <f t="shared" si="7"/>
        <v>0</v>
      </c>
      <c r="Q71" s="12">
        <f>SUM(B71:P71)</f>
        <v>160315.00000000003</v>
      </c>
    </row>
    <row r="72" spans="1:18">
      <c r="A72" s="1" t="s">
        <v>120</v>
      </c>
      <c r="B72" s="22">
        <f t="shared" ref="B72:E97" si="8">B6+B39</f>
        <v>304944.36</v>
      </c>
      <c r="C72" s="22">
        <f t="shared" si="8"/>
        <v>47665.130000000005</v>
      </c>
      <c r="D72" s="22">
        <f t="shared" si="8"/>
        <v>15427.179999999998</v>
      </c>
      <c r="E72" s="22">
        <f t="shared" si="8"/>
        <v>1194.8400000000001</v>
      </c>
      <c r="F72" s="22">
        <f t="shared" ref="F72:P72" si="9">F6+F39</f>
        <v>196369.02000000002</v>
      </c>
      <c r="G72" s="22">
        <f t="shared" si="9"/>
        <v>5780.3600000000006</v>
      </c>
      <c r="H72" s="22">
        <f t="shared" si="9"/>
        <v>6642.9600000000009</v>
      </c>
      <c r="I72" s="22">
        <f t="shared" si="9"/>
        <v>1342.0600000000002</v>
      </c>
      <c r="J72" s="22">
        <f t="shared" si="9"/>
        <v>6422.2599999999984</v>
      </c>
      <c r="K72" s="22">
        <f t="shared" si="9"/>
        <v>284.28000000000003</v>
      </c>
      <c r="L72" s="22">
        <f t="shared" si="9"/>
        <v>189.52</v>
      </c>
      <c r="M72" s="22">
        <f t="shared" si="9"/>
        <v>0</v>
      </c>
      <c r="N72" s="22">
        <f t="shared" si="9"/>
        <v>304.04000000000002</v>
      </c>
      <c r="O72" s="22">
        <f t="shared" si="9"/>
        <v>0</v>
      </c>
      <c r="P72" s="22">
        <f t="shared" si="9"/>
        <v>0</v>
      </c>
      <c r="Q72" s="12">
        <f t="shared" ref="Q72:Q97" si="10">SUM(B72:P72)</f>
        <v>586566.01000000013</v>
      </c>
    </row>
    <row r="73" spans="1:18">
      <c r="A73" s="18" t="s">
        <v>121</v>
      </c>
      <c r="B73" s="22">
        <f t="shared" si="8"/>
        <v>73386.320000000007</v>
      </c>
      <c r="C73" s="22">
        <f t="shared" si="8"/>
        <v>29721.379999999997</v>
      </c>
      <c r="D73" s="22">
        <f t="shared" si="8"/>
        <v>10029.280000000001</v>
      </c>
      <c r="E73" s="22">
        <f t="shared" si="8"/>
        <v>2543.29</v>
      </c>
      <c r="F73" s="22">
        <f t="shared" ref="F73:P73" si="11">F7+F40</f>
        <v>84389.11</v>
      </c>
      <c r="G73" s="22">
        <f t="shared" si="11"/>
        <v>7008.9800000000005</v>
      </c>
      <c r="H73" s="22">
        <f t="shared" si="11"/>
        <v>3350.9400000000005</v>
      </c>
      <c r="I73" s="22">
        <f t="shared" si="11"/>
        <v>543.75</v>
      </c>
      <c r="J73" s="22">
        <f t="shared" si="11"/>
        <v>5106.3</v>
      </c>
      <c r="K73" s="22">
        <f t="shared" si="11"/>
        <v>758.07999999999993</v>
      </c>
      <c r="L73" s="22">
        <f t="shared" si="11"/>
        <v>0</v>
      </c>
      <c r="M73" s="22">
        <f t="shared" si="11"/>
        <v>0</v>
      </c>
      <c r="N73" s="22">
        <f t="shared" si="11"/>
        <v>27.64</v>
      </c>
      <c r="O73" s="22">
        <f t="shared" si="11"/>
        <v>0</v>
      </c>
      <c r="P73" s="22">
        <f t="shared" si="11"/>
        <v>0</v>
      </c>
      <c r="Q73" s="12">
        <f t="shared" si="10"/>
        <v>216865.07</v>
      </c>
    </row>
    <row r="74" spans="1:18">
      <c r="A74" s="2" t="s">
        <v>122</v>
      </c>
      <c r="B74" s="22">
        <f t="shared" si="8"/>
        <v>250622.78000000003</v>
      </c>
      <c r="C74" s="22">
        <f t="shared" si="8"/>
        <v>93440.270000000019</v>
      </c>
      <c r="D74" s="22">
        <f t="shared" si="8"/>
        <v>27220.870000000003</v>
      </c>
      <c r="E74" s="22">
        <f t="shared" si="8"/>
        <v>8650.86</v>
      </c>
      <c r="F74" s="22">
        <f t="shared" ref="F74:P74" si="12">F8+F41</f>
        <v>166856.27999999997</v>
      </c>
      <c r="G74" s="22">
        <f t="shared" si="12"/>
        <v>3692.3800000000006</v>
      </c>
      <c r="H74" s="22">
        <f t="shared" si="12"/>
        <v>11715.890000000001</v>
      </c>
      <c r="I74" s="22">
        <f t="shared" si="12"/>
        <v>0</v>
      </c>
      <c r="J74" s="22">
        <f t="shared" si="12"/>
        <v>12813.280000000002</v>
      </c>
      <c r="K74" s="22">
        <f t="shared" si="12"/>
        <v>473.79999999999995</v>
      </c>
      <c r="L74" s="22">
        <f t="shared" si="12"/>
        <v>0</v>
      </c>
      <c r="M74" s="22">
        <f t="shared" si="12"/>
        <v>0</v>
      </c>
      <c r="N74" s="22">
        <f t="shared" si="12"/>
        <v>82.920000000000016</v>
      </c>
      <c r="O74" s="22">
        <f t="shared" si="12"/>
        <v>90.08</v>
      </c>
      <c r="P74" s="22">
        <f t="shared" si="12"/>
        <v>856.6400000000001</v>
      </c>
      <c r="Q74" s="12">
        <f t="shared" si="10"/>
        <v>576516.05000000016</v>
      </c>
    </row>
    <row r="75" spans="1:18">
      <c r="A75" s="1" t="s">
        <v>123</v>
      </c>
      <c r="B75" s="22">
        <f t="shared" si="8"/>
        <v>874436.02</v>
      </c>
      <c r="C75" s="22">
        <f t="shared" si="8"/>
        <v>134355.27000000002</v>
      </c>
      <c r="D75" s="22">
        <f t="shared" si="8"/>
        <v>133059.82</v>
      </c>
      <c r="E75" s="22">
        <f t="shared" si="8"/>
        <v>18184.640000000003</v>
      </c>
      <c r="F75" s="22">
        <f t="shared" ref="F75:P75" si="13">F9+F42</f>
        <v>563646.18000000005</v>
      </c>
      <c r="G75" s="22">
        <f t="shared" si="13"/>
        <v>13740.200000000003</v>
      </c>
      <c r="H75" s="22">
        <f t="shared" si="13"/>
        <v>23257.279999999999</v>
      </c>
      <c r="I75" s="22">
        <f t="shared" si="13"/>
        <v>0</v>
      </c>
      <c r="J75" s="22">
        <f t="shared" si="13"/>
        <v>21908.19</v>
      </c>
      <c r="K75" s="22">
        <f t="shared" si="13"/>
        <v>2653.28</v>
      </c>
      <c r="L75" s="22">
        <f t="shared" si="13"/>
        <v>379.04</v>
      </c>
      <c r="M75" s="22">
        <f t="shared" si="13"/>
        <v>0</v>
      </c>
      <c r="N75" s="22">
        <f t="shared" si="13"/>
        <v>1432.5300000000002</v>
      </c>
      <c r="O75" s="22">
        <f t="shared" si="13"/>
        <v>0</v>
      </c>
      <c r="P75" s="22">
        <f t="shared" si="13"/>
        <v>0</v>
      </c>
      <c r="Q75" s="12">
        <f t="shared" si="10"/>
        <v>1787052.4500000002</v>
      </c>
    </row>
    <row r="76" spans="1:18">
      <c r="A76" s="1" t="s">
        <v>124</v>
      </c>
      <c r="B76" s="22">
        <f t="shared" si="8"/>
        <v>492011.74</v>
      </c>
      <c r="C76" s="22">
        <f t="shared" si="8"/>
        <v>77095.47</v>
      </c>
      <c r="D76" s="22">
        <f t="shared" si="8"/>
        <v>49635.41</v>
      </c>
      <c r="E76" s="22">
        <f t="shared" si="8"/>
        <v>8148.9</v>
      </c>
      <c r="F76" s="22">
        <f t="shared" ref="F76:P76" si="14">F10+F43</f>
        <v>298697.00000000006</v>
      </c>
      <c r="G76" s="22">
        <f t="shared" si="14"/>
        <v>1702.42</v>
      </c>
      <c r="H76" s="22">
        <f t="shared" si="14"/>
        <v>12217.59</v>
      </c>
      <c r="I76" s="22">
        <f t="shared" si="14"/>
        <v>5097.9399999999996</v>
      </c>
      <c r="J76" s="22">
        <f t="shared" si="14"/>
        <v>11211.000000000002</v>
      </c>
      <c r="K76" s="22">
        <f t="shared" si="14"/>
        <v>2179.4799999999996</v>
      </c>
      <c r="L76" s="22">
        <f t="shared" si="14"/>
        <v>0</v>
      </c>
      <c r="M76" s="22">
        <f t="shared" si="14"/>
        <v>0</v>
      </c>
      <c r="N76" s="22">
        <f t="shared" si="14"/>
        <v>386.01</v>
      </c>
      <c r="O76" s="22">
        <f t="shared" si="14"/>
        <v>0</v>
      </c>
      <c r="P76" s="22">
        <f t="shared" si="14"/>
        <v>0</v>
      </c>
      <c r="Q76" s="12">
        <f t="shared" si="10"/>
        <v>958382.96</v>
      </c>
    </row>
    <row r="77" spans="1:18">
      <c r="A77" s="1" t="s">
        <v>125</v>
      </c>
      <c r="B77" s="22">
        <f t="shared" si="8"/>
        <v>995383.38000000012</v>
      </c>
      <c r="C77" s="22">
        <f t="shared" si="8"/>
        <v>155366.42000000001</v>
      </c>
      <c r="D77" s="22">
        <f t="shared" si="8"/>
        <v>90878.800000000017</v>
      </c>
      <c r="E77" s="22">
        <f t="shared" si="8"/>
        <v>28044.83</v>
      </c>
      <c r="F77" s="22">
        <f t="shared" ref="F77:P77" si="15">F11+F44</f>
        <v>439245.8600000001</v>
      </c>
      <c r="G77" s="22">
        <f t="shared" si="15"/>
        <v>12505.060000000001</v>
      </c>
      <c r="H77" s="22">
        <f t="shared" si="15"/>
        <v>27766.510000000002</v>
      </c>
      <c r="I77" s="22">
        <f t="shared" si="15"/>
        <v>0</v>
      </c>
      <c r="J77" s="22">
        <f t="shared" si="15"/>
        <v>24903.700000000004</v>
      </c>
      <c r="K77" s="22">
        <f t="shared" si="15"/>
        <v>1610.9199999999998</v>
      </c>
      <c r="L77" s="22">
        <f t="shared" si="15"/>
        <v>189.52</v>
      </c>
      <c r="M77" s="22">
        <f t="shared" si="15"/>
        <v>0</v>
      </c>
      <c r="N77" s="22">
        <f t="shared" si="15"/>
        <v>1790.9000000000003</v>
      </c>
      <c r="O77" s="22">
        <f t="shared" si="15"/>
        <v>0</v>
      </c>
      <c r="P77" s="22">
        <f t="shared" si="15"/>
        <v>0</v>
      </c>
      <c r="Q77" s="12">
        <f t="shared" si="10"/>
        <v>1777685.9000000001</v>
      </c>
    </row>
    <row r="78" spans="1:18">
      <c r="A78" s="1" t="s">
        <v>126</v>
      </c>
      <c r="B78" s="22">
        <f t="shared" si="8"/>
        <v>729829.64999999991</v>
      </c>
      <c r="C78" s="22">
        <f t="shared" si="8"/>
        <v>107582.33</v>
      </c>
      <c r="D78" s="22">
        <f t="shared" si="8"/>
        <v>80564.280000000013</v>
      </c>
      <c r="E78" s="22">
        <f t="shared" si="8"/>
        <v>15988.92</v>
      </c>
      <c r="F78" s="22">
        <f t="shared" ref="F78:P78" si="16">F12+F45</f>
        <v>410076.08</v>
      </c>
      <c r="G78" s="22">
        <f t="shared" si="16"/>
        <v>11142.560000000001</v>
      </c>
      <c r="H78" s="22">
        <f t="shared" si="16"/>
        <v>18287.47</v>
      </c>
      <c r="I78" s="22">
        <f t="shared" si="16"/>
        <v>4868.2899999999991</v>
      </c>
      <c r="J78" s="22">
        <f t="shared" si="16"/>
        <v>16526.590000000004</v>
      </c>
      <c r="K78" s="22">
        <f t="shared" si="16"/>
        <v>1421.3999999999999</v>
      </c>
      <c r="L78" s="22">
        <f t="shared" si="16"/>
        <v>0</v>
      </c>
      <c r="M78" s="22">
        <f t="shared" si="16"/>
        <v>0</v>
      </c>
      <c r="N78" s="22">
        <f t="shared" si="16"/>
        <v>468.93</v>
      </c>
      <c r="O78" s="22">
        <f t="shared" si="16"/>
        <v>0</v>
      </c>
      <c r="P78" s="22">
        <f t="shared" si="16"/>
        <v>0</v>
      </c>
      <c r="Q78" s="12">
        <f t="shared" si="10"/>
        <v>1396756.5</v>
      </c>
    </row>
    <row r="79" spans="1:18">
      <c r="A79" s="1" t="s">
        <v>127</v>
      </c>
      <c r="B79" s="22">
        <f t="shared" si="8"/>
        <v>667595.67000000016</v>
      </c>
      <c r="C79" s="22">
        <f t="shared" si="8"/>
        <v>123522.89000000001</v>
      </c>
      <c r="D79" s="22">
        <f t="shared" si="8"/>
        <v>80531.839999999997</v>
      </c>
      <c r="E79" s="22">
        <f t="shared" si="8"/>
        <v>16237.150000000001</v>
      </c>
      <c r="F79" s="22">
        <f t="shared" ref="F79:P79" si="17">F13+F46</f>
        <v>821788.94</v>
      </c>
      <c r="G79" s="22">
        <f t="shared" si="17"/>
        <v>38658.820000000007</v>
      </c>
      <c r="H79" s="22">
        <f t="shared" si="17"/>
        <v>23219.059999999998</v>
      </c>
      <c r="I79" s="22">
        <f t="shared" si="17"/>
        <v>4226.46</v>
      </c>
      <c r="J79" s="22">
        <f t="shared" si="17"/>
        <v>22977.390000000007</v>
      </c>
      <c r="K79" s="22">
        <f t="shared" si="17"/>
        <v>1042.3600000000001</v>
      </c>
      <c r="L79" s="22">
        <f t="shared" si="17"/>
        <v>0</v>
      </c>
      <c r="M79" s="22">
        <f t="shared" si="17"/>
        <v>0</v>
      </c>
      <c r="N79" s="22">
        <f t="shared" si="17"/>
        <v>856.83999999999992</v>
      </c>
      <c r="O79" s="22">
        <f t="shared" si="17"/>
        <v>0</v>
      </c>
      <c r="P79" s="22">
        <f t="shared" si="17"/>
        <v>0</v>
      </c>
      <c r="Q79" s="12">
        <f t="shared" si="10"/>
        <v>1800657.4200000004</v>
      </c>
    </row>
    <row r="80" spans="1:18">
      <c r="A80" s="2" t="s">
        <v>128</v>
      </c>
      <c r="B80" s="22">
        <f t="shared" si="8"/>
        <v>211138.68000000002</v>
      </c>
      <c r="C80" s="22">
        <f t="shared" si="8"/>
        <v>54125.35</v>
      </c>
      <c r="D80" s="22">
        <f t="shared" si="8"/>
        <v>25250.659999999996</v>
      </c>
      <c r="E80" s="22">
        <f t="shared" si="8"/>
        <v>6905.9900000000007</v>
      </c>
      <c r="F80" s="22">
        <f t="shared" ref="F80:P80" si="18">F14+F47</f>
        <v>134585.5</v>
      </c>
      <c r="G80" s="22">
        <f t="shared" si="18"/>
        <v>4074.6799999999994</v>
      </c>
      <c r="H80" s="22">
        <f t="shared" si="18"/>
        <v>10185.73</v>
      </c>
      <c r="I80" s="22">
        <f t="shared" si="18"/>
        <v>3048.1800000000003</v>
      </c>
      <c r="J80" s="22">
        <f t="shared" si="18"/>
        <v>7287.5000000000009</v>
      </c>
      <c r="K80" s="22">
        <f t="shared" si="18"/>
        <v>947.59999999999991</v>
      </c>
      <c r="L80" s="22">
        <f t="shared" si="18"/>
        <v>0</v>
      </c>
      <c r="M80" s="22">
        <f t="shared" si="18"/>
        <v>0</v>
      </c>
      <c r="N80" s="22">
        <f t="shared" si="18"/>
        <v>221.12</v>
      </c>
      <c r="O80" s="22">
        <f t="shared" si="18"/>
        <v>0</v>
      </c>
      <c r="P80" s="22">
        <f t="shared" si="18"/>
        <v>0</v>
      </c>
      <c r="Q80" s="12">
        <f t="shared" si="10"/>
        <v>457770.98999999993</v>
      </c>
    </row>
    <row r="81" spans="1:17">
      <c r="A81" s="18" t="s">
        <v>129</v>
      </c>
      <c r="B81" s="22">
        <f t="shared" si="8"/>
        <v>460095.16000000003</v>
      </c>
      <c r="C81" s="22">
        <f t="shared" si="8"/>
        <v>75094.26999999999</v>
      </c>
      <c r="D81" s="22">
        <f t="shared" si="8"/>
        <v>52727.240000000005</v>
      </c>
      <c r="E81" s="22">
        <f t="shared" si="8"/>
        <v>5938.51</v>
      </c>
      <c r="F81" s="22">
        <f t="shared" ref="F81:P81" si="19">F15+F48</f>
        <v>811574.20000000019</v>
      </c>
      <c r="G81" s="22">
        <f t="shared" si="19"/>
        <v>8231.08</v>
      </c>
      <c r="H81" s="22">
        <f t="shared" si="19"/>
        <v>6997.920000000001</v>
      </c>
      <c r="I81" s="22">
        <f t="shared" si="19"/>
        <v>1047.2</v>
      </c>
      <c r="J81" s="22">
        <f t="shared" si="19"/>
        <v>12975.240000000003</v>
      </c>
      <c r="K81" s="22">
        <f t="shared" si="19"/>
        <v>947.59999999999991</v>
      </c>
      <c r="L81" s="22">
        <f t="shared" si="19"/>
        <v>189.52</v>
      </c>
      <c r="M81" s="22">
        <f t="shared" si="19"/>
        <v>3736.46</v>
      </c>
      <c r="N81" s="22">
        <f t="shared" si="19"/>
        <v>386.96000000000004</v>
      </c>
      <c r="O81" s="22">
        <f t="shared" si="19"/>
        <v>0</v>
      </c>
      <c r="P81" s="22">
        <f t="shared" si="19"/>
        <v>0</v>
      </c>
      <c r="Q81" s="12">
        <f t="shared" si="10"/>
        <v>1439941.3600000003</v>
      </c>
    </row>
    <row r="82" spans="1:17">
      <c r="A82" s="1" t="s">
        <v>130</v>
      </c>
      <c r="B82" s="22">
        <f t="shared" si="8"/>
        <v>466494.02</v>
      </c>
      <c r="C82" s="22">
        <f t="shared" si="8"/>
        <v>76079.590000000011</v>
      </c>
      <c r="D82" s="22">
        <f t="shared" si="8"/>
        <v>74081.66</v>
      </c>
      <c r="E82" s="22">
        <f t="shared" si="8"/>
        <v>11738.54</v>
      </c>
      <c r="F82" s="22">
        <f t="shared" ref="F82:P82" si="20">F16+F49</f>
        <v>682504.34000000008</v>
      </c>
      <c r="G82" s="22">
        <f t="shared" si="20"/>
        <v>9191.7200000000012</v>
      </c>
      <c r="H82" s="22">
        <f t="shared" si="20"/>
        <v>14212.02</v>
      </c>
      <c r="I82" s="22">
        <f t="shared" si="20"/>
        <v>4883.8400000000011</v>
      </c>
      <c r="J82" s="22">
        <f t="shared" si="20"/>
        <v>11423.880000000001</v>
      </c>
      <c r="K82" s="22">
        <f t="shared" si="20"/>
        <v>2179.4800000000005</v>
      </c>
      <c r="L82" s="22">
        <f t="shared" si="20"/>
        <v>0</v>
      </c>
      <c r="M82" s="22">
        <f t="shared" si="20"/>
        <v>0</v>
      </c>
      <c r="N82" s="22">
        <f t="shared" si="20"/>
        <v>412.70000000000005</v>
      </c>
      <c r="O82" s="22">
        <f t="shared" si="20"/>
        <v>38.06</v>
      </c>
      <c r="P82" s="22">
        <f t="shared" si="20"/>
        <v>0</v>
      </c>
      <c r="Q82" s="12">
        <f t="shared" si="10"/>
        <v>1353239.85</v>
      </c>
    </row>
    <row r="83" spans="1:17">
      <c r="A83" s="1" t="s">
        <v>131</v>
      </c>
      <c r="B83" s="22">
        <f t="shared" si="8"/>
        <v>2508799.6399999997</v>
      </c>
      <c r="C83" s="22">
        <f t="shared" si="8"/>
        <v>461736.07000000007</v>
      </c>
      <c r="D83" s="22">
        <f t="shared" si="8"/>
        <v>290688.65000000002</v>
      </c>
      <c r="E83" s="22">
        <f t="shared" si="8"/>
        <v>86556.830000000016</v>
      </c>
      <c r="F83" s="22">
        <f t="shared" ref="F83:P83" si="21">F17+F50</f>
        <v>1544713.2000000002</v>
      </c>
      <c r="G83" s="22">
        <f t="shared" si="21"/>
        <v>23974.280000000002</v>
      </c>
      <c r="H83" s="22">
        <f t="shared" si="21"/>
        <v>107485.56</v>
      </c>
      <c r="I83" s="22">
        <f t="shared" si="21"/>
        <v>0</v>
      </c>
      <c r="J83" s="22">
        <f t="shared" si="21"/>
        <v>69559.250000000015</v>
      </c>
      <c r="K83" s="22">
        <f t="shared" si="21"/>
        <v>11639.18</v>
      </c>
      <c r="L83" s="22">
        <f t="shared" si="21"/>
        <v>0</v>
      </c>
      <c r="M83" s="22">
        <f t="shared" si="21"/>
        <v>0</v>
      </c>
      <c r="N83" s="22">
        <f t="shared" si="21"/>
        <v>3586.5499999999997</v>
      </c>
      <c r="O83" s="22">
        <f t="shared" si="21"/>
        <v>0</v>
      </c>
      <c r="P83" s="22">
        <f t="shared" si="21"/>
        <v>0</v>
      </c>
      <c r="Q83" s="12">
        <f t="shared" si="10"/>
        <v>5108739.21</v>
      </c>
    </row>
    <row r="84" spans="1:17">
      <c r="A84" s="1" t="s">
        <v>132</v>
      </c>
      <c r="B84" s="22">
        <f t="shared" si="8"/>
        <v>350587.30000000005</v>
      </c>
      <c r="C84" s="22">
        <f t="shared" si="8"/>
        <v>88059.79</v>
      </c>
      <c r="D84" s="22">
        <f t="shared" si="8"/>
        <v>30145.299999999996</v>
      </c>
      <c r="E84" s="22">
        <f t="shared" si="8"/>
        <v>14056.79</v>
      </c>
      <c r="F84" s="22">
        <f t="shared" ref="F84:P84" si="22">F18+F51</f>
        <v>217987.86</v>
      </c>
      <c r="G84" s="22">
        <f t="shared" si="22"/>
        <v>8812.68</v>
      </c>
      <c r="H84" s="22">
        <f t="shared" si="22"/>
        <v>17022.86</v>
      </c>
      <c r="I84" s="22">
        <f t="shared" si="22"/>
        <v>0</v>
      </c>
      <c r="J84" s="22">
        <f t="shared" si="22"/>
        <v>12322.939999999999</v>
      </c>
      <c r="K84" s="22">
        <f t="shared" si="22"/>
        <v>758.07999999999993</v>
      </c>
      <c r="L84" s="22">
        <f t="shared" si="22"/>
        <v>0</v>
      </c>
      <c r="M84" s="22">
        <f t="shared" si="22"/>
        <v>0</v>
      </c>
      <c r="N84" s="22">
        <f t="shared" si="22"/>
        <v>414.6</v>
      </c>
      <c r="O84" s="22">
        <f t="shared" si="22"/>
        <v>0</v>
      </c>
      <c r="P84" s="22">
        <f t="shared" si="22"/>
        <v>0</v>
      </c>
      <c r="Q84" s="12">
        <f t="shared" si="10"/>
        <v>740168.2</v>
      </c>
    </row>
    <row r="85" spans="1:17">
      <c r="A85" s="1" t="s">
        <v>133</v>
      </c>
      <c r="B85" s="22">
        <f t="shared" si="8"/>
        <v>360998.35</v>
      </c>
      <c r="C85" s="22">
        <f t="shared" si="8"/>
        <v>71054.010000000009</v>
      </c>
      <c r="D85" s="22">
        <f t="shared" si="8"/>
        <v>36661.72</v>
      </c>
      <c r="E85" s="22">
        <f t="shared" si="8"/>
        <v>10736.77</v>
      </c>
      <c r="F85" s="22">
        <f t="shared" ref="F85:P85" si="23">F19+F52</f>
        <v>280689.34000000003</v>
      </c>
      <c r="G85" s="22">
        <f t="shared" si="23"/>
        <v>4074.6799999999994</v>
      </c>
      <c r="H85" s="22">
        <f t="shared" si="23"/>
        <v>13313.460000000003</v>
      </c>
      <c r="I85" s="22">
        <f t="shared" si="23"/>
        <v>808.28</v>
      </c>
      <c r="J85" s="22">
        <f t="shared" si="23"/>
        <v>11951.07</v>
      </c>
      <c r="K85" s="22">
        <f t="shared" si="23"/>
        <v>189.52</v>
      </c>
      <c r="L85" s="22">
        <f t="shared" si="23"/>
        <v>0</v>
      </c>
      <c r="M85" s="22">
        <f t="shared" si="23"/>
        <v>0</v>
      </c>
      <c r="N85" s="22">
        <f t="shared" si="23"/>
        <v>608.08000000000004</v>
      </c>
      <c r="O85" s="22">
        <f t="shared" si="23"/>
        <v>0</v>
      </c>
      <c r="P85" s="22">
        <f t="shared" si="23"/>
        <v>0</v>
      </c>
      <c r="Q85" s="12">
        <f t="shared" si="10"/>
        <v>791085.27999999991</v>
      </c>
    </row>
    <row r="86" spans="1:17">
      <c r="A86" s="18" t="s">
        <v>134</v>
      </c>
      <c r="B86" s="22">
        <f t="shared" si="8"/>
        <v>2233106.7600000002</v>
      </c>
      <c r="C86" s="22">
        <f t="shared" si="8"/>
        <v>269974.05000000005</v>
      </c>
      <c r="D86" s="22">
        <f t="shared" si="8"/>
        <v>378034.08000000007</v>
      </c>
      <c r="E86" s="22">
        <f t="shared" si="8"/>
        <v>77647.5</v>
      </c>
      <c r="F86" s="22">
        <f t="shared" ref="F86:P86" si="24">F20+F53</f>
        <v>2284714.04</v>
      </c>
      <c r="G86" s="22">
        <f t="shared" si="24"/>
        <v>23876.260000000002</v>
      </c>
      <c r="H86" s="22">
        <f t="shared" si="24"/>
        <v>39650.39</v>
      </c>
      <c r="I86" s="22">
        <f t="shared" si="24"/>
        <v>552.78</v>
      </c>
      <c r="J86" s="22">
        <f t="shared" si="24"/>
        <v>55214.86</v>
      </c>
      <c r="K86" s="22">
        <f t="shared" si="24"/>
        <v>8907.4400000000023</v>
      </c>
      <c r="L86" s="22">
        <f t="shared" si="24"/>
        <v>0</v>
      </c>
      <c r="M86" s="22">
        <f t="shared" si="24"/>
        <v>0</v>
      </c>
      <c r="N86" s="22">
        <f t="shared" si="24"/>
        <v>2150.2199999999998</v>
      </c>
      <c r="O86" s="22">
        <f t="shared" si="24"/>
        <v>0</v>
      </c>
      <c r="P86" s="22">
        <f t="shared" si="24"/>
        <v>0</v>
      </c>
      <c r="Q86" s="12">
        <f t="shared" si="10"/>
        <v>5373828.3800000008</v>
      </c>
    </row>
    <row r="87" spans="1:17">
      <c r="A87" s="1" t="s">
        <v>135</v>
      </c>
      <c r="B87" s="22">
        <f t="shared" si="8"/>
        <v>810124.4700000002</v>
      </c>
      <c r="C87" s="22">
        <f t="shared" si="8"/>
        <v>166635</v>
      </c>
      <c r="D87" s="22">
        <f t="shared" si="8"/>
        <v>99696.74000000002</v>
      </c>
      <c r="E87" s="22">
        <f t="shared" si="8"/>
        <v>20355.07</v>
      </c>
      <c r="F87" s="22">
        <f t="shared" ref="F87:P87" si="25">F21+F54</f>
        <v>526069.06000000006</v>
      </c>
      <c r="G87" s="22">
        <f t="shared" si="25"/>
        <v>9936.760000000002</v>
      </c>
      <c r="H87" s="22">
        <f t="shared" si="25"/>
        <v>21576.260000000002</v>
      </c>
      <c r="I87" s="22">
        <f t="shared" si="25"/>
        <v>11234.92</v>
      </c>
      <c r="J87" s="22">
        <f t="shared" si="25"/>
        <v>30975.249999999996</v>
      </c>
      <c r="K87" s="22">
        <f t="shared" si="25"/>
        <v>2558.5200000000004</v>
      </c>
      <c r="L87" s="22">
        <f t="shared" si="25"/>
        <v>189.52</v>
      </c>
      <c r="M87" s="22">
        <f t="shared" si="25"/>
        <v>0</v>
      </c>
      <c r="N87" s="22">
        <f t="shared" si="25"/>
        <v>880.68000000000006</v>
      </c>
      <c r="O87" s="22">
        <f t="shared" si="25"/>
        <v>0</v>
      </c>
      <c r="P87" s="22">
        <f t="shared" si="25"/>
        <v>0</v>
      </c>
      <c r="Q87" s="12">
        <f t="shared" si="10"/>
        <v>1700232.2500000002</v>
      </c>
    </row>
    <row r="88" spans="1:17">
      <c r="A88" s="1" t="s">
        <v>136</v>
      </c>
      <c r="B88" s="22">
        <f t="shared" si="8"/>
        <v>185864.43000000002</v>
      </c>
      <c r="C88" s="22">
        <f t="shared" si="8"/>
        <v>20699.2</v>
      </c>
      <c r="D88" s="22">
        <f t="shared" si="8"/>
        <v>26436.9</v>
      </c>
      <c r="E88" s="22">
        <f t="shared" si="8"/>
        <v>1877.0000000000002</v>
      </c>
      <c r="F88" s="22">
        <f t="shared" ref="F88:P88" si="26">F22+F55</f>
        <v>125811.34</v>
      </c>
      <c r="G88" s="22">
        <f t="shared" si="26"/>
        <v>7672.3</v>
      </c>
      <c r="H88" s="22">
        <f t="shared" si="26"/>
        <v>2048.6799999999998</v>
      </c>
      <c r="I88" s="22">
        <f t="shared" si="26"/>
        <v>8665.75</v>
      </c>
      <c r="J88" s="22">
        <f t="shared" si="26"/>
        <v>3771.27</v>
      </c>
      <c r="K88" s="22">
        <f t="shared" si="26"/>
        <v>284.28000000000003</v>
      </c>
      <c r="L88" s="22">
        <f t="shared" si="26"/>
        <v>0</v>
      </c>
      <c r="M88" s="22">
        <f t="shared" si="26"/>
        <v>0</v>
      </c>
      <c r="N88" s="22">
        <f t="shared" si="26"/>
        <v>165.84000000000003</v>
      </c>
      <c r="O88" s="22">
        <f t="shared" si="26"/>
        <v>43.1</v>
      </c>
      <c r="P88" s="22">
        <f t="shared" si="26"/>
        <v>430.95</v>
      </c>
      <c r="Q88" s="12">
        <f t="shared" si="10"/>
        <v>383771.04000000004</v>
      </c>
    </row>
    <row r="89" spans="1:17">
      <c r="A89" s="1" t="s">
        <v>137</v>
      </c>
      <c r="B89" s="22">
        <f t="shared" si="8"/>
        <v>3163176.65</v>
      </c>
      <c r="C89" s="22">
        <f t="shared" si="8"/>
        <v>403216.13000000006</v>
      </c>
      <c r="D89" s="22">
        <f t="shared" si="8"/>
        <v>453912.01000000007</v>
      </c>
      <c r="E89" s="22">
        <f t="shared" si="8"/>
        <v>70414</v>
      </c>
      <c r="F89" s="22">
        <f t="shared" ref="F89:P89" si="27">F23+F56</f>
        <v>1772993.7400000002</v>
      </c>
      <c r="G89" s="22">
        <f t="shared" si="27"/>
        <v>72638.540000000008</v>
      </c>
      <c r="H89" s="22">
        <f t="shared" si="27"/>
        <v>71455.12000000001</v>
      </c>
      <c r="I89" s="22">
        <f t="shared" si="27"/>
        <v>9042.9500000000007</v>
      </c>
      <c r="J89" s="22">
        <f t="shared" si="27"/>
        <v>71510.73000000001</v>
      </c>
      <c r="K89" s="22">
        <f t="shared" si="27"/>
        <v>6254.1600000000008</v>
      </c>
      <c r="L89" s="22">
        <f t="shared" si="27"/>
        <v>1326.6399999999999</v>
      </c>
      <c r="M89" s="22">
        <f t="shared" si="27"/>
        <v>0</v>
      </c>
      <c r="N89" s="22">
        <f t="shared" si="27"/>
        <v>6755.6500000000005</v>
      </c>
      <c r="O89" s="22">
        <f t="shared" si="27"/>
        <v>0</v>
      </c>
      <c r="P89" s="22">
        <f t="shared" si="27"/>
        <v>0</v>
      </c>
      <c r="Q89" s="12">
        <f t="shared" si="10"/>
        <v>6102696.3200000012</v>
      </c>
    </row>
    <row r="90" spans="1:17">
      <c r="A90" s="1" t="s">
        <v>138</v>
      </c>
      <c r="B90" s="22">
        <f t="shared" si="8"/>
        <v>367042.03</v>
      </c>
      <c r="C90" s="22">
        <f t="shared" si="8"/>
        <v>76543.420000000013</v>
      </c>
      <c r="D90" s="22">
        <f t="shared" si="8"/>
        <v>26922.46</v>
      </c>
      <c r="E90" s="22">
        <f t="shared" si="8"/>
        <v>8936.9700000000012</v>
      </c>
      <c r="F90" s="22">
        <f t="shared" ref="F90:P90" si="28">F24+F57</f>
        <v>232342.18</v>
      </c>
      <c r="G90" s="22">
        <f t="shared" si="28"/>
        <v>7855.2999999999993</v>
      </c>
      <c r="H90" s="22">
        <f t="shared" si="28"/>
        <v>13908.55</v>
      </c>
      <c r="I90" s="22">
        <f t="shared" si="28"/>
        <v>0</v>
      </c>
      <c r="J90" s="22">
        <f t="shared" si="28"/>
        <v>12262.79</v>
      </c>
      <c r="K90" s="22">
        <f t="shared" si="28"/>
        <v>375.78000000000003</v>
      </c>
      <c r="L90" s="22">
        <f t="shared" si="28"/>
        <v>189.52</v>
      </c>
      <c r="M90" s="22">
        <f t="shared" si="28"/>
        <v>0</v>
      </c>
      <c r="N90" s="22">
        <f t="shared" si="28"/>
        <v>496.57000000000005</v>
      </c>
      <c r="O90" s="22">
        <f t="shared" si="28"/>
        <v>0</v>
      </c>
      <c r="P90" s="22">
        <f t="shared" si="28"/>
        <v>0</v>
      </c>
      <c r="Q90" s="12">
        <f t="shared" si="10"/>
        <v>746875.57000000018</v>
      </c>
    </row>
    <row r="91" spans="1:17">
      <c r="A91" s="1" t="s">
        <v>139</v>
      </c>
      <c r="B91" s="22">
        <f t="shared" si="8"/>
        <v>3043276.7700000005</v>
      </c>
      <c r="C91" s="22">
        <f t="shared" si="8"/>
        <v>463477.33</v>
      </c>
      <c r="D91" s="22">
        <f t="shared" si="8"/>
        <v>399383.27</v>
      </c>
      <c r="E91" s="22">
        <f t="shared" si="8"/>
        <v>103811.55000000002</v>
      </c>
      <c r="F91" s="22">
        <f t="shared" ref="F91:P91" si="29">F25+F58</f>
        <v>2936532.43</v>
      </c>
      <c r="G91" s="22">
        <f t="shared" si="29"/>
        <v>32104.080000000002</v>
      </c>
      <c r="H91" s="22">
        <f t="shared" si="29"/>
        <v>93235.860000000015</v>
      </c>
      <c r="I91" s="22">
        <f t="shared" si="29"/>
        <v>5622.35</v>
      </c>
      <c r="J91" s="22">
        <f t="shared" si="29"/>
        <v>75914.810000000012</v>
      </c>
      <c r="K91" s="22">
        <f t="shared" si="29"/>
        <v>6345.66</v>
      </c>
      <c r="L91" s="22">
        <f t="shared" si="29"/>
        <v>189.52</v>
      </c>
      <c r="M91" s="22">
        <f t="shared" si="29"/>
        <v>0</v>
      </c>
      <c r="N91" s="22">
        <f t="shared" si="29"/>
        <v>2279.87</v>
      </c>
      <c r="O91" s="22">
        <f t="shared" si="29"/>
        <v>0</v>
      </c>
      <c r="P91" s="22">
        <f t="shared" si="29"/>
        <v>0</v>
      </c>
      <c r="Q91" s="12">
        <f t="shared" si="10"/>
        <v>7162173.5</v>
      </c>
    </row>
    <row r="92" spans="1:17">
      <c r="A92" s="18" t="s">
        <v>140</v>
      </c>
      <c r="B92" s="22">
        <f t="shared" si="8"/>
        <v>142491.37</v>
      </c>
      <c r="C92" s="22">
        <f t="shared" si="8"/>
        <v>20355.170000000002</v>
      </c>
      <c r="D92" s="22">
        <f t="shared" si="8"/>
        <v>20127.310000000001</v>
      </c>
      <c r="E92" s="22">
        <f t="shared" si="8"/>
        <v>4618.79</v>
      </c>
      <c r="F92" s="22">
        <f t="shared" ref="F92:P92" si="30">F26+F59</f>
        <v>227842.60000000003</v>
      </c>
      <c r="G92" s="22">
        <f t="shared" si="30"/>
        <v>1989.96</v>
      </c>
      <c r="H92" s="22">
        <f t="shared" si="30"/>
        <v>2116.7600000000002</v>
      </c>
      <c r="I92" s="22">
        <f t="shared" si="30"/>
        <v>0</v>
      </c>
      <c r="J92" s="22">
        <f t="shared" si="30"/>
        <v>4306.9600000000009</v>
      </c>
      <c r="K92" s="22">
        <f t="shared" si="30"/>
        <v>758.08</v>
      </c>
      <c r="L92" s="22">
        <f t="shared" si="30"/>
        <v>0</v>
      </c>
      <c r="M92" s="22">
        <f t="shared" si="30"/>
        <v>0</v>
      </c>
      <c r="N92" s="22">
        <f t="shared" si="30"/>
        <v>81.970000000000013</v>
      </c>
      <c r="O92" s="22">
        <f t="shared" si="30"/>
        <v>0</v>
      </c>
      <c r="P92" s="22">
        <f t="shared" si="30"/>
        <v>0</v>
      </c>
      <c r="Q92" s="12">
        <f t="shared" si="10"/>
        <v>424688.97000000009</v>
      </c>
    </row>
    <row r="93" spans="1:17">
      <c r="A93" s="2" t="s">
        <v>141</v>
      </c>
      <c r="B93" s="22">
        <f t="shared" si="8"/>
        <v>32658.959999999999</v>
      </c>
      <c r="C93" s="22">
        <f t="shared" si="8"/>
        <v>3604.4800000000005</v>
      </c>
      <c r="D93" s="22">
        <f t="shared" si="8"/>
        <v>3125.9299999999994</v>
      </c>
      <c r="E93" s="22">
        <f t="shared" si="8"/>
        <v>190.54000000000002</v>
      </c>
      <c r="F93" s="22">
        <f t="shared" ref="F93:P93" si="31">F27+F60</f>
        <v>47072.900000000009</v>
      </c>
      <c r="G93" s="22">
        <f t="shared" si="31"/>
        <v>568.55999999999995</v>
      </c>
      <c r="H93" s="22">
        <f t="shared" si="31"/>
        <v>295.99</v>
      </c>
      <c r="I93" s="22">
        <f t="shared" si="31"/>
        <v>0</v>
      </c>
      <c r="J93" s="22">
        <f t="shared" si="31"/>
        <v>653.7800000000002</v>
      </c>
      <c r="K93" s="22">
        <f t="shared" si="31"/>
        <v>0</v>
      </c>
      <c r="L93" s="22">
        <f t="shared" si="31"/>
        <v>0</v>
      </c>
      <c r="M93" s="22">
        <f t="shared" si="31"/>
        <v>0</v>
      </c>
      <c r="N93" s="22">
        <f t="shared" si="31"/>
        <v>0</v>
      </c>
      <c r="O93" s="22">
        <f t="shared" si="31"/>
        <v>0</v>
      </c>
      <c r="P93" s="22">
        <f t="shared" si="31"/>
        <v>0</v>
      </c>
      <c r="Q93" s="12">
        <f t="shared" si="10"/>
        <v>88171.140000000014</v>
      </c>
    </row>
    <row r="94" spans="1:17">
      <c r="A94" s="1" t="s">
        <v>142</v>
      </c>
      <c r="B94" s="22">
        <f t="shared" si="8"/>
        <v>1937508.45</v>
      </c>
      <c r="C94" s="22">
        <f t="shared" si="8"/>
        <v>204363.4</v>
      </c>
      <c r="D94" s="22">
        <f t="shared" si="8"/>
        <v>242476.37000000002</v>
      </c>
      <c r="E94" s="22">
        <f t="shared" si="8"/>
        <v>42301.740000000005</v>
      </c>
      <c r="F94" s="22">
        <f t="shared" ref="F94:P94" si="32">F28+F61</f>
        <v>1657703.2000000002</v>
      </c>
      <c r="G94" s="22">
        <f t="shared" si="32"/>
        <v>15530.86</v>
      </c>
      <c r="H94" s="22">
        <f t="shared" si="32"/>
        <v>30144.1</v>
      </c>
      <c r="I94" s="22">
        <f t="shared" si="32"/>
        <v>0</v>
      </c>
      <c r="J94" s="22">
        <f t="shared" si="32"/>
        <v>35510.240000000005</v>
      </c>
      <c r="K94" s="22">
        <f t="shared" si="32"/>
        <v>1895.2</v>
      </c>
      <c r="L94" s="22">
        <f t="shared" si="32"/>
        <v>189.52</v>
      </c>
      <c r="M94" s="22">
        <f t="shared" si="32"/>
        <v>270.42</v>
      </c>
      <c r="N94" s="22">
        <f t="shared" si="32"/>
        <v>1904.31</v>
      </c>
      <c r="O94" s="22">
        <f t="shared" si="32"/>
        <v>0</v>
      </c>
      <c r="P94" s="22">
        <f t="shared" si="32"/>
        <v>0</v>
      </c>
      <c r="Q94" s="12">
        <f t="shared" si="10"/>
        <v>4169797.810000001</v>
      </c>
    </row>
    <row r="95" spans="1:17">
      <c r="A95" s="1" t="s">
        <v>143</v>
      </c>
      <c r="B95" s="22">
        <f t="shared" si="8"/>
        <v>10633822.800000001</v>
      </c>
      <c r="C95" s="22">
        <f t="shared" si="8"/>
        <v>1441584.44</v>
      </c>
      <c r="D95" s="22">
        <f t="shared" si="8"/>
        <v>1295798.83</v>
      </c>
      <c r="E95" s="22">
        <f t="shared" si="8"/>
        <v>192970.81999999998</v>
      </c>
      <c r="F95" s="22">
        <f t="shared" ref="F95:P95" si="33">F29+F62</f>
        <v>9720765.2599999998</v>
      </c>
      <c r="G95" s="22">
        <f t="shared" si="33"/>
        <v>82839.39</v>
      </c>
      <c r="H95" s="22">
        <f t="shared" si="33"/>
        <v>281823.57000000007</v>
      </c>
      <c r="I95" s="22">
        <f t="shared" si="33"/>
        <v>17829.84</v>
      </c>
      <c r="J95" s="22">
        <f t="shared" si="33"/>
        <v>227149.81299999999</v>
      </c>
      <c r="K95" s="22">
        <f t="shared" si="33"/>
        <v>18187.400000000001</v>
      </c>
      <c r="L95" s="22">
        <f t="shared" si="33"/>
        <v>2836.2799999999997</v>
      </c>
      <c r="M95" s="22">
        <f t="shared" si="33"/>
        <v>0</v>
      </c>
      <c r="N95" s="22">
        <f t="shared" si="33"/>
        <v>15302.2</v>
      </c>
      <c r="O95" s="22">
        <f t="shared" si="33"/>
        <v>1935.7900000000002</v>
      </c>
      <c r="P95" s="22">
        <f t="shared" si="33"/>
        <v>18887.939999999999</v>
      </c>
      <c r="Q95" s="12">
        <f t="shared" si="10"/>
        <v>23951734.373</v>
      </c>
    </row>
    <row r="96" spans="1:17">
      <c r="A96" s="1" t="s">
        <v>144</v>
      </c>
      <c r="B96" s="22">
        <f t="shared" si="8"/>
        <v>212516.12000000005</v>
      </c>
      <c r="C96" s="22">
        <f t="shared" si="8"/>
        <v>52407.410000000011</v>
      </c>
      <c r="D96" s="22">
        <f t="shared" si="8"/>
        <v>24858.610000000004</v>
      </c>
      <c r="E96" s="22">
        <f t="shared" si="8"/>
        <v>3336.9</v>
      </c>
      <c r="F96" s="22">
        <f t="shared" ref="F96:P96" si="34">F30+F63</f>
        <v>196486.82</v>
      </c>
      <c r="G96" s="22">
        <f t="shared" si="34"/>
        <v>6064.64</v>
      </c>
      <c r="H96" s="22">
        <f t="shared" si="34"/>
        <v>4799.6400000000003</v>
      </c>
      <c r="I96" s="22">
        <f t="shared" si="34"/>
        <v>0</v>
      </c>
      <c r="J96" s="22">
        <f t="shared" si="34"/>
        <v>9024.4600000000009</v>
      </c>
      <c r="K96" s="22">
        <f t="shared" si="34"/>
        <v>663.31999999999994</v>
      </c>
      <c r="L96" s="22">
        <f t="shared" si="34"/>
        <v>0</v>
      </c>
      <c r="M96" s="22">
        <f t="shared" si="34"/>
        <v>0</v>
      </c>
      <c r="N96" s="22">
        <f t="shared" si="34"/>
        <v>193.48000000000002</v>
      </c>
      <c r="O96" s="22">
        <f t="shared" si="34"/>
        <v>0</v>
      </c>
      <c r="P96" s="22">
        <f t="shared" si="34"/>
        <v>0</v>
      </c>
      <c r="Q96" s="12">
        <f t="shared" si="10"/>
        <v>510351.40000000014</v>
      </c>
    </row>
    <row r="97" spans="1:17">
      <c r="A97" s="1" t="s">
        <v>145</v>
      </c>
      <c r="B97" s="22">
        <f t="shared" si="8"/>
        <v>101865.14000000001</v>
      </c>
      <c r="C97" s="22">
        <f t="shared" si="8"/>
        <v>25399.33</v>
      </c>
      <c r="D97" s="22">
        <f t="shared" si="8"/>
        <v>13837.99</v>
      </c>
      <c r="E97" s="22">
        <f t="shared" si="8"/>
        <v>8919.630000000001</v>
      </c>
      <c r="F97" s="22">
        <f t="shared" ref="F97:P97" si="35">F31+F64</f>
        <v>123155.40000000001</v>
      </c>
      <c r="G97" s="22">
        <f t="shared" si="35"/>
        <v>1895.1999999999998</v>
      </c>
      <c r="H97" s="22">
        <f t="shared" si="35"/>
        <v>6421.84</v>
      </c>
      <c r="I97" s="22">
        <f t="shared" si="35"/>
        <v>2192.12</v>
      </c>
      <c r="J97" s="22">
        <f t="shared" si="35"/>
        <v>3846.5700000000011</v>
      </c>
      <c r="K97" s="22">
        <f t="shared" si="35"/>
        <v>568.56000000000006</v>
      </c>
      <c r="L97" s="22">
        <f t="shared" si="35"/>
        <v>183</v>
      </c>
      <c r="M97" s="22">
        <f t="shared" si="35"/>
        <v>0</v>
      </c>
      <c r="N97" s="22">
        <f t="shared" si="35"/>
        <v>82.920000000000016</v>
      </c>
      <c r="O97" s="22">
        <f t="shared" si="35"/>
        <v>0</v>
      </c>
      <c r="P97" s="22">
        <f t="shared" si="35"/>
        <v>650.23</v>
      </c>
      <c r="Q97" s="12">
        <f t="shared" si="10"/>
        <v>289017.93000000005</v>
      </c>
    </row>
    <row r="98" spans="1:17">
      <c r="A98" s="8" t="s">
        <v>37</v>
      </c>
      <c r="B98" s="23">
        <f t="shared" ref="B98:L98" si="36">SUM(B71:B97)</f>
        <v>31687335.240000002</v>
      </c>
      <c r="C98" s="23">
        <f>SUM(C71:C97)</f>
        <v>4751518.54</v>
      </c>
      <c r="D98" s="23">
        <f t="shared" si="36"/>
        <v>3991934.6900000009</v>
      </c>
      <c r="E98" s="23">
        <f t="shared" si="36"/>
        <v>771922.58000000007</v>
      </c>
      <c r="F98" s="23">
        <f t="shared" si="36"/>
        <v>26560121.68</v>
      </c>
      <c r="G98" s="23">
        <f t="shared" si="36"/>
        <v>418875.09</v>
      </c>
      <c r="H98" s="23">
        <f t="shared" si="36"/>
        <v>864526.29</v>
      </c>
      <c r="I98" s="23">
        <f t="shared" si="36"/>
        <v>81290.989999999991</v>
      </c>
      <c r="J98" s="23">
        <f t="shared" si="36"/>
        <v>779190.41300000006</v>
      </c>
      <c r="K98" s="23">
        <f t="shared" si="36"/>
        <v>74072.98000000001</v>
      </c>
      <c r="L98" s="23">
        <f t="shared" si="36"/>
        <v>6051.6</v>
      </c>
      <c r="M98" s="23">
        <f>SUM(M71:M97)</f>
        <v>4006.88</v>
      </c>
      <c r="N98" s="16">
        <f>SUM(N71:N97)</f>
        <v>41301.170000000006</v>
      </c>
      <c r="O98" s="16">
        <f t="shared" ref="O98:P98" si="37">SUM(O71:O97)</f>
        <v>2107.0300000000002</v>
      </c>
      <c r="P98" s="16">
        <f t="shared" si="37"/>
        <v>20825.759999999998</v>
      </c>
      <c r="Q98" s="7">
        <f>SUM(Q71:Q97)</f>
        <v>70055080.933000013</v>
      </c>
    </row>
    <row r="99" spans="1:17">
      <c r="B99" s="15">
        <f>B98-'ARRECADAÇÃO MENSAL POR RECEITA'!B17</f>
        <v>0</v>
      </c>
      <c r="C99" s="15">
        <f>C98-'ARRECADAÇÃO MENSAL POR RECEITA'!C17</f>
        <v>0</v>
      </c>
      <c r="D99" s="15">
        <f>D98-'ARRECADAÇÃO MENSAL POR RECEITA'!D17</f>
        <v>0</v>
      </c>
      <c r="E99" s="15">
        <f>E98-'ARRECADAÇÃO MENSAL POR RECEITA'!E17</f>
        <v>0</v>
      </c>
      <c r="F99" s="15">
        <f>F98-'ARRECADAÇÃO MENSAL POR RECEITA'!F17</f>
        <v>0</v>
      </c>
      <c r="G99" s="15">
        <f>G98-'ARRECADAÇÃO MENSAL POR RECEITA'!G17</f>
        <v>0</v>
      </c>
      <c r="H99" s="15">
        <f>H98-'ARRECADAÇÃO MENSAL POR RECEITA'!H17</f>
        <v>0</v>
      </c>
      <c r="I99" s="15">
        <f>I98-'ARRECADAÇÃO MENSAL POR RECEITA'!I17</f>
        <v>0</v>
      </c>
      <c r="J99" s="15">
        <f>J98-'ARRECADAÇÃO MENSAL POR RECEITA'!J17</f>
        <v>0</v>
      </c>
      <c r="K99" s="15">
        <f>K98-'ARRECADAÇÃO MENSAL POR RECEITA'!K17</f>
        <v>0</v>
      </c>
      <c r="L99" s="15">
        <f>L98-'ARRECADAÇÃO MENSAL POR RECEITA'!L17</f>
        <v>0</v>
      </c>
      <c r="M99" s="15">
        <f>M98-'ARRECADAÇÃO MENSAL POR RECEITA'!M17</f>
        <v>0</v>
      </c>
      <c r="N99" s="15">
        <f>N98-'ARRECADAÇÃO MENSAL POR RECEITA'!N17</f>
        <v>0</v>
      </c>
      <c r="O99" s="15">
        <f>O98-'ARRECADAÇÃO MENSAL POR RECEITA'!O17</f>
        <v>0</v>
      </c>
      <c r="P99" s="15">
        <f>P98-'ARRECADAÇÃO MENSAL POR RECEITA'!P17</f>
        <v>0</v>
      </c>
      <c r="Q99" s="53">
        <f>Q98-'ARRECADAÇÃO MENSAL POR RECEITA'!Q17</f>
        <v>0</v>
      </c>
    </row>
  </sheetData>
  <mergeCells count="45">
    <mergeCell ref="A2:Q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Q3:Q4"/>
    <mergeCell ref="O3:P3"/>
    <mergeCell ref="A35:Q35"/>
    <mergeCell ref="A36:A37"/>
    <mergeCell ref="B36:C36"/>
    <mergeCell ref="D36:E36"/>
    <mergeCell ref="F36:F37"/>
    <mergeCell ref="G36:G37"/>
    <mergeCell ref="H36:H37"/>
    <mergeCell ref="I36:I37"/>
    <mergeCell ref="J36:J37"/>
    <mergeCell ref="K36:K37"/>
    <mergeCell ref="L36:L37"/>
    <mergeCell ref="M36:M37"/>
    <mergeCell ref="N36:N37"/>
    <mergeCell ref="Q36:Q37"/>
    <mergeCell ref="O36:P36"/>
    <mergeCell ref="A68:Q68"/>
    <mergeCell ref="A69:A70"/>
    <mergeCell ref="B69:C69"/>
    <mergeCell ref="D69:E69"/>
    <mergeCell ref="F69:F70"/>
    <mergeCell ref="G69:G70"/>
    <mergeCell ref="H69:H70"/>
    <mergeCell ref="I69:I70"/>
    <mergeCell ref="J69:J70"/>
    <mergeCell ref="K69:K70"/>
    <mergeCell ref="L69:L70"/>
    <mergeCell ref="M69:M70"/>
    <mergeCell ref="N69:N70"/>
    <mergeCell ref="Q69:Q70"/>
    <mergeCell ref="O69:P69"/>
  </mergeCells>
  <printOptions horizontalCentered="1" verticalCentered="1"/>
  <pageMargins left="0" right="0" top="0" bottom="0" header="0" footer="0"/>
  <pageSetup paperSize="9" scale="35" fitToWidth="0" orientation="landscape" verticalDpi="0" r:id="rId1"/>
</worksheet>
</file>

<file path=xl/worksheets/sheet1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59999389629810485"/>
    <pageSetUpPr fitToPage="1"/>
  </sheetPr>
  <dimension ref="A1:AI63"/>
  <sheetViews>
    <sheetView showGridLines="0" topLeftCell="C1" zoomScale="110" zoomScaleNormal="110" workbookViewId="0">
      <selection activeCell="A2" sqref="A2:AC37"/>
    </sheetView>
  </sheetViews>
  <sheetFormatPr defaultRowHeight="15"/>
  <cols>
    <col min="2" max="2" width="13.140625" customWidth="1"/>
    <col min="3" max="3" width="14.42578125" customWidth="1"/>
    <col min="4" max="27" width="13.140625" hidden="1" customWidth="1"/>
    <col min="28" max="31" width="13.140625" customWidth="1"/>
    <col min="32" max="33" width="12.42578125" customWidth="1"/>
    <col min="34" max="34" width="12.85546875" customWidth="1"/>
    <col min="35" max="35" width="12.5703125" customWidth="1"/>
    <col min="37" max="58" width="0" hidden="1" customWidth="1"/>
  </cols>
  <sheetData>
    <row r="1" spans="1:35">
      <c r="A1" s="309" t="s">
        <v>227</v>
      </c>
      <c r="B1" s="311" t="s">
        <v>161</v>
      </c>
      <c r="C1" s="308"/>
      <c r="D1" s="312" t="s">
        <v>148</v>
      </c>
      <c r="E1" s="312"/>
      <c r="F1" s="308" t="s">
        <v>149</v>
      </c>
      <c r="G1" s="308"/>
      <c r="H1" s="308" t="s">
        <v>150</v>
      </c>
      <c r="I1" s="308"/>
      <c r="J1" s="308" t="s">
        <v>151</v>
      </c>
      <c r="K1" s="308"/>
      <c r="L1" s="308" t="s">
        <v>152</v>
      </c>
      <c r="M1" s="308"/>
      <c r="N1" s="308" t="s">
        <v>153</v>
      </c>
      <c r="O1" s="308"/>
      <c r="P1" s="308" t="s">
        <v>154</v>
      </c>
      <c r="Q1" s="308"/>
      <c r="R1" s="308" t="s">
        <v>155</v>
      </c>
      <c r="S1" s="308"/>
      <c r="T1" s="308" t="s">
        <v>156</v>
      </c>
      <c r="U1" s="308"/>
      <c r="V1" s="308" t="s">
        <v>157</v>
      </c>
      <c r="W1" s="308"/>
      <c r="X1" s="308" t="s">
        <v>158</v>
      </c>
      <c r="Y1" s="308"/>
      <c r="Z1" s="308" t="s">
        <v>159</v>
      </c>
      <c r="AA1" s="308"/>
      <c r="AB1" s="308" t="s">
        <v>309</v>
      </c>
      <c r="AC1" s="308"/>
      <c r="AD1" s="308" t="s">
        <v>228</v>
      </c>
      <c r="AE1" s="308"/>
      <c r="AF1" s="308" t="s">
        <v>229</v>
      </c>
      <c r="AG1" s="308"/>
    </row>
    <row r="2" spans="1:35">
      <c r="A2" s="310"/>
      <c r="B2" s="105" t="s">
        <v>230</v>
      </c>
      <c r="C2" s="106" t="s">
        <v>231</v>
      </c>
      <c r="D2" s="106" t="s">
        <v>230</v>
      </c>
      <c r="E2" s="106" t="s">
        <v>231</v>
      </c>
      <c r="F2" s="106" t="s">
        <v>230</v>
      </c>
      <c r="G2" s="106" t="s">
        <v>231</v>
      </c>
      <c r="H2" s="106" t="s">
        <v>230</v>
      </c>
      <c r="I2" s="106" t="s">
        <v>231</v>
      </c>
      <c r="J2" s="106" t="s">
        <v>230</v>
      </c>
      <c r="K2" s="106" t="s">
        <v>231</v>
      </c>
      <c r="L2" s="106" t="s">
        <v>230</v>
      </c>
      <c r="M2" s="106" t="s">
        <v>231</v>
      </c>
      <c r="N2" s="106" t="s">
        <v>230</v>
      </c>
      <c r="O2" s="106" t="s">
        <v>231</v>
      </c>
      <c r="P2" s="106" t="s">
        <v>230</v>
      </c>
      <c r="Q2" s="106" t="s">
        <v>231</v>
      </c>
      <c r="R2" s="106" t="s">
        <v>230</v>
      </c>
      <c r="S2" s="106" t="s">
        <v>231</v>
      </c>
      <c r="T2" s="106" t="s">
        <v>230</v>
      </c>
      <c r="U2" s="106" t="s">
        <v>231</v>
      </c>
      <c r="V2" s="106" t="s">
        <v>230</v>
      </c>
      <c r="W2" s="106" t="s">
        <v>231</v>
      </c>
      <c r="X2" s="106" t="s">
        <v>230</v>
      </c>
      <c r="Y2" s="106" t="s">
        <v>231</v>
      </c>
      <c r="Z2" s="106" t="s">
        <v>230</v>
      </c>
      <c r="AA2" s="106" t="s">
        <v>231</v>
      </c>
      <c r="AB2" s="106" t="s">
        <v>230</v>
      </c>
      <c r="AC2" s="106" t="s">
        <v>231</v>
      </c>
      <c r="AD2" s="106" t="s">
        <v>230</v>
      </c>
      <c r="AE2" s="106" t="s">
        <v>231</v>
      </c>
      <c r="AF2" s="106" t="s">
        <v>230</v>
      </c>
      <c r="AG2" s="106" t="s">
        <v>231</v>
      </c>
    </row>
    <row r="3" spans="1:35">
      <c r="A3" s="107" t="s">
        <v>119</v>
      </c>
      <c r="B3" s="108">
        <f>B36</f>
        <v>7000</v>
      </c>
      <c r="C3" s="109">
        <f>C36</f>
        <v>1000</v>
      </c>
      <c r="D3" s="110">
        <f>JAN!C5+JAN!T5</f>
        <v>2543.8880000000004</v>
      </c>
      <c r="E3" s="110">
        <f>JAN!E5+JAN!V5</f>
        <v>359.55200000000002</v>
      </c>
      <c r="F3" s="110">
        <f>FEV!C5+FEV!T5</f>
        <v>1904.7040000000002</v>
      </c>
      <c r="G3" s="110">
        <f>FEV!E5+FEV!V5</f>
        <v>213.512</v>
      </c>
      <c r="H3" s="110">
        <f>MAR!C5+MAR!T5</f>
        <v>595.87200000000007</v>
      </c>
      <c r="I3" s="110">
        <f>MAR!E5+MAR!V5</f>
        <v>323.97600000000006</v>
      </c>
      <c r="J3" s="110">
        <f>ABR!C5+ABR!T5</f>
        <v>1644.2880000000002</v>
      </c>
      <c r="K3" s="110">
        <f>ABR!E5+ABR!V5</f>
        <v>395.12800000000004</v>
      </c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1">
        <f>D3+F3+H3+J3+L3+N3+P3+R3+T3+V3+X3+Z3</f>
        <v>6688.7520000000013</v>
      </c>
      <c r="AC3" s="112">
        <f>E3+G3+I3+K3+M3+O3+Q3+S3+U3+W3+Y3+AA3</f>
        <v>1292.1680000000001</v>
      </c>
      <c r="AD3" s="113">
        <f t="shared" ref="AD3:AE32" si="0">IFERROR((AB3/B3),0)</f>
        <v>0.95553600000000016</v>
      </c>
      <c r="AE3" s="114">
        <f t="shared" si="0"/>
        <v>1.2921680000000002</v>
      </c>
      <c r="AF3" s="111">
        <f t="shared" ref="AF3" si="1">B3-AB3</f>
        <v>311.24799999999868</v>
      </c>
      <c r="AG3" s="112"/>
      <c r="AH3" s="94">
        <f t="shared" ref="AH3" si="2">B3-AB3</f>
        <v>311.24799999999868</v>
      </c>
      <c r="AI3" s="94"/>
    </row>
    <row r="4" spans="1:35">
      <c r="A4" s="115" t="s">
        <v>120</v>
      </c>
      <c r="B4" s="108">
        <f t="shared" ref="B4:C19" si="3">B37</f>
        <v>30000</v>
      </c>
      <c r="C4" s="109">
        <f t="shared" si="3"/>
        <v>2000</v>
      </c>
      <c r="D4" s="110">
        <f>JAN!C6+JAN!T6</f>
        <v>9894.4800000000014</v>
      </c>
      <c r="E4" s="110">
        <f>JAN!E6+JAN!V6</f>
        <v>170.81600000000003</v>
      </c>
      <c r="F4" s="110">
        <f>FEV!C6+FEV!T6</f>
        <v>13685.984</v>
      </c>
      <c r="G4" s="110">
        <f>FEV!E6+FEV!V6</f>
        <v>713.89600000000007</v>
      </c>
      <c r="H4" s="110">
        <f>MAR!C6+MAR!T6</f>
        <v>8342.1200000000008</v>
      </c>
      <c r="I4" s="110">
        <f>MAR!E6+MAR!V6</f>
        <v>0</v>
      </c>
      <c r="J4" s="110">
        <f>ABR!C6+ABR!T6</f>
        <v>6209.52</v>
      </c>
      <c r="K4" s="110">
        <f>ABR!E6+ABR!V6</f>
        <v>71.160000000000011</v>
      </c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1">
        <f t="shared" ref="AB4:AC29" si="4">D4+F4+H4+J4+L4+N4+P4+R4+T4+V4+X4+Z4</f>
        <v>38132.104000000007</v>
      </c>
      <c r="AC4" s="112">
        <f t="shared" si="4"/>
        <v>955.87200000000007</v>
      </c>
      <c r="AD4" s="113">
        <f t="shared" si="0"/>
        <v>1.2710701333333336</v>
      </c>
      <c r="AE4" s="114">
        <f t="shared" si="0"/>
        <v>0.47793600000000003</v>
      </c>
      <c r="AF4" s="111"/>
      <c r="AG4" s="112">
        <f t="shared" ref="AG4:AG28" si="5">C4-AC4</f>
        <v>1044.1279999999999</v>
      </c>
      <c r="AH4" s="94"/>
      <c r="AI4" s="94">
        <f t="shared" ref="AI4:AI5" si="6">C4-AC4</f>
        <v>1044.1279999999999</v>
      </c>
    </row>
    <row r="5" spans="1:35">
      <c r="A5" s="116" t="s">
        <v>121</v>
      </c>
      <c r="B5" s="108">
        <f t="shared" si="3"/>
        <v>9748</v>
      </c>
      <c r="C5" s="109">
        <f t="shared" si="3"/>
        <v>3886</v>
      </c>
      <c r="D5" s="110">
        <f>JAN!C7+JAN!T7</f>
        <v>8753.6479999999992</v>
      </c>
      <c r="E5" s="110">
        <f>JAN!E7+JAN!V7</f>
        <v>651.50400000000002</v>
      </c>
      <c r="F5" s="110">
        <f>FEV!C7+FEV!T7</f>
        <v>5039.7280000000001</v>
      </c>
      <c r="G5" s="110">
        <f>FEV!E7+FEV!V7</f>
        <v>347.99200000000002</v>
      </c>
      <c r="H5" s="110">
        <f>MAR!C7+MAR!T7</f>
        <v>4616.2240000000002</v>
      </c>
      <c r="I5" s="110">
        <f>MAR!E7+MAR!V7</f>
        <v>966.13600000000008</v>
      </c>
      <c r="J5" s="110">
        <f>ABR!C7+ABR!T7</f>
        <v>5367.5040000000008</v>
      </c>
      <c r="K5" s="110">
        <f>ABR!E7+ABR!V7</f>
        <v>69</v>
      </c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1">
        <f t="shared" si="4"/>
        <v>23777.103999999999</v>
      </c>
      <c r="AC5" s="112">
        <f t="shared" si="4"/>
        <v>2034.6320000000001</v>
      </c>
      <c r="AD5" s="113">
        <f t="shared" si="0"/>
        <v>2.4391776774723017</v>
      </c>
      <c r="AE5" s="114">
        <f t="shared" si="0"/>
        <v>0.52358003088008231</v>
      </c>
      <c r="AF5" s="111"/>
      <c r="AG5" s="112">
        <f t="shared" si="5"/>
        <v>1851.3679999999999</v>
      </c>
      <c r="AH5" s="94"/>
      <c r="AI5" s="94">
        <f t="shared" si="6"/>
        <v>1851.3679999999999</v>
      </c>
    </row>
    <row r="6" spans="1:35">
      <c r="A6" s="117" t="s">
        <v>122</v>
      </c>
      <c r="B6" s="108">
        <f t="shared" si="3"/>
        <v>30791.06</v>
      </c>
      <c r="C6" s="109">
        <f t="shared" si="3"/>
        <v>9631.6200000000008</v>
      </c>
      <c r="D6" s="110">
        <f>JAN!C8+JAN!T8</f>
        <v>13938.920000000002</v>
      </c>
      <c r="E6" s="110">
        <f>JAN!E8+JAN!V8</f>
        <v>2647.2000000000003</v>
      </c>
      <c r="F6" s="110">
        <f>FEV!C8+FEV!T8</f>
        <v>24209.248000000003</v>
      </c>
      <c r="G6" s="110">
        <f>FEV!E8+FEV!V8</f>
        <v>911.7120000000001</v>
      </c>
      <c r="H6" s="110">
        <f>MAR!C8+MAR!T8</f>
        <v>19076.88</v>
      </c>
      <c r="I6" s="110">
        <f>MAR!E8+MAR!V8</f>
        <v>1282.4639999999999</v>
      </c>
      <c r="J6" s="110">
        <f>ABR!C8+ABR!T8</f>
        <v>17527.168000000001</v>
      </c>
      <c r="K6" s="110">
        <f>ABR!E8+ABR!V8</f>
        <v>2079.3119999999999</v>
      </c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1">
        <f t="shared" si="4"/>
        <v>74752.216000000015</v>
      </c>
      <c r="AC6" s="112">
        <f t="shared" si="4"/>
        <v>6920.6880000000001</v>
      </c>
      <c r="AD6" s="113">
        <f t="shared" si="0"/>
        <v>2.4277246707323492</v>
      </c>
      <c r="AE6" s="114">
        <f t="shared" si="0"/>
        <v>0.71853831442685645</v>
      </c>
      <c r="AF6" s="111"/>
      <c r="AG6" s="112">
        <f t="shared" si="5"/>
        <v>2710.9320000000007</v>
      </c>
      <c r="AH6" s="94"/>
      <c r="AI6" s="94">
        <f>C6-AC6</f>
        <v>2710.9320000000007</v>
      </c>
    </row>
    <row r="7" spans="1:35">
      <c r="A7" s="115" t="s">
        <v>123</v>
      </c>
      <c r="B7" s="108">
        <f t="shared" si="3"/>
        <v>180000</v>
      </c>
      <c r="C7" s="109">
        <f t="shared" si="3"/>
        <v>30000</v>
      </c>
      <c r="D7" s="110">
        <f>JAN!C9+JAN!T9</f>
        <v>36033.384000000005</v>
      </c>
      <c r="E7" s="110">
        <f>JAN!E9+JAN!V9</f>
        <v>2252.4080000000004</v>
      </c>
      <c r="F7" s="110">
        <f>FEV!C9+FEV!T9</f>
        <v>29492.648000000001</v>
      </c>
      <c r="G7" s="110">
        <f>FEV!E9+FEV!V9</f>
        <v>3667.6559999999999</v>
      </c>
      <c r="H7" s="110">
        <f>MAR!C9+MAR!T9</f>
        <v>18714.655999999999</v>
      </c>
      <c r="I7" s="110">
        <f>MAR!E9+MAR!V9</f>
        <v>6223.5680000000002</v>
      </c>
      <c r="J7" s="110">
        <f>ABR!C9+ABR!T9</f>
        <v>23243.528000000002</v>
      </c>
      <c r="K7" s="110">
        <f>ABR!E9+ABR!V9</f>
        <v>2404.08</v>
      </c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1">
        <f t="shared" si="4"/>
        <v>107484.21600000001</v>
      </c>
      <c r="AC7" s="112">
        <f t="shared" si="4"/>
        <v>14547.712000000001</v>
      </c>
      <c r="AD7" s="113">
        <f t="shared" si="0"/>
        <v>0.59713453333333344</v>
      </c>
      <c r="AE7" s="114">
        <f t="shared" si="0"/>
        <v>0.48492373333333338</v>
      </c>
      <c r="AF7" s="111">
        <f t="shared" ref="AF7:AF28" si="7">B7-AB7</f>
        <v>72515.783999999985</v>
      </c>
      <c r="AG7" s="112">
        <f t="shared" si="5"/>
        <v>15452.287999999999</v>
      </c>
      <c r="AH7" s="94">
        <f t="shared" ref="AH7:AH28" si="8">B7-AB7</f>
        <v>72515.783999999985</v>
      </c>
      <c r="AI7" s="94">
        <f t="shared" ref="AI7:AI31" si="9">C7-AC7</f>
        <v>15452.287999999999</v>
      </c>
    </row>
    <row r="8" spans="1:35">
      <c r="A8" s="115" t="s">
        <v>124</v>
      </c>
      <c r="B8" s="108">
        <f t="shared" si="3"/>
        <v>64988</v>
      </c>
      <c r="C8" s="109">
        <f t="shared" si="3"/>
        <v>7890</v>
      </c>
      <c r="D8" s="110">
        <f>JAN!C10+JAN!T10</f>
        <v>20244.376000000004</v>
      </c>
      <c r="E8" s="110">
        <f>JAN!E10+JAN!V10</f>
        <v>2246.3679999999999</v>
      </c>
      <c r="F8" s="110">
        <f>FEV!C10+FEV!T10</f>
        <v>13693.848000000002</v>
      </c>
      <c r="G8" s="110">
        <f>FEV!E10+FEV!V10</f>
        <v>2440.712</v>
      </c>
      <c r="H8" s="110">
        <f>MAR!C10+MAR!T10</f>
        <v>13544.792000000001</v>
      </c>
      <c r="I8" s="110">
        <f>MAR!E10+MAR!V10</f>
        <v>1081.4639999999999</v>
      </c>
      <c r="J8" s="110">
        <f>ABR!C10+ABR!T10</f>
        <v>14193.36</v>
      </c>
      <c r="K8" s="110">
        <f>ABR!E10+ABR!V10</f>
        <v>750.57600000000002</v>
      </c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1">
        <f t="shared" si="4"/>
        <v>61676.376000000004</v>
      </c>
      <c r="AC8" s="112">
        <f t="shared" si="4"/>
        <v>6519.12</v>
      </c>
      <c r="AD8" s="113">
        <f t="shared" si="0"/>
        <v>0.94904253092878688</v>
      </c>
      <c r="AE8" s="114">
        <f t="shared" si="0"/>
        <v>0.82625095057034215</v>
      </c>
      <c r="AF8" s="111">
        <f t="shared" si="7"/>
        <v>3311.6239999999962</v>
      </c>
      <c r="AG8" s="112">
        <f t="shared" si="5"/>
        <v>1370.88</v>
      </c>
      <c r="AH8" s="94">
        <f t="shared" si="8"/>
        <v>3311.6239999999962</v>
      </c>
      <c r="AI8" s="94">
        <f t="shared" si="9"/>
        <v>1370.88</v>
      </c>
    </row>
    <row r="9" spans="1:35">
      <c r="A9" s="115" t="s">
        <v>125</v>
      </c>
      <c r="B9" s="108">
        <f t="shared" si="3"/>
        <v>200000</v>
      </c>
      <c r="C9" s="109">
        <f t="shared" si="3"/>
        <v>20000</v>
      </c>
      <c r="D9" s="110">
        <f>JAN!C11+JAN!T11</f>
        <v>38673.656000000003</v>
      </c>
      <c r="E9" s="110">
        <f>JAN!E11+JAN!V11</f>
        <v>2993.28</v>
      </c>
      <c r="F9" s="110">
        <f>FEV!C11+FEV!T11</f>
        <v>34476.280000000006</v>
      </c>
      <c r="G9" s="110">
        <f>FEV!E11+FEV!V11</f>
        <v>5429.1680000000006</v>
      </c>
      <c r="H9" s="110">
        <f>MAR!C11+MAR!T11</f>
        <v>24543.734</v>
      </c>
      <c r="I9" s="110">
        <f>MAR!E11+MAR!V11</f>
        <v>6957.9840000000004</v>
      </c>
      <c r="J9" s="110">
        <f>ABR!C11+ABR!T11</f>
        <v>26707.402000000002</v>
      </c>
      <c r="K9" s="110">
        <f>ABR!E11+ABR!V11</f>
        <v>7055.4320000000007</v>
      </c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1">
        <f t="shared" si="4"/>
        <v>124401.07200000001</v>
      </c>
      <c r="AC9" s="112">
        <f t="shared" si="4"/>
        <v>22435.864000000001</v>
      </c>
      <c r="AD9" s="113">
        <f t="shared" si="0"/>
        <v>0.62200536000000006</v>
      </c>
      <c r="AE9" s="114">
        <f t="shared" si="0"/>
        <v>1.1217932000000002</v>
      </c>
      <c r="AF9" s="111">
        <f t="shared" si="7"/>
        <v>75598.927999999985</v>
      </c>
      <c r="AG9" s="112"/>
      <c r="AH9" s="94">
        <f t="shared" si="8"/>
        <v>75598.927999999985</v>
      </c>
      <c r="AI9" s="94"/>
    </row>
    <row r="10" spans="1:35">
      <c r="A10" s="115" t="s">
        <v>126</v>
      </c>
      <c r="B10" s="108">
        <f t="shared" si="3"/>
        <v>68000</v>
      </c>
      <c r="C10" s="109">
        <f t="shared" si="3"/>
        <v>34694.67</v>
      </c>
      <c r="D10" s="110">
        <f>JAN!C12+JAN!T12</f>
        <v>24987.440000000002</v>
      </c>
      <c r="E10" s="110">
        <f>JAN!E12+JAN!V12</f>
        <v>4434.9920000000002</v>
      </c>
      <c r="F10" s="110">
        <f>FEV!C12+FEV!T12</f>
        <v>27817.664000000004</v>
      </c>
      <c r="G10" s="110">
        <f>FEV!E12+FEV!V12</f>
        <v>3578.5280000000002</v>
      </c>
      <c r="H10" s="110">
        <f>MAR!C12+MAR!T12</f>
        <v>19136.288</v>
      </c>
      <c r="I10" s="110">
        <f>MAR!E12+MAR!V12</f>
        <v>2541.864</v>
      </c>
      <c r="J10" s="110">
        <f>ABR!C12+ABR!T12</f>
        <v>14124.472000000002</v>
      </c>
      <c r="K10" s="110">
        <f>ABR!E12+ABR!V12</f>
        <v>2235.752</v>
      </c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1">
        <f t="shared" si="4"/>
        <v>86065.864000000001</v>
      </c>
      <c r="AC10" s="112">
        <f t="shared" si="4"/>
        <v>12791.136</v>
      </c>
      <c r="AD10" s="113">
        <f t="shared" si="0"/>
        <v>1.2656744705882352</v>
      </c>
      <c r="AE10" s="114">
        <f t="shared" si="0"/>
        <v>0.36867726368344189</v>
      </c>
      <c r="AF10" s="111"/>
      <c r="AG10" s="112">
        <f t="shared" si="5"/>
        <v>21903.534</v>
      </c>
      <c r="AH10" s="94"/>
      <c r="AI10" s="94">
        <f t="shared" si="9"/>
        <v>21903.534</v>
      </c>
    </row>
    <row r="11" spans="1:35">
      <c r="A11" s="115" t="s">
        <v>127</v>
      </c>
      <c r="B11" s="108">
        <f t="shared" si="3"/>
        <v>140000</v>
      </c>
      <c r="C11" s="109">
        <f t="shared" si="3"/>
        <v>25000</v>
      </c>
      <c r="D11" s="110">
        <f>JAN!C13+JAN!T13</f>
        <v>28439.920000000002</v>
      </c>
      <c r="E11" s="110">
        <f>JAN!E13+JAN!V13</f>
        <v>3329.4480000000003</v>
      </c>
      <c r="F11" s="110">
        <f>FEV!C13+FEV!T13</f>
        <v>28528.640000000003</v>
      </c>
      <c r="G11" s="110">
        <f>FEV!E13+FEV!V13</f>
        <v>5819.7520000000004</v>
      </c>
      <c r="H11" s="110">
        <f>MAR!C13+MAR!T13</f>
        <v>21479.184000000001</v>
      </c>
      <c r="I11" s="110">
        <f>MAR!E13+MAR!V13</f>
        <v>1566.1680000000001</v>
      </c>
      <c r="J11" s="110">
        <f>ABR!C13+ABR!T13</f>
        <v>20370.567999999999</v>
      </c>
      <c r="K11" s="110">
        <f>ABR!E13+ABR!V13</f>
        <v>2274.3520000000003</v>
      </c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1">
        <f t="shared" si="4"/>
        <v>98818.312000000005</v>
      </c>
      <c r="AC11" s="112">
        <f t="shared" si="4"/>
        <v>12989.720000000001</v>
      </c>
      <c r="AD11" s="113">
        <f t="shared" si="0"/>
        <v>0.70584508571428572</v>
      </c>
      <c r="AE11" s="114">
        <f t="shared" si="0"/>
        <v>0.51958880000000007</v>
      </c>
      <c r="AF11" s="111">
        <f t="shared" si="7"/>
        <v>41181.687999999995</v>
      </c>
      <c r="AG11" s="112">
        <f t="shared" si="5"/>
        <v>12010.279999999999</v>
      </c>
      <c r="AH11" s="94">
        <f t="shared" si="8"/>
        <v>41181.687999999995</v>
      </c>
      <c r="AI11" s="94">
        <f t="shared" si="9"/>
        <v>12010.279999999999</v>
      </c>
    </row>
    <row r="12" spans="1:35">
      <c r="A12" s="117" t="s">
        <v>128</v>
      </c>
      <c r="B12" s="108">
        <f t="shared" si="3"/>
        <v>50000</v>
      </c>
      <c r="C12" s="109">
        <f t="shared" si="3"/>
        <v>4200</v>
      </c>
      <c r="D12" s="110">
        <f>JAN!C14+JAN!T14</f>
        <v>13048.512000000001</v>
      </c>
      <c r="E12" s="110">
        <f>JAN!E14+JAN!V14</f>
        <v>1783.68</v>
      </c>
      <c r="F12" s="110">
        <f>FEV!C14+FEV!T14</f>
        <v>9437.3040000000001</v>
      </c>
      <c r="G12" s="110">
        <f>FEV!E14+FEV!V14</f>
        <v>764.64800000000002</v>
      </c>
      <c r="H12" s="110">
        <f>MAR!C14+MAR!T14</f>
        <v>11036.008000000002</v>
      </c>
      <c r="I12" s="110">
        <f>MAR!E14+MAR!V14</f>
        <v>2220.192</v>
      </c>
      <c r="J12" s="110">
        <f>ABR!C14+ABR!T14</f>
        <v>9778.4560000000001</v>
      </c>
      <c r="K12" s="110">
        <f>ABR!E14+ABR!V14</f>
        <v>756.27200000000005</v>
      </c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1">
        <f t="shared" si="4"/>
        <v>43300.28</v>
      </c>
      <c r="AC12" s="112">
        <f t="shared" si="4"/>
        <v>5524.7920000000004</v>
      </c>
      <c r="AD12" s="113">
        <f t="shared" si="0"/>
        <v>0.86600559999999993</v>
      </c>
      <c r="AE12" s="114">
        <f t="shared" si="0"/>
        <v>1.3154266666666667</v>
      </c>
      <c r="AF12" s="111">
        <f t="shared" si="7"/>
        <v>6699.7200000000012</v>
      </c>
      <c r="AG12" s="112"/>
      <c r="AH12" s="94">
        <f t="shared" si="8"/>
        <v>6699.7200000000012</v>
      </c>
      <c r="AI12" s="94"/>
    </row>
    <row r="13" spans="1:35">
      <c r="A13" s="116" t="s">
        <v>129</v>
      </c>
      <c r="B13" s="108">
        <f t="shared" si="3"/>
        <v>0</v>
      </c>
      <c r="C13" s="109">
        <f t="shared" si="3"/>
        <v>0</v>
      </c>
      <c r="D13" s="110">
        <f>JAN!C15+JAN!T15</f>
        <v>13720.488000000001</v>
      </c>
      <c r="E13" s="110">
        <f>JAN!E15+JAN!V15</f>
        <v>1838.92</v>
      </c>
      <c r="F13" s="110">
        <f>FEV!C15+FEV!T15</f>
        <v>18407.703999999998</v>
      </c>
      <c r="G13" s="110">
        <f>FEV!E15+FEV!V15</f>
        <v>1823.2560000000003</v>
      </c>
      <c r="H13" s="110">
        <f>MAR!C15+MAR!T15</f>
        <v>16067.617999999999</v>
      </c>
      <c r="I13" s="110">
        <f>MAR!E15+MAR!V15</f>
        <v>191.352</v>
      </c>
      <c r="J13" s="110">
        <f>ABR!C15+ABR!T15</f>
        <v>11904.816000000001</v>
      </c>
      <c r="K13" s="110">
        <f>ABR!E15+ABR!V15</f>
        <v>897.28</v>
      </c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1">
        <f t="shared" si="4"/>
        <v>60100.625999999997</v>
      </c>
      <c r="AC13" s="112">
        <f t="shared" si="4"/>
        <v>4750.808</v>
      </c>
      <c r="AD13" s="113">
        <f t="shared" si="0"/>
        <v>0</v>
      </c>
      <c r="AE13" s="114">
        <f t="shared" si="0"/>
        <v>0</v>
      </c>
      <c r="AF13" s="111"/>
      <c r="AG13" s="112"/>
      <c r="AH13" s="94"/>
      <c r="AI13" s="94"/>
    </row>
    <row r="14" spans="1:35">
      <c r="A14" s="115" t="s">
        <v>130</v>
      </c>
      <c r="B14" s="108">
        <f t="shared" si="3"/>
        <v>70000</v>
      </c>
      <c r="C14" s="109">
        <f t="shared" si="3"/>
        <v>10000</v>
      </c>
      <c r="D14" s="110">
        <f>JAN!C16+JAN!T16</f>
        <v>18643.216</v>
      </c>
      <c r="E14" s="110">
        <f>JAN!E16+JAN!V16</f>
        <v>3473.9519999999998</v>
      </c>
      <c r="F14" s="110">
        <f>FEV!C16+FEV!T16</f>
        <v>18021.624000000003</v>
      </c>
      <c r="G14" s="110">
        <f>FEV!E16+FEV!V16</f>
        <v>2222.8560000000002</v>
      </c>
      <c r="H14" s="110">
        <f>MAR!C16+MAR!T16</f>
        <v>11736.576000000001</v>
      </c>
      <c r="I14" s="110">
        <f>MAR!E16+MAR!V16</f>
        <v>1733.3520000000001</v>
      </c>
      <c r="J14" s="110">
        <f>ABR!C16+ABR!T16</f>
        <v>12462.256000000001</v>
      </c>
      <c r="K14" s="110">
        <f>ABR!E16+ABR!V16</f>
        <v>1960.6720000000003</v>
      </c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1">
        <f t="shared" si="4"/>
        <v>60863.672000000006</v>
      </c>
      <c r="AC14" s="112">
        <f t="shared" si="4"/>
        <v>9390.8320000000003</v>
      </c>
      <c r="AD14" s="113">
        <f t="shared" si="0"/>
        <v>0.86948102857142862</v>
      </c>
      <c r="AE14" s="114">
        <f t="shared" si="0"/>
        <v>0.93908320000000001</v>
      </c>
      <c r="AF14" s="111">
        <f t="shared" si="7"/>
        <v>9136.3279999999941</v>
      </c>
      <c r="AG14" s="112">
        <f t="shared" si="5"/>
        <v>609.16799999999967</v>
      </c>
      <c r="AH14" s="94">
        <f t="shared" si="8"/>
        <v>9136.3279999999941</v>
      </c>
      <c r="AI14" s="94">
        <f t="shared" si="9"/>
        <v>609.16799999999967</v>
      </c>
    </row>
    <row r="15" spans="1:35">
      <c r="A15" s="115" t="s">
        <v>131</v>
      </c>
      <c r="B15" s="108">
        <f t="shared" si="3"/>
        <v>600000</v>
      </c>
      <c r="C15" s="109">
        <f t="shared" si="3"/>
        <v>80611</v>
      </c>
      <c r="D15" s="110">
        <f>JAN!C17+JAN!T17</f>
        <v>121946.04600000002</v>
      </c>
      <c r="E15" s="110">
        <f>JAN!E17+JAN!V17</f>
        <v>17934.583999999999</v>
      </c>
      <c r="F15" s="110">
        <f>FEV!C17+FEV!T17</f>
        <v>98178.195999999996</v>
      </c>
      <c r="G15" s="110">
        <f>FEV!E17+FEV!V17</f>
        <v>19393.432000000001</v>
      </c>
      <c r="H15" s="110">
        <f>MAR!C17+MAR!T17</f>
        <v>67555.135999999999</v>
      </c>
      <c r="I15" s="110">
        <f>MAR!E17+MAR!V17</f>
        <v>15876.376000000002</v>
      </c>
      <c r="J15" s="110">
        <f>ABR!C17+ABR!T17</f>
        <v>81852.35000000002</v>
      </c>
      <c r="K15" s="110">
        <f>ABR!E17+ABR!V17</f>
        <v>16041.072</v>
      </c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1">
        <f t="shared" si="4"/>
        <v>369531.72800000006</v>
      </c>
      <c r="AC15" s="112">
        <f t="shared" si="4"/>
        <v>69245.464000000007</v>
      </c>
      <c r="AD15" s="113">
        <f t="shared" si="0"/>
        <v>0.61588621333333349</v>
      </c>
      <c r="AE15" s="114">
        <f t="shared" si="0"/>
        <v>0.85900762923174268</v>
      </c>
      <c r="AF15" s="111">
        <f t="shared" si="7"/>
        <v>230468.27199999994</v>
      </c>
      <c r="AG15" s="112">
        <f t="shared" si="5"/>
        <v>11365.535999999993</v>
      </c>
      <c r="AH15" s="94">
        <f t="shared" si="8"/>
        <v>230468.27199999994</v>
      </c>
      <c r="AI15" s="94">
        <f t="shared" si="9"/>
        <v>11365.535999999993</v>
      </c>
    </row>
    <row r="16" spans="1:35">
      <c r="A16" s="115" t="s">
        <v>132</v>
      </c>
      <c r="B16" s="108">
        <f t="shared" si="3"/>
        <v>0</v>
      </c>
      <c r="C16" s="109">
        <f t="shared" si="3"/>
        <v>0</v>
      </c>
      <c r="D16" s="110">
        <f>JAN!C18+JAN!T18</f>
        <v>18520.456000000002</v>
      </c>
      <c r="E16" s="110">
        <f>JAN!E18+JAN!V18</f>
        <v>1931.4160000000002</v>
      </c>
      <c r="F16" s="110">
        <f>FEV!C18+FEV!T18</f>
        <v>18994.752</v>
      </c>
      <c r="G16" s="110">
        <f>FEV!E18+FEV!V18</f>
        <v>3934.5440000000003</v>
      </c>
      <c r="H16" s="110">
        <f>MAR!C18+MAR!T18</f>
        <v>16672.056</v>
      </c>
      <c r="I16" s="110">
        <f>MAR!E18+MAR!V18</f>
        <v>2494.768</v>
      </c>
      <c r="J16" s="110">
        <f>ABR!C18+ABR!T18</f>
        <v>16260.567999999999</v>
      </c>
      <c r="K16" s="110">
        <f>ABR!E18+ABR!V18</f>
        <v>2884.7040000000002</v>
      </c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1">
        <f t="shared" si="4"/>
        <v>70447.831999999995</v>
      </c>
      <c r="AC16" s="112">
        <f t="shared" si="4"/>
        <v>11245.432000000001</v>
      </c>
      <c r="AD16" s="113">
        <f t="shared" si="0"/>
        <v>0</v>
      </c>
      <c r="AE16" s="114">
        <f t="shared" si="0"/>
        <v>0</v>
      </c>
      <c r="AF16" s="111"/>
      <c r="AG16" s="112"/>
      <c r="AH16" s="94"/>
      <c r="AI16" s="94"/>
    </row>
    <row r="17" spans="1:35">
      <c r="A17" s="115" t="s">
        <v>133</v>
      </c>
      <c r="B17" s="108">
        <f t="shared" si="3"/>
        <v>83964</v>
      </c>
      <c r="C17" s="109">
        <f t="shared" si="3"/>
        <v>21423</v>
      </c>
      <c r="D17" s="110">
        <f>JAN!C19+JAN!T19</f>
        <v>20980.008000000002</v>
      </c>
      <c r="E17" s="110">
        <f>JAN!E19+JAN!V19</f>
        <v>2481.5520000000001</v>
      </c>
      <c r="F17" s="110">
        <f>FEV!C19+FEV!T19</f>
        <v>14532.816000000003</v>
      </c>
      <c r="G17" s="110">
        <f>FEV!E19+FEV!V19</f>
        <v>3312.6320000000001</v>
      </c>
      <c r="H17" s="110">
        <f>MAR!C19+MAR!T19</f>
        <v>11671.112000000001</v>
      </c>
      <c r="I17" s="110">
        <f>MAR!E19+MAR!V19</f>
        <v>2040.1040000000003</v>
      </c>
      <c r="J17" s="110">
        <f>ABR!C19+ABR!T19</f>
        <v>9659.2720000000008</v>
      </c>
      <c r="K17" s="110">
        <f>ABR!E19+ABR!V19</f>
        <v>755.12800000000004</v>
      </c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1">
        <f t="shared" si="4"/>
        <v>56843.208000000013</v>
      </c>
      <c r="AC17" s="112">
        <f t="shared" si="4"/>
        <v>8589.4160000000011</v>
      </c>
      <c r="AD17" s="113">
        <f t="shared" si="0"/>
        <v>0.6769949978562243</v>
      </c>
      <c r="AE17" s="114">
        <f t="shared" si="0"/>
        <v>0.40094365868459136</v>
      </c>
      <c r="AF17" s="111">
        <f t="shared" si="7"/>
        <v>27120.791999999987</v>
      </c>
      <c r="AG17" s="112">
        <f t="shared" si="5"/>
        <v>12833.583999999999</v>
      </c>
      <c r="AH17" s="94">
        <f t="shared" si="8"/>
        <v>27120.791999999987</v>
      </c>
      <c r="AI17" s="94">
        <f t="shared" si="9"/>
        <v>12833.583999999999</v>
      </c>
    </row>
    <row r="18" spans="1:35">
      <c r="A18" s="116" t="s">
        <v>134</v>
      </c>
      <c r="B18" s="108">
        <f t="shared" si="3"/>
        <v>0</v>
      </c>
      <c r="C18" s="109">
        <f t="shared" si="3"/>
        <v>0</v>
      </c>
      <c r="D18" s="110">
        <f>JAN!C20+JAN!T20</f>
        <v>68552.12</v>
      </c>
      <c r="E18" s="110">
        <f>JAN!E20+JAN!V20</f>
        <v>19684.800000000003</v>
      </c>
      <c r="F18" s="110">
        <f>FEV!C20+FEV!T20</f>
        <v>58541.728000000003</v>
      </c>
      <c r="G18" s="110">
        <f>FEV!E20+FEV!V20</f>
        <v>14003.64</v>
      </c>
      <c r="H18" s="110">
        <f>MAR!C20+MAR!T20</f>
        <v>45545.184000000008</v>
      </c>
      <c r="I18" s="110">
        <f>MAR!E20+MAR!V20</f>
        <v>10885.256000000001</v>
      </c>
      <c r="J18" s="110">
        <f>ABR!C20+ABR!T20</f>
        <v>43340.208000000006</v>
      </c>
      <c r="K18" s="110">
        <f>ABR!E20+ABR!V20</f>
        <v>17544.304</v>
      </c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1">
        <f t="shared" si="4"/>
        <v>215979.24000000002</v>
      </c>
      <c r="AC18" s="112">
        <f t="shared" si="4"/>
        <v>62118</v>
      </c>
      <c r="AD18" s="113">
        <f t="shared" si="0"/>
        <v>0</v>
      </c>
      <c r="AE18" s="114">
        <f t="shared" si="0"/>
        <v>0</v>
      </c>
      <c r="AF18" s="111"/>
      <c r="AG18" s="112"/>
      <c r="AH18" s="94"/>
      <c r="AI18" s="94"/>
    </row>
    <row r="19" spans="1:35">
      <c r="A19" s="115" t="s">
        <v>135</v>
      </c>
      <c r="B19" s="108">
        <f t="shared" si="3"/>
        <v>219993</v>
      </c>
      <c r="C19" s="109">
        <f t="shared" si="3"/>
        <v>7955</v>
      </c>
      <c r="D19" s="110">
        <f>JAN!C21+JAN!T21</f>
        <v>25726.184000000001</v>
      </c>
      <c r="E19" s="110">
        <f>JAN!E21+JAN!V21</f>
        <v>4457.6480000000001</v>
      </c>
      <c r="F19" s="110">
        <f>FEV!C21+FEV!T21</f>
        <v>38707.472000000002</v>
      </c>
      <c r="G19" s="110">
        <f>FEV!E21+FEV!V21</f>
        <v>5586.3120000000008</v>
      </c>
      <c r="H19" s="110">
        <f>MAR!C21+MAR!T21</f>
        <v>34601.216</v>
      </c>
      <c r="I19" s="110">
        <f>MAR!E21+MAR!V21</f>
        <v>1920.8560000000002</v>
      </c>
      <c r="J19" s="110">
        <f>ABR!C21+ABR!T21</f>
        <v>34273.128000000004</v>
      </c>
      <c r="K19" s="110">
        <f>ABR!E21+ABR!V21</f>
        <v>4319.2400000000007</v>
      </c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1">
        <f t="shared" si="4"/>
        <v>133308</v>
      </c>
      <c r="AC19" s="112">
        <f t="shared" si="4"/>
        <v>16284.056</v>
      </c>
      <c r="AD19" s="113">
        <f t="shared" si="0"/>
        <v>0.6059647352415759</v>
      </c>
      <c r="AE19" s="114">
        <f t="shared" si="0"/>
        <v>2.0470214959145192</v>
      </c>
      <c r="AF19" s="111">
        <f t="shared" si="7"/>
        <v>86685</v>
      </c>
      <c r="AG19" s="112"/>
      <c r="AH19" s="94">
        <f t="shared" si="8"/>
        <v>86685</v>
      </c>
      <c r="AI19" s="94"/>
    </row>
    <row r="20" spans="1:35">
      <c r="A20" s="115" t="s">
        <v>136</v>
      </c>
      <c r="B20" s="108">
        <f t="shared" ref="B20:C29" si="10">B53</f>
        <v>52000</v>
      </c>
      <c r="C20" s="109">
        <f t="shared" si="10"/>
        <v>20500</v>
      </c>
      <c r="D20" s="110">
        <f>JAN!C22+JAN!T22</f>
        <v>6157.0080000000007</v>
      </c>
      <c r="E20" s="110">
        <f>JAN!E22+JAN!V22</f>
        <v>936.25599999999997</v>
      </c>
      <c r="F20" s="110">
        <f>FEV!C22+FEV!T22</f>
        <v>4084.7040000000002</v>
      </c>
      <c r="G20" s="110">
        <f>FEV!E22+FEV!V22</f>
        <v>134.89600000000002</v>
      </c>
      <c r="H20" s="110">
        <f>MAR!C22+MAR!T22</f>
        <v>3105.3440000000001</v>
      </c>
      <c r="I20" s="110">
        <f>MAR!E22+MAR!V22</f>
        <v>184.72000000000003</v>
      </c>
      <c r="J20" s="110">
        <f>ABR!C22+ABR!T22</f>
        <v>3212.3040000000001</v>
      </c>
      <c r="K20" s="110">
        <f>ABR!E22+ABR!V22</f>
        <v>245.72800000000004</v>
      </c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1">
        <f t="shared" si="4"/>
        <v>16559.36</v>
      </c>
      <c r="AC20" s="112">
        <f t="shared" si="4"/>
        <v>1501.6000000000001</v>
      </c>
      <c r="AD20" s="113">
        <f t="shared" si="0"/>
        <v>0.31844923076923076</v>
      </c>
      <c r="AE20" s="114">
        <f t="shared" si="0"/>
        <v>7.3248780487804879E-2</v>
      </c>
      <c r="AF20" s="111">
        <f t="shared" si="7"/>
        <v>35440.639999999999</v>
      </c>
      <c r="AG20" s="112">
        <f t="shared" si="5"/>
        <v>18998.400000000001</v>
      </c>
      <c r="AH20" s="94">
        <f t="shared" si="8"/>
        <v>35440.639999999999</v>
      </c>
      <c r="AI20" s="94">
        <f t="shared" si="9"/>
        <v>18998.400000000001</v>
      </c>
    </row>
    <row r="21" spans="1:35">
      <c r="A21" s="115" t="s">
        <v>137</v>
      </c>
      <c r="B21" s="108">
        <f t="shared" si="10"/>
        <v>1000000</v>
      </c>
      <c r="C21" s="109">
        <f t="shared" si="10"/>
        <v>200000</v>
      </c>
      <c r="D21" s="110">
        <f>JAN!C23+JAN!T23</f>
        <v>104725.06600000002</v>
      </c>
      <c r="E21" s="110">
        <f>JAN!E23+JAN!V23</f>
        <v>18427.489999999998</v>
      </c>
      <c r="F21" s="110">
        <f>FEV!C23+FEV!T23</f>
        <v>89855.694000000003</v>
      </c>
      <c r="G21" s="110">
        <f>FEV!E23+FEV!V23</f>
        <v>17946.255999999998</v>
      </c>
      <c r="H21" s="110">
        <f>MAR!C23+MAR!T23</f>
        <v>63061.298000000003</v>
      </c>
      <c r="I21" s="110">
        <f>MAR!E23+MAR!V23</f>
        <v>8566.3920000000016</v>
      </c>
      <c r="J21" s="110">
        <f>ABR!C23+ABR!T23</f>
        <v>65221.52</v>
      </c>
      <c r="K21" s="110">
        <f>ABR!E23+ABR!V23</f>
        <v>11560.160000000002</v>
      </c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1">
        <f t="shared" si="4"/>
        <v>322863.57800000004</v>
      </c>
      <c r="AC21" s="112">
        <f t="shared" si="4"/>
        <v>56500.298000000003</v>
      </c>
      <c r="AD21" s="113">
        <f t="shared" si="0"/>
        <v>0.32286357800000004</v>
      </c>
      <c r="AE21" s="114">
        <f t="shared" si="0"/>
        <v>0.28250149000000002</v>
      </c>
      <c r="AF21" s="111">
        <f t="shared" si="7"/>
        <v>677136.42200000002</v>
      </c>
      <c r="AG21" s="112">
        <f t="shared" si="5"/>
        <v>143499.70199999999</v>
      </c>
      <c r="AH21" s="94">
        <f t="shared" si="8"/>
        <v>677136.42200000002</v>
      </c>
      <c r="AI21" s="94">
        <f t="shared" si="9"/>
        <v>143499.70199999999</v>
      </c>
    </row>
    <row r="22" spans="1:35">
      <c r="A22" s="115" t="s">
        <v>138</v>
      </c>
      <c r="B22" s="108">
        <f t="shared" si="10"/>
        <v>0</v>
      </c>
      <c r="C22" s="109">
        <f t="shared" si="10"/>
        <v>0</v>
      </c>
      <c r="D22" s="110">
        <f>JAN!C24+JAN!T24</f>
        <v>15691.586000000001</v>
      </c>
      <c r="E22" s="110">
        <f>JAN!E24+JAN!V24</f>
        <v>1128.3600000000001</v>
      </c>
      <c r="F22" s="110">
        <f>FEV!C24+FEV!T24</f>
        <v>20689.366000000002</v>
      </c>
      <c r="G22" s="110">
        <f>FEV!E24+FEV!V24</f>
        <v>3455.1280000000002</v>
      </c>
      <c r="H22" s="110">
        <f>MAR!C24+MAR!T24</f>
        <v>11406.022000000001</v>
      </c>
      <c r="I22" s="110">
        <f>MAR!E24+MAR!V24</f>
        <v>983.32000000000016</v>
      </c>
      <c r="J22" s="110">
        <f>ABR!C24+ABR!T24</f>
        <v>13607.44</v>
      </c>
      <c r="K22" s="110">
        <f>ABR!E24+ABR!V24</f>
        <v>1582.768</v>
      </c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1">
        <f t="shared" si="4"/>
        <v>61394.414000000004</v>
      </c>
      <c r="AC22" s="112">
        <f t="shared" si="4"/>
        <v>7149.5760000000009</v>
      </c>
      <c r="AD22" s="113">
        <f t="shared" si="0"/>
        <v>0</v>
      </c>
      <c r="AE22" s="114">
        <f t="shared" si="0"/>
        <v>0</v>
      </c>
      <c r="AF22" s="111"/>
      <c r="AG22" s="112"/>
      <c r="AH22" s="94"/>
      <c r="AI22" s="94"/>
    </row>
    <row r="23" spans="1:35">
      <c r="A23" s="115" t="s">
        <v>139</v>
      </c>
      <c r="B23" s="108">
        <f t="shared" si="10"/>
        <v>600000</v>
      </c>
      <c r="C23" s="109">
        <f t="shared" si="10"/>
        <v>0</v>
      </c>
      <c r="D23" s="110">
        <f>JAN!C25+JAN!T25</f>
        <v>112808.55600000001</v>
      </c>
      <c r="E23" s="110">
        <f>JAN!E25+JAN!V25</f>
        <v>21485.028000000002</v>
      </c>
      <c r="F23" s="110">
        <f>FEV!C25+FEV!T25</f>
        <v>101306.01599999999</v>
      </c>
      <c r="G23" s="110">
        <f>FEV!E25+FEV!V25</f>
        <v>23218.576000000001</v>
      </c>
      <c r="H23" s="110">
        <f>MAR!C25+MAR!T25</f>
        <v>69507.396000000008</v>
      </c>
      <c r="I23" s="110">
        <f>MAR!E25+MAR!V25</f>
        <v>16291.802</v>
      </c>
      <c r="J23" s="110">
        <f>ABR!C25+ABR!T25</f>
        <v>87060.101999999999</v>
      </c>
      <c r="K23" s="110">
        <f>ABR!E25+ABR!V25</f>
        <v>22104.256000000001</v>
      </c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1">
        <f t="shared" si="4"/>
        <v>370682.07</v>
      </c>
      <c r="AC23" s="112">
        <f t="shared" si="4"/>
        <v>83099.662000000011</v>
      </c>
      <c r="AD23" s="113">
        <f t="shared" si="0"/>
        <v>0.61780345000000003</v>
      </c>
      <c r="AE23" s="114">
        <f t="shared" si="0"/>
        <v>0</v>
      </c>
      <c r="AF23" s="111">
        <f t="shared" si="7"/>
        <v>229317.93</v>
      </c>
      <c r="AG23" s="112"/>
      <c r="AH23" s="94">
        <f t="shared" si="8"/>
        <v>229317.93</v>
      </c>
      <c r="AI23" s="94"/>
    </row>
    <row r="24" spans="1:35">
      <c r="A24" s="115" t="s">
        <v>140</v>
      </c>
      <c r="B24" s="108">
        <f t="shared" si="10"/>
        <v>0</v>
      </c>
      <c r="C24" s="109">
        <f t="shared" si="10"/>
        <v>0</v>
      </c>
      <c r="D24" s="110">
        <f>JAN!C26+JAN!T26</f>
        <v>5550.344000000001</v>
      </c>
      <c r="E24" s="110">
        <f>JAN!E26+JAN!V26</f>
        <v>828.5440000000001</v>
      </c>
      <c r="F24" s="110">
        <f>FEV!C26+FEV!T26</f>
        <v>4340.76</v>
      </c>
      <c r="G24" s="110">
        <f>FEV!E26+FEV!V26</f>
        <v>923.87199999999996</v>
      </c>
      <c r="H24" s="110">
        <f>MAR!C26+MAR!T26</f>
        <v>3217.3760000000002</v>
      </c>
      <c r="I24" s="110">
        <f>MAR!E26+MAR!V26</f>
        <v>583.45600000000002</v>
      </c>
      <c r="J24" s="110">
        <f>ABR!C26+ABR!T26</f>
        <v>3175.6560000000004</v>
      </c>
      <c r="K24" s="110">
        <f>ABR!E26+ABR!V26</f>
        <v>1359.16</v>
      </c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1">
        <f t="shared" si="4"/>
        <v>16284.136000000002</v>
      </c>
      <c r="AC24" s="112">
        <f t="shared" si="4"/>
        <v>3695.0320000000002</v>
      </c>
      <c r="AD24" s="113">
        <f t="shared" si="0"/>
        <v>0</v>
      </c>
      <c r="AE24" s="114">
        <f t="shared" si="0"/>
        <v>0</v>
      </c>
      <c r="AF24" s="111"/>
      <c r="AG24" s="112"/>
      <c r="AH24" s="94"/>
      <c r="AI24" s="94"/>
    </row>
    <row r="25" spans="1:35">
      <c r="A25" s="117" t="s">
        <v>141</v>
      </c>
      <c r="B25" s="108">
        <f t="shared" si="10"/>
        <v>0</v>
      </c>
      <c r="C25" s="109">
        <f t="shared" si="10"/>
        <v>0</v>
      </c>
      <c r="D25" s="110">
        <f>JAN!C27+JAN!T27</f>
        <v>1554.04</v>
      </c>
      <c r="E25" s="110">
        <f>JAN!E27+JAN!V27</f>
        <v>0</v>
      </c>
      <c r="F25" s="110">
        <f>FEV!C27+FEV!T27</f>
        <v>282.52</v>
      </c>
      <c r="G25" s="110">
        <f>FEV!E27+FEV!V27</f>
        <v>67.84</v>
      </c>
      <c r="H25" s="110">
        <f>MAR!C27+MAR!T27</f>
        <v>409.20000000000005</v>
      </c>
      <c r="I25" s="110">
        <f>MAR!E27+MAR!V27</f>
        <v>0</v>
      </c>
      <c r="J25" s="110">
        <f>ABR!C27+ABR!T27</f>
        <v>637.82400000000007</v>
      </c>
      <c r="K25" s="110">
        <f>ABR!E27+ABR!V27</f>
        <v>84.591999999999999</v>
      </c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1">
        <f t="shared" si="4"/>
        <v>2883.5840000000003</v>
      </c>
      <c r="AC25" s="112">
        <f t="shared" si="4"/>
        <v>152.43200000000002</v>
      </c>
      <c r="AD25" s="113">
        <f t="shared" si="0"/>
        <v>0</v>
      </c>
      <c r="AE25" s="114">
        <f t="shared" si="0"/>
        <v>0</v>
      </c>
      <c r="AF25" s="111"/>
      <c r="AG25" s="112"/>
      <c r="AH25" s="94"/>
      <c r="AI25" s="94"/>
    </row>
    <row r="26" spans="1:35">
      <c r="A26" s="115" t="s">
        <v>142</v>
      </c>
      <c r="B26" s="108">
        <f t="shared" si="10"/>
        <v>0</v>
      </c>
      <c r="C26" s="109">
        <f t="shared" si="10"/>
        <v>0</v>
      </c>
      <c r="D26" s="110">
        <f>JAN!C28+JAN!T28</f>
        <v>53957.936000000002</v>
      </c>
      <c r="E26" s="110">
        <f>JAN!E28+JAN!V28</f>
        <v>9501.4</v>
      </c>
      <c r="F26" s="110">
        <f>FEV!C28+FEV!T28</f>
        <v>44899.288</v>
      </c>
      <c r="G26" s="110">
        <f>FEV!E28+FEV!V28</f>
        <v>8171.9920000000002</v>
      </c>
      <c r="H26" s="110">
        <f>MAR!C28+MAR!T28</f>
        <v>36479.871999999996</v>
      </c>
      <c r="I26" s="110">
        <f>MAR!E28+MAR!V28</f>
        <v>8549.4800000000014</v>
      </c>
      <c r="J26" s="110">
        <f>ABR!C28+ABR!T28</f>
        <v>28153.624</v>
      </c>
      <c r="K26" s="110">
        <f>ABR!E28+ABR!V28</f>
        <v>7618.52</v>
      </c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1">
        <f t="shared" si="4"/>
        <v>163490.72</v>
      </c>
      <c r="AC26" s="112">
        <f t="shared" si="4"/>
        <v>33841.392000000007</v>
      </c>
      <c r="AD26" s="113">
        <f t="shared" si="0"/>
        <v>0</v>
      </c>
      <c r="AE26" s="114">
        <f t="shared" si="0"/>
        <v>0</v>
      </c>
      <c r="AF26" s="111"/>
      <c r="AG26" s="112"/>
      <c r="AH26" s="94"/>
      <c r="AI26" s="94"/>
    </row>
    <row r="27" spans="1:35">
      <c r="A27" s="115" t="s">
        <v>143</v>
      </c>
      <c r="B27" s="108">
        <f t="shared" si="10"/>
        <v>2916777.6153120385</v>
      </c>
      <c r="C27" s="109">
        <f t="shared" si="10"/>
        <v>290779.50842432189</v>
      </c>
      <c r="D27" s="110">
        <f>JAN!C29+JAN!T29</f>
        <v>357750.58</v>
      </c>
      <c r="E27" s="110">
        <f>JAN!E29+JAN!V29</f>
        <v>39593.741999999998</v>
      </c>
      <c r="F27" s="110">
        <f>FEV!C29+FEV!T29</f>
        <v>321239.424</v>
      </c>
      <c r="G27" s="110">
        <f>FEV!E29+FEV!V29</f>
        <v>48310.815999999999</v>
      </c>
      <c r="H27" s="110">
        <f>MAR!C29+MAR!T29</f>
        <v>226590.424</v>
      </c>
      <c r="I27" s="110">
        <f>MAR!E29+MAR!V29</f>
        <v>29951.896000000004</v>
      </c>
      <c r="J27" s="110">
        <f>ABR!C29+ABR!T29</f>
        <v>248320.16800000003</v>
      </c>
      <c r="K27" s="110">
        <f>ABR!E29+ABR!V29</f>
        <v>36520.216</v>
      </c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1">
        <f t="shared" si="4"/>
        <v>1153900.5959999999</v>
      </c>
      <c r="AC27" s="112">
        <f t="shared" si="4"/>
        <v>154376.66999999998</v>
      </c>
      <c r="AD27" s="113">
        <f t="shared" si="0"/>
        <v>0.39560801274064733</v>
      </c>
      <c r="AE27" s="114">
        <f t="shared" si="0"/>
        <v>0.53090628991202782</v>
      </c>
      <c r="AF27" s="111">
        <f t="shared" si="7"/>
        <v>1762877.0193120386</v>
      </c>
      <c r="AG27" s="112">
        <f t="shared" si="5"/>
        <v>136402.8384243219</v>
      </c>
      <c r="AH27" s="94">
        <f t="shared" si="8"/>
        <v>1762877.0193120386</v>
      </c>
      <c r="AI27" s="94">
        <f t="shared" si="9"/>
        <v>136402.8384243219</v>
      </c>
    </row>
    <row r="28" spans="1:35">
      <c r="A28" s="115" t="s">
        <v>144</v>
      </c>
      <c r="B28" s="108">
        <f t="shared" si="10"/>
        <v>53060</v>
      </c>
      <c r="C28" s="109">
        <f t="shared" si="10"/>
        <v>7758</v>
      </c>
      <c r="D28" s="110">
        <f>JAN!C30+JAN!T30</f>
        <v>7233.0560000000005</v>
      </c>
      <c r="E28" s="110">
        <f>JAN!E30+JAN!V30</f>
        <v>1622.2560000000001</v>
      </c>
      <c r="F28" s="110">
        <f>FEV!C30+FEV!T30</f>
        <v>13463.864000000001</v>
      </c>
      <c r="G28" s="110">
        <f>FEV!E30+FEV!V30</f>
        <v>476.19200000000001</v>
      </c>
      <c r="H28" s="110">
        <f>MAR!C30+MAR!T30</f>
        <v>11225.888000000001</v>
      </c>
      <c r="I28" s="110">
        <f>MAR!E30+MAR!V30</f>
        <v>144.048</v>
      </c>
      <c r="J28" s="110">
        <f>ABR!C30+ABR!T30</f>
        <v>10003.120000000001</v>
      </c>
      <c r="K28" s="110">
        <f>ABR!E30+ABR!V30</f>
        <v>427.024</v>
      </c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1">
        <f t="shared" si="4"/>
        <v>41925.928000000007</v>
      </c>
      <c r="AC28" s="112">
        <f t="shared" si="4"/>
        <v>2669.52</v>
      </c>
      <c r="AD28" s="113">
        <f t="shared" si="0"/>
        <v>0.79016072370900881</v>
      </c>
      <c r="AE28" s="114">
        <f t="shared" si="0"/>
        <v>0.34409899458623355</v>
      </c>
      <c r="AF28" s="111">
        <f t="shared" si="7"/>
        <v>11134.071999999993</v>
      </c>
      <c r="AG28" s="112">
        <f t="shared" si="5"/>
        <v>5088.4799999999996</v>
      </c>
      <c r="AH28" s="94">
        <f t="shared" si="8"/>
        <v>11134.071999999993</v>
      </c>
      <c r="AI28" s="94">
        <f t="shared" si="9"/>
        <v>5088.4799999999996</v>
      </c>
    </row>
    <row r="29" spans="1:35">
      <c r="A29" s="115" t="s">
        <v>145</v>
      </c>
      <c r="B29" s="108">
        <f t="shared" si="10"/>
        <v>17006</v>
      </c>
      <c r="C29" s="109">
        <f t="shared" si="10"/>
        <v>5391</v>
      </c>
      <c r="D29" s="110">
        <f>JAN!C31+JAN!T31</f>
        <v>7008.9039999999995</v>
      </c>
      <c r="E29" s="110">
        <f>JAN!E31+JAN!V31</f>
        <v>2671.768</v>
      </c>
      <c r="F29" s="110">
        <f>FEV!C31+FEV!T31</f>
        <v>5455.2960000000003</v>
      </c>
      <c r="G29" s="110">
        <f>FEV!E31+FEV!V31</f>
        <v>403.63200000000001</v>
      </c>
      <c r="H29" s="110">
        <f>MAR!C31+MAR!T31</f>
        <v>2943.3680000000004</v>
      </c>
      <c r="I29" s="110">
        <f>MAR!E31+MAR!V31</f>
        <v>2823.4240000000004</v>
      </c>
      <c r="J29" s="110">
        <f>ABR!C31+ABR!T31</f>
        <v>4911.8960000000006</v>
      </c>
      <c r="K29" s="110">
        <f>ABR!E31+ABR!V31</f>
        <v>1236.8800000000001</v>
      </c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1">
        <f t="shared" si="4"/>
        <v>20319.464</v>
      </c>
      <c r="AC29" s="112">
        <f t="shared" si="4"/>
        <v>7135.7040000000006</v>
      </c>
      <c r="AD29" s="113">
        <f t="shared" si="0"/>
        <v>1.1948408796895214</v>
      </c>
      <c r="AE29" s="114">
        <f t="shared" si="0"/>
        <v>1.3236327212020034</v>
      </c>
      <c r="AF29" s="111"/>
      <c r="AG29" s="112"/>
      <c r="AH29" s="94"/>
      <c r="AI29" s="94"/>
    </row>
    <row r="30" spans="1:35">
      <c r="A30" s="118" t="s">
        <v>160</v>
      </c>
      <c r="B30" s="101">
        <f t="shared" ref="B30:C30" si="11">SUM(B3:B29)</f>
        <v>6393327.6753120385</v>
      </c>
      <c r="C30" s="101">
        <f t="shared" si="11"/>
        <v>782719.79842432193</v>
      </c>
      <c r="D30" s="101">
        <f t="shared" ref="D30:AC30" si="12">SUM(D3:D29)</f>
        <v>1157083.8180000004</v>
      </c>
      <c r="E30" s="101">
        <f t="shared" si="12"/>
        <v>168866.96400000001</v>
      </c>
      <c r="F30" s="101">
        <f t="shared" si="12"/>
        <v>1059287.2720000001</v>
      </c>
      <c r="G30" s="101">
        <f t="shared" si="12"/>
        <v>177273.448</v>
      </c>
      <c r="H30" s="101">
        <f t="shared" si="12"/>
        <v>772880.84400000004</v>
      </c>
      <c r="I30" s="101">
        <f t="shared" si="12"/>
        <v>126384.41800000002</v>
      </c>
      <c r="J30" s="101">
        <f t="shared" si="12"/>
        <v>813222.51800000016</v>
      </c>
      <c r="K30" s="101">
        <f t="shared" si="12"/>
        <v>145232.76800000001</v>
      </c>
      <c r="L30" s="101">
        <f t="shared" si="12"/>
        <v>0</v>
      </c>
      <c r="M30" s="101">
        <f t="shared" si="12"/>
        <v>0</v>
      </c>
      <c r="N30" s="101">
        <f t="shared" si="12"/>
        <v>0</v>
      </c>
      <c r="O30" s="101">
        <f t="shared" si="12"/>
        <v>0</v>
      </c>
      <c r="P30" s="101">
        <f>SUM(P3:P29)</f>
        <v>0</v>
      </c>
      <c r="Q30" s="101">
        <f t="shared" si="12"/>
        <v>0</v>
      </c>
      <c r="R30" s="101">
        <f>SUM(R3:R29)</f>
        <v>0</v>
      </c>
      <c r="S30" s="101">
        <f t="shared" ref="S30:AA30" si="13">SUM(S3:S29)</f>
        <v>0</v>
      </c>
      <c r="T30" s="101">
        <f>SUM(T3:T29)</f>
        <v>0</v>
      </c>
      <c r="U30" s="101">
        <f t="shared" si="13"/>
        <v>0</v>
      </c>
      <c r="V30" s="101">
        <f>SUM(V3:V29)</f>
        <v>0</v>
      </c>
      <c r="W30" s="101">
        <f t="shared" si="13"/>
        <v>0</v>
      </c>
      <c r="X30" s="101">
        <f>SUM(X3:X29)</f>
        <v>0</v>
      </c>
      <c r="Y30" s="101">
        <f t="shared" si="13"/>
        <v>0</v>
      </c>
      <c r="Z30" s="101">
        <f t="shared" si="13"/>
        <v>0</v>
      </c>
      <c r="AA30" s="101">
        <f t="shared" si="13"/>
        <v>0</v>
      </c>
      <c r="AB30" s="101">
        <f t="shared" si="12"/>
        <v>3802474.452</v>
      </c>
      <c r="AC30" s="101">
        <f t="shared" si="12"/>
        <v>617757.598</v>
      </c>
      <c r="AD30" s="119">
        <f t="shared" si="0"/>
        <v>0.5947566971552749</v>
      </c>
      <c r="AE30" s="119">
        <f t="shared" si="0"/>
        <v>0.7892448859011818</v>
      </c>
      <c r="AF30" s="101">
        <f>SUM(AF3:AF29)</f>
        <v>3268935.4673120384</v>
      </c>
      <c r="AG30" s="101">
        <f>SUM(AG3:AG29)</f>
        <v>385141.11842432187</v>
      </c>
      <c r="AH30" s="94">
        <f>SUM(AH3:AH29)</f>
        <v>3268935.4673120384</v>
      </c>
      <c r="AI30" s="94">
        <f>SUM(AI3:AI29)</f>
        <v>385141.11842432187</v>
      </c>
    </row>
    <row r="31" spans="1:35">
      <c r="A31" s="120" t="s">
        <v>226</v>
      </c>
      <c r="B31" s="108">
        <v>1752413.3741660863</v>
      </c>
      <c r="C31" s="109">
        <v>243994.75</v>
      </c>
      <c r="D31" s="110">
        <f>JAN!C67+JAN!T67</f>
        <v>288948.49200000009</v>
      </c>
      <c r="E31" s="110">
        <f>JAN!E67+JAN!V67</f>
        <v>42090.036</v>
      </c>
      <c r="F31" s="110">
        <f>FEV!C67+FEV!T67</f>
        <v>264061.37800000003</v>
      </c>
      <c r="G31" s="110">
        <f>FEV!E67+FEV!V67</f>
        <v>44212.672000000006</v>
      </c>
      <c r="H31" s="110">
        <f>MAR!C67+MAR!T67</f>
        <v>192802.12600000002</v>
      </c>
      <c r="I31" s="110">
        <f>MAR!E67+MAR!V67</f>
        <v>31554.082000000002</v>
      </c>
      <c r="J31" s="110">
        <f>ABR!C67+ABR!T67</f>
        <v>203232.09200000003</v>
      </c>
      <c r="K31" s="110">
        <f>ABR!E67+ABR!V67</f>
        <v>36308.192000000003</v>
      </c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1">
        <f>D31+F31+H31+J31+L31+N31+P31+R31+T31+V31+X31+Z31</f>
        <v>949044.08800000022</v>
      </c>
      <c r="AC31" s="112">
        <f t="shared" ref="AC31" si="14">E31+G31+I31+K31+M31+O31+Q31+S31+U31+W31+Y31+AA31</f>
        <v>154164.98200000002</v>
      </c>
      <c r="AD31" s="113">
        <f t="shared" si="0"/>
        <v>0.54156405217554215</v>
      </c>
      <c r="AE31" s="114">
        <f t="shared" si="0"/>
        <v>0.63183729158106894</v>
      </c>
      <c r="AF31" s="111">
        <f t="shared" ref="AF31" si="15">B31-AB31</f>
        <v>803369.28616608609</v>
      </c>
      <c r="AG31" s="112">
        <f t="shared" ref="AG31" si="16">C31-AC31</f>
        <v>89829.767999999982</v>
      </c>
      <c r="AH31" s="94">
        <f>B31-AB31</f>
        <v>803369.28616608609</v>
      </c>
      <c r="AI31" s="94">
        <f t="shared" si="9"/>
        <v>89829.767999999982</v>
      </c>
    </row>
    <row r="32" spans="1:35">
      <c r="A32" s="118" t="s">
        <v>160</v>
      </c>
      <c r="B32" s="101">
        <f>B30+B31</f>
        <v>8145741.0494781248</v>
      </c>
      <c r="C32" s="101">
        <f t="shared" ref="C32:AC32" si="17">C30+C31</f>
        <v>1026714.5484243219</v>
      </c>
      <c r="D32" s="101">
        <f t="shared" si="17"/>
        <v>1446032.3100000005</v>
      </c>
      <c r="E32" s="101">
        <f t="shared" si="17"/>
        <v>210957</v>
      </c>
      <c r="F32" s="101">
        <f t="shared" si="17"/>
        <v>1323348.6500000001</v>
      </c>
      <c r="G32" s="101">
        <f t="shared" si="17"/>
        <v>221486.12</v>
      </c>
      <c r="H32" s="101">
        <f t="shared" si="17"/>
        <v>965682.97000000009</v>
      </c>
      <c r="I32" s="101">
        <f t="shared" si="17"/>
        <v>157938.50000000003</v>
      </c>
      <c r="J32" s="101">
        <f t="shared" si="17"/>
        <v>1016454.6100000002</v>
      </c>
      <c r="K32" s="101">
        <f t="shared" si="17"/>
        <v>181540.96000000002</v>
      </c>
      <c r="L32" s="101">
        <f t="shared" si="17"/>
        <v>0</v>
      </c>
      <c r="M32" s="101">
        <f t="shared" si="17"/>
        <v>0</v>
      </c>
      <c r="N32" s="101">
        <f t="shared" si="17"/>
        <v>0</v>
      </c>
      <c r="O32" s="101">
        <f t="shared" si="17"/>
        <v>0</v>
      </c>
      <c r="P32" s="101">
        <f t="shared" si="17"/>
        <v>0</v>
      </c>
      <c r="Q32" s="101">
        <f t="shared" si="17"/>
        <v>0</v>
      </c>
      <c r="R32" s="101">
        <f t="shared" si="17"/>
        <v>0</v>
      </c>
      <c r="S32" s="101">
        <f t="shared" si="17"/>
        <v>0</v>
      </c>
      <c r="T32" s="101">
        <f t="shared" si="17"/>
        <v>0</v>
      </c>
      <c r="U32" s="101">
        <f t="shared" si="17"/>
        <v>0</v>
      </c>
      <c r="V32" s="101">
        <f t="shared" si="17"/>
        <v>0</v>
      </c>
      <c r="W32" s="101">
        <f t="shared" si="17"/>
        <v>0</v>
      </c>
      <c r="X32" s="101">
        <f t="shared" si="17"/>
        <v>0</v>
      </c>
      <c r="Y32" s="101">
        <f t="shared" si="17"/>
        <v>0</v>
      </c>
      <c r="Z32" s="101">
        <f t="shared" si="17"/>
        <v>0</v>
      </c>
      <c r="AA32" s="101">
        <f t="shared" si="17"/>
        <v>0</v>
      </c>
      <c r="AB32" s="101">
        <f>AB30+AB31</f>
        <v>4751518.54</v>
      </c>
      <c r="AC32" s="101">
        <f t="shared" si="17"/>
        <v>771922.58000000007</v>
      </c>
      <c r="AD32" s="119">
        <f t="shared" si="0"/>
        <v>0.58331323217111308</v>
      </c>
      <c r="AE32" s="119">
        <f t="shared" si="0"/>
        <v>0.75183757859928457</v>
      </c>
      <c r="AF32" s="101">
        <f>AF30+AF31</f>
        <v>4072304.7534781247</v>
      </c>
      <c r="AG32" s="101">
        <f>AG30+AG31</f>
        <v>474970.88642432186</v>
      </c>
      <c r="AH32" s="94">
        <f>AH30+AH31</f>
        <v>4072304.7534781247</v>
      </c>
      <c r="AI32" s="94">
        <f>AI30+AI31</f>
        <v>474970.88642432186</v>
      </c>
    </row>
    <row r="33" spans="1:33">
      <c r="A33" s="126"/>
      <c r="B33" s="127"/>
      <c r="C33" s="127"/>
      <c r="D33" s="128" t="b">
        <f>JAN!M135=D32</f>
        <v>1</v>
      </c>
      <c r="E33" s="128" t="b">
        <f>JAN!O135=E32</f>
        <v>1</v>
      </c>
      <c r="F33" s="128" t="b">
        <f>FEV!M135=F32</f>
        <v>1</v>
      </c>
      <c r="G33" s="128" t="b">
        <f>FEV!O135=G32</f>
        <v>1</v>
      </c>
      <c r="H33" s="128" t="b">
        <f>MAR!M135=H32</f>
        <v>1</v>
      </c>
      <c r="I33" s="128" t="b">
        <f>MAR!O135=I32</f>
        <v>1</v>
      </c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</row>
    <row r="34" spans="1:33">
      <c r="B34" s="308" t="s">
        <v>232</v>
      </c>
      <c r="C34" s="308"/>
      <c r="AB34" s="94"/>
      <c r="AC34" s="94"/>
    </row>
    <row r="35" spans="1:33">
      <c r="B35" s="106" t="s">
        <v>230</v>
      </c>
      <c r="C35" s="106" t="s">
        <v>231</v>
      </c>
    </row>
    <row r="36" spans="1:33">
      <c r="A36" s="124" t="s">
        <v>119</v>
      </c>
      <c r="B36" s="121">
        <v>7000</v>
      </c>
      <c r="C36" s="122">
        <v>1000</v>
      </c>
    </row>
    <row r="37" spans="1:33">
      <c r="A37" s="124" t="s">
        <v>120</v>
      </c>
      <c r="B37" s="121">
        <v>30000</v>
      </c>
      <c r="C37" s="122">
        <v>2000</v>
      </c>
    </row>
    <row r="38" spans="1:33">
      <c r="A38" s="120" t="s">
        <v>121</v>
      </c>
      <c r="B38" s="121">
        <v>9748</v>
      </c>
      <c r="C38" s="122">
        <v>3886</v>
      </c>
    </row>
    <row r="39" spans="1:33">
      <c r="A39" s="125" t="s">
        <v>122</v>
      </c>
      <c r="B39" s="121">
        <v>30791.06</v>
      </c>
      <c r="C39" s="122">
        <v>9631.6200000000008</v>
      </c>
    </row>
    <row r="40" spans="1:33">
      <c r="A40" s="124" t="s">
        <v>123</v>
      </c>
      <c r="B40" s="121">
        <v>180000</v>
      </c>
      <c r="C40" s="122">
        <v>30000</v>
      </c>
    </row>
    <row r="41" spans="1:33">
      <c r="A41" s="124" t="s">
        <v>124</v>
      </c>
      <c r="B41" s="121">
        <v>64988</v>
      </c>
      <c r="C41" s="122">
        <v>7890</v>
      </c>
    </row>
    <row r="42" spans="1:33">
      <c r="A42" s="124" t="s">
        <v>125</v>
      </c>
      <c r="B42" s="121">
        <v>200000</v>
      </c>
      <c r="C42" s="122">
        <v>20000</v>
      </c>
    </row>
    <row r="43" spans="1:33">
      <c r="A43" s="124" t="s">
        <v>126</v>
      </c>
      <c r="B43" s="121">
        <v>68000</v>
      </c>
      <c r="C43" s="122">
        <v>34694.67</v>
      </c>
    </row>
    <row r="44" spans="1:33">
      <c r="A44" s="124" t="s">
        <v>127</v>
      </c>
      <c r="B44" s="121">
        <v>140000</v>
      </c>
      <c r="C44" s="122">
        <v>25000</v>
      </c>
    </row>
    <row r="45" spans="1:33">
      <c r="A45" s="125" t="s">
        <v>128</v>
      </c>
      <c r="B45" s="121">
        <v>50000</v>
      </c>
      <c r="C45" s="122">
        <v>4200</v>
      </c>
    </row>
    <row r="46" spans="1:33">
      <c r="A46" s="120" t="s">
        <v>129</v>
      </c>
      <c r="B46" s="121">
        <v>0</v>
      </c>
      <c r="C46" s="122">
        <v>0</v>
      </c>
    </row>
    <row r="47" spans="1:33">
      <c r="A47" s="124" t="s">
        <v>130</v>
      </c>
      <c r="B47" s="121">
        <v>70000</v>
      </c>
      <c r="C47" s="122">
        <v>10000</v>
      </c>
    </row>
    <row r="48" spans="1:33">
      <c r="A48" s="124" t="s">
        <v>131</v>
      </c>
      <c r="B48" s="121">
        <v>600000</v>
      </c>
      <c r="C48" s="122">
        <v>80611</v>
      </c>
    </row>
    <row r="49" spans="1:3">
      <c r="A49" s="124" t="s">
        <v>132</v>
      </c>
      <c r="B49" s="121">
        <v>0</v>
      </c>
      <c r="C49" s="122">
        <v>0</v>
      </c>
    </row>
    <row r="50" spans="1:3">
      <c r="A50" s="124" t="s">
        <v>133</v>
      </c>
      <c r="B50" s="121">
        <v>83964</v>
      </c>
      <c r="C50" s="122">
        <v>21423</v>
      </c>
    </row>
    <row r="51" spans="1:3">
      <c r="A51" s="120" t="s">
        <v>134</v>
      </c>
      <c r="B51" s="121">
        <v>0</v>
      </c>
      <c r="C51" s="122">
        <v>0</v>
      </c>
    </row>
    <row r="52" spans="1:3">
      <c r="A52" s="124" t="s">
        <v>135</v>
      </c>
      <c r="B52" s="121">
        <v>219993</v>
      </c>
      <c r="C52" s="122">
        <v>7955</v>
      </c>
    </row>
    <row r="53" spans="1:3">
      <c r="A53" s="124" t="s">
        <v>136</v>
      </c>
      <c r="B53" s="121">
        <v>52000</v>
      </c>
      <c r="C53" s="122">
        <v>20500</v>
      </c>
    </row>
    <row r="54" spans="1:3">
      <c r="A54" s="124" t="s">
        <v>137</v>
      </c>
      <c r="B54" s="121">
        <v>1000000</v>
      </c>
      <c r="C54" s="122">
        <v>200000</v>
      </c>
    </row>
    <row r="55" spans="1:3">
      <c r="A55" s="124" t="s">
        <v>138</v>
      </c>
      <c r="B55" s="121">
        <v>0</v>
      </c>
      <c r="C55" s="122">
        <v>0</v>
      </c>
    </row>
    <row r="56" spans="1:3">
      <c r="A56" s="124" t="s">
        <v>139</v>
      </c>
      <c r="B56" s="121">
        <v>600000</v>
      </c>
      <c r="C56" s="122">
        <v>0</v>
      </c>
    </row>
    <row r="57" spans="1:3">
      <c r="A57" s="124" t="s">
        <v>140</v>
      </c>
      <c r="B57" s="121">
        <v>0</v>
      </c>
      <c r="C57" s="122">
        <v>0</v>
      </c>
    </row>
    <row r="58" spans="1:3">
      <c r="A58" s="125" t="s">
        <v>141</v>
      </c>
      <c r="B58" s="121">
        <v>0</v>
      </c>
      <c r="C58" s="122">
        <v>0</v>
      </c>
    </row>
    <row r="59" spans="1:3">
      <c r="A59" s="124" t="s">
        <v>142</v>
      </c>
      <c r="B59" s="121">
        <v>0</v>
      </c>
      <c r="C59" s="122">
        <v>0</v>
      </c>
    </row>
    <row r="60" spans="1:3">
      <c r="A60" s="124" t="s">
        <v>143</v>
      </c>
      <c r="B60" s="121">
        <v>2916777.6153120385</v>
      </c>
      <c r="C60" s="122">
        <v>290779.50842432189</v>
      </c>
    </row>
    <row r="61" spans="1:3">
      <c r="A61" s="124" t="s">
        <v>144</v>
      </c>
      <c r="B61" s="121">
        <v>53060</v>
      </c>
      <c r="C61" s="122">
        <v>7758</v>
      </c>
    </row>
    <row r="62" spans="1:3">
      <c r="A62" s="124" t="s">
        <v>145</v>
      </c>
      <c r="B62" s="121">
        <v>17006</v>
      </c>
      <c r="C62" s="122">
        <v>5391</v>
      </c>
    </row>
    <row r="63" spans="1:3">
      <c r="A63" s="118" t="s">
        <v>160</v>
      </c>
      <c r="B63" s="123">
        <f>SUM(B36:B62)</f>
        <v>6393327.6753120385</v>
      </c>
      <c r="C63" s="123">
        <f>SUM(C36:C62)</f>
        <v>782719.79842432193</v>
      </c>
    </row>
  </sheetData>
  <mergeCells count="18">
    <mergeCell ref="J1:K1"/>
    <mergeCell ref="B34:C34"/>
    <mergeCell ref="X1:Y1"/>
    <mergeCell ref="Z1:AA1"/>
    <mergeCell ref="AB1:AC1"/>
    <mergeCell ref="A1:A2"/>
    <mergeCell ref="B1:C1"/>
    <mergeCell ref="D1:E1"/>
    <mergeCell ref="F1:G1"/>
    <mergeCell ref="H1:I1"/>
    <mergeCell ref="AF1:AG1"/>
    <mergeCell ref="L1:M1"/>
    <mergeCell ref="N1:O1"/>
    <mergeCell ref="P1:Q1"/>
    <mergeCell ref="R1:S1"/>
    <mergeCell ref="T1:U1"/>
    <mergeCell ref="V1:W1"/>
    <mergeCell ref="AD1:AE1"/>
  </mergeCells>
  <conditionalFormatting sqref="AH3:AI32">
    <cfRule type="cellIs" dxfId="30" priority="1" operator="lessThan">
      <formula>0</formula>
    </cfRule>
  </conditionalFormatting>
  <printOptions horizontalCentered="1" verticalCentered="1"/>
  <pageMargins left="0" right="0" top="0" bottom="0" header="0" footer="0"/>
  <pageSetup paperSize="9" scale="90" orientation="landscape" verticalDpi="0" r:id="rId1"/>
  <ignoredErrors>
    <ignoredError sqref="AH30:AI30 AF30:AG30 AB30" formula="1"/>
  </ignoredErrors>
  <drawing r:id="rId2"/>
</worksheet>
</file>

<file path=xl/worksheets/sheet1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59999389629810485"/>
  </sheetPr>
  <dimension ref="A1:AH148"/>
  <sheetViews>
    <sheetView showGridLines="0" topLeftCell="Q1" zoomScale="263" zoomScaleNormal="263" workbookViewId="0">
      <selection activeCell="U9" sqref="U9"/>
    </sheetView>
  </sheetViews>
  <sheetFormatPr defaultRowHeight="15"/>
  <cols>
    <col min="1" max="1" width="12.5703125" customWidth="1"/>
    <col min="2" max="13" width="12.7109375" customWidth="1"/>
    <col min="14" max="15" width="15.28515625" bestFit="1" customWidth="1"/>
    <col min="16" max="17" width="12.28515625" bestFit="1" customWidth="1"/>
    <col min="18" max="18" width="14" bestFit="1" customWidth="1"/>
    <col min="19" max="19" width="14.85546875" bestFit="1" customWidth="1"/>
    <col min="20" max="20" width="15.28515625" bestFit="1" customWidth="1"/>
    <col min="21" max="21" width="12.42578125" bestFit="1" customWidth="1"/>
    <col min="22" max="22" width="18" customWidth="1"/>
    <col min="23" max="23" width="12.28515625" bestFit="1" customWidth="1"/>
    <col min="24" max="24" width="13.5703125" bestFit="1" customWidth="1"/>
    <col min="25" max="25" width="12.28515625" bestFit="1" customWidth="1"/>
    <col min="26" max="26" width="11.42578125" bestFit="1" customWidth="1"/>
    <col min="27" max="27" width="12.28515625" bestFit="1" customWidth="1"/>
    <col min="28" max="29" width="11.42578125" bestFit="1" customWidth="1"/>
    <col min="30" max="30" width="12.28515625" bestFit="1" customWidth="1"/>
    <col min="31" max="31" width="13.5703125" bestFit="1" customWidth="1"/>
    <col min="34" max="34" width="15.140625" bestFit="1" customWidth="1"/>
  </cols>
  <sheetData>
    <row r="1" spans="1:34" s="57" customFormat="1" ht="26.25" customHeight="1">
      <c r="A1" s="313" t="s">
        <v>247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Q1" s="143"/>
      <c r="R1" s="282" t="s">
        <v>501</v>
      </c>
      <c r="S1" s="283" t="s">
        <v>496</v>
      </c>
      <c r="T1" s="283" t="s">
        <v>497</v>
      </c>
      <c r="U1" s="283" t="s">
        <v>498</v>
      </c>
      <c r="V1" s="283" t="s">
        <v>499</v>
      </c>
      <c r="W1" s="283" t="s">
        <v>500</v>
      </c>
      <c r="X1" s="141"/>
      <c r="Y1" s="141"/>
      <c r="Z1" s="141"/>
      <c r="AA1" s="141"/>
      <c r="AB1" s="141"/>
      <c r="AC1" s="141"/>
      <c r="AG1" s="57" t="s">
        <v>310</v>
      </c>
    </row>
    <row r="2" spans="1:34" ht="15" customHeight="1">
      <c r="A2" s="58" t="s">
        <v>147</v>
      </c>
      <c r="B2" s="59" t="s">
        <v>148</v>
      </c>
      <c r="C2" s="59" t="s">
        <v>149</v>
      </c>
      <c r="D2" s="59" t="s">
        <v>150</v>
      </c>
      <c r="E2" s="59" t="s">
        <v>151</v>
      </c>
      <c r="F2" s="59" t="s">
        <v>152</v>
      </c>
      <c r="G2" s="59" t="s">
        <v>153</v>
      </c>
      <c r="H2" s="59" t="s">
        <v>154</v>
      </c>
      <c r="I2" s="59" t="s">
        <v>155</v>
      </c>
      <c r="J2" s="59" t="s">
        <v>156</v>
      </c>
      <c r="K2" s="59" t="s">
        <v>157</v>
      </c>
      <c r="L2" s="59" t="s">
        <v>158</v>
      </c>
      <c r="M2" s="59" t="s">
        <v>159</v>
      </c>
      <c r="N2" s="59" t="s">
        <v>160</v>
      </c>
      <c r="O2" s="59" t="s">
        <v>161</v>
      </c>
      <c r="Q2" s="143" t="s">
        <v>230</v>
      </c>
      <c r="R2" s="70">
        <f>B49</f>
        <v>0.65288731741328976</v>
      </c>
      <c r="S2" s="280">
        <f>R2*O32</f>
        <v>37580588.917632326</v>
      </c>
      <c r="T2" s="110">
        <f>N32</f>
        <v>31687335.240000002</v>
      </c>
      <c r="U2" s="281">
        <f>($T2/S2)-1</f>
        <v>-0.15681642697374776</v>
      </c>
      <c r="V2" s="280">
        <f>'Evolução das Receitas'!E32+'Evolução das Receitas'!E34</f>
        <v>48678202.264881238</v>
      </c>
      <c r="W2" s="281">
        <f>($T2/V2)-1</f>
        <v>-0.34904466957152303</v>
      </c>
      <c r="X2" s="142"/>
      <c r="Y2" s="142"/>
      <c r="Z2" s="142"/>
      <c r="AA2" s="142"/>
      <c r="AB2" s="142"/>
      <c r="AC2" s="142"/>
      <c r="AD2" s="92"/>
      <c r="AE2" s="92"/>
      <c r="AG2" t="s">
        <v>311</v>
      </c>
      <c r="AH2" s="93">
        <v>74701103.560480759</v>
      </c>
    </row>
    <row r="3" spans="1:34" ht="15" customHeight="1">
      <c r="A3" s="60">
        <v>2019</v>
      </c>
      <c r="B3" s="62">
        <f t="shared" ref="B3:M3" si="0">B32+B61+B90+B119+R32+R61</f>
        <v>19627391.469999995</v>
      </c>
      <c r="C3" s="62">
        <f>C32+C61+C90+C119+S32+S61</f>
        <v>21944976.73</v>
      </c>
      <c r="D3" s="62">
        <f t="shared" si="0"/>
        <v>13314373.720000001</v>
      </c>
      <c r="E3" s="62">
        <f t="shared" si="0"/>
        <v>15168339.013</v>
      </c>
      <c r="F3" s="62">
        <f t="shared" si="0"/>
        <v>0</v>
      </c>
      <c r="G3" s="62">
        <f t="shared" si="0"/>
        <v>0</v>
      </c>
      <c r="H3" s="62">
        <f t="shared" si="0"/>
        <v>0</v>
      </c>
      <c r="I3" s="62">
        <f t="shared" si="0"/>
        <v>0</v>
      </c>
      <c r="J3" s="62">
        <f t="shared" si="0"/>
        <v>0</v>
      </c>
      <c r="K3" s="62">
        <f t="shared" si="0"/>
        <v>0</v>
      </c>
      <c r="L3" s="62">
        <f t="shared" si="0"/>
        <v>0</v>
      </c>
      <c r="M3" s="62">
        <f t="shared" si="0"/>
        <v>0</v>
      </c>
      <c r="N3" s="63">
        <f>SUM(B3:M3)</f>
        <v>70055080.932999998</v>
      </c>
      <c r="O3" s="133">
        <f>O32+AE32+O61+AE61+O90+O119</f>
        <v>168641948.04524183</v>
      </c>
      <c r="Q3" s="143" t="s">
        <v>249</v>
      </c>
      <c r="R3" s="70">
        <f>R49</f>
        <v>0.43068309364439261</v>
      </c>
      <c r="S3" s="280">
        <f>R3*AE32</f>
        <v>3508232.95521536</v>
      </c>
      <c r="T3" s="110">
        <f>AD32</f>
        <v>4751518.54</v>
      </c>
      <c r="U3" s="281">
        <f t="shared" ref="U3:U8" si="1">($T3/S3)-1</f>
        <v>0.35439082884628981</v>
      </c>
      <c r="V3" s="280"/>
      <c r="W3" s="281"/>
      <c r="X3" s="142"/>
      <c r="Y3" s="142"/>
      <c r="Z3" s="142"/>
      <c r="AA3" s="142"/>
      <c r="AB3" s="142"/>
      <c r="AC3" s="142"/>
      <c r="AG3" t="s">
        <v>312</v>
      </c>
      <c r="AH3" s="93">
        <v>16144364.186383652</v>
      </c>
    </row>
    <row r="4" spans="1:34" ht="15" customHeight="1">
      <c r="A4" s="58">
        <v>2018</v>
      </c>
      <c r="B4" s="64">
        <v>20218507.809999999</v>
      </c>
      <c r="C4" s="65">
        <v>18505494.743999995</v>
      </c>
      <c r="D4" s="65">
        <v>14386851.480000002</v>
      </c>
      <c r="E4" s="65">
        <v>14310542</v>
      </c>
      <c r="F4" s="65">
        <v>13990650.66</v>
      </c>
      <c r="G4" s="65">
        <v>12895178.670000002</v>
      </c>
      <c r="H4" s="65">
        <v>9990709.9299999997</v>
      </c>
      <c r="I4" s="65">
        <v>10857304.02</v>
      </c>
      <c r="J4" s="65">
        <v>8910908.9900000002</v>
      </c>
      <c r="K4" s="65">
        <v>10128183.039999999</v>
      </c>
      <c r="L4" s="65">
        <v>8546466.620000001</v>
      </c>
      <c r="M4" s="65">
        <v>8604464.0199999996</v>
      </c>
      <c r="N4" s="63">
        <f>SUM(B4:M4)</f>
        <v>151345261.984</v>
      </c>
      <c r="O4" s="62"/>
      <c r="Q4" s="143" t="s">
        <v>231</v>
      </c>
      <c r="R4" s="70">
        <f>B78</f>
        <v>0.60023275757304073</v>
      </c>
      <c r="S4" s="280">
        <f>R4*O61</f>
        <v>6112110.4281369606</v>
      </c>
      <c r="T4" s="110">
        <f>N61</f>
        <v>3991934.69</v>
      </c>
      <c r="U4" s="281">
        <f t="shared" si="1"/>
        <v>-0.34688112446018315</v>
      </c>
      <c r="V4" s="280">
        <f>'Evolução das Receitas'!E100+'Evolução das Receitas'!E102</f>
        <v>9586866.8086229581</v>
      </c>
      <c r="W4" s="281">
        <f t="shared" ref="W4:W8" si="2">($T4/V4)-1</f>
        <v>-0.58360382284549595</v>
      </c>
      <c r="X4" s="140"/>
      <c r="Y4" s="140"/>
      <c r="Z4" s="140"/>
      <c r="AA4" s="140"/>
      <c r="AB4" s="140"/>
      <c r="AC4" s="140"/>
      <c r="AG4" t="s">
        <v>233</v>
      </c>
      <c r="AH4" s="93">
        <v>7652141.625052887</v>
      </c>
    </row>
    <row r="5" spans="1:34" ht="15" customHeight="1">
      <c r="A5" s="58">
        <v>2017</v>
      </c>
      <c r="B5" s="61">
        <v>21630408.969999999</v>
      </c>
      <c r="C5" s="61">
        <v>16112125.870000003</v>
      </c>
      <c r="D5" s="61">
        <v>13401480.550000001</v>
      </c>
      <c r="E5" s="61">
        <v>9431754.055999998</v>
      </c>
      <c r="F5" s="61">
        <v>14942507.16</v>
      </c>
      <c r="G5" s="61">
        <v>12352637.82</v>
      </c>
      <c r="H5" s="61">
        <v>9287542.5999999996</v>
      </c>
      <c r="I5" s="61">
        <v>10585695.219999999</v>
      </c>
      <c r="J5" s="61">
        <v>8731413.6799999997</v>
      </c>
      <c r="K5" s="61">
        <v>9907587.5140000023</v>
      </c>
      <c r="L5" s="61">
        <v>9004964.8500000015</v>
      </c>
      <c r="M5" s="61">
        <v>7781556.9900000002</v>
      </c>
      <c r="N5" s="63">
        <f t="shared" ref="N5:N7" si="3">SUM(B5:M5)</f>
        <v>143169675.28</v>
      </c>
      <c r="O5" s="62"/>
      <c r="Q5" s="143" t="s">
        <v>250</v>
      </c>
      <c r="R5" s="70">
        <f>R78</f>
        <v>0.42426735505663199</v>
      </c>
      <c r="S5" s="280">
        <f>R5*AE61</f>
        <v>435601.46585815132</v>
      </c>
      <c r="T5" s="110">
        <f>AD61</f>
        <v>771922.58</v>
      </c>
      <c r="U5" s="281">
        <f t="shared" si="1"/>
        <v>0.77208444071528404</v>
      </c>
      <c r="V5" s="280"/>
      <c r="W5" s="281"/>
      <c r="X5" s="140"/>
      <c r="Y5" s="140"/>
      <c r="Z5" s="140"/>
      <c r="AA5" s="140"/>
      <c r="AB5" s="140"/>
      <c r="AC5" s="140"/>
    </row>
    <row r="6" spans="1:34" ht="15" customHeight="1">
      <c r="A6" s="58">
        <v>2016</v>
      </c>
      <c r="B6" s="64">
        <v>13522659</v>
      </c>
      <c r="C6" s="65">
        <v>19522721</v>
      </c>
      <c r="D6" s="65">
        <v>11853783</v>
      </c>
      <c r="E6" s="65">
        <v>10017510</v>
      </c>
      <c r="F6" s="65">
        <v>11339637</v>
      </c>
      <c r="G6" s="65">
        <v>11850044</v>
      </c>
      <c r="H6" s="65">
        <v>8743031</v>
      </c>
      <c r="I6" s="65">
        <v>8776295</v>
      </c>
      <c r="J6" s="65">
        <v>8271860</v>
      </c>
      <c r="K6" s="65">
        <v>7346630</v>
      </c>
      <c r="L6" s="65">
        <v>7568914</v>
      </c>
      <c r="M6" s="65">
        <v>7993390</v>
      </c>
      <c r="N6" s="63">
        <f t="shared" si="3"/>
        <v>126806474</v>
      </c>
      <c r="O6" s="62"/>
      <c r="Q6" s="143" t="s">
        <v>28</v>
      </c>
      <c r="R6" s="70">
        <f>B107</f>
        <v>0.29906828701714527</v>
      </c>
      <c r="S6" s="280">
        <f>R6*O90</f>
        <v>25403790.303136677</v>
      </c>
      <c r="T6" s="110">
        <f>N90</f>
        <v>26560121.68</v>
      </c>
      <c r="U6" s="281">
        <f t="shared" si="1"/>
        <v>4.5518064944842118E-2</v>
      </c>
      <c r="V6" s="280"/>
      <c r="W6" s="281"/>
      <c r="X6" s="140"/>
      <c r="Y6" s="140"/>
      <c r="Z6" s="140"/>
      <c r="AA6" s="140"/>
      <c r="AB6" s="140"/>
      <c r="AC6" s="140"/>
    </row>
    <row r="7" spans="1:34" ht="15" customHeight="1">
      <c r="A7" s="58">
        <v>2015</v>
      </c>
      <c r="B7" s="61">
        <v>14647723</v>
      </c>
      <c r="C7" s="62">
        <v>18422217</v>
      </c>
      <c r="D7" s="62">
        <v>11371154</v>
      </c>
      <c r="E7" s="62">
        <v>9707977</v>
      </c>
      <c r="F7" s="62">
        <v>10003191</v>
      </c>
      <c r="G7" s="62">
        <v>10402134</v>
      </c>
      <c r="H7" s="62">
        <v>8814983</v>
      </c>
      <c r="I7" s="62">
        <v>7824387</v>
      </c>
      <c r="J7" s="62">
        <v>7656025</v>
      </c>
      <c r="K7" s="62">
        <v>7340297</v>
      </c>
      <c r="L7" s="62">
        <v>6731338</v>
      </c>
      <c r="M7" s="62">
        <v>6572782</v>
      </c>
      <c r="N7" s="63">
        <f t="shared" si="3"/>
        <v>119494208</v>
      </c>
      <c r="O7" s="62"/>
      <c r="Q7" s="143" t="s">
        <v>233</v>
      </c>
      <c r="R7" s="70">
        <f>B136</f>
        <v>0.32509727279064848</v>
      </c>
      <c r="S7" s="280">
        <f>R7*O119</f>
        <v>2205094.9492343953</v>
      </c>
      <c r="T7" s="110">
        <f>N119</f>
        <v>2292248.2030000002</v>
      </c>
      <c r="U7" s="281">
        <f t="shared" si="1"/>
        <v>3.9523583234302162E-2</v>
      </c>
      <c r="V7" s="280">
        <f>'Evolução das Receitas'!E202+'Evolução das Receitas'!E204</f>
        <v>2491465.6193579566</v>
      </c>
      <c r="W7" s="281">
        <f t="shared" si="2"/>
        <v>-7.9959929934451224E-2</v>
      </c>
    </row>
    <row r="8" spans="1:34" ht="15" customHeight="1">
      <c r="A8" s="66"/>
      <c r="Q8" s="143" t="s">
        <v>160</v>
      </c>
      <c r="R8" s="70">
        <f>AVERAGE(R2:R7)</f>
        <v>0.45537268058252484</v>
      </c>
      <c r="S8" s="280">
        <f>SUM(S2:S7)</f>
        <v>75245419.01921387</v>
      </c>
      <c r="T8" s="110">
        <f>SUM(T2:T7)</f>
        <v>70055080.932999983</v>
      </c>
      <c r="U8" s="281">
        <f t="shared" si="1"/>
        <v>-6.89787917173873E-2</v>
      </c>
      <c r="V8" s="280">
        <f>SUM(V2:V7)</f>
        <v>60756534.692862153</v>
      </c>
      <c r="W8" s="281">
        <f t="shared" si="2"/>
        <v>0.15304602685363911</v>
      </c>
    </row>
    <row r="9" spans="1:34" ht="15" customHeight="1">
      <c r="A9" s="58">
        <v>2019</v>
      </c>
      <c r="B9" s="67">
        <f>B3/O3</f>
        <v>0.11638499019671265</v>
      </c>
      <c r="C9" s="67">
        <f>C3/O3</f>
        <v>0.13012762829395677</v>
      </c>
      <c r="D9" s="67">
        <f>D3/O3</f>
        <v>7.8950545070957875E-2</v>
      </c>
      <c r="E9" s="67">
        <f>E3/O3</f>
        <v>8.9944045291333846E-2</v>
      </c>
      <c r="F9" s="67">
        <f>F3/O3</f>
        <v>0</v>
      </c>
      <c r="G9" s="67">
        <f>G3/O3</f>
        <v>0</v>
      </c>
      <c r="H9" s="67">
        <f>H3/O3</f>
        <v>0</v>
      </c>
      <c r="I9" s="67">
        <f>I3/O3</f>
        <v>0</v>
      </c>
      <c r="J9" s="67">
        <f>J3/O3</f>
        <v>0</v>
      </c>
      <c r="K9" s="67">
        <f>K3/O3</f>
        <v>0</v>
      </c>
      <c r="L9" s="67">
        <f>L3/O3</f>
        <v>0</v>
      </c>
      <c r="M9" s="67">
        <f>M3/O3</f>
        <v>0</v>
      </c>
      <c r="R9" s="71">
        <f>R8/B20</f>
        <v>1.0485385675034578</v>
      </c>
    </row>
    <row r="10" spans="1:34" ht="15" customHeight="1">
      <c r="A10" s="58">
        <v>2018</v>
      </c>
      <c r="B10" s="138">
        <f>B4/N4</f>
        <v>0.13359194430637328</v>
      </c>
      <c r="C10" s="139">
        <f>C4/N4</f>
        <v>0.12227336687921138</v>
      </c>
      <c r="D10" s="139">
        <f>D4/N4</f>
        <v>9.5059807564514043E-2</v>
      </c>
      <c r="E10" s="139">
        <f>E4/N4</f>
        <v>9.4555599642841076E-2</v>
      </c>
      <c r="F10" s="139">
        <f>F4/N4</f>
        <v>9.2441946821427895E-2</v>
      </c>
      <c r="G10" s="139">
        <f>G4/N4</f>
        <v>8.5203715669429164E-2</v>
      </c>
      <c r="H10" s="139">
        <f>H4/N4</f>
        <v>6.6012703662016212E-2</v>
      </c>
      <c r="I10" s="139">
        <f>I4/N4</f>
        <v>7.1738644987431571E-2</v>
      </c>
      <c r="J10" s="139">
        <f>J4/N4</f>
        <v>5.8878017542049306E-2</v>
      </c>
      <c r="K10" s="139">
        <f>K4/N4</f>
        <v>6.6921044684376943E-2</v>
      </c>
      <c r="L10" s="139">
        <f>L4/N4</f>
        <v>5.6469997857637073E-2</v>
      </c>
      <c r="M10" s="139">
        <f>M4/N4</f>
        <v>5.6853210382692067E-2</v>
      </c>
    </row>
    <row r="11" spans="1:34" ht="15" customHeight="1">
      <c r="A11" s="58">
        <v>2017</v>
      </c>
      <c r="B11" s="138">
        <f t="shared" ref="B11:B13" si="4">B5/N5</f>
        <v>0.15108233589059236</v>
      </c>
      <c r="C11" s="139">
        <f t="shared" ref="C11:C13" si="5">C5/N5</f>
        <v>0.11253867719186464</v>
      </c>
      <c r="D11" s="139">
        <f t="shared" ref="D11:D13" si="6">D5/N5</f>
        <v>9.3605580398156515E-2</v>
      </c>
      <c r="E11" s="139">
        <f t="shared" ref="E11:E13" si="7">E5/N5</f>
        <v>6.5878154976283312E-2</v>
      </c>
      <c r="F11" s="139">
        <f t="shared" ref="F11:F13" si="8">F5/N5</f>
        <v>0.10436921876631081</v>
      </c>
      <c r="G11" s="139">
        <f t="shared" ref="G11:G13" si="9">G5/N5</f>
        <v>8.6279708296059771E-2</v>
      </c>
      <c r="H11" s="139">
        <f t="shared" ref="H11:H13" si="10">H5/N5</f>
        <v>6.4870878430339063E-2</v>
      </c>
      <c r="I11" s="139">
        <f t="shared" ref="I11:I13" si="11">I5/N5</f>
        <v>7.3938110143068544E-2</v>
      </c>
      <c r="J11" s="139">
        <f t="shared" ref="J11:J13" si="12">J5/N5</f>
        <v>6.0986474006620377E-2</v>
      </c>
      <c r="K11" s="139">
        <f t="shared" ref="K11:K13" si="13">K5/N5</f>
        <v>6.9201718133560908E-2</v>
      </c>
      <c r="L11" s="139">
        <f t="shared" ref="L11:L13" si="14">L5/N5</f>
        <v>6.2897152154524336E-2</v>
      </c>
      <c r="M11" s="139">
        <f t="shared" ref="M11:M13" si="15">M5/N5</f>
        <v>5.4351991612619381E-2</v>
      </c>
    </row>
    <row r="12" spans="1:34" ht="15" customHeight="1">
      <c r="A12" s="58">
        <v>2016</v>
      </c>
      <c r="B12" s="67">
        <f t="shared" si="4"/>
        <v>0.1066401310078222</v>
      </c>
      <c r="C12" s="68">
        <f t="shared" si="5"/>
        <v>0.15395681611650205</v>
      </c>
      <c r="D12" s="68">
        <f t="shared" si="6"/>
        <v>9.3479320306627242E-2</v>
      </c>
      <c r="E12" s="68">
        <f t="shared" si="7"/>
        <v>7.8998411390257567E-2</v>
      </c>
      <c r="F12" s="68">
        <f t="shared" si="8"/>
        <v>8.942474814022508E-2</v>
      </c>
      <c r="G12" s="68">
        <f t="shared" si="9"/>
        <v>9.3449834430377743E-2</v>
      </c>
      <c r="H12" s="68">
        <f t="shared" si="10"/>
        <v>6.8947828326178365E-2</v>
      </c>
      <c r="I12" s="68">
        <f t="shared" si="11"/>
        <v>6.9210149317770642E-2</v>
      </c>
      <c r="J12" s="68">
        <f t="shared" si="12"/>
        <v>6.5232158414877145E-2</v>
      </c>
      <c r="K12" s="68">
        <f t="shared" si="13"/>
        <v>5.7935764383764819E-2</v>
      </c>
      <c r="L12" s="68">
        <f t="shared" si="14"/>
        <v>5.9688703275512574E-2</v>
      </c>
      <c r="M12" s="68">
        <f t="shared" si="15"/>
        <v>6.3036134890084555E-2</v>
      </c>
    </row>
    <row r="13" spans="1:34" ht="15" customHeight="1">
      <c r="A13" s="58">
        <v>2015</v>
      </c>
      <c r="B13" s="67">
        <f t="shared" si="4"/>
        <v>0.12258102919933994</v>
      </c>
      <c r="C13" s="68">
        <f t="shared" si="5"/>
        <v>0.15416828403934021</v>
      </c>
      <c r="D13" s="68">
        <f t="shared" si="6"/>
        <v>9.516071272676245E-2</v>
      </c>
      <c r="E13" s="68">
        <f t="shared" si="7"/>
        <v>8.1242238954376766E-2</v>
      </c>
      <c r="F13" s="68">
        <f t="shared" si="8"/>
        <v>8.3712768739385254E-2</v>
      </c>
      <c r="G13" s="68">
        <f t="shared" si="9"/>
        <v>8.7051365703013819E-2</v>
      </c>
      <c r="H13" s="68">
        <f t="shared" si="10"/>
        <v>7.3769123604718989E-2</v>
      </c>
      <c r="I13" s="68">
        <f t="shared" si="11"/>
        <v>6.5479215528170195E-2</v>
      </c>
      <c r="J13" s="68">
        <f t="shared" si="12"/>
        <v>6.4070260208762581E-2</v>
      </c>
      <c r="K13" s="68">
        <f t="shared" si="13"/>
        <v>6.1428056831005565E-2</v>
      </c>
      <c r="L13" s="68">
        <f t="shared" si="14"/>
        <v>5.6331918614833616E-2</v>
      </c>
      <c r="M13" s="68">
        <f t="shared" si="15"/>
        <v>5.5005025850290587E-2</v>
      </c>
    </row>
    <row r="14" spans="1:34" ht="15" customHeight="1">
      <c r="A14" s="58" t="s">
        <v>162</v>
      </c>
      <c r="B14" s="69">
        <f>AVERAGE(B10:B11)</f>
        <v>0.14233714009848281</v>
      </c>
      <c r="C14" s="69">
        <f t="shared" ref="C14:M14" si="16">AVERAGE(C10:C11)</f>
        <v>0.11740602203553802</v>
      </c>
      <c r="D14" s="69">
        <f t="shared" si="16"/>
        <v>9.4332693981335286E-2</v>
      </c>
      <c r="E14" s="69">
        <f t="shared" si="16"/>
        <v>8.0216877309562201E-2</v>
      </c>
      <c r="F14" s="69">
        <f t="shared" si="16"/>
        <v>9.8405582793869351E-2</v>
      </c>
      <c r="G14" s="69">
        <f t="shared" si="16"/>
        <v>8.5741711982744467E-2</v>
      </c>
      <c r="H14" s="69">
        <f t="shared" si="16"/>
        <v>6.5441791046177644E-2</v>
      </c>
      <c r="I14" s="69">
        <f t="shared" si="16"/>
        <v>7.2838377565250051E-2</v>
      </c>
      <c r="J14" s="69">
        <f t="shared" si="16"/>
        <v>5.9932245774334841E-2</v>
      </c>
      <c r="K14" s="69">
        <f t="shared" si="16"/>
        <v>6.8061381408968918E-2</v>
      </c>
      <c r="L14" s="69">
        <f t="shared" si="16"/>
        <v>5.9683575006080708E-2</v>
      </c>
      <c r="M14" s="69">
        <f t="shared" si="16"/>
        <v>5.5602600997655724E-2</v>
      </c>
    </row>
    <row r="15" spans="1:34" ht="15" customHeight="1"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Q15" s="315"/>
      <c r="R15" s="315"/>
      <c r="S15" s="315"/>
    </row>
    <row r="16" spans="1:34" ht="15" customHeight="1">
      <c r="B16" s="58" t="s">
        <v>162</v>
      </c>
      <c r="C16" s="58">
        <v>2019</v>
      </c>
      <c r="D16" s="58">
        <v>2018</v>
      </c>
      <c r="E16" s="58">
        <v>2017</v>
      </c>
      <c r="F16" s="58">
        <v>2016</v>
      </c>
      <c r="G16" s="58">
        <v>2015</v>
      </c>
      <c r="X16" s="135"/>
    </row>
    <row r="17" spans="1:32" ht="15" customHeight="1">
      <c r="A17" s="58" t="s">
        <v>163</v>
      </c>
      <c r="B17" s="72">
        <f>B14</f>
        <v>0.14233714009848281</v>
      </c>
      <c r="C17" s="73">
        <f>B9</f>
        <v>0.11638499019671265</v>
      </c>
      <c r="D17" s="73">
        <f>B10</f>
        <v>0.13359194430637328</v>
      </c>
      <c r="E17" s="73">
        <f>B11</f>
        <v>0.15108233589059236</v>
      </c>
      <c r="F17" s="73">
        <f>B12</f>
        <v>0.1066401310078222</v>
      </c>
      <c r="G17" s="73">
        <f>B13</f>
        <v>0.12258102919933994</v>
      </c>
      <c r="H17" s="134">
        <f>B17*O3</f>
        <v>24004012.585396644</v>
      </c>
      <c r="J17" s="71"/>
      <c r="L17" s="136"/>
      <c r="M17" s="136"/>
      <c r="N17" s="136"/>
      <c r="O17" s="136"/>
      <c r="P17" s="136"/>
      <c r="T17" s="136"/>
      <c r="U17" s="136"/>
      <c r="V17" s="136"/>
      <c r="W17" s="136"/>
      <c r="X17" s="136"/>
    </row>
    <row r="18" spans="1:32" ht="15" customHeight="1">
      <c r="A18" s="58" t="s">
        <v>164</v>
      </c>
      <c r="B18" s="72">
        <f>B14+C14</f>
        <v>0.25974316213402082</v>
      </c>
      <c r="C18" s="73">
        <f>SUM(B9:C9)</f>
        <v>0.24651261849066941</v>
      </c>
      <c r="D18" s="73">
        <f>SUM(B10:C10)</f>
        <v>0.25586531118558464</v>
      </c>
      <c r="E18" s="73">
        <f>SUM(B11:C11)</f>
        <v>0.263621013082457</v>
      </c>
      <c r="F18" s="73">
        <f>SUM(B12:C12)</f>
        <v>0.26059694712432424</v>
      </c>
      <c r="G18" s="73">
        <f>SUM(B13:C13)</f>
        <v>0.27674931323868013</v>
      </c>
      <c r="H18" s="134">
        <f>B43*O32+B75*O61+B101*O90+B133*O119+R72*AE61+R46*AE32</f>
        <v>24965259.088804461</v>
      </c>
      <c r="L18" s="136"/>
      <c r="M18" s="136"/>
      <c r="N18" s="136"/>
      <c r="O18" s="136"/>
      <c r="P18" s="136"/>
      <c r="T18" s="136"/>
      <c r="U18" s="136"/>
      <c r="V18" s="136"/>
      <c r="W18" s="136"/>
      <c r="X18" s="136"/>
    </row>
    <row r="19" spans="1:32" ht="15" customHeight="1">
      <c r="A19" s="58" t="s">
        <v>165</v>
      </c>
      <c r="B19" s="69">
        <f>B14+C14+D14</f>
        <v>0.35407585611535608</v>
      </c>
      <c r="C19" s="70">
        <f>SUM(B9:D9)</f>
        <v>0.3254631635616273</v>
      </c>
      <c r="D19" s="70">
        <f>SUM(B10:D10)</f>
        <v>0.35092511875009869</v>
      </c>
      <c r="E19" s="70">
        <f>SUM(B11:D11)</f>
        <v>0.35722659348061353</v>
      </c>
      <c r="F19" s="70">
        <f>SUM(B12:D12)</f>
        <v>0.3540762674309515</v>
      </c>
      <c r="G19" s="70">
        <f>SUM(B13:D13)</f>
        <v>0.37191002596544259</v>
      </c>
      <c r="H19" s="92">
        <f>H17/H18</f>
        <v>0.96149663418318443</v>
      </c>
      <c r="L19" s="135"/>
      <c r="M19" s="135"/>
      <c r="N19" s="135"/>
      <c r="O19" s="135"/>
      <c r="P19" s="135"/>
      <c r="T19" s="135"/>
      <c r="U19" s="135"/>
      <c r="V19" s="135"/>
      <c r="W19" s="135"/>
      <c r="X19" s="135"/>
    </row>
    <row r="20" spans="1:32" ht="15" customHeight="1">
      <c r="A20" s="58" t="s">
        <v>166</v>
      </c>
      <c r="B20" s="69">
        <f>B14+C14+D14+E14</f>
        <v>0.43429273342491825</v>
      </c>
      <c r="C20" s="70">
        <f>SUM(B9:E9)</f>
        <v>0.41540720885296112</v>
      </c>
      <c r="D20" s="70">
        <f>SUM(B10:E10)</f>
        <v>0.44548071839293979</v>
      </c>
      <c r="E20" s="70">
        <f>SUM(B11:E11)</f>
        <v>0.42310474845689683</v>
      </c>
      <c r="F20" s="70">
        <f>SUM(B12:E12)</f>
        <v>0.43307467882120909</v>
      </c>
      <c r="G20" s="70">
        <f>SUM(B13:E13)</f>
        <v>0.45315226491981936</v>
      </c>
      <c r="L20" s="136"/>
      <c r="M20" s="136"/>
      <c r="N20" s="136"/>
      <c r="O20" s="136"/>
      <c r="P20" s="136"/>
      <c r="T20" s="136"/>
      <c r="U20" s="136"/>
      <c r="V20" s="136"/>
      <c r="W20" s="136"/>
      <c r="X20" s="136"/>
    </row>
    <row r="21" spans="1:32" ht="15" customHeight="1">
      <c r="A21" s="58" t="s">
        <v>167</v>
      </c>
      <c r="B21" s="69">
        <f>B14+C14+D14+E14+F14</f>
        <v>0.5326983162187876</v>
      </c>
      <c r="C21" s="70">
        <f>SUM(B9:F9)</f>
        <v>0.41540720885296112</v>
      </c>
      <c r="D21" s="70">
        <f>SUM(B10:F10)</f>
        <v>0.53792266521436771</v>
      </c>
      <c r="E21" s="70">
        <f>SUM(B11:F11)</f>
        <v>0.52747396722320761</v>
      </c>
      <c r="F21" s="70">
        <f>SUM(B12:F12)</f>
        <v>0.52249942696143414</v>
      </c>
      <c r="G21" s="70">
        <f>SUM(B13:F13)</f>
        <v>0.53686503365920457</v>
      </c>
      <c r="L21" s="136"/>
      <c r="M21" s="136"/>
      <c r="N21" s="136"/>
      <c r="O21" s="136"/>
      <c r="P21" s="136"/>
      <c r="T21" s="136"/>
      <c r="U21" s="136"/>
      <c r="V21" s="136"/>
      <c r="W21" s="136"/>
      <c r="X21" s="136"/>
    </row>
    <row r="22" spans="1:32" ht="15" customHeight="1">
      <c r="A22" s="58" t="s">
        <v>168</v>
      </c>
      <c r="B22" s="69">
        <f>B14+C14+D14+E14+F14+G14</f>
        <v>0.6184400282015321</v>
      </c>
      <c r="C22" s="70">
        <f>SUM(B9:G9)</f>
        <v>0.41540720885296112</v>
      </c>
      <c r="D22" s="70">
        <f>SUM(B10:G10)</f>
        <v>0.6231263808837969</v>
      </c>
      <c r="E22" s="70">
        <f>SUM(B11:G11)</f>
        <v>0.61375367551926741</v>
      </c>
      <c r="F22" s="70">
        <f>SUM(B12:G12)</f>
        <v>0.61594926139181183</v>
      </c>
      <c r="G22" s="70">
        <f>SUM(B13:G13)</f>
        <v>0.62391639936221843</v>
      </c>
      <c r="L22" s="137"/>
      <c r="M22" s="137"/>
      <c r="N22" s="137"/>
      <c r="O22" s="137"/>
      <c r="P22" s="137"/>
      <c r="T22" s="137"/>
      <c r="U22" s="137"/>
      <c r="V22" s="137"/>
      <c r="W22" s="137"/>
      <c r="X22" s="137"/>
    </row>
    <row r="23" spans="1:32" ht="15" customHeight="1">
      <c r="A23" s="58" t="s">
        <v>169</v>
      </c>
      <c r="B23" s="69">
        <f>B14+C14+D14+E14+F14+G14+H14</f>
        <v>0.68388181924770974</v>
      </c>
      <c r="C23" s="70">
        <f>SUM(B9:H9)</f>
        <v>0.41540720885296112</v>
      </c>
      <c r="D23" s="70">
        <f>SUM(B10:H10)</f>
        <v>0.68913908454581307</v>
      </c>
      <c r="E23" s="70">
        <f>SUM(B11:H11)</f>
        <v>0.67862455394960652</v>
      </c>
      <c r="F23" s="70">
        <f>SUM(B12:H12)</f>
        <v>0.68489708971799024</v>
      </c>
      <c r="G23" s="70">
        <f>SUM(B13:H13)</f>
        <v>0.69768552296693742</v>
      </c>
    </row>
    <row r="24" spans="1:32" ht="15" customHeight="1">
      <c r="A24" s="58" t="s">
        <v>170</v>
      </c>
      <c r="B24" s="69">
        <f>B14+C14+D14+E14+F14+G14+H14+I14</f>
        <v>0.75672019681295977</v>
      </c>
      <c r="C24" s="70">
        <f>SUM(B9:I9)</f>
        <v>0.41540720885296112</v>
      </c>
      <c r="D24" s="70">
        <f>SUM(B10:I10)</f>
        <v>0.76087772953324462</v>
      </c>
      <c r="E24" s="70">
        <f>SUM(B11:I11)</f>
        <v>0.75256266409267503</v>
      </c>
      <c r="F24" s="70">
        <f>SUM(B12:I12)</f>
        <v>0.75410723903576082</v>
      </c>
      <c r="G24" s="70">
        <f>SUM(B13:I13)</f>
        <v>0.76316473849510758</v>
      </c>
    </row>
    <row r="25" spans="1:32" ht="15" customHeight="1">
      <c r="A25" s="58" t="s">
        <v>171</v>
      </c>
      <c r="B25" s="69">
        <f>B14+C14+D14+E14+F14+G14+H14+I14+J14</f>
        <v>0.81665244258729464</v>
      </c>
      <c r="C25" s="70">
        <f>SUM(B9:J9)</f>
        <v>0.41540720885296112</v>
      </c>
      <c r="D25" s="70">
        <f>SUM(B10:J10)</f>
        <v>0.81975574707529397</v>
      </c>
      <c r="E25" s="70">
        <f>SUM(B11:J11)</f>
        <v>0.81354913809929541</v>
      </c>
      <c r="F25" s="70">
        <f>SUM(B12:J12)</f>
        <v>0.819339397450638</v>
      </c>
      <c r="G25" s="70">
        <f>SUM(B13:J13)</f>
        <v>0.82723499870387018</v>
      </c>
    </row>
    <row r="26" spans="1:32" ht="15" customHeight="1">
      <c r="A26" s="58" t="s">
        <v>172</v>
      </c>
      <c r="B26" s="69">
        <f>B14+C14+D14+E14+F14+G14+H14+I14+J14+K14</f>
        <v>0.88471382399626353</v>
      </c>
      <c r="C26" s="70">
        <f>SUM(B9:K9)</f>
        <v>0.41540720885296112</v>
      </c>
      <c r="D26" s="70">
        <f>SUM(B10:K10)</f>
        <v>0.88667679175967096</v>
      </c>
      <c r="E26" s="70">
        <f>SUM(B11:K11)</f>
        <v>0.88275085623285632</v>
      </c>
      <c r="F26" s="70">
        <f>SUM(B12:K12)</f>
        <v>0.87727516183440279</v>
      </c>
      <c r="G26" s="70">
        <f>SUM(B13:K13)</f>
        <v>0.88866305553487579</v>
      </c>
    </row>
    <row r="27" spans="1:32" ht="15" customHeight="1">
      <c r="A27" s="58" t="s">
        <v>173</v>
      </c>
      <c r="B27" s="69">
        <f>B14+C14+D14+E14+F14+G14+H14+I14+J14+K14+L14</f>
        <v>0.94439739900234421</v>
      </c>
      <c r="C27" s="70">
        <f>SUM(B9:L9)</f>
        <v>0.41540720885296112</v>
      </c>
      <c r="D27" s="70">
        <f>SUM(B10:L10)</f>
        <v>0.94314678961730802</v>
      </c>
      <c r="E27" s="70">
        <f>SUM(B11:L11)</f>
        <v>0.94564800838738061</v>
      </c>
      <c r="F27" s="70">
        <f>SUM(B12:L12)</f>
        <v>0.93696386510991536</v>
      </c>
      <c r="G27" s="70">
        <f>SUM(B13:L13)</f>
        <v>0.94499497414970945</v>
      </c>
    </row>
    <row r="28" spans="1:32" ht="15" customHeight="1">
      <c r="A28" s="58" t="s">
        <v>174</v>
      </c>
      <c r="B28" s="69">
        <f>SUM(B14:M14)</f>
        <v>0.99999999999999989</v>
      </c>
      <c r="C28" s="70">
        <f>SUM(B9:M9)</f>
        <v>0.41540720885296112</v>
      </c>
      <c r="D28" s="70">
        <f>SUM(B10:M10)</f>
        <v>1</v>
      </c>
      <c r="E28" s="70">
        <f>SUM(B11:M11)</f>
        <v>1</v>
      </c>
      <c r="F28" s="70">
        <f>SUM(B12:M12)</f>
        <v>0.99999999999999989</v>
      </c>
      <c r="G28" s="70">
        <f>SUM(B13:M13)</f>
        <v>1</v>
      </c>
    </row>
    <row r="29" spans="1:32" s="14" customFormat="1" ht="15" customHeight="1">
      <c r="A29" s="74"/>
      <c r="B29" s="75"/>
      <c r="C29" s="75"/>
      <c r="D29" s="75"/>
      <c r="E29" s="75"/>
      <c r="F29" s="75"/>
      <c r="G29" s="75"/>
    </row>
    <row r="30" spans="1:32" ht="25.5" customHeight="1">
      <c r="A30" s="313" t="s">
        <v>284</v>
      </c>
      <c r="B30" s="313"/>
      <c r="C30" s="313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Q30" s="313" t="s">
        <v>286</v>
      </c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2" ht="15" customHeight="1">
      <c r="A31" s="58" t="s">
        <v>147</v>
      </c>
      <c r="B31" s="76" t="s">
        <v>148</v>
      </c>
      <c r="C31" s="76" t="s">
        <v>149</v>
      </c>
      <c r="D31" s="76" t="s">
        <v>150</v>
      </c>
      <c r="E31" s="76" t="s">
        <v>151</v>
      </c>
      <c r="F31" s="76" t="s">
        <v>152</v>
      </c>
      <c r="G31" s="76" t="s">
        <v>153</v>
      </c>
      <c r="H31" s="76" t="s">
        <v>154</v>
      </c>
      <c r="I31" s="76" t="s">
        <v>155</v>
      </c>
      <c r="J31" s="76" t="s">
        <v>156</v>
      </c>
      <c r="K31" s="76" t="s">
        <v>157</v>
      </c>
      <c r="L31" s="76" t="s">
        <v>158</v>
      </c>
      <c r="M31" s="76" t="s">
        <v>159</v>
      </c>
      <c r="N31" s="76" t="s">
        <v>160</v>
      </c>
      <c r="O31" s="76" t="s">
        <v>161</v>
      </c>
      <c r="Q31" s="58" t="s">
        <v>147</v>
      </c>
      <c r="R31" s="76" t="s">
        <v>148</v>
      </c>
      <c r="S31" s="76" t="s">
        <v>149</v>
      </c>
      <c r="T31" s="76" t="s">
        <v>150</v>
      </c>
      <c r="U31" s="76" t="s">
        <v>151</v>
      </c>
      <c r="V31" s="76" t="s">
        <v>152</v>
      </c>
      <c r="W31" s="76" t="s">
        <v>153</v>
      </c>
      <c r="X31" s="76" t="s">
        <v>154</v>
      </c>
      <c r="Y31" s="76" t="s">
        <v>155</v>
      </c>
      <c r="Z31" s="76" t="s">
        <v>156</v>
      </c>
      <c r="AA31" s="76" t="s">
        <v>157</v>
      </c>
      <c r="AB31" s="76" t="s">
        <v>158</v>
      </c>
      <c r="AC31" s="76" t="s">
        <v>159</v>
      </c>
      <c r="AD31" s="76" t="s">
        <v>160</v>
      </c>
      <c r="AE31" s="76" t="s">
        <v>161</v>
      </c>
    </row>
    <row r="32" spans="1:32" ht="15" customHeight="1">
      <c r="A32" s="60">
        <v>2019</v>
      </c>
      <c r="B32" s="61">
        <f>'ARRECADAÇÃO MENSAL POR RECEITA'!B5</f>
        <v>10754868.249999998</v>
      </c>
      <c r="C32" s="62">
        <f>'ARRECADAÇÃO MENSAL POR RECEITA'!B6</f>
        <v>11393795.619999999</v>
      </c>
      <c r="D32" s="62">
        <f>'ARRECADAÇÃO MENSAL POR RECEITA'!B7</f>
        <v>4490339.8100000005</v>
      </c>
      <c r="E32" s="62">
        <f>'ARRECADAÇÃO MENSAL POR RECEITA'!B8</f>
        <v>5048331.5600000005</v>
      </c>
      <c r="F32" s="62"/>
      <c r="G32" s="62"/>
      <c r="H32" s="62"/>
      <c r="I32" s="62"/>
      <c r="J32" s="62"/>
      <c r="K32" s="62"/>
      <c r="L32" s="62"/>
      <c r="M32" s="62"/>
      <c r="N32" s="63">
        <f>SUM(B32:M32)</f>
        <v>31687335.240000002</v>
      </c>
      <c r="O32" s="133">
        <v>57560604.89354416</v>
      </c>
      <c r="P32" s="92">
        <f>N32/O32</f>
        <v>0.55050386108006255</v>
      </c>
      <c r="Q32" s="60">
        <v>2019</v>
      </c>
      <c r="R32" s="61">
        <f>'ARRECADAÇÃO MENSAL POR RECEITA'!C5</f>
        <v>1446032.3099999998</v>
      </c>
      <c r="S32" s="62">
        <f>'ARRECADAÇÃO MENSAL POR RECEITA'!C6</f>
        <v>1323348.6500000004</v>
      </c>
      <c r="T32" s="62">
        <f>'ARRECADAÇÃO MENSAL POR RECEITA'!C7</f>
        <v>965682.96999999986</v>
      </c>
      <c r="U32" s="62">
        <f>'ARRECADAÇÃO MENSAL POR RECEITA'!C8</f>
        <v>1016454.6100000001</v>
      </c>
      <c r="V32" s="62"/>
      <c r="W32" s="62"/>
      <c r="X32" s="62"/>
      <c r="Y32" s="62"/>
      <c r="Z32" s="62"/>
      <c r="AA32" s="62"/>
      <c r="AB32" s="62"/>
      <c r="AC32" s="62"/>
      <c r="AD32" s="63">
        <f>SUM(R32:AC32)</f>
        <v>4751518.54</v>
      </c>
      <c r="AE32" s="133">
        <v>8145741.0494781248</v>
      </c>
      <c r="AF32" s="92">
        <f>AD32/AE32</f>
        <v>0.58331323217111308</v>
      </c>
    </row>
    <row r="33" spans="1:31" ht="15" customHeight="1">
      <c r="A33" s="58">
        <v>2018</v>
      </c>
      <c r="B33" s="64">
        <v>11187097.160000002</v>
      </c>
      <c r="C33" s="65">
        <v>10008880.65</v>
      </c>
      <c r="D33" s="65">
        <v>5397971.6399999997</v>
      </c>
      <c r="E33" s="65">
        <v>4973960.2100000009</v>
      </c>
      <c r="F33" s="65">
        <v>4910011.7</v>
      </c>
      <c r="G33" s="65">
        <v>4325652.87</v>
      </c>
      <c r="H33" s="65">
        <v>1347250.3699999999</v>
      </c>
      <c r="I33" s="65">
        <v>1377504.5</v>
      </c>
      <c r="J33" s="65">
        <v>1047387.29</v>
      </c>
      <c r="K33" s="65">
        <v>1103096.3500000001</v>
      </c>
      <c r="L33" s="65">
        <v>896689.06000000017</v>
      </c>
      <c r="M33" s="65">
        <v>964693.32000000007</v>
      </c>
      <c r="N33" s="63">
        <f>SUM(B33:M33)</f>
        <v>47540195.120000005</v>
      </c>
      <c r="O33" s="62"/>
      <c r="Q33" s="58">
        <v>2018</v>
      </c>
      <c r="R33" s="64">
        <v>1557356.2899999998</v>
      </c>
      <c r="S33" s="65">
        <v>1069608.8319999997</v>
      </c>
      <c r="T33" s="65">
        <v>769963.89000000013</v>
      </c>
      <c r="U33" s="65">
        <v>873033.00000000012</v>
      </c>
      <c r="V33" s="65">
        <v>671266.24</v>
      </c>
      <c r="W33" s="65">
        <v>586377.35</v>
      </c>
      <c r="X33" s="65">
        <v>640061.24000000011</v>
      </c>
      <c r="Y33" s="65">
        <v>604773.37</v>
      </c>
      <c r="Z33" s="65">
        <v>475840.02</v>
      </c>
      <c r="AA33" s="65">
        <v>604712.57999999996</v>
      </c>
      <c r="AB33" s="65">
        <v>496085.55</v>
      </c>
      <c r="AC33" s="65">
        <v>664709.59</v>
      </c>
      <c r="AD33" s="63">
        <f>SUM(R33:AC33)</f>
        <v>9013787.9520000014</v>
      </c>
      <c r="AE33" s="62"/>
    </row>
    <row r="34" spans="1:31" ht="15" customHeight="1">
      <c r="A34" s="58">
        <v>2017</v>
      </c>
      <c r="B34" s="61">
        <v>13601214.73</v>
      </c>
      <c r="C34" s="62">
        <v>8816798.5600000024</v>
      </c>
      <c r="D34" s="62">
        <v>4603520.21</v>
      </c>
      <c r="E34" s="62">
        <v>2601438.3099999996</v>
      </c>
      <c r="F34" s="62">
        <v>5730355.4699999997</v>
      </c>
      <c r="G34" s="62">
        <v>3693602.41</v>
      </c>
      <c r="H34" s="62">
        <v>1369071.43</v>
      </c>
      <c r="I34" s="62">
        <v>1414085.0499999998</v>
      </c>
      <c r="J34" s="62">
        <v>956597.95000000019</v>
      </c>
      <c r="K34" s="62">
        <v>1346253.54</v>
      </c>
      <c r="L34" s="62">
        <v>1196237.6800000002</v>
      </c>
      <c r="M34" s="62">
        <v>830574.32000000007</v>
      </c>
      <c r="N34" s="63">
        <f t="shared" ref="N34:N36" si="17">SUM(B34:M34)</f>
        <v>46159749.659999996</v>
      </c>
      <c r="O34" s="62"/>
      <c r="Q34" s="58">
        <v>2017</v>
      </c>
      <c r="R34" s="61">
        <v>1305502.5399999991</v>
      </c>
      <c r="S34" s="62">
        <v>743161.29999999981</v>
      </c>
      <c r="T34" s="62">
        <v>836372.94999999972</v>
      </c>
      <c r="U34" s="62">
        <v>513252.70600000006</v>
      </c>
      <c r="V34" s="62">
        <v>828067.5299999998</v>
      </c>
      <c r="W34" s="62">
        <v>712978.55999999982</v>
      </c>
      <c r="X34" s="62">
        <v>640847.30999999994</v>
      </c>
      <c r="Y34" s="62">
        <v>726517.04</v>
      </c>
      <c r="Z34" s="62">
        <v>539242.30999999994</v>
      </c>
      <c r="AA34" s="62">
        <v>771856.91999999993</v>
      </c>
      <c r="AB34" s="62">
        <v>658227.01000000013</v>
      </c>
      <c r="AC34" s="62">
        <v>490321.47000000003</v>
      </c>
      <c r="AD34" s="63">
        <f t="shared" ref="AD34:AD36" si="18">SUM(R34:AC34)</f>
        <v>8766347.6459999979</v>
      </c>
      <c r="AE34" s="62"/>
    </row>
    <row r="35" spans="1:31" ht="15" customHeight="1">
      <c r="A35" s="58">
        <v>2016</v>
      </c>
      <c r="B35" s="64">
        <v>7903255.71</v>
      </c>
      <c r="C35" s="65">
        <v>12087485.599999998</v>
      </c>
      <c r="D35" s="65">
        <v>4036474.2199999993</v>
      </c>
      <c r="E35" s="65">
        <v>3164981.64</v>
      </c>
      <c r="F35" s="65">
        <v>4084268.13</v>
      </c>
      <c r="G35" s="65">
        <v>4150214.120000001</v>
      </c>
      <c r="H35" s="65">
        <v>1759270.35</v>
      </c>
      <c r="I35" s="65">
        <v>1489606.0299999996</v>
      </c>
      <c r="J35" s="65">
        <v>1195446.6399999999</v>
      </c>
      <c r="K35" s="65">
        <v>971422.8600000001</v>
      </c>
      <c r="L35" s="65">
        <v>975208.2100000002</v>
      </c>
      <c r="M35" s="65">
        <v>978968.3600000001</v>
      </c>
      <c r="N35" s="63">
        <f t="shared" si="17"/>
        <v>42796601.870000005</v>
      </c>
      <c r="O35" s="62"/>
      <c r="Q35" s="58">
        <v>2016</v>
      </c>
      <c r="R35" s="64">
        <v>552306.51000000013</v>
      </c>
      <c r="S35" s="65">
        <v>644624.3200000003</v>
      </c>
      <c r="T35" s="65">
        <v>577592.63999999978</v>
      </c>
      <c r="U35" s="65">
        <v>417987.7699999999</v>
      </c>
      <c r="V35" s="65">
        <v>406084.39</v>
      </c>
      <c r="W35" s="65">
        <v>400470.65</v>
      </c>
      <c r="X35" s="65">
        <v>347470.03000000009</v>
      </c>
      <c r="Y35" s="65">
        <v>348285.86000000004</v>
      </c>
      <c r="Z35" s="65">
        <v>320683.09000000003</v>
      </c>
      <c r="AA35" s="65">
        <v>282970.61999999994</v>
      </c>
      <c r="AB35" s="65">
        <v>308398.68999999994</v>
      </c>
      <c r="AC35" s="65">
        <v>485634.62000000005</v>
      </c>
      <c r="AD35" s="63">
        <f t="shared" si="18"/>
        <v>5092509.1900000004</v>
      </c>
      <c r="AE35" s="62"/>
    </row>
    <row r="36" spans="1:31" ht="15" customHeight="1">
      <c r="A36" s="58">
        <v>2015</v>
      </c>
      <c r="B36" s="61">
        <v>8787953.700000003</v>
      </c>
      <c r="C36" s="62">
        <v>11198167.82</v>
      </c>
      <c r="D36" s="62">
        <v>3528437.5500000007</v>
      </c>
      <c r="E36" s="62">
        <v>2995249.47</v>
      </c>
      <c r="F36" s="62">
        <v>3112828.3600000003</v>
      </c>
      <c r="G36" s="62">
        <v>3274053.8400000003</v>
      </c>
      <c r="H36" s="62">
        <v>1485273.13</v>
      </c>
      <c r="I36" s="62">
        <v>1065763.9799999997</v>
      </c>
      <c r="J36" s="62">
        <v>919128.40000000026</v>
      </c>
      <c r="K36" s="62">
        <v>775001.32</v>
      </c>
      <c r="L36" s="62">
        <v>634938.85</v>
      </c>
      <c r="M36" s="62">
        <v>657318.98</v>
      </c>
      <c r="N36" s="63">
        <f t="shared" si="17"/>
        <v>38434115.399999999</v>
      </c>
      <c r="O36" s="62"/>
      <c r="Q36" s="58">
        <v>2015</v>
      </c>
      <c r="R36" s="61">
        <v>621740.16999999969</v>
      </c>
      <c r="S36" s="62">
        <v>657497.20999999961</v>
      </c>
      <c r="T36" s="62">
        <v>511071.15000000014</v>
      </c>
      <c r="U36" s="62">
        <v>391535.90000000008</v>
      </c>
      <c r="V36" s="62">
        <v>358262.96000000008</v>
      </c>
      <c r="W36" s="62">
        <v>362762.89999999997</v>
      </c>
      <c r="X36" s="62">
        <v>308047.82000000007</v>
      </c>
      <c r="Y36" s="62">
        <v>280924.34000000008</v>
      </c>
      <c r="Z36" s="62">
        <v>255246.89999999994</v>
      </c>
      <c r="AA36" s="62">
        <v>222708.14</v>
      </c>
      <c r="AB36" s="62">
        <v>245348.60000000003</v>
      </c>
      <c r="AC36" s="62">
        <v>269305.54000000004</v>
      </c>
      <c r="AD36" s="63">
        <f t="shared" si="18"/>
        <v>4484451.629999999</v>
      </c>
      <c r="AE36" s="62"/>
    </row>
    <row r="37" spans="1:31" ht="15" customHeight="1">
      <c r="A37" s="66"/>
      <c r="Q37" s="66"/>
    </row>
    <row r="38" spans="1:31" ht="15" customHeight="1">
      <c r="A38" s="58">
        <v>2019</v>
      </c>
      <c r="B38" s="67">
        <f>B32/O32</f>
        <v>0.18684425345930017</v>
      </c>
      <c r="C38" s="67">
        <f>C32/O32</f>
        <v>0.1979443343424262</v>
      </c>
      <c r="D38" s="67">
        <f>D32/O32</f>
        <v>7.8010643187379436E-2</v>
      </c>
      <c r="E38" s="67">
        <f>E32/O32</f>
        <v>8.7704630090956665E-2</v>
      </c>
      <c r="F38" s="67">
        <f>F32/O32</f>
        <v>0</v>
      </c>
      <c r="G38" s="67">
        <f>G32/O32</f>
        <v>0</v>
      </c>
      <c r="H38" s="67">
        <f>H32/O32</f>
        <v>0</v>
      </c>
      <c r="I38" s="67">
        <f>I32/O32</f>
        <v>0</v>
      </c>
      <c r="J38" s="67">
        <f>J32/O32</f>
        <v>0</v>
      </c>
      <c r="K38" s="67">
        <f>K32/O32</f>
        <v>0</v>
      </c>
      <c r="L38" s="67">
        <f>L32/O32</f>
        <v>0</v>
      </c>
      <c r="M38" s="67">
        <f>M32/O32</f>
        <v>0</v>
      </c>
      <c r="Q38" s="58">
        <v>2019</v>
      </c>
      <c r="R38" s="67">
        <f>R32/AE32</f>
        <v>0.17752004405942209</v>
      </c>
      <c r="S38" s="67">
        <f>S32/AE32</f>
        <v>0.16245896376546168</v>
      </c>
      <c r="T38" s="67">
        <f>T32/AE32</f>
        <v>0.11855065906641711</v>
      </c>
      <c r="U38" s="67">
        <f>U32/AE32</f>
        <v>0.12478356527981227</v>
      </c>
      <c r="V38" s="67">
        <f>V32/AE32</f>
        <v>0</v>
      </c>
      <c r="W38" s="67">
        <f>W32/AE32</f>
        <v>0</v>
      </c>
      <c r="X38" s="67">
        <f>X32/AE32</f>
        <v>0</v>
      </c>
      <c r="Y38" s="67">
        <f>Y32/AE32</f>
        <v>0</v>
      </c>
      <c r="Z38" s="67">
        <f>Z32/AE32</f>
        <v>0</v>
      </c>
      <c r="AA38" s="67">
        <f>AA32/AE32</f>
        <v>0</v>
      </c>
      <c r="AB38" s="67">
        <f>AB32/AE32</f>
        <v>0</v>
      </c>
      <c r="AC38" s="67">
        <f>AC32/AE32</f>
        <v>0</v>
      </c>
    </row>
    <row r="39" spans="1:31" ht="15" customHeight="1">
      <c r="A39" s="58">
        <v>2018</v>
      </c>
      <c r="B39" s="67">
        <f>B33/N33</f>
        <v>0.23531870518751041</v>
      </c>
      <c r="C39" s="68">
        <f>C33/N33</f>
        <v>0.21053511927613644</v>
      </c>
      <c r="D39" s="68">
        <f>D33/N33</f>
        <v>0.1135454245901715</v>
      </c>
      <c r="E39" s="68">
        <f>E33/N33</f>
        <v>0.1046264155509844</v>
      </c>
      <c r="F39" s="68">
        <f>F33/N33</f>
        <v>0.10328126941015381</v>
      </c>
      <c r="G39" s="68">
        <f>G33/N33</f>
        <v>9.0989379809680498E-2</v>
      </c>
      <c r="H39" s="68">
        <f>H33/N33</f>
        <v>2.8339184696219644E-2</v>
      </c>
      <c r="I39" s="68">
        <f>I33/N33</f>
        <v>2.897557522687761E-2</v>
      </c>
      <c r="J39" s="68">
        <f>J33/N33</f>
        <v>2.2031615296407726E-2</v>
      </c>
      <c r="K39" s="68">
        <f>K33/N33</f>
        <v>2.3203445993765622E-2</v>
      </c>
      <c r="L39" s="68">
        <f>L33/N33</f>
        <v>1.8861703401439469E-2</v>
      </c>
      <c r="M39" s="68">
        <f>M33/N33</f>
        <v>2.0292161560652847E-2</v>
      </c>
      <c r="Q39" s="58">
        <v>2018</v>
      </c>
      <c r="R39" s="67">
        <f>R33/AD33</f>
        <v>0.17277489755618777</v>
      </c>
      <c r="S39" s="68">
        <f>S33/AD33</f>
        <v>0.11866363372378561</v>
      </c>
      <c r="T39" s="68">
        <f>T33/AD33</f>
        <v>8.542067930821011E-2</v>
      </c>
      <c r="U39" s="68">
        <f>U33/AD33</f>
        <v>9.6855284886781634E-2</v>
      </c>
      <c r="V39" s="68">
        <f>V33/AD33</f>
        <v>7.4471048528610861E-2</v>
      </c>
      <c r="W39" s="68">
        <f>W33/AD33</f>
        <v>6.5053377461569098E-2</v>
      </c>
      <c r="X39" s="68">
        <f>X33/AD33</f>
        <v>7.1009129947191815E-2</v>
      </c>
      <c r="Y39" s="68">
        <f>Y33/AD33</f>
        <v>6.7094253073238908E-2</v>
      </c>
      <c r="Z39" s="68">
        <f>Z33/AD33</f>
        <v>5.2790238968781093E-2</v>
      </c>
      <c r="AA39" s="68">
        <f>AA33/AD33</f>
        <v>6.7087508960738854E-2</v>
      </c>
      <c r="AB39" s="68">
        <f>AB33/AD33</f>
        <v>5.503630134653071E-2</v>
      </c>
      <c r="AC39" s="68">
        <f>AC33/AD33</f>
        <v>7.3743646238373359E-2</v>
      </c>
    </row>
    <row r="40" spans="1:31" ht="15" customHeight="1">
      <c r="A40" s="58">
        <v>2017</v>
      </c>
      <c r="B40" s="67">
        <f t="shared" ref="B40:B42" si="19">B34/N34</f>
        <v>0.29465529666392914</v>
      </c>
      <c r="C40" s="68">
        <f t="shared" ref="C40:C42" si="20">C34/N34</f>
        <v>0.19100620399681784</v>
      </c>
      <c r="D40" s="68">
        <f t="shared" ref="D40:D42" si="21">D34/N34</f>
        <v>9.97301814656332E-2</v>
      </c>
      <c r="E40" s="68">
        <f t="shared" ref="E40:E42" si="22">E34/N34</f>
        <v>5.6357288095396481E-2</v>
      </c>
      <c r="F40" s="68">
        <f t="shared" ref="F40:F42" si="23">F34/N34</f>
        <v>0.12414182295632493</v>
      </c>
      <c r="G40" s="68">
        <f t="shared" ref="G40:G42" si="24">G34/N34</f>
        <v>8.0017817193681909E-2</v>
      </c>
      <c r="H40" s="68">
        <f t="shared" ref="H40:H42" si="25">H34/N34</f>
        <v>2.9659420600939197E-2</v>
      </c>
      <c r="I40" s="68">
        <f t="shared" ref="I40:I42" si="26">I34/N34</f>
        <v>3.0634590967580217E-2</v>
      </c>
      <c r="J40" s="68">
        <f t="shared" ref="J40:J42" si="27">J34/N34</f>
        <v>2.0723638170614817E-2</v>
      </c>
      <c r="K40" s="68">
        <f t="shared" ref="K40:K42" si="28">K34/N34</f>
        <v>2.9165096212958971E-2</v>
      </c>
      <c r="L40" s="68">
        <f t="shared" ref="L40:L42" si="29">L34/N34</f>
        <v>2.5915168275633154E-2</v>
      </c>
      <c r="M40" s="68">
        <f t="shared" ref="M40:M42" si="30">M34/N34</f>
        <v>1.7993475400490292E-2</v>
      </c>
      <c r="Q40" s="58">
        <v>2017</v>
      </c>
      <c r="R40" s="67">
        <f t="shared" ref="R40:R42" si="31">R34/AD34</f>
        <v>0.14892205884575974</v>
      </c>
      <c r="S40" s="68">
        <f t="shared" ref="S40:S42" si="32">S34/AD34</f>
        <v>8.4774335904770709E-2</v>
      </c>
      <c r="T40" s="68">
        <f t="shared" ref="T40:T42" si="33">T34/AD34</f>
        <v>9.5407230442387123E-2</v>
      </c>
      <c r="U40" s="68">
        <f t="shared" ref="U40:U42" si="34">U34/AD34</f>
        <v>5.854806662090254E-2</v>
      </c>
      <c r="V40" s="68">
        <f t="shared" ref="V40:V42" si="35">V34/AD34</f>
        <v>9.4459809653777441E-2</v>
      </c>
      <c r="W40" s="68">
        <f t="shared" ref="W40:W42" si="36">W34/AD34</f>
        <v>8.1331312513635623E-2</v>
      </c>
      <c r="X40" s="68">
        <f t="shared" ref="X40:X42" si="37">X34/AD34</f>
        <v>7.3103113848378184E-2</v>
      </c>
      <c r="Y40" s="68">
        <f t="shared" ref="Y40:Y42" si="38">Y34/AD34</f>
        <v>8.2875682021520444E-2</v>
      </c>
      <c r="Z40" s="68">
        <f t="shared" ref="Z40:Z42" si="39">Z34/AD34</f>
        <v>6.1512768119120979E-2</v>
      </c>
      <c r="AA40" s="68">
        <f t="shared" ref="AA40:AA42" si="40">AA34/AD34</f>
        <v>8.8047719662611254E-2</v>
      </c>
      <c r="AB40" s="68">
        <f t="shared" ref="AB40:AB42" si="41">AB34/AD34</f>
        <v>7.5085661278827209E-2</v>
      </c>
      <c r="AC40" s="68">
        <f t="shared" ref="AC40:AC42" si="42">AC34/AD34</f>
        <v>5.5932241088308778E-2</v>
      </c>
    </row>
    <row r="41" spans="1:31" ht="15" customHeight="1">
      <c r="A41" s="58">
        <v>2016</v>
      </c>
      <c r="B41" s="67">
        <f t="shared" si="19"/>
        <v>0.18467016923463039</v>
      </c>
      <c r="C41" s="68">
        <f t="shared" si="20"/>
        <v>0.28244031235744455</v>
      </c>
      <c r="D41" s="68">
        <f t="shared" si="21"/>
        <v>9.4317633728521047E-2</v>
      </c>
      <c r="E41" s="68">
        <f t="shared" si="22"/>
        <v>7.3954040781415889E-2</v>
      </c>
      <c r="F41" s="68">
        <f t="shared" si="23"/>
        <v>9.5434402535193613E-2</v>
      </c>
      <c r="G41" s="68">
        <f t="shared" si="24"/>
        <v>9.6975319036001789E-2</v>
      </c>
      <c r="H41" s="68">
        <f t="shared" si="25"/>
        <v>4.1107711199688292E-2</v>
      </c>
      <c r="I41" s="68">
        <f t="shared" si="26"/>
        <v>3.4806642698522253E-2</v>
      </c>
      <c r="J41" s="68">
        <f t="shared" si="27"/>
        <v>2.7933214034874022E-2</v>
      </c>
      <c r="K41" s="68">
        <f t="shared" si="28"/>
        <v>2.2698597962305927E-2</v>
      </c>
      <c r="L41" s="68">
        <f t="shared" si="29"/>
        <v>2.2787047741835119E-2</v>
      </c>
      <c r="M41" s="68">
        <f t="shared" si="30"/>
        <v>2.2874908689566945E-2</v>
      </c>
      <c r="Q41" s="58">
        <v>2016</v>
      </c>
      <c r="R41" s="67">
        <f t="shared" si="31"/>
        <v>0.10845469087901638</v>
      </c>
      <c r="S41" s="68">
        <f t="shared" si="32"/>
        <v>0.12658284864086819</v>
      </c>
      <c r="T41" s="68">
        <f t="shared" si="33"/>
        <v>0.11342004863421754</v>
      </c>
      <c r="U41" s="68">
        <f t="shared" si="34"/>
        <v>8.2078942698972299E-2</v>
      </c>
      <c r="V41" s="68">
        <f t="shared" si="35"/>
        <v>7.9741513436522637E-2</v>
      </c>
      <c r="W41" s="68">
        <f t="shared" si="36"/>
        <v>7.8639160983035944E-2</v>
      </c>
      <c r="X41" s="68">
        <f t="shared" si="37"/>
        <v>6.8231596063158026E-2</v>
      </c>
      <c r="Y41" s="68">
        <f t="shared" si="38"/>
        <v>6.8391798032278073E-2</v>
      </c>
      <c r="Z41" s="68">
        <f t="shared" si="39"/>
        <v>6.2971528972341428E-2</v>
      </c>
      <c r="AA41" s="68">
        <f t="shared" si="40"/>
        <v>5.556604994560646E-2</v>
      </c>
      <c r="AB41" s="68">
        <f t="shared" si="41"/>
        <v>6.0559280011824569E-2</v>
      </c>
      <c r="AC41" s="68">
        <f t="shared" si="42"/>
        <v>9.5362541702158424E-2</v>
      </c>
    </row>
    <row r="42" spans="1:31" ht="15" customHeight="1">
      <c r="A42" s="58">
        <v>2015</v>
      </c>
      <c r="B42" s="67">
        <f t="shared" si="19"/>
        <v>0.22864982343264764</v>
      </c>
      <c r="C42" s="68">
        <f t="shared" si="20"/>
        <v>0.29136010295686421</v>
      </c>
      <c r="D42" s="68">
        <f t="shared" si="21"/>
        <v>9.1804833109285014E-2</v>
      </c>
      <c r="E42" s="68">
        <f t="shared" si="22"/>
        <v>7.7932051741719036E-2</v>
      </c>
      <c r="F42" s="68">
        <f t="shared" si="23"/>
        <v>8.0991284113176187E-2</v>
      </c>
      <c r="G42" s="68">
        <f t="shared" si="24"/>
        <v>8.5186137521978733E-2</v>
      </c>
      <c r="H42" s="68">
        <f t="shared" si="25"/>
        <v>3.8644655003559673E-2</v>
      </c>
      <c r="I42" s="68">
        <f t="shared" si="26"/>
        <v>2.7729634698448136E-2</v>
      </c>
      <c r="J42" s="68">
        <f t="shared" si="27"/>
        <v>2.3914389350040831E-2</v>
      </c>
      <c r="K42" s="68">
        <f t="shared" si="28"/>
        <v>2.0164411537360372E-2</v>
      </c>
      <c r="L42" s="68">
        <f t="shared" si="29"/>
        <v>1.6520188988140467E-2</v>
      </c>
      <c r="M42" s="68">
        <f t="shared" si="30"/>
        <v>1.7102487546779861E-2</v>
      </c>
      <c r="Q42" s="58">
        <v>2015</v>
      </c>
      <c r="R42" s="67">
        <f t="shared" si="31"/>
        <v>0.13864352239651648</v>
      </c>
      <c r="S42" s="68">
        <f t="shared" si="32"/>
        <v>0.14661708147357133</v>
      </c>
      <c r="T42" s="68">
        <f t="shared" si="33"/>
        <v>0.11396513825258948</v>
      </c>
      <c r="U42" s="68">
        <f t="shared" si="34"/>
        <v>8.7309649496654332E-2</v>
      </c>
      <c r="V42" s="68">
        <f t="shared" si="35"/>
        <v>7.9890026598413807E-2</v>
      </c>
      <c r="W42" s="68">
        <f t="shared" si="36"/>
        <v>8.0893480391938138E-2</v>
      </c>
      <c r="X42" s="68">
        <f t="shared" si="37"/>
        <v>6.8692416691313526E-2</v>
      </c>
      <c r="Y42" s="68">
        <f t="shared" si="38"/>
        <v>6.2644078513564017E-2</v>
      </c>
      <c r="Z42" s="68">
        <f t="shared" si="39"/>
        <v>5.6918196707141204E-2</v>
      </c>
      <c r="AA42" s="68">
        <f t="shared" si="40"/>
        <v>4.9662290593153316E-2</v>
      </c>
      <c r="AB42" s="68">
        <f t="shared" si="41"/>
        <v>5.4710948013949275E-2</v>
      </c>
      <c r="AC42" s="68">
        <f t="shared" si="42"/>
        <v>6.0053170871195258E-2</v>
      </c>
    </row>
    <row r="43" spans="1:31" ht="15" customHeight="1">
      <c r="A43" s="58" t="s">
        <v>162</v>
      </c>
      <c r="B43" s="69">
        <f>AVERAGE(B39:B40)</f>
        <v>0.26498700092571981</v>
      </c>
      <c r="C43" s="69">
        <f t="shared" ref="C43:M43" si="43">AVERAGE(C39:C40)</f>
        <v>0.20077066163647714</v>
      </c>
      <c r="D43" s="69">
        <f t="shared" si="43"/>
        <v>0.10663780302790235</v>
      </c>
      <c r="E43" s="69">
        <f t="shared" si="43"/>
        <v>8.0491851823190436E-2</v>
      </c>
      <c r="F43" s="69">
        <f t="shared" si="43"/>
        <v>0.11371154618323936</v>
      </c>
      <c r="G43" s="69">
        <f t="shared" si="43"/>
        <v>8.5503598501681211E-2</v>
      </c>
      <c r="H43" s="69">
        <f t="shared" si="43"/>
        <v>2.899930264857942E-2</v>
      </c>
      <c r="I43" s="69">
        <f t="shared" si="43"/>
        <v>2.9805083097228915E-2</v>
      </c>
      <c r="J43" s="69">
        <f t="shared" si="43"/>
        <v>2.1377626733511269E-2</v>
      </c>
      <c r="K43" s="69">
        <f t="shared" si="43"/>
        <v>2.6184271103362296E-2</v>
      </c>
      <c r="L43" s="69">
        <f t="shared" si="43"/>
        <v>2.2388435838536312E-2</v>
      </c>
      <c r="M43" s="69">
        <f t="shared" si="43"/>
        <v>1.9142818480571568E-2</v>
      </c>
      <c r="Q43" s="58" t="s">
        <v>162</v>
      </c>
      <c r="R43" s="69">
        <f>AVERAGE(R39:R40)</f>
        <v>0.16084847820097375</v>
      </c>
      <c r="S43" s="69">
        <f t="shared" ref="S43:AC43" si="44">AVERAGE(S39:S40)</f>
        <v>0.10171898481427816</v>
      </c>
      <c r="T43" s="69">
        <f t="shared" si="44"/>
        <v>9.0413954875298616E-2</v>
      </c>
      <c r="U43" s="69">
        <f t="shared" si="44"/>
        <v>7.7701675753842084E-2</v>
      </c>
      <c r="V43" s="69">
        <f t="shared" si="44"/>
        <v>8.4465429091194144E-2</v>
      </c>
      <c r="W43" s="69">
        <f t="shared" si="44"/>
        <v>7.3192344987602354E-2</v>
      </c>
      <c r="X43" s="69">
        <f t="shared" si="44"/>
        <v>7.2056121897785E-2</v>
      </c>
      <c r="Y43" s="69">
        <f t="shared" si="44"/>
        <v>7.4984967547379683E-2</v>
      </c>
      <c r="Z43" s="69">
        <f t="shared" si="44"/>
        <v>5.7151503543951036E-2</v>
      </c>
      <c r="AA43" s="69">
        <f t="shared" si="44"/>
        <v>7.7567614311675054E-2</v>
      </c>
      <c r="AB43" s="69">
        <f t="shared" si="44"/>
        <v>6.5060981312678956E-2</v>
      </c>
      <c r="AC43" s="69">
        <f t="shared" si="44"/>
        <v>6.4837943663341072E-2</v>
      </c>
    </row>
    <row r="44" spans="1:31" ht="15" customHeight="1"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</row>
    <row r="45" spans="1:31" ht="15" customHeight="1">
      <c r="B45" s="58" t="s">
        <v>162</v>
      </c>
      <c r="C45" s="58">
        <v>2019</v>
      </c>
      <c r="D45" s="58">
        <v>2018</v>
      </c>
      <c r="E45" s="58">
        <v>2017</v>
      </c>
      <c r="F45" s="58">
        <v>2016</v>
      </c>
      <c r="G45" s="58">
        <v>2015</v>
      </c>
      <c r="R45" s="58" t="s">
        <v>162</v>
      </c>
      <c r="S45" s="58">
        <v>2019</v>
      </c>
      <c r="T45" s="58">
        <v>2018</v>
      </c>
      <c r="U45" s="58">
        <v>2017</v>
      </c>
      <c r="V45" s="58">
        <v>2016</v>
      </c>
      <c r="W45" s="58">
        <v>2015</v>
      </c>
    </row>
    <row r="46" spans="1:31" ht="15" customHeight="1">
      <c r="A46" s="58" t="s">
        <v>163</v>
      </c>
      <c r="B46" s="72">
        <f>B43</f>
        <v>0.26498700092571981</v>
      </c>
      <c r="C46" s="73">
        <f>B38</f>
        <v>0.18684425345930017</v>
      </c>
      <c r="D46" s="73">
        <f>B39</f>
        <v>0.23531870518751041</v>
      </c>
      <c r="E46" s="73">
        <f>B40</f>
        <v>0.29465529666392914</v>
      </c>
      <c r="F46" s="73">
        <f>B41</f>
        <v>0.18467016923463039</v>
      </c>
      <c r="G46" s="73">
        <f>B42</f>
        <v>0.22864982343264764</v>
      </c>
      <c r="Q46" s="58" t="s">
        <v>163</v>
      </c>
      <c r="R46" s="72">
        <f>R43</f>
        <v>0.16084847820097375</v>
      </c>
      <c r="S46" s="73">
        <f>R38</f>
        <v>0.17752004405942209</v>
      </c>
      <c r="T46" s="73">
        <f>R39</f>
        <v>0.17277489755618777</v>
      </c>
      <c r="U46" s="73">
        <f>R40</f>
        <v>0.14892205884575974</v>
      </c>
      <c r="V46" s="73">
        <f>R41</f>
        <v>0.10845469087901638</v>
      </c>
      <c r="W46" s="73">
        <f>R42</f>
        <v>0.13864352239651648</v>
      </c>
    </row>
    <row r="47" spans="1:31" ht="15" customHeight="1">
      <c r="A47" s="58" t="s">
        <v>164</v>
      </c>
      <c r="B47" s="72">
        <f>B43+C43</f>
        <v>0.46575766256219697</v>
      </c>
      <c r="C47" s="73">
        <f>SUM(B38:C38)</f>
        <v>0.38478858780172637</v>
      </c>
      <c r="D47" s="73">
        <f>SUM(B39:C39)</f>
        <v>0.44585382446364685</v>
      </c>
      <c r="E47" s="73">
        <f>SUM(B40:C40)</f>
        <v>0.48566150066074698</v>
      </c>
      <c r="F47" s="73">
        <f>SUM(B41:C41)</f>
        <v>0.46711048159207491</v>
      </c>
      <c r="G47" s="73">
        <f>SUM(B42:C42)</f>
        <v>0.52000992638951182</v>
      </c>
      <c r="J47" s="71"/>
      <c r="K47" s="71"/>
      <c r="L47" s="71"/>
      <c r="M47" s="71"/>
      <c r="N47" s="71"/>
      <c r="O47" s="71"/>
      <c r="Q47" s="58" t="s">
        <v>164</v>
      </c>
      <c r="R47" s="72">
        <f>R43+S43</f>
        <v>0.26256746301525191</v>
      </c>
      <c r="S47" s="73">
        <f>SUM(R38:S38)</f>
        <v>0.33997900782488377</v>
      </c>
      <c r="T47" s="73">
        <f>SUM(R39:S39)</f>
        <v>0.29143853127997338</v>
      </c>
      <c r="U47" s="73">
        <f>SUM(R40:S40)</f>
        <v>0.23369639475053045</v>
      </c>
      <c r="V47" s="73">
        <f>SUM(R41:S41)</f>
        <v>0.23503753951988457</v>
      </c>
      <c r="W47" s="73">
        <f>SUM(R42:S42)</f>
        <v>0.28526060387008778</v>
      </c>
    </row>
    <row r="48" spans="1:31" ht="15" customHeight="1">
      <c r="A48" s="58" t="s">
        <v>165</v>
      </c>
      <c r="B48" s="69">
        <f>B43+C43+D43</f>
        <v>0.57239546559009935</v>
      </c>
      <c r="C48" s="70">
        <f>SUM(B38:D38)</f>
        <v>0.4627992309891058</v>
      </c>
      <c r="D48" s="70">
        <f>SUM(B39:D39)</f>
        <v>0.55939924905381833</v>
      </c>
      <c r="E48" s="70">
        <f>SUM(B40:D40)</f>
        <v>0.58539168212638015</v>
      </c>
      <c r="F48" s="70">
        <f>SUM(B41:D41)</f>
        <v>0.561428115320596</v>
      </c>
      <c r="G48" s="70">
        <f>SUM(B42:D42)</f>
        <v>0.61181475949879682</v>
      </c>
      <c r="Q48" s="58" t="s">
        <v>165</v>
      </c>
      <c r="R48" s="69">
        <f>R43+S43+T43</f>
        <v>0.35298141789055054</v>
      </c>
      <c r="S48" s="70">
        <f>SUM(R38:T38)</f>
        <v>0.45852966689130087</v>
      </c>
      <c r="T48" s="70">
        <f>SUM(R39:T39)</f>
        <v>0.3768592105881835</v>
      </c>
      <c r="U48" s="70">
        <f>SUM(R40:T40)</f>
        <v>0.32910362519291758</v>
      </c>
      <c r="V48" s="70">
        <f>SUM(R41:T41)</f>
        <v>0.3484575881541021</v>
      </c>
      <c r="W48" s="70">
        <f>SUM(R42:T42)</f>
        <v>0.39922574212267725</v>
      </c>
    </row>
    <row r="49" spans="1:32" ht="15" customHeight="1">
      <c r="A49" s="58" t="s">
        <v>166</v>
      </c>
      <c r="B49" s="69">
        <f>B43+C43+D43+E43</f>
        <v>0.65288731741328976</v>
      </c>
      <c r="C49" s="70">
        <f>SUM(B38:E38)</f>
        <v>0.55050386108006244</v>
      </c>
      <c r="D49" s="70">
        <f>SUM(B39:E39)</f>
        <v>0.66402566460480272</v>
      </c>
      <c r="E49" s="70">
        <f>SUM(B40:E40)</f>
        <v>0.64174897022177668</v>
      </c>
      <c r="F49" s="70">
        <f>SUM(B41:E41)</f>
        <v>0.63538215610201187</v>
      </c>
      <c r="G49" s="70">
        <f>SUM(B42:E42)</f>
        <v>0.68974681124051584</v>
      </c>
      <c r="Q49" s="58" t="s">
        <v>166</v>
      </c>
      <c r="R49" s="69">
        <f>R43+S43+T43+U43</f>
        <v>0.43068309364439261</v>
      </c>
      <c r="S49" s="70">
        <f>SUM(R38:U38)</f>
        <v>0.58331323217111319</v>
      </c>
      <c r="T49" s="70">
        <f>SUM(R39:U39)</f>
        <v>0.47371449547496514</v>
      </c>
      <c r="U49" s="70">
        <f>SUM(R40:U40)</f>
        <v>0.38765169181382014</v>
      </c>
      <c r="V49" s="70">
        <f>SUM(R41:U41)</f>
        <v>0.43053653085307442</v>
      </c>
      <c r="W49" s="70">
        <f>SUM(R42:U42)</f>
        <v>0.48653539161933157</v>
      </c>
    </row>
    <row r="50" spans="1:32" ht="15" customHeight="1">
      <c r="A50" s="58" t="s">
        <v>167</v>
      </c>
      <c r="B50" s="69">
        <f>B43+C43+D43+E43+F43</f>
        <v>0.76659886359652907</v>
      </c>
      <c r="C50" s="70">
        <f>SUM(B38:F38)</f>
        <v>0.55050386108006244</v>
      </c>
      <c r="D50" s="70">
        <f>SUM(B39:F39)</f>
        <v>0.76730693401495653</v>
      </c>
      <c r="E50" s="70">
        <f>SUM(B40:F40)</f>
        <v>0.7658907931781016</v>
      </c>
      <c r="F50" s="70">
        <f>SUM(B41:F41)</f>
        <v>0.73081655863720552</v>
      </c>
      <c r="G50" s="70">
        <f>SUM(B42:F42)</f>
        <v>0.77073809535369198</v>
      </c>
      <c r="Q50" s="58" t="s">
        <v>167</v>
      </c>
      <c r="R50" s="69">
        <f>R43+S43+T43+U43+V43</f>
        <v>0.51514852273558676</v>
      </c>
      <c r="S50" s="70">
        <f>SUM(R38:V38)</f>
        <v>0.58331323217111319</v>
      </c>
      <c r="T50" s="70">
        <f>SUM(R39:V39)</f>
        <v>0.548185544003576</v>
      </c>
      <c r="U50" s="70">
        <f>SUM(R40:V40)</f>
        <v>0.48211150146759757</v>
      </c>
      <c r="V50" s="70">
        <f>SUM(R41:V41)</f>
        <v>0.51027804428959711</v>
      </c>
      <c r="W50" s="70">
        <f>SUM(R42:V42)</f>
        <v>0.56642541821774539</v>
      </c>
    </row>
    <row r="51" spans="1:32" ht="15" customHeight="1">
      <c r="A51" s="58" t="s">
        <v>168</v>
      </c>
      <c r="B51" s="69">
        <f>B43+C43+D43+E43+F43+G43</f>
        <v>0.85210246209821028</v>
      </c>
      <c r="C51" s="70">
        <f>SUM(B38:G38)</f>
        <v>0.55050386108006244</v>
      </c>
      <c r="D51" s="70">
        <f>SUM(B39:G39)</f>
        <v>0.858296313824637</v>
      </c>
      <c r="E51" s="70">
        <f>SUM(B40:G40)</f>
        <v>0.84590861037178355</v>
      </c>
      <c r="F51" s="70">
        <f>SUM(B41:G41)</f>
        <v>0.82779187767320728</v>
      </c>
      <c r="G51" s="70">
        <f>SUM(B42:G42)</f>
        <v>0.85592423287567065</v>
      </c>
      <c r="Q51" s="58" t="s">
        <v>168</v>
      </c>
      <c r="R51" s="69">
        <f>R43+S43+T43+U43+V43+W43</f>
        <v>0.58834086772318916</v>
      </c>
      <c r="S51" s="70">
        <f>SUM(R38:W38)</f>
        <v>0.58331323217111319</v>
      </c>
      <c r="T51" s="70">
        <f>SUM(R39:W39)</f>
        <v>0.61323892146514514</v>
      </c>
      <c r="U51" s="70">
        <f>SUM(R40:W40)</f>
        <v>0.56344281398123319</v>
      </c>
      <c r="V51" s="70">
        <f>SUM(R41:W41)</f>
        <v>0.58891720527263303</v>
      </c>
      <c r="W51" s="70">
        <f>SUM(R42:W42)</f>
        <v>0.6473188986096835</v>
      </c>
    </row>
    <row r="52" spans="1:32" ht="15" customHeight="1">
      <c r="A52" s="58" t="s">
        <v>169</v>
      </c>
      <c r="B52" s="69">
        <f>B43+C43+D43+E43+F43+G43+H43</f>
        <v>0.8811017647467897</v>
      </c>
      <c r="C52" s="70">
        <f>SUM(B38:H38)</f>
        <v>0.55050386108006244</v>
      </c>
      <c r="D52" s="70">
        <f>SUM(B39:H39)</f>
        <v>0.88663549852085666</v>
      </c>
      <c r="E52" s="70">
        <f>SUM(B40:H40)</f>
        <v>0.87556803097272273</v>
      </c>
      <c r="F52" s="70">
        <f>SUM(B41:H41)</f>
        <v>0.86889958887289553</v>
      </c>
      <c r="G52" s="70">
        <f>SUM(B42:H42)</f>
        <v>0.89456888787923028</v>
      </c>
      <c r="Q52" s="58" t="s">
        <v>169</v>
      </c>
      <c r="R52" s="69">
        <f>R43+S43+T43+U43+V43+W43+X43</f>
        <v>0.66039698962097415</v>
      </c>
      <c r="S52" s="70">
        <f>SUM(R38:X38)</f>
        <v>0.58331323217111319</v>
      </c>
      <c r="T52" s="70">
        <f>SUM(R39:X39)</f>
        <v>0.68424805141233691</v>
      </c>
      <c r="U52" s="70">
        <f>SUM(R40:X40)</f>
        <v>0.63654592782961139</v>
      </c>
      <c r="V52" s="70">
        <f>SUM(R41:X41)</f>
        <v>0.65714880133579101</v>
      </c>
      <c r="W52" s="70">
        <f>SUM(R42:X42)</f>
        <v>0.71601131530099704</v>
      </c>
    </row>
    <row r="53" spans="1:32" ht="15" customHeight="1">
      <c r="A53" s="58" t="s">
        <v>170</v>
      </c>
      <c r="B53" s="69">
        <f>B43+C43+D43+E43+F43+G43+H43+I43</f>
        <v>0.91090684784401865</v>
      </c>
      <c r="C53" s="70">
        <f>SUM(B38:I38)</f>
        <v>0.55050386108006244</v>
      </c>
      <c r="D53" s="70">
        <f>SUM(B39:I39)</f>
        <v>0.91561107374773432</v>
      </c>
      <c r="E53" s="70">
        <f>SUM(B40:I40)</f>
        <v>0.90620262194030299</v>
      </c>
      <c r="F53" s="70">
        <f>SUM(B41:I41)</f>
        <v>0.90370623157141783</v>
      </c>
      <c r="G53" s="70">
        <f>SUM(B42:I42)</f>
        <v>0.92229852257767841</v>
      </c>
      <c r="Q53" s="58" t="s">
        <v>170</v>
      </c>
      <c r="R53" s="69">
        <f>R43+S43+T43+U43+V43+W43+X43+Y43</f>
        <v>0.73538195716835386</v>
      </c>
      <c r="S53" s="70">
        <f>SUM(R38:Y38)</f>
        <v>0.58331323217111319</v>
      </c>
      <c r="T53" s="70">
        <f>SUM(R39:Y39)</f>
        <v>0.75134230448557582</v>
      </c>
      <c r="U53" s="70">
        <f>SUM(R40:Y40)</f>
        <v>0.71942160985113179</v>
      </c>
      <c r="V53" s="70">
        <f>SUM(R41:Y41)</f>
        <v>0.72554059936806903</v>
      </c>
      <c r="W53" s="70">
        <f>SUM(R42:Y42)</f>
        <v>0.77865539381456106</v>
      </c>
    </row>
    <row r="54" spans="1:32" ht="15" customHeight="1">
      <c r="A54" s="58" t="s">
        <v>171</v>
      </c>
      <c r="B54" s="69">
        <f>B43+C43+D43+E43+F43+G43+H43+I43+J43</f>
        <v>0.93228447457752994</v>
      </c>
      <c r="C54" s="70">
        <f>SUM(B38:J38)</f>
        <v>0.55050386108006244</v>
      </c>
      <c r="D54" s="70">
        <f>SUM(B39:J39)</f>
        <v>0.93764268904414205</v>
      </c>
      <c r="E54" s="70">
        <f>SUM(B40:J40)</f>
        <v>0.92692626011091783</v>
      </c>
      <c r="F54" s="70">
        <f>SUM(B41:J41)</f>
        <v>0.93163944560629186</v>
      </c>
      <c r="G54" s="70">
        <f>SUM(B42:J42)</f>
        <v>0.94621291192771928</v>
      </c>
      <c r="Q54" s="58" t="s">
        <v>171</v>
      </c>
      <c r="R54" s="69">
        <f>R43+S43+T43+U43+V43+W43+X43+Y43+Z43</f>
        <v>0.7925334607123049</v>
      </c>
      <c r="S54" s="70">
        <f>SUM(R38:Z38)</f>
        <v>0.58331323217111319</v>
      </c>
      <c r="T54" s="70">
        <f>SUM(R39:Z39)</f>
        <v>0.80413254345435692</v>
      </c>
      <c r="U54" s="70">
        <f>SUM(R40:Z40)</f>
        <v>0.78093437797025278</v>
      </c>
      <c r="V54" s="70">
        <f>SUM(R41:Z41)</f>
        <v>0.7885121283404104</v>
      </c>
      <c r="W54" s="70">
        <f>SUM(R42:Z42)</f>
        <v>0.83557359052170221</v>
      </c>
    </row>
    <row r="55" spans="1:32" ht="15" customHeight="1">
      <c r="A55" s="58" t="s">
        <v>172</v>
      </c>
      <c r="B55" s="69">
        <f>B43+C43+D43+E43+F43+G43+H43+I43+J43+K43</f>
        <v>0.95846874568089224</v>
      </c>
      <c r="C55" s="70">
        <f>SUM(B38:K38)</f>
        <v>0.55050386108006244</v>
      </c>
      <c r="D55" s="70">
        <f>SUM(B39:K39)</f>
        <v>0.96084613503790772</v>
      </c>
      <c r="E55" s="70">
        <f>SUM(B40:K40)</f>
        <v>0.95609135632387676</v>
      </c>
      <c r="F55" s="70">
        <f>SUM(B41:K41)</f>
        <v>0.95433804356859775</v>
      </c>
      <c r="G55" s="70">
        <f>SUM(B42:K42)</f>
        <v>0.96637732346507965</v>
      </c>
      <c r="Q55" s="58" t="s">
        <v>172</v>
      </c>
      <c r="R55" s="69">
        <f>R43+S43+T43+U43+V43+W43+X43+Y43+Z43+AA43</f>
        <v>0.87010107502397993</v>
      </c>
      <c r="S55" s="70">
        <f>SUM(R38:AA38)</f>
        <v>0.58331323217111319</v>
      </c>
      <c r="T55" s="70">
        <f>SUM(R39:AA39)</f>
        <v>0.87122005241509581</v>
      </c>
      <c r="U55" s="70">
        <f>SUM(R40:AA40)</f>
        <v>0.86898209763286405</v>
      </c>
      <c r="V55" s="70">
        <f>SUM(R41:AA41)</f>
        <v>0.84407817828601683</v>
      </c>
      <c r="W55" s="70">
        <f>SUM(R42:AA42)</f>
        <v>0.88523588111485552</v>
      </c>
    </row>
    <row r="56" spans="1:32" ht="15" customHeight="1">
      <c r="A56" s="58" t="s">
        <v>173</v>
      </c>
      <c r="B56" s="69">
        <f>B43+C43+D43+E43+F43+G43+H43+I43+J43+K43+L43</f>
        <v>0.98085718151942858</v>
      </c>
      <c r="C56" s="70">
        <f>SUM(B38:L38)</f>
        <v>0.55050386108006244</v>
      </c>
      <c r="D56" s="70">
        <f>SUM(B39:L39)</f>
        <v>0.97970783843934717</v>
      </c>
      <c r="E56" s="70">
        <f>SUM(B40:L40)</f>
        <v>0.98200652459950988</v>
      </c>
      <c r="F56" s="70">
        <f>SUM(B41:L41)</f>
        <v>0.9771250913104329</v>
      </c>
      <c r="G56" s="70">
        <f>SUM(B42:L42)</f>
        <v>0.9828975124532201</v>
      </c>
      <c r="Q56" s="58" t="s">
        <v>173</v>
      </c>
      <c r="R56" s="69">
        <f>R43+S43+T43+U43+V43+W43+X43+Y43+Z43+AA43+AB43</f>
        <v>0.93516205633665894</v>
      </c>
      <c r="S56" s="70">
        <f>SUM(R38:AB38)</f>
        <v>0.58331323217111319</v>
      </c>
      <c r="T56" s="70">
        <f>SUM(R39:AB39)</f>
        <v>0.92625635376162652</v>
      </c>
      <c r="U56" s="70">
        <f>SUM(R40:AB40)</f>
        <v>0.94406775891169126</v>
      </c>
      <c r="V56" s="70">
        <f>SUM(R41:AB41)</f>
        <v>0.90463745829784137</v>
      </c>
      <c r="W56" s="70">
        <f>SUM(R42:AB42)</f>
        <v>0.93994682912880478</v>
      </c>
    </row>
    <row r="57" spans="1:32" ht="15" customHeight="1">
      <c r="A57" s="58" t="s">
        <v>174</v>
      </c>
      <c r="B57" s="69">
        <f>SUM(B43:M43)</f>
        <v>1.0000000000000002</v>
      </c>
      <c r="C57" s="70">
        <f>SUM(B38:M38)</f>
        <v>0.55050386108006244</v>
      </c>
      <c r="D57" s="70">
        <f>SUM(B39:M39)</f>
        <v>1</v>
      </c>
      <c r="E57" s="70">
        <f>SUM(B40:M40)</f>
        <v>1.0000000000000002</v>
      </c>
      <c r="F57" s="70">
        <f>SUM(B41:M41)</f>
        <v>0.99999999999999989</v>
      </c>
      <c r="G57" s="70">
        <f>SUM(B42:M42)</f>
        <v>1</v>
      </c>
      <c r="Q57" s="58" t="s">
        <v>174</v>
      </c>
      <c r="R57" s="69">
        <f>SUM(R43:AC43)</f>
        <v>1</v>
      </c>
      <c r="S57" s="70">
        <f>SUM(R38:AC38)</f>
        <v>0.58331323217111319</v>
      </c>
      <c r="T57" s="70">
        <f>SUM(R39:AC39)</f>
        <v>0.99999999999999989</v>
      </c>
      <c r="U57" s="70">
        <f>SUM(R40:AC40)</f>
        <v>1</v>
      </c>
      <c r="V57" s="70">
        <f>SUM(R41:AC41)</f>
        <v>0.99999999999999978</v>
      </c>
      <c r="W57" s="70">
        <f>SUM(R42:AC42)</f>
        <v>1</v>
      </c>
    </row>
    <row r="58" spans="1:32" s="14" customFormat="1" ht="15" customHeight="1">
      <c r="A58" s="74"/>
      <c r="B58" s="75"/>
      <c r="C58" s="75"/>
      <c r="D58" s="75"/>
      <c r="E58" s="75"/>
      <c r="F58" s="75"/>
      <c r="G58" s="75"/>
      <c r="Q58" s="74"/>
      <c r="R58" s="75"/>
      <c r="S58" s="75"/>
      <c r="T58" s="75"/>
      <c r="U58" s="75"/>
      <c r="V58" s="75"/>
      <c r="W58" s="75"/>
    </row>
    <row r="59" spans="1:32" ht="25.5" customHeight="1">
      <c r="A59" s="313" t="s">
        <v>313</v>
      </c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Q59" s="313" t="s">
        <v>285</v>
      </c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" ht="15" customHeight="1">
      <c r="A60" s="58" t="s">
        <v>147</v>
      </c>
      <c r="B60" s="76" t="s">
        <v>148</v>
      </c>
      <c r="C60" s="76" t="s">
        <v>149</v>
      </c>
      <c r="D60" s="76" t="s">
        <v>150</v>
      </c>
      <c r="E60" s="76" t="s">
        <v>151</v>
      </c>
      <c r="F60" s="76" t="s">
        <v>152</v>
      </c>
      <c r="G60" s="76" t="s">
        <v>153</v>
      </c>
      <c r="H60" s="76" t="s">
        <v>154</v>
      </c>
      <c r="I60" s="76" t="s">
        <v>155</v>
      </c>
      <c r="J60" s="76" t="s">
        <v>156</v>
      </c>
      <c r="K60" s="76" t="s">
        <v>157</v>
      </c>
      <c r="L60" s="76" t="s">
        <v>158</v>
      </c>
      <c r="M60" s="76" t="s">
        <v>159</v>
      </c>
      <c r="N60" s="76" t="s">
        <v>160</v>
      </c>
      <c r="O60" s="76" t="s">
        <v>161</v>
      </c>
      <c r="Q60" s="58" t="s">
        <v>147</v>
      </c>
      <c r="R60" s="76" t="s">
        <v>148</v>
      </c>
      <c r="S60" s="76" t="s">
        <v>149</v>
      </c>
      <c r="T60" s="76" t="s">
        <v>150</v>
      </c>
      <c r="U60" s="76" t="s">
        <v>151</v>
      </c>
      <c r="V60" s="76" t="s">
        <v>152</v>
      </c>
      <c r="W60" s="76" t="s">
        <v>153</v>
      </c>
      <c r="X60" s="76" t="s">
        <v>154</v>
      </c>
      <c r="Y60" s="76" t="s">
        <v>155</v>
      </c>
      <c r="Z60" s="76" t="s">
        <v>156</v>
      </c>
      <c r="AA60" s="76" t="s">
        <v>157</v>
      </c>
      <c r="AB60" s="76" t="s">
        <v>158</v>
      </c>
      <c r="AC60" s="76" t="s">
        <v>159</v>
      </c>
      <c r="AD60" s="76" t="s">
        <v>160</v>
      </c>
      <c r="AE60" s="76" t="s">
        <v>161</v>
      </c>
    </row>
    <row r="61" spans="1:32" ht="15" customHeight="1">
      <c r="A61" s="60">
        <v>2019</v>
      </c>
      <c r="B61" s="61">
        <f>'ARRECADAÇÃO MENSAL POR RECEITA'!D5</f>
        <v>1110920.1000000001</v>
      </c>
      <c r="C61" s="62">
        <f>'ARRECADAÇÃO MENSAL POR RECEITA'!D6</f>
        <v>1642924.7299999997</v>
      </c>
      <c r="D61" s="62">
        <f>'ARRECADAÇÃO MENSAL POR RECEITA'!D7</f>
        <v>578247.42999999993</v>
      </c>
      <c r="E61" s="62">
        <f>'ARRECADAÇÃO MENSAL POR RECEITA'!D8</f>
        <v>659842.43000000005</v>
      </c>
      <c r="F61" s="62"/>
      <c r="G61" s="62"/>
      <c r="H61" s="62"/>
      <c r="I61" s="62"/>
      <c r="J61" s="62"/>
      <c r="K61" s="62"/>
      <c r="L61" s="62"/>
      <c r="M61" s="62"/>
      <c r="N61" s="63">
        <f>SUM(B61:M61)</f>
        <v>3991934.69</v>
      </c>
      <c r="O61" s="133">
        <v>10182900.4682291</v>
      </c>
      <c r="P61" s="92">
        <f>N61/O61</f>
        <v>0.39202334368826786</v>
      </c>
      <c r="Q61" s="60">
        <v>2019</v>
      </c>
      <c r="R61" s="61">
        <f>'ARRECADAÇÃO MENSAL POR RECEITA'!E5</f>
        <v>210957</v>
      </c>
      <c r="S61" s="62">
        <f>'ARRECADAÇÃO MENSAL POR RECEITA'!E6</f>
        <v>221486.11999999997</v>
      </c>
      <c r="T61" s="62">
        <f>'ARRECADAÇÃO MENSAL POR RECEITA'!E7</f>
        <v>157938.5</v>
      </c>
      <c r="U61" s="62">
        <f>'ARRECADAÇÃO MENSAL POR RECEITA'!E8</f>
        <v>181540.96</v>
      </c>
      <c r="V61" s="62"/>
      <c r="W61" s="62"/>
      <c r="X61" s="62"/>
      <c r="Y61" s="62"/>
      <c r="Z61" s="62"/>
      <c r="AA61" s="62"/>
      <c r="AB61" s="62"/>
      <c r="AC61" s="62"/>
      <c r="AD61" s="63">
        <f>SUM(R61:AC61)</f>
        <v>771922.58</v>
      </c>
      <c r="AE61" s="133">
        <v>1026714.5484243218</v>
      </c>
      <c r="AF61" s="92">
        <f>AD61/AE61</f>
        <v>0.75183757859928457</v>
      </c>
    </row>
    <row r="62" spans="1:32" ht="15" customHeight="1">
      <c r="A62" s="58">
        <v>2018</v>
      </c>
      <c r="B62" s="64">
        <v>1239430.26</v>
      </c>
      <c r="C62" s="65">
        <v>1231457.5399999998</v>
      </c>
      <c r="D62" s="65">
        <v>595619.82000000007</v>
      </c>
      <c r="E62" s="65">
        <v>659323.18999999994</v>
      </c>
      <c r="F62" s="65">
        <v>682137.74000000011</v>
      </c>
      <c r="G62" s="65">
        <v>703224.27</v>
      </c>
      <c r="H62" s="65">
        <v>240388.9</v>
      </c>
      <c r="I62" s="65">
        <v>224383.27999999994</v>
      </c>
      <c r="J62" s="65">
        <v>169449.03000000003</v>
      </c>
      <c r="K62" s="65">
        <v>181176.16</v>
      </c>
      <c r="L62" s="65">
        <v>148931.46000000002</v>
      </c>
      <c r="M62" s="65">
        <v>137117.37</v>
      </c>
      <c r="N62" s="63">
        <f t="shared" ref="N62:N65" si="45">SUM(B62:M62)</f>
        <v>6212639.0200000014</v>
      </c>
      <c r="O62" s="62"/>
      <c r="Q62" s="58">
        <v>2018</v>
      </c>
      <c r="R62" s="64">
        <v>206952.54000000004</v>
      </c>
      <c r="S62" s="65">
        <v>166092.61999999997</v>
      </c>
      <c r="T62" s="65">
        <v>109930.59</v>
      </c>
      <c r="U62" s="65">
        <v>128778.78999999998</v>
      </c>
      <c r="V62" s="65">
        <v>106180.54999999999</v>
      </c>
      <c r="W62" s="65">
        <v>99622.11</v>
      </c>
      <c r="X62" s="65">
        <v>101035.79999999999</v>
      </c>
      <c r="Y62" s="65">
        <v>99792.669999999984</v>
      </c>
      <c r="Z62" s="65">
        <v>82549.41</v>
      </c>
      <c r="AA62" s="65">
        <v>102444.89</v>
      </c>
      <c r="AB62" s="65">
        <v>97777.989999999991</v>
      </c>
      <c r="AC62" s="65">
        <v>108846.93000000001</v>
      </c>
      <c r="AD62" s="63">
        <f>SUM(R62:AC62)</f>
        <v>1410004.8899999997</v>
      </c>
      <c r="AE62" s="62"/>
    </row>
    <row r="63" spans="1:32" ht="15" customHeight="1">
      <c r="A63" s="58">
        <v>2017</v>
      </c>
      <c r="B63" s="61">
        <v>1387517.27</v>
      </c>
      <c r="C63" s="62">
        <v>1100623.3599999999</v>
      </c>
      <c r="D63" s="62">
        <v>639507.97</v>
      </c>
      <c r="E63" s="62">
        <v>351770.44</v>
      </c>
      <c r="F63" s="62">
        <v>722745.53</v>
      </c>
      <c r="G63" s="62">
        <v>561749.43999999994</v>
      </c>
      <c r="H63" s="62">
        <v>234667.34000000003</v>
      </c>
      <c r="I63" s="62">
        <v>226692.00999999998</v>
      </c>
      <c r="J63" s="62">
        <v>151302.42000000004</v>
      </c>
      <c r="K63" s="62">
        <v>191947.44</v>
      </c>
      <c r="L63" s="62">
        <v>120992.3</v>
      </c>
      <c r="M63" s="62">
        <v>102299.43999999997</v>
      </c>
      <c r="N63" s="63">
        <f t="shared" si="45"/>
        <v>5791814.96</v>
      </c>
      <c r="O63" s="62"/>
      <c r="Q63" s="58">
        <v>2017</v>
      </c>
      <c r="R63" s="61">
        <v>193436.87999999995</v>
      </c>
      <c r="S63" s="62">
        <v>117997.42000000004</v>
      </c>
      <c r="T63" s="62">
        <v>150462.67000000001</v>
      </c>
      <c r="U63" s="62">
        <v>96932.030000000013</v>
      </c>
      <c r="V63" s="62">
        <v>121677.33999999997</v>
      </c>
      <c r="W63" s="62">
        <v>123500.8</v>
      </c>
      <c r="X63" s="62">
        <v>96041.549999999988</v>
      </c>
      <c r="Y63" s="62">
        <v>107515.93</v>
      </c>
      <c r="Z63" s="62">
        <v>76873.16</v>
      </c>
      <c r="AA63" s="62">
        <v>100090.94000000002</v>
      </c>
      <c r="AB63" s="62">
        <v>83590.62</v>
      </c>
      <c r="AC63" s="62">
        <v>79535.510000000009</v>
      </c>
      <c r="AD63" s="63">
        <f t="shared" ref="AD63:AD65" si="46">SUM(R63:AC63)</f>
        <v>1347654.8499999999</v>
      </c>
      <c r="AE63" s="62"/>
    </row>
    <row r="64" spans="1:32" ht="15" customHeight="1">
      <c r="A64" s="58">
        <v>2016</v>
      </c>
      <c r="B64" s="64">
        <v>757090.48</v>
      </c>
      <c r="C64" s="65">
        <v>1548851.28</v>
      </c>
      <c r="D64" s="65">
        <v>513351.02999999991</v>
      </c>
      <c r="E64" s="65">
        <v>431176.94</v>
      </c>
      <c r="F64" s="65">
        <v>548503.72</v>
      </c>
      <c r="G64" s="65">
        <v>698724.34000000008</v>
      </c>
      <c r="H64" s="65">
        <v>288170.39</v>
      </c>
      <c r="I64" s="65">
        <v>229862.97000000006</v>
      </c>
      <c r="J64" s="65">
        <v>177442.97999999998</v>
      </c>
      <c r="K64" s="65">
        <v>161900.69999999998</v>
      </c>
      <c r="L64" s="65">
        <v>145665.12999999998</v>
      </c>
      <c r="M64" s="65">
        <v>136265.95000000001</v>
      </c>
      <c r="N64" s="63">
        <f t="shared" si="45"/>
        <v>5637005.9099999992</v>
      </c>
      <c r="O64" s="62"/>
      <c r="Q64" s="58">
        <v>2016</v>
      </c>
      <c r="R64" s="64">
        <v>89292.670000000013</v>
      </c>
      <c r="S64" s="65">
        <v>105477.42000000001</v>
      </c>
      <c r="T64" s="65">
        <v>106145.87</v>
      </c>
      <c r="U64" s="65">
        <v>78402.169999999984</v>
      </c>
      <c r="V64" s="65">
        <v>77389.540000000008</v>
      </c>
      <c r="W64" s="65">
        <v>68020.689999999988</v>
      </c>
      <c r="X64" s="65">
        <v>46338.030000000006</v>
      </c>
      <c r="Y64" s="65">
        <v>50129.029999999992</v>
      </c>
      <c r="Z64" s="65">
        <v>46250.39</v>
      </c>
      <c r="AA64" s="65">
        <v>41660.130000000005</v>
      </c>
      <c r="AB64" s="65">
        <v>49559.899999999994</v>
      </c>
      <c r="AC64" s="65">
        <v>63752.289999999994</v>
      </c>
      <c r="AD64" s="63">
        <f t="shared" si="46"/>
        <v>822418.13000000012</v>
      </c>
      <c r="AE64" s="62"/>
    </row>
    <row r="65" spans="1:31" ht="15" customHeight="1">
      <c r="A65" s="58">
        <v>2015</v>
      </c>
      <c r="B65" s="61">
        <v>779649.06299999997</v>
      </c>
      <c r="C65" s="62">
        <v>1348956.05</v>
      </c>
      <c r="D65" s="62">
        <v>484842.36</v>
      </c>
      <c r="E65" s="62">
        <v>392508.39999999997</v>
      </c>
      <c r="F65" s="62">
        <v>435794.26000000007</v>
      </c>
      <c r="G65" s="62">
        <v>583429.99000000011</v>
      </c>
      <c r="H65" s="62">
        <v>301644.12999999995</v>
      </c>
      <c r="I65" s="62">
        <v>214863.59999999995</v>
      </c>
      <c r="J65" s="62">
        <v>159425.85</v>
      </c>
      <c r="K65" s="62">
        <v>131686.71000000002</v>
      </c>
      <c r="L65" s="62">
        <v>117219.5</v>
      </c>
      <c r="M65" s="62">
        <v>109619.66000000009</v>
      </c>
      <c r="N65" s="63">
        <f t="shared" si="45"/>
        <v>5059639.5729999999</v>
      </c>
      <c r="O65" s="62"/>
      <c r="Q65" s="58">
        <v>2015</v>
      </c>
      <c r="R65" s="61">
        <v>104136.21700000002</v>
      </c>
      <c r="S65" s="62">
        <v>119021.96999999997</v>
      </c>
      <c r="T65" s="62">
        <v>104797.19999999998</v>
      </c>
      <c r="U65" s="62">
        <v>79691.23000000001</v>
      </c>
      <c r="V65" s="62">
        <v>76675.030000000013</v>
      </c>
      <c r="W65" s="62">
        <v>82187.010000000009</v>
      </c>
      <c r="X65" s="62">
        <v>65968.19</v>
      </c>
      <c r="Y65" s="62">
        <v>52624.36</v>
      </c>
      <c r="Z65" s="62">
        <v>43325.85</v>
      </c>
      <c r="AA65" s="62">
        <v>41935.11</v>
      </c>
      <c r="AB65" s="62">
        <v>48309.36</v>
      </c>
      <c r="AC65" s="62">
        <v>43274.869999999995</v>
      </c>
      <c r="AD65" s="63">
        <f t="shared" si="46"/>
        <v>861946.397</v>
      </c>
      <c r="AE65" s="62"/>
    </row>
    <row r="66" spans="1:31" ht="15" customHeight="1">
      <c r="A66" s="66"/>
      <c r="Q66" s="66"/>
    </row>
    <row r="67" spans="1:31" ht="15" customHeight="1">
      <c r="A67" s="58">
        <v>2019</v>
      </c>
      <c r="B67" s="67">
        <f>B61/O61</f>
        <v>0.10909662757345985</v>
      </c>
      <c r="C67" s="67">
        <f>C61/O61</f>
        <v>0.1613415288822635</v>
      </c>
      <c r="D67" s="67">
        <f>D61/O61</f>
        <v>5.6786122166679928E-2</v>
      </c>
      <c r="E67" s="67">
        <f>E61/O61</f>
        <v>6.4799065065864553E-2</v>
      </c>
      <c r="F67" s="67">
        <f>F61/O61</f>
        <v>0</v>
      </c>
      <c r="G67" s="67">
        <f>G61/O61</f>
        <v>0</v>
      </c>
      <c r="H67" s="67">
        <f>H61/O61</f>
        <v>0</v>
      </c>
      <c r="I67" s="67">
        <f>I61/O61</f>
        <v>0</v>
      </c>
      <c r="J67" s="67">
        <f>J61/O61</f>
        <v>0</v>
      </c>
      <c r="K67" s="67">
        <f>K61/O61</f>
        <v>0</v>
      </c>
      <c r="L67" s="67">
        <f>L61/O61</f>
        <v>0</v>
      </c>
      <c r="M67" s="67">
        <f>M61/O61</f>
        <v>0</v>
      </c>
      <c r="Q67" s="58">
        <v>2019</v>
      </c>
      <c r="R67" s="67">
        <f>R61/AE61</f>
        <v>0.20546801476978335</v>
      </c>
      <c r="S67" s="67">
        <f>S61/AE61</f>
        <v>0.21572317285258133</v>
      </c>
      <c r="T67" s="67">
        <f>T61/AE61</f>
        <v>0.15382902700890433</v>
      </c>
      <c r="U67" s="67">
        <f>U61/AE61</f>
        <v>0.17681736396801551</v>
      </c>
      <c r="V67" s="67">
        <f>V61/AE61</f>
        <v>0</v>
      </c>
      <c r="W67" s="67">
        <f>W61/AE61</f>
        <v>0</v>
      </c>
      <c r="X67" s="67">
        <f>X61/AE61</f>
        <v>0</v>
      </c>
      <c r="Y67" s="67">
        <f>Y61/AE61</f>
        <v>0</v>
      </c>
      <c r="Z67" s="67">
        <f>Z61/AE61</f>
        <v>0</v>
      </c>
      <c r="AA67" s="67">
        <f>AA61/AE61</f>
        <v>0</v>
      </c>
      <c r="AB67" s="67">
        <f>AB61/AE61</f>
        <v>0</v>
      </c>
      <c r="AC67" s="67">
        <f>AC61/AE61</f>
        <v>0</v>
      </c>
    </row>
    <row r="68" spans="1:31" ht="15" customHeight="1">
      <c r="A68" s="58">
        <v>2018</v>
      </c>
      <c r="B68" s="67">
        <f>B62/N62</f>
        <v>0.19950141252533288</v>
      </c>
      <c r="C68" s="68">
        <f>C62/N62</f>
        <v>0.19821810603121112</v>
      </c>
      <c r="D68" s="68">
        <f>D62/N62</f>
        <v>9.5872272327839181E-2</v>
      </c>
      <c r="E68" s="68">
        <f>E62/N62</f>
        <v>0.10612610645451598</v>
      </c>
      <c r="F68" s="68">
        <f>F62/N62</f>
        <v>0.10979838645123791</v>
      </c>
      <c r="G68" s="68">
        <f>G62/N62</f>
        <v>0.11319252055948358</v>
      </c>
      <c r="H68" s="68">
        <f>H62/N62</f>
        <v>3.8693524479070721E-2</v>
      </c>
      <c r="I68" s="68">
        <f>I62/N62</f>
        <v>3.611722478606199E-2</v>
      </c>
      <c r="J68" s="68">
        <f>J62/N62</f>
        <v>2.7274887443886928E-2</v>
      </c>
      <c r="K68" s="68">
        <f>K62/N62</f>
        <v>2.9162512004439613E-2</v>
      </c>
      <c r="L68" s="68">
        <f>L62/N62</f>
        <v>2.3972334384881094E-2</v>
      </c>
      <c r="M68" s="68">
        <f>M62/N62</f>
        <v>2.2070712552038789E-2</v>
      </c>
      <c r="O68" t="s">
        <v>314</v>
      </c>
      <c r="Q68" s="58">
        <v>2018</v>
      </c>
      <c r="R68" s="67">
        <f>R62/AD62</f>
        <v>0.14677434203792022</v>
      </c>
      <c r="S68" s="68">
        <f>S62/AD62</f>
        <v>0.11779577587138723</v>
      </c>
      <c r="T68" s="68">
        <f>T62/AD62</f>
        <v>7.7964687058638515E-2</v>
      </c>
      <c r="U68" s="68">
        <f>U62/AD62</f>
        <v>9.1332158429606583E-2</v>
      </c>
      <c r="V68" s="68">
        <f>V62/AD62</f>
        <v>7.5305093445456078E-2</v>
      </c>
      <c r="W68" s="68">
        <f>W62/AD62</f>
        <v>7.0653733690242748E-2</v>
      </c>
      <c r="X68" s="68">
        <f>X62/AD62</f>
        <v>7.1656347234370241E-2</v>
      </c>
      <c r="Y68" s="68">
        <f>Y62/AD62</f>
        <v>7.077469780973597E-2</v>
      </c>
      <c r="Z68" s="68">
        <f>Z62/AD62</f>
        <v>5.8545477810364205E-2</v>
      </c>
      <c r="AA68" s="68">
        <f>AA62/AD62</f>
        <v>7.2655698378464501E-2</v>
      </c>
      <c r="AB68" s="68">
        <f>AB62/AD62</f>
        <v>6.9345851701266101E-2</v>
      </c>
      <c r="AC68" s="68">
        <f>AC62/AD62</f>
        <v>7.7196136532547796E-2</v>
      </c>
    </row>
    <row r="69" spans="1:31" ht="15" customHeight="1">
      <c r="A69" s="58">
        <v>2017</v>
      </c>
      <c r="B69" s="67">
        <f t="shared" ref="B69:B71" si="47">B63/N63</f>
        <v>0.23956519322226413</v>
      </c>
      <c r="C69" s="68">
        <f t="shared" ref="C69:C71" si="48">C63/N63</f>
        <v>0.19003082239353861</v>
      </c>
      <c r="D69" s="68">
        <f t="shared" ref="D69:D71" si="49">D63/N63</f>
        <v>0.11041581514890109</v>
      </c>
      <c r="E69" s="68">
        <f t="shared" ref="E69:E71" si="50">E63/N63</f>
        <v>6.0735787042478305E-2</v>
      </c>
      <c r="F69" s="68">
        <f t="shared" ref="F69:F71" si="51">F63/N63</f>
        <v>0.12478739997591361</v>
      </c>
      <c r="G69" s="68">
        <f t="shared" ref="G69:G71" si="52">G63/N63</f>
        <v>9.6990225668397378E-2</v>
      </c>
      <c r="H69" s="68">
        <f t="shared" ref="H69:H71" si="53">H63/N63</f>
        <v>4.0517064447100369E-2</v>
      </c>
      <c r="I69" s="68">
        <f t="shared" ref="I69:I71" si="54">I63/N63</f>
        <v>3.9140064308960588E-2</v>
      </c>
      <c r="J69" s="68">
        <f t="shared" ref="J69:J71" si="55">J63/N63</f>
        <v>2.6123489967296892E-2</v>
      </c>
      <c r="K69" s="68">
        <f t="shared" ref="K69:K71" si="56">K63/N63</f>
        <v>3.3141155462604766E-2</v>
      </c>
      <c r="L69" s="68">
        <f t="shared" ref="L69:L71" si="57">L63/N63</f>
        <v>2.0890221948665293E-2</v>
      </c>
      <c r="M69" s="68">
        <f t="shared" ref="M69:M71" si="58">M63/N63</f>
        <v>1.7662760413878965E-2</v>
      </c>
      <c r="Q69" s="58">
        <v>2017</v>
      </c>
      <c r="R69" s="67">
        <f t="shared" ref="R69:R71" si="59">R63/AD63</f>
        <v>0.14353592093702625</v>
      </c>
      <c r="S69" s="68">
        <f t="shared" ref="S69:S71" si="60">S63/AD63</f>
        <v>8.7557596813457136E-2</v>
      </c>
      <c r="T69" s="68">
        <f t="shared" ref="T69:T71" si="61">T63/AD63</f>
        <v>0.11164777836105441</v>
      </c>
      <c r="U69" s="68">
        <f t="shared" ref="U69:U71" si="62">U63/AD63</f>
        <v>7.1926450604173631E-2</v>
      </c>
      <c r="V69" s="68">
        <f t="shared" ref="V69:V71" si="63">V63/AD63</f>
        <v>9.0288206954473524E-2</v>
      </c>
      <c r="W69" s="68">
        <f t="shared" ref="W69:W71" si="64">W63/AD63</f>
        <v>9.1641268534001868E-2</v>
      </c>
      <c r="X69" s="68">
        <f t="shared" ref="X69:X71" si="65">X63/AD63</f>
        <v>7.1265687946732062E-2</v>
      </c>
      <c r="Y69" s="68">
        <f t="shared" ref="Y69:Y71" si="66">Y63/AD63</f>
        <v>7.9780019342489655E-2</v>
      </c>
      <c r="Z69" s="68">
        <f t="shared" ref="Z69:Z71" si="67">Z63/AD63</f>
        <v>5.7042172185259463E-2</v>
      </c>
      <c r="AA69" s="68">
        <f t="shared" ref="AA69:AA71" si="68">AA63/AD63</f>
        <v>7.4270455821830061E-2</v>
      </c>
      <c r="AB69" s="68">
        <f t="shared" ref="AB69:AB71" si="69">AB63/AD63</f>
        <v>6.2026727392403183E-2</v>
      </c>
      <c r="AC69" s="68">
        <f t="shared" ref="AC69:AC71" si="70">AC63/AD63</f>
        <v>5.9017715107098835E-2</v>
      </c>
    </row>
    <row r="70" spans="1:31" ht="15" customHeight="1">
      <c r="A70" s="58">
        <v>2016</v>
      </c>
      <c r="B70" s="67">
        <f t="shared" si="47"/>
        <v>0.13430719997240523</v>
      </c>
      <c r="C70" s="68">
        <f t="shared" si="48"/>
        <v>0.2747648848925901</v>
      </c>
      <c r="D70" s="68">
        <f t="shared" si="49"/>
        <v>9.1068031184661294E-2</v>
      </c>
      <c r="E70" s="68">
        <f t="shared" si="50"/>
        <v>7.6490418297255267E-2</v>
      </c>
      <c r="F70" s="68">
        <f t="shared" si="51"/>
        <v>9.7304088155550653E-2</v>
      </c>
      <c r="G70" s="68">
        <f t="shared" si="52"/>
        <v>0.12395309693759043</v>
      </c>
      <c r="H70" s="68">
        <f t="shared" si="53"/>
        <v>5.1121179328336035E-2</v>
      </c>
      <c r="I70" s="68">
        <f t="shared" si="54"/>
        <v>4.0777493171015693E-2</v>
      </c>
      <c r="J70" s="68">
        <f t="shared" si="55"/>
        <v>3.1478232031869557E-2</v>
      </c>
      <c r="K70" s="68">
        <f t="shared" si="56"/>
        <v>2.8721044927909258E-2</v>
      </c>
      <c r="L70" s="68">
        <f t="shared" si="57"/>
        <v>2.5840868774253244E-2</v>
      </c>
      <c r="M70" s="68">
        <f t="shared" si="58"/>
        <v>2.4173462326563363E-2</v>
      </c>
      <c r="Q70" s="58">
        <v>2016</v>
      </c>
      <c r="R70" s="67">
        <f t="shared" si="59"/>
        <v>0.10857332388817839</v>
      </c>
      <c r="S70" s="68">
        <f t="shared" si="60"/>
        <v>0.12825279034157477</v>
      </c>
      <c r="T70" s="68">
        <f t="shared" si="61"/>
        <v>0.12906557641184294</v>
      </c>
      <c r="U70" s="68">
        <f t="shared" si="62"/>
        <v>9.5331276318045138E-2</v>
      </c>
      <c r="V70" s="68">
        <f t="shared" si="63"/>
        <v>9.4099992664315416E-2</v>
      </c>
      <c r="W70" s="68">
        <f t="shared" si="64"/>
        <v>8.2708159655964758E-2</v>
      </c>
      <c r="X70" s="68">
        <f t="shared" si="65"/>
        <v>5.6343638727905959E-2</v>
      </c>
      <c r="Y70" s="68">
        <f t="shared" si="66"/>
        <v>6.0953216097023526E-2</v>
      </c>
      <c r="Z70" s="68">
        <f t="shared" si="67"/>
        <v>5.6237074929269854E-2</v>
      </c>
      <c r="AA70" s="68">
        <f t="shared" si="68"/>
        <v>5.0655656144156257E-2</v>
      </c>
      <c r="AB70" s="68">
        <f t="shared" si="69"/>
        <v>6.0261195846934922E-2</v>
      </c>
      <c r="AC70" s="68">
        <f t="shared" si="70"/>
        <v>7.7518098974787897E-2</v>
      </c>
    </row>
    <row r="71" spans="1:31" ht="15" customHeight="1">
      <c r="A71" s="58">
        <v>2015</v>
      </c>
      <c r="B71" s="67">
        <f t="shared" si="47"/>
        <v>0.1540918185478031</v>
      </c>
      <c r="C71" s="68">
        <f t="shared" si="48"/>
        <v>0.26661109562003182</v>
      </c>
      <c r="D71" s="68">
        <f t="shared" si="49"/>
        <v>9.5825473930453028E-2</v>
      </c>
      <c r="E71" s="68">
        <f t="shared" si="50"/>
        <v>7.7576355852413195E-2</v>
      </c>
      <c r="F71" s="68">
        <f t="shared" si="51"/>
        <v>8.6131483026093428E-2</v>
      </c>
      <c r="G71" s="68">
        <f t="shared" si="52"/>
        <v>0.11531058321098323</v>
      </c>
      <c r="H71" s="68">
        <f t="shared" si="53"/>
        <v>5.9617711034137322E-2</v>
      </c>
      <c r="I71" s="68">
        <f t="shared" si="54"/>
        <v>4.2466186948688402E-2</v>
      </c>
      <c r="J71" s="68">
        <f t="shared" si="55"/>
        <v>3.1509329409697855E-2</v>
      </c>
      <c r="K71" s="68">
        <f t="shared" si="56"/>
        <v>2.6026895414196338E-2</v>
      </c>
      <c r="L71" s="68">
        <f t="shared" si="57"/>
        <v>2.3167559330811646E-2</v>
      </c>
      <c r="M71" s="68">
        <f t="shared" si="58"/>
        <v>2.1665507674690665E-2</v>
      </c>
      <c r="Q71" s="58">
        <v>2015</v>
      </c>
      <c r="R71" s="67">
        <f t="shared" si="59"/>
        <v>0.120815189160771</v>
      </c>
      <c r="S71" s="68">
        <f t="shared" si="60"/>
        <v>0.13808511807028295</v>
      </c>
      <c r="T71" s="68">
        <f t="shared" si="61"/>
        <v>0.12158203847100713</v>
      </c>
      <c r="U71" s="68">
        <f t="shared" si="62"/>
        <v>9.2454971999842359E-2</v>
      </c>
      <c r="V71" s="68">
        <f t="shared" si="63"/>
        <v>8.8955682472677031E-2</v>
      </c>
      <c r="W71" s="68">
        <f t="shared" si="64"/>
        <v>9.5350488482870255E-2</v>
      </c>
      <c r="X71" s="68">
        <f t="shared" si="65"/>
        <v>7.6533981961757661E-2</v>
      </c>
      <c r="Y71" s="68">
        <f t="shared" si="66"/>
        <v>6.1052938074987975E-2</v>
      </c>
      <c r="Z71" s="68">
        <f t="shared" si="67"/>
        <v>5.0265132670425212E-2</v>
      </c>
      <c r="AA71" s="68">
        <f t="shared" si="68"/>
        <v>4.8651644865568132E-2</v>
      </c>
      <c r="AB71" s="68">
        <f t="shared" si="69"/>
        <v>5.6046826308620214E-2</v>
      </c>
      <c r="AC71" s="68">
        <f t="shared" si="70"/>
        <v>5.0205987461190114E-2</v>
      </c>
    </row>
    <row r="72" spans="1:31" ht="15" customHeight="1">
      <c r="A72" s="58" t="s">
        <v>162</v>
      </c>
      <c r="B72" s="69">
        <f>AVERAGE(B68:B69)</f>
        <v>0.21953330287379852</v>
      </c>
      <c r="C72" s="69">
        <f t="shared" ref="C72:M72" si="71">AVERAGE(C68:C69)</f>
        <v>0.19412446421237486</v>
      </c>
      <c r="D72" s="69">
        <f t="shared" si="71"/>
        <v>0.10314404373837013</v>
      </c>
      <c r="E72" s="69">
        <f t="shared" si="71"/>
        <v>8.3430946748497145E-2</v>
      </c>
      <c r="F72" s="69">
        <f t="shared" si="71"/>
        <v>0.11729289321357575</v>
      </c>
      <c r="G72" s="69">
        <f t="shared" si="71"/>
        <v>0.10509137311394048</v>
      </c>
      <c r="H72" s="69">
        <f t="shared" si="71"/>
        <v>3.9605294463085541E-2</v>
      </c>
      <c r="I72" s="69">
        <f t="shared" si="71"/>
        <v>3.7628644547511289E-2</v>
      </c>
      <c r="J72" s="69">
        <f t="shared" si="71"/>
        <v>2.669918870559191E-2</v>
      </c>
      <c r="K72" s="69">
        <f t="shared" si="71"/>
        <v>3.1151833733522191E-2</v>
      </c>
      <c r="L72" s="69">
        <f t="shared" si="71"/>
        <v>2.2431278166773191E-2</v>
      </c>
      <c r="M72" s="69">
        <f t="shared" si="71"/>
        <v>1.9866736482958877E-2</v>
      </c>
      <c r="Q72" s="58" t="s">
        <v>162</v>
      </c>
      <c r="R72" s="69">
        <f>AVERAGE(R68:R69)</f>
        <v>0.14515513148747322</v>
      </c>
      <c r="S72" s="69">
        <f t="shared" ref="S72:AC72" si="72">AVERAGE(S68:S69)</f>
        <v>0.10267668634242219</v>
      </c>
      <c r="T72" s="69">
        <f t="shared" si="72"/>
        <v>9.4806232709846464E-2</v>
      </c>
      <c r="U72" s="69">
        <f t="shared" si="72"/>
        <v>8.16293045168901E-2</v>
      </c>
      <c r="V72" s="69">
        <f t="shared" si="72"/>
        <v>8.2796650199964794E-2</v>
      </c>
      <c r="W72" s="69">
        <f t="shared" si="72"/>
        <v>8.1147501112122308E-2</v>
      </c>
      <c r="X72" s="69">
        <f t="shared" si="72"/>
        <v>7.1461017590551151E-2</v>
      </c>
      <c r="Y72" s="69">
        <f t="shared" si="72"/>
        <v>7.5277358576112813E-2</v>
      </c>
      <c r="Z72" s="69">
        <f t="shared" si="72"/>
        <v>5.7793824997811834E-2</v>
      </c>
      <c r="AA72" s="69">
        <f t="shared" si="72"/>
        <v>7.3463077100147281E-2</v>
      </c>
      <c r="AB72" s="69">
        <f t="shared" si="72"/>
        <v>6.5686289546834642E-2</v>
      </c>
      <c r="AC72" s="69">
        <f t="shared" si="72"/>
        <v>6.8106925819823319E-2</v>
      </c>
    </row>
    <row r="73" spans="1:31" ht="15" customHeight="1"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</row>
    <row r="74" spans="1:31" ht="15" customHeight="1">
      <c r="B74" s="58" t="s">
        <v>162</v>
      </c>
      <c r="C74" s="58">
        <v>2019</v>
      </c>
      <c r="D74" s="58">
        <v>2018</v>
      </c>
      <c r="E74" s="58">
        <v>2017</v>
      </c>
      <c r="F74" s="58">
        <v>2016</v>
      </c>
      <c r="G74" s="58">
        <v>2015</v>
      </c>
      <c r="R74" s="58" t="s">
        <v>162</v>
      </c>
      <c r="S74" s="58">
        <v>2019</v>
      </c>
      <c r="T74" s="58">
        <v>2018</v>
      </c>
      <c r="U74" s="58">
        <v>2017</v>
      </c>
      <c r="V74" s="58">
        <v>2016</v>
      </c>
      <c r="W74" s="58">
        <v>2015</v>
      </c>
    </row>
    <row r="75" spans="1:31" ht="15" customHeight="1">
      <c r="A75" s="58" t="s">
        <v>163</v>
      </c>
      <c r="B75" s="72">
        <f>B72</f>
        <v>0.21953330287379852</v>
      </c>
      <c r="C75" s="73">
        <f>B67</f>
        <v>0.10909662757345985</v>
      </c>
      <c r="D75" s="73">
        <f>B68</f>
        <v>0.19950141252533288</v>
      </c>
      <c r="E75" s="73">
        <f>B69</f>
        <v>0.23956519322226413</v>
      </c>
      <c r="F75" s="73">
        <f>B70</f>
        <v>0.13430719997240523</v>
      </c>
      <c r="G75" s="73">
        <f>B71</f>
        <v>0.1540918185478031</v>
      </c>
      <c r="Q75" s="58" t="s">
        <v>163</v>
      </c>
      <c r="R75" s="72">
        <f>R72</f>
        <v>0.14515513148747322</v>
      </c>
      <c r="S75" s="73">
        <f>R67</f>
        <v>0.20546801476978335</v>
      </c>
      <c r="T75" s="73">
        <f>R68</f>
        <v>0.14677434203792022</v>
      </c>
      <c r="U75" s="73">
        <f>R69</f>
        <v>0.14353592093702625</v>
      </c>
      <c r="V75" s="73">
        <f>R70</f>
        <v>0.10857332388817839</v>
      </c>
      <c r="W75" s="73">
        <f>R71</f>
        <v>0.120815189160771</v>
      </c>
    </row>
    <row r="76" spans="1:31" ht="15" customHeight="1">
      <c r="A76" s="58" t="s">
        <v>164</v>
      </c>
      <c r="B76" s="72">
        <f>B72+C72</f>
        <v>0.41365776708617341</v>
      </c>
      <c r="C76" s="73">
        <f>SUM(B67:C67)</f>
        <v>0.27043815645572333</v>
      </c>
      <c r="D76" s="73">
        <f>SUM(B68:C68)</f>
        <v>0.39771951855654397</v>
      </c>
      <c r="E76" s="73">
        <f>SUM(B69:C69)</f>
        <v>0.42959601561580274</v>
      </c>
      <c r="F76" s="73">
        <f>SUM(B70:C70)</f>
        <v>0.40907208486499536</v>
      </c>
      <c r="G76" s="73">
        <f>SUM(B71:C71)</f>
        <v>0.4207029141678349</v>
      </c>
      <c r="Q76" s="58" t="s">
        <v>164</v>
      </c>
      <c r="R76" s="72">
        <f>R72+S72</f>
        <v>0.24783181782989541</v>
      </c>
      <c r="S76" s="73">
        <f>SUM(R67:S67)</f>
        <v>0.42119118762236468</v>
      </c>
      <c r="T76" s="73">
        <f>SUM(R68:S68)</f>
        <v>0.26457011790930746</v>
      </c>
      <c r="U76" s="73">
        <f>SUM(R69:S69)</f>
        <v>0.23109351775048337</v>
      </c>
      <c r="V76" s="73">
        <f>SUM(R70:S70)</f>
        <v>0.23682611422975317</v>
      </c>
      <c r="W76" s="73">
        <f>SUM(R71:S71)</f>
        <v>0.25890030723105395</v>
      </c>
    </row>
    <row r="77" spans="1:31" ht="15" customHeight="1">
      <c r="A77" s="58" t="s">
        <v>165</v>
      </c>
      <c r="B77" s="69">
        <f>B72+C72+D72</f>
        <v>0.51680181082454357</v>
      </c>
      <c r="C77" s="70">
        <f>SUM(B67:D67)</f>
        <v>0.32722427862240328</v>
      </c>
      <c r="D77" s="70">
        <f>SUM(B68:D68)</f>
        <v>0.49359179088438315</v>
      </c>
      <c r="E77" s="70">
        <f>SUM(B69:D69)</f>
        <v>0.54001183076470383</v>
      </c>
      <c r="F77" s="70">
        <f>SUM(B70:D70)</f>
        <v>0.50014011604965669</v>
      </c>
      <c r="G77" s="70">
        <f>SUM(B71:D71)</f>
        <v>0.51652838809828794</v>
      </c>
      <c r="Q77" s="58" t="s">
        <v>165</v>
      </c>
      <c r="R77" s="69">
        <f>R72+S72+T72</f>
        <v>0.34263805053974189</v>
      </c>
      <c r="S77" s="70">
        <f>SUM(R67:T67)</f>
        <v>0.57502021463126907</v>
      </c>
      <c r="T77" s="70">
        <f>SUM(R68:T68)</f>
        <v>0.34253480496794597</v>
      </c>
      <c r="U77" s="70">
        <f>SUM(R69:T69)</f>
        <v>0.34274129611153781</v>
      </c>
      <c r="V77" s="70">
        <f>SUM(R70:T70)</f>
        <v>0.3658916906415961</v>
      </c>
      <c r="W77" s="70">
        <f>SUM(R71:T71)</f>
        <v>0.38048234570206108</v>
      </c>
    </row>
    <row r="78" spans="1:31" ht="15" customHeight="1">
      <c r="A78" s="58" t="s">
        <v>166</v>
      </c>
      <c r="B78" s="69">
        <f>B72+C72+D72+E72</f>
        <v>0.60023275757304073</v>
      </c>
      <c r="C78" s="70">
        <f>SUM(B67:E67)</f>
        <v>0.39202334368826786</v>
      </c>
      <c r="D78" s="70">
        <f>SUM(B68:E68)</f>
        <v>0.59971789733889913</v>
      </c>
      <c r="E78" s="70">
        <f>SUM(B69:E69)</f>
        <v>0.60074761780718211</v>
      </c>
      <c r="F78" s="70">
        <f>SUM(B70:E70)</f>
        <v>0.57663053434691192</v>
      </c>
      <c r="G78" s="70">
        <f>SUM(B71:E71)</f>
        <v>0.59410474395070112</v>
      </c>
      <c r="Q78" s="58" t="s">
        <v>166</v>
      </c>
      <c r="R78" s="69">
        <f>R72+S72+T72+U72</f>
        <v>0.42426735505663199</v>
      </c>
      <c r="S78" s="70">
        <f>SUM(R67:U67)</f>
        <v>0.75183757859928457</v>
      </c>
      <c r="T78" s="70">
        <f>SUM(R68:U68)</f>
        <v>0.43386696339755254</v>
      </c>
      <c r="U78" s="70">
        <f>SUM(R69:U69)</f>
        <v>0.41466774671571144</v>
      </c>
      <c r="V78" s="70">
        <f>SUM(R70:U70)</f>
        <v>0.46122296695964127</v>
      </c>
      <c r="W78" s="70">
        <f>SUM(R71:U71)</f>
        <v>0.47293731770190345</v>
      </c>
    </row>
    <row r="79" spans="1:31" ht="15" customHeight="1">
      <c r="A79" s="58" t="s">
        <v>167</v>
      </c>
      <c r="B79" s="69">
        <f>B72+C72+D72+E72+F72</f>
        <v>0.71752565078661645</v>
      </c>
      <c r="C79" s="70">
        <f>SUM(B67:F67)</f>
        <v>0.39202334368826786</v>
      </c>
      <c r="D79" s="70">
        <f>SUM(B68:F68)</f>
        <v>0.70951628379013698</v>
      </c>
      <c r="E79" s="70">
        <f>SUM(B69:F69)</f>
        <v>0.7255350177830957</v>
      </c>
      <c r="F79" s="70">
        <f>SUM(B70:F70)</f>
        <v>0.67393462250246261</v>
      </c>
      <c r="G79" s="70">
        <f>SUM(B71:F71)</f>
        <v>0.68023622697679453</v>
      </c>
      <c r="Q79" s="58" t="s">
        <v>167</v>
      </c>
      <c r="R79" s="69">
        <f>R72+S72+T72+U72+V72</f>
        <v>0.50706400525659678</v>
      </c>
      <c r="S79" s="70">
        <f>SUM(R67:V67)</f>
        <v>0.75183757859928457</v>
      </c>
      <c r="T79" s="70">
        <f>SUM(R68:V68)</f>
        <v>0.50917205684300859</v>
      </c>
      <c r="U79" s="70">
        <f>SUM(R69:V69)</f>
        <v>0.50495595367018498</v>
      </c>
      <c r="V79" s="70">
        <f>SUM(R70:V70)</f>
        <v>0.55532295962395672</v>
      </c>
      <c r="W79" s="70">
        <f>SUM(R71:V71)</f>
        <v>0.56189300017458044</v>
      </c>
    </row>
    <row r="80" spans="1:31" ht="15" customHeight="1">
      <c r="A80" s="58" t="s">
        <v>168</v>
      </c>
      <c r="B80" s="69">
        <f>B72+C72+D72+E72+F72+G72</f>
        <v>0.82261702390055691</v>
      </c>
      <c r="C80" s="70">
        <f>SUM(B67:G67)</f>
        <v>0.39202334368826786</v>
      </c>
      <c r="D80" s="70">
        <f>SUM(B68:G68)</f>
        <v>0.82270880434962057</v>
      </c>
      <c r="E80" s="70">
        <f>SUM(B69:G69)</f>
        <v>0.82252524345149314</v>
      </c>
      <c r="F80" s="70">
        <f>SUM(B70:G70)</f>
        <v>0.7978877194400531</v>
      </c>
      <c r="G80" s="70">
        <f>SUM(B71:G71)</f>
        <v>0.79554681018777773</v>
      </c>
      <c r="Q80" s="58" t="s">
        <v>168</v>
      </c>
      <c r="R80" s="69">
        <f>R72+S72+T72+U72+V72+W72</f>
        <v>0.58821150636871911</v>
      </c>
      <c r="S80" s="70">
        <f>SUM(R67:W67)</f>
        <v>0.75183757859928457</v>
      </c>
      <c r="T80" s="70">
        <f>SUM(R68:W68)</f>
        <v>0.57982579053325134</v>
      </c>
      <c r="U80" s="70">
        <f>SUM(R69:W69)</f>
        <v>0.59659722220418687</v>
      </c>
      <c r="V80" s="70">
        <f>SUM(R70:W70)</f>
        <v>0.63803111927992151</v>
      </c>
      <c r="W80" s="70">
        <f>SUM(R71:W71)</f>
        <v>0.65724348865745075</v>
      </c>
    </row>
    <row r="81" spans="1:31" ht="15" customHeight="1">
      <c r="A81" s="58" t="s">
        <v>169</v>
      </c>
      <c r="B81" s="69">
        <f>B72+C72+D72+E72+F72+G72+H72</f>
        <v>0.86222231836364249</v>
      </c>
      <c r="C81" s="70">
        <f>SUM(B67:H67)</f>
        <v>0.39202334368826786</v>
      </c>
      <c r="D81" s="70">
        <f>SUM(B68:H68)</f>
        <v>0.86140232882869128</v>
      </c>
      <c r="E81" s="70">
        <f>SUM(B69:H69)</f>
        <v>0.86304230789859349</v>
      </c>
      <c r="F81" s="70">
        <f>SUM(B70:H70)</f>
        <v>0.84900889876838914</v>
      </c>
      <c r="G81" s="70">
        <f>SUM(B71:H71)</f>
        <v>0.855164521221915</v>
      </c>
      <c r="Q81" s="58" t="s">
        <v>169</v>
      </c>
      <c r="R81" s="69">
        <f>R72+S72+T72+U72+V72+W72+X72</f>
        <v>0.65967252395927023</v>
      </c>
      <c r="S81" s="70">
        <f>SUM(R67:X67)</f>
        <v>0.75183757859928457</v>
      </c>
      <c r="T81" s="70">
        <f>SUM(R68:X68)</f>
        <v>0.65148213776762154</v>
      </c>
      <c r="U81" s="70">
        <f>SUM(R69:X69)</f>
        <v>0.66786291015091892</v>
      </c>
      <c r="V81" s="70">
        <f>SUM(R70:X70)</f>
        <v>0.69437475800782744</v>
      </c>
      <c r="W81" s="70">
        <f>SUM(R71:X71)</f>
        <v>0.73377747061920839</v>
      </c>
    </row>
    <row r="82" spans="1:31" ht="15" customHeight="1">
      <c r="A82" s="58" t="s">
        <v>170</v>
      </c>
      <c r="B82" s="69">
        <f>B72+C72+D72+E72+F72+G72+H72+I72</f>
        <v>0.89985096291115374</v>
      </c>
      <c r="C82" s="70">
        <f>SUM(B67:I67)</f>
        <v>0.39202334368826786</v>
      </c>
      <c r="D82" s="70">
        <f>SUM(B68:I68)</f>
        <v>0.89751955361475322</v>
      </c>
      <c r="E82" s="70">
        <f>SUM(B69:I69)</f>
        <v>0.90218237220755404</v>
      </c>
      <c r="F82" s="70">
        <f>SUM(B70:I70)</f>
        <v>0.88978639193940479</v>
      </c>
      <c r="G82" s="70">
        <f>SUM(B71:I71)</f>
        <v>0.89763070817060342</v>
      </c>
      <c r="Q82" s="58" t="s">
        <v>170</v>
      </c>
      <c r="R82" s="69">
        <f>R72+S72+T72+U72+V72+W72+X72+Y72</f>
        <v>0.73494988253538307</v>
      </c>
      <c r="S82" s="70">
        <f>SUM(R67:Y67)</f>
        <v>0.75183757859928457</v>
      </c>
      <c r="T82" s="70">
        <f>SUM(R68:Y68)</f>
        <v>0.72225683557735754</v>
      </c>
      <c r="U82" s="70">
        <f>SUM(R69:Y69)</f>
        <v>0.7476429294934086</v>
      </c>
      <c r="V82" s="70">
        <f>SUM(R70:Y70)</f>
        <v>0.75532797410485097</v>
      </c>
      <c r="W82" s="70">
        <f>SUM(R71:Y71)</f>
        <v>0.79483040869419641</v>
      </c>
    </row>
    <row r="83" spans="1:31" ht="15" customHeight="1">
      <c r="A83" s="58" t="s">
        <v>171</v>
      </c>
      <c r="B83" s="69">
        <f>B72+C72+D72+E72+F72+G72+H72+I72+J72</f>
        <v>0.9265501516167457</v>
      </c>
      <c r="C83" s="70">
        <f>SUM(B67:J67)</f>
        <v>0.39202334368826786</v>
      </c>
      <c r="D83" s="70">
        <f>SUM(B68:J68)</f>
        <v>0.92479444105864017</v>
      </c>
      <c r="E83" s="70">
        <f>SUM(B69:J69)</f>
        <v>0.92830586217485089</v>
      </c>
      <c r="F83" s="70">
        <f>SUM(B70:J70)</f>
        <v>0.92126462397127429</v>
      </c>
      <c r="G83" s="70">
        <f>SUM(B71:J71)</f>
        <v>0.92914003758030128</v>
      </c>
      <c r="Q83" s="58" t="s">
        <v>171</v>
      </c>
      <c r="R83" s="69">
        <f>R72+S72+T72+U72+V72+W72+X72+Y72+Z72</f>
        <v>0.7927437075331949</v>
      </c>
      <c r="S83" s="70">
        <f>SUM(R67:Z67)</f>
        <v>0.75183757859928457</v>
      </c>
      <c r="T83" s="70">
        <f>SUM(R68:Z68)</f>
        <v>0.78080231338772177</v>
      </c>
      <c r="U83" s="70">
        <f>SUM(R69:Z69)</f>
        <v>0.80468510167866802</v>
      </c>
      <c r="V83" s="70">
        <f>SUM(R70:Z70)</f>
        <v>0.81156504903412086</v>
      </c>
      <c r="W83" s="70">
        <f>SUM(R71:Z71)</f>
        <v>0.84509554136462162</v>
      </c>
    </row>
    <row r="84" spans="1:31" ht="15" customHeight="1">
      <c r="A84" s="58" t="s">
        <v>172</v>
      </c>
      <c r="B84" s="69">
        <f>B72+C72+D72+E72+F72+G72+H72+I72+J72+K72</f>
        <v>0.95770198535026785</v>
      </c>
      <c r="C84" s="70">
        <f>SUM(B67:K67)</f>
        <v>0.39202334368826786</v>
      </c>
      <c r="D84" s="70">
        <f>SUM(B68:K68)</f>
        <v>0.95395695306307982</v>
      </c>
      <c r="E84" s="70">
        <f>SUM(B69:K69)</f>
        <v>0.96144701763745566</v>
      </c>
      <c r="F84" s="70">
        <f>SUM(B70:K70)</f>
        <v>0.94998566889918357</v>
      </c>
      <c r="G84" s="70">
        <f>SUM(B71:K71)</f>
        <v>0.95516693299449762</v>
      </c>
      <c r="Q84" s="58" t="s">
        <v>172</v>
      </c>
      <c r="R84" s="69">
        <f>R72+S72+T72+U72+V72+W72+X72+Y72+Z72+AA72</f>
        <v>0.86620678463334222</v>
      </c>
      <c r="S84" s="70">
        <f>SUM(R67:AA67)</f>
        <v>0.75183757859928457</v>
      </c>
      <c r="T84" s="70">
        <f>SUM(R68:AA68)</f>
        <v>0.8534580117661863</v>
      </c>
      <c r="U84" s="70">
        <f>SUM(R69:AA69)</f>
        <v>0.87895555750049814</v>
      </c>
      <c r="V84" s="70">
        <f>SUM(R70:AA70)</f>
        <v>0.86222070517827709</v>
      </c>
      <c r="W84" s="70">
        <f>SUM(R71:AA71)</f>
        <v>0.89374718623018978</v>
      </c>
    </row>
    <row r="85" spans="1:31" ht="15" customHeight="1">
      <c r="A85" s="58" t="s">
        <v>173</v>
      </c>
      <c r="B85" s="69">
        <f>B72+C72+D72+E72+F72+G72+H72+I72+J72+K72+L72</f>
        <v>0.980133263517041</v>
      </c>
      <c r="C85" s="70">
        <f>SUM(B67:L67)</f>
        <v>0.39202334368826786</v>
      </c>
      <c r="D85" s="70">
        <f>SUM(B68:L68)</f>
        <v>0.97792928744796093</v>
      </c>
      <c r="E85" s="70">
        <f>SUM(B69:L69)</f>
        <v>0.98233723958612096</v>
      </c>
      <c r="F85" s="70">
        <f>SUM(B70:L70)</f>
        <v>0.97582653767343686</v>
      </c>
      <c r="G85" s="70">
        <f>SUM(B71:L71)</f>
        <v>0.97833449232530922</v>
      </c>
      <c r="Q85" s="58" t="s">
        <v>173</v>
      </c>
      <c r="R85" s="69">
        <f>R72+S72+T72+U72+V72+W72+X72+Y72+Z72+AA72+AB72</f>
        <v>0.93189307418017686</v>
      </c>
      <c r="S85" s="70">
        <f>SUM(R67:AB67)</f>
        <v>0.75183757859928457</v>
      </c>
      <c r="T85" s="70">
        <f>SUM(R68:AB68)</f>
        <v>0.92280386346745236</v>
      </c>
      <c r="U85" s="70">
        <f>SUM(R69:AB69)</f>
        <v>0.94098228489290137</v>
      </c>
      <c r="V85" s="70">
        <f>SUM(R70:AB70)</f>
        <v>0.92248190102521199</v>
      </c>
      <c r="W85" s="70">
        <f>SUM(R71:AB71)</f>
        <v>0.94979401253881002</v>
      </c>
    </row>
    <row r="86" spans="1:31" ht="15" customHeight="1">
      <c r="A86" s="58" t="s">
        <v>174</v>
      </c>
      <c r="B86" s="69">
        <f>SUM(B72:M72)</f>
        <v>0.99999999999999989</v>
      </c>
      <c r="C86" s="70">
        <f>SUM(B67:M67)</f>
        <v>0.39202334368826786</v>
      </c>
      <c r="D86" s="70">
        <f>SUM(B68:M68)</f>
        <v>0.99999999999999967</v>
      </c>
      <c r="E86" s="70">
        <f>SUM(B69:M69)</f>
        <v>0.99999999999999989</v>
      </c>
      <c r="F86" s="70">
        <f>SUM(B70:M70)</f>
        <v>1.0000000000000002</v>
      </c>
      <c r="G86" s="70">
        <f>SUM(B71:M71)</f>
        <v>0.99999999999999989</v>
      </c>
      <c r="Q86" s="58" t="s">
        <v>174</v>
      </c>
      <c r="R86" s="69">
        <f>SUM(R72:AC72)</f>
        <v>1.0000000000000002</v>
      </c>
      <c r="S86" s="70">
        <f>SUM(R67:AC67)</f>
        <v>0.75183757859928457</v>
      </c>
      <c r="T86" s="70">
        <f>SUM(R68:AC68)</f>
        <v>1.0000000000000002</v>
      </c>
      <c r="U86" s="70">
        <f>SUM(R69:AC69)</f>
        <v>1.0000000000000002</v>
      </c>
      <c r="V86" s="70">
        <f>SUM(R70:AC70)</f>
        <v>0.99999999999999989</v>
      </c>
      <c r="W86" s="70">
        <f>SUM(R71:AC71)</f>
        <v>1.0000000000000002</v>
      </c>
    </row>
    <row r="87" spans="1:31" s="14" customFormat="1" ht="15" customHeight="1">
      <c r="A87" s="74"/>
      <c r="B87" s="75"/>
      <c r="C87" s="75"/>
      <c r="D87" s="75"/>
      <c r="E87" s="75"/>
      <c r="F87" s="75"/>
      <c r="G87" s="75"/>
      <c r="Q87" s="77"/>
      <c r="R87" s="75"/>
      <c r="S87" s="75"/>
      <c r="T87" s="75"/>
      <c r="U87" s="75"/>
      <c r="V87" s="75"/>
      <c r="W87" s="75"/>
    </row>
    <row r="88" spans="1:31" ht="25.5" customHeight="1">
      <c r="A88" s="313" t="s">
        <v>28</v>
      </c>
      <c r="B88" s="313"/>
      <c r="C88" s="313"/>
      <c r="D88" s="313"/>
      <c r="E88" s="313"/>
      <c r="F88" s="313"/>
      <c r="G88" s="313"/>
      <c r="H88" s="313"/>
      <c r="I88" s="313"/>
      <c r="J88" s="313"/>
      <c r="K88" s="313"/>
      <c r="L88" s="313"/>
      <c r="M88" s="313"/>
      <c r="N88" s="313"/>
      <c r="O88" s="313"/>
      <c r="Q88" s="314"/>
      <c r="R88" s="314"/>
      <c r="S88" s="314"/>
      <c r="T88" s="314"/>
      <c r="U88" s="314"/>
      <c r="V88" s="314"/>
      <c r="W88" s="314"/>
      <c r="X88" s="314"/>
      <c r="Y88" s="314"/>
      <c r="Z88" s="314"/>
      <c r="AA88" s="314"/>
      <c r="AB88" s="314"/>
      <c r="AC88" s="314"/>
      <c r="AD88" s="314"/>
      <c r="AE88" s="314"/>
    </row>
    <row r="89" spans="1:31" ht="15" customHeight="1">
      <c r="A89" s="58" t="s">
        <v>147</v>
      </c>
      <c r="B89" s="76" t="s">
        <v>148</v>
      </c>
      <c r="C89" s="76" t="s">
        <v>149</v>
      </c>
      <c r="D89" s="76" t="s">
        <v>150</v>
      </c>
      <c r="E89" s="76" t="s">
        <v>151</v>
      </c>
      <c r="F89" s="76" t="s">
        <v>152</v>
      </c>
      <c r="G89" s="76" t="s">
        <v>153</v>
      </c>
      <c r="H89" s="76" t="s">
        <v>154</v>
      </c>
      <c r="I89" s="76" t="s">
        <v>155</v>
      </c>
      <c r="J89" s="76" t="s">
        <v>156</v>
      </c>
      <c r="K89" s="76" t="s">
        <v>157</v>
      </c>
      <c r="L89" s="76" t="s">
        <v>158</v>
      </c>
      <c r="M89" s="76" t="s">
        <v>159</v>
      </c>
      <c r="N89" s="76" t="s">
        <v>160</v>
      </c>
      <c r="O89" s="76" t="s">
        <v>161</v>
      </c>
      <c r="Q89" s="78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</row>
    <row r="90" spans="1:31" ht="15" customHeight="1">
      <c r="A90" s="60">
        <v>2019</v>
      </c>
      <c r="B90" s="61">
        <f>'ARRECADAÇÃO MENSAL POR RECEITA'!F5</f>
        <v>5455921.4999999991</v>
      </c>
      <c r="C90" s="62">
        <f>'ARRECADAÇÃO MENSAL POR RECEITA'!F6</f>
        <v>6734481.0600000005</v>
      </c>
      <c r="D90" s="62">
        <f>'ARRECADAÇÃO MENSAL POR RECEITA'!F7</f>
        <v>6636331.9299999997</v>
      </c>
      <c r="E90" s="62">
        <f>'ARRECADAÇÃO MENSAL POR RECEITA'!F8</f>
        <v>7733387.1900000004</v>
      </c>
      <c r="F90" s="62"/>
      <c r="G90" s="62"/>
      <c r="H90" s="62"/>
      <c r="I90" s="62"/>
      <c r="J90" s="62"/>
      <c r="K90" s="62"/>
      <c r="L90" s="62"/>
      <c r="M90" s="62"/>
      <c r="N90" s="63">
        <f>SUM(B90:M90)</f>
        <v>26560121.68</v>
      </c>
      <c r="O90" s="133">
        <v>84943109.670736521</v>
      </c>
      <c r="P90" s="92">
        <f>N90/O90</f>
        <v>0.31268129672853434</v>
      </c>
      <c r="Q90" s="78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79"/>
      <c r="AE90" s="79"/>
    </row>
    <row r="91" spans="1:31" ht="15" customHeight="1">
      <c r="A91" s="58">
        <v>2018</v>
      </c>
      <c r="B91" s="64">
        <v>5135853.32</v>
      </c>
      <c r="C91" s="65">
        <v>5332651.1800000016</v>
      </c>
      <c r="D91" s="65">
        <v>6976305.5700000012</v>
      </c>
      <c r="E91" s="65">
        <v>7041634.4499999993</v>
      </c>
      <c r="F91" s="65">
        <v>7102435.379999999</v>
      </c>
      <c r="G91" s="65">
        <v>6640772.3399999999</v>
      </c>
      <c r="H91" s="65">
        <v>7037972.6500000004</v>
      </c>
      <c r="I91" s="65">
        <v>7921605.6499999994</v>
      </c>
      <c r="J91" s="65">
        <v>6627650.4999999991</v>
      </c>
      <c r="K91" s="65">
        <v>7488072.9799999995</v>
      </c>
      <c r="L91" s="65">
        <v>6349110.4100000001</v>
      </c>
      <c r="M91" s="65">
        <v>6042424.9100000001</v>
      </c>
      <c r="N91" s="63">
        <f t="shared" ref="N91:N94" si="73">SUM(B91:M91)</f>
        <v>79696489.339999989</v>
      </c>
      <c r="O91" s="62"/>
      <c r="Q91" s="78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1"/>
      <c r="AE91" s="80"/>
    </row>
    <row r="92" spans="1:31" ht="15" customHeight="1">
      <c r="A92" s="58">
        <v>2017</v>
      </c>
      <c r="B92" s="61">
        <v>4417031.58</v>
      </c>
      <c r="C92" s="62">
        <v>4870146.41</v>
      </c>
      <c r="D92" s="62">
        <v>6609199.9299999997</v>
      </c>
      <c r="E92" s="62">
        <v>5481087.4499999993</v>
      </c>
      <c r="F92" s="62">
        <v>6984721.6799999997</v>
      </c>
      <c r="G92" s="62">
        <v>6720802.7600000007</v>
      </c>
      <c r="H92" s="62">
        <v>6390356.2200000007</v>
      </c>
      <c r="I92" s="62">
        <v>7371101.1499999994</v>
      </c>
      <c r="J92" s="62">
        <v>6407124.3900000006</v>
      </c>
      <c r="K92" s="62">
        <v>6567649.1000000006</v>
      </c>
      <c r="L92" s="62">
        <v>6082212.4000000004</v>
      </c>
      <c r="M92" s="62">
        <v>5588335.6399999997</v>
      </c>
      <c r="N92" s="63">
        <f t="shared" si="73"/>
        <v>73489768.709999993</v>
      </c>
      <c r="O92" s="62"/>
      <c r="Q92" s="78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1"/>
      <c r="AE92" s="82"/>
    </row>
    <row r="93" spans="1:31" ht="15" customHeight="1">
      <c r="A93" s="58">
        <v>2016</v>
      </c>
      <c r="B93" s="64">
        <v>3848933.41</v>
      </c>
      <c r="C93" s="65">
        <v>4734291.0199999996</v>
      </c>
      <c r="D93" s="65">
        <v>6185310.4700000007</v>
      </c>
      <c r="E93" s="65">
        <v>5565040.0800000001</v>
      </c>
      <c r="F93" s="65">
        <v>5876620.71</v>
      </c>
      <c r="G93" s="65">
        <v>6120309.7500000009</v>
      </c>
      <c r="H93" s="65">
        <v>5869479.4499999993</v>
      </c>
      <c r="I93" s="65">
        <v>6172734.2300000004</v>
      </c>
      <c r="J93" s="65">
        <v>6030483.4100000001</v>
      </c>
      <c r="K93" s="65">
        <v>5389934.2599999988</v>
      </c>
      <c r="L93" s="65">
        <v>5524285.8300000001</v>
      </c>
      <c r="M93" s="65">
        <v>5577494.1900000013</v>
      </c>
      <c r="N93" s="63">
        <f t="shared" si="73"/>
        <v>66894916.810000002</v>
      </c>
      <c r="O93" s="62"/>
      <c r="Q93" s="78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1"/>
      <c r="AE93" s="82"/>
    </row>
    <row r="94" spans="1:31" ht="15" customHeight="1">
      <c r="A94" s="58">
        <v>2015</v>
      </c>
      <c r="B94" s="61">
        <v>4002547.02</v>
      </c>
      <c r="C94" s="62">
        <v>4684319.92</v>
      </c>
      <c r="D94" s="62">
        <v>6357716.5099999998</v>
      </c>
      <c r="E94" s="62">
        <v>5562076.5599999996</v>
      </c>
      <c r="F94" s="62">
        <v>5717423.459999999</v>
      </c>
      <c r="G94" s="62">
        <v>5711464.9299999997</v>
      </c>
      <c r="H94" s="62">
        <v>6221034.870000001</v>
      </c>
      <c r="I94" s="62">
        <v>5830978.0499999998</v>
      </c>
      <c r="J94" s="62">
        <v>5843286.6900000004</v>
      </c>
      <c r="K94" s="62">
        <v>5722658.0199999996</v>
      </c>
      <c r="L94" s="62">
        <v>5201244.7</v>
      </c>
      <c r="M94" s="62">
        <v>4975354.57</v>
      </c>
      <c r="N94" s="63">
        <f t="shared" si="73"/>
        <v>65830105.29999999</v>
      </c>
      <c r="O94" s="62"/>
      <c r="Q94" s="78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1"/>
      <c r="AE94" s="82"/>
    </row>
    <row r="95" spans="1:31" ht="15" customHeight="1">
      <c r="A95" s="66"/>
      <c r="Q95" s="83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</row>
    <row r="96" spans="1:31" ht="15" customHeight="1">
      <c r="A96" s="58">
        <v>2019</v>
      </c>
      <c r="B96" s="67">
        <f>B90/O90</f>
        <v>6.423030097613204E-2</v>
      </c>
      <c r="C96" s="67">
        <f>C90/O90</f>
        <v>7.9282252393451935E-2</v>
      </c>
      <c r="D96" s="67">
        <f>D90/O90</f>
        <v>7.8126783393312249E-2</v>
      </c>
      <c r="E96" s="67">
        <f>E90/O90</f>
        <v>9.1041959965638089E-2</v>
      </c>
      <c r="F96" s="67">
        <f>F90/O90</f>
        <v>0</v>
      </c>
      <c r="G96" s="67">
        <f>G90/O90</f>
        <v>0</v>
      </c>
      <c r="H96" s="67">
        <f>H90/O90</f>
        <v>0</v>
      </c>
      <c r="I96" s="67">
        <f>I90/O90</f>
        <v>0</v>
      </c>
      <c r="J96" s="67">
        <f>J90/O90</f>
        <v>0</v>
      </c>
      <c r="K96" s="67">
        <f>K90/O90</f>
        <v>0</v>
      </c>
      <c r="L96" s="67">
        <f>L90/O90</f>
        <v>0</v>
      </c>
      <c r="M96" s="67">
        <f>M90/O90</f>
        <v>0</v>
      </c>
      <c r="Q96" s="78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</row>
    <row r="97" spans="1:31" ht="15" customHeight="1">
      <c r="A97" s="58">
        <v>2018</v>
      </c>
      <c r="B97" s="67">
        <f>B91/N91</f>
        <v>6.4442654407140809E-2</v>
      </c>
      <c r="C97" s="68">
        <f>C91/N91</f>
        <v>6.6911996051042144E-2</v>
      </c>
      <c r="D97" s="68">
        <f>D91/N91</f>
        <v>8.7535920688272595E-2</v>
      </c>
      <c r="E97" s="68">
        <f>E91/N91</f>
        <v>8.8355641613761457E-2</v>
      </c>
      <c r="F97" s="68">
        <f>F91/N91</f>
        <v>8.9118547615061106E-2</v>
      </c>
      <c r="G97" s="68">
        <f>G91/N91</f>
        <v>8.3325782540674215E-2</v>
      </c>
      <c r="H97" s="68">
        <f>H91/N91</f>
        <v>8.8309694796902594E-2</v>
      </c>
      <c r="I97" s="68">
        <f>I91/N91</f>
        <v>9.9397171890532876E-2</v>
      </c>
      <c r="J97" s="68">
        <f>J91/N91</f>
        <v>8.316113488669763E-2</v>
      </c>
      <c r="K97" s="68">
        <f>K91/N91</f>
        <v>9.395737556336381E-2</v>
      </c>
      <c r="L97" s="68">
        <f>L91/N91</f>
        <v>7.9666124098810909E-2</v>
      </c>
      <c r="M97" s="68">
        <f>M91/N91</f>
        <v>7.5817955847739996E-2</v>
      </c>
      <c r="Q97" s="78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2"/>
      <c r="AE97" s="82"/>
    </row>
    <row r="98" spans="1:31" ht="15" customHeight="1">
      <c r="A98" s="58">
        <v>2017</v>
      </c>
      <c r="B98" s="67">
        <f t="shared" ref="B98:B100" si="74">B92/N92</f>
        <v>6.0104034310274813E-2</v>
      </c>
      <c r="C98" s="68">
        <f t="shared" ref="C98:C100" si="75">C92/N92</f>
        <v>6.6269720200348159E-2</v>
      </c>
      <c r="D98" s="68">
        <f t="shared" ref="D98:D100" si="76">D92/N92</f>
        <v>8.9933606351120063E-2</v>
      </c>
      <c r="E98" s="68">
        <f t="shared" ref="E98:E100" si="77">E92/N92</f>
        <v>7.4583000412330458E-2</v>
      </c>
      <c r="F98" s="68">
        <f t="shared" ref="F98:F100" si="78">F92/N92</f>
        <v>9.5043457104384194E-2</v>
      </c>
      <c r="G98" s="68">
        <f t="shared" ref="G98:G100" si="79">G92/N92</f>
        <v>9.1452223594840065E-2</v>
      </c>
      <c r="H98" s="68">
        <f t="shared" ref="H98:H100" si="80">H92/N92</f>
        <v>8.6955726384405449E-2</v>
      </c>
      <c r="I98" s="68">
        <f t="shared" ref="I98:I100" si="81">I92/N92</f>
        <v>0.10030105250551687</v>
      </c>
      <c r="J98" s="68">
        <f t="shared" ref="J98:J100" si="82">J92/N92</f>
        <v>8.7183896513313722E-2</v>
      </c>
      <c r="K98" s="68">
        <f t="shared" ref="K98:K100" si="83">K92/N92</f>
        <v>8.9368210232322026E-2</v>
      </c>
      <c r="L98" s="68">
        <f t="shared" ref="L98:L100" si="84">L92/N92</f>
        <v>8.2762709786190602E-2</v>
      </c>
      <c r="M98" s="68">
        <f t="shared" ref="M98:M100" si="85">M92/N92</f>
        <v>7.60423626049537E-2</v>
      </c>
      <c r="Q98" s="78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2"/>
      <c r="AE98" s="82"/>
    </row>
    <row r="99" spans="1:31" ht="15" customHeight="1">
      <c r="A99" s="58">
        <v>2016</v>
      </c>
      <c r="B99" s="67">
        <f t="shared" si="74"/>
        <v>5.7537008692783512E-2</v>
      </c>
      <c r="C99" s="68">
        <f t="shared" si="75"/>
        <v>7.0772059309778215E-2</v>
      </c>
      <c r="D99" s="68">
        <f t="shared" si="76"/>
        <v>9.2463086359281785E-2</v>
      </c>
      <c r="E99" s="68">
        <f t="shared" si="77"/>
        <v>8.3190776599756419E-2</v>
      </c>
      <c r="F99" s="68">
        <f t="shared" si="78"/>
        <v>8.7848539025636607E-2</v>
      </c>
      <c r="G99" s="68">
        <f t="shared" si="79"/>
        <v>9.1491402364448221E-2</v>
      </c>
      <c r="H99" s="68">
        <f t="shared" si="80"/>
        <v>8.7741785622828986E-2</v>
      </c>
      <c r="I99" s="68">
        <f t="shared" si="81"/>
        <v>9.2275086424462818E-2</v>
      </c>
      <c r="J99" s="68">
        <f t="shared" si="82"/>
        <v>9.0148604670938368E-2</v>
      </c>
      <c r="K99" s="68">
        <f t="shared" si="83"/>
        <v>8.0573151399663104E-2</v>
      </c>
      <c r="L99" s="68">
        <f t="shared" si="84"/>
        <v>8.2581548695104798E-2</v>
      </c>
      <c r="M99" s="68">
        <f t="shared" si="85"/>
        <v>8.3376950835317154E-2</v>
      </c>
      <c r="Q99" s="78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2"/>
      <c r="AE99" s="82"/>
    </row>
    <row r="100" spans="1:31" ht="15" customHeight="1">
      <c r="A100" s="58">
        <v>2015</v>
      </c>
      <c r="B100" s="67">
        <f t="shared" si="74"/>
        <v>6.0801163871144537E-2</v>
      </c>
      <c r="C100" s="68">
        <f t="shared" si="75"/>
        <v>7.1157715738911331E-2</v>
      </c>
      <c r="D100" s="68">
        <f t="shared" si="76"/>
        <v>9.6577644544645763E-2</v>
      </c>
      <c r="E100" s="68">
        <f t="shared" si="77"/>
        <v>8.4491381787292999E-2</v>
      </c>
      <c r="F100" s="68">
        <f t="shared" si="78"/>
        <v>8.6851197243945466E-2</v>
      </c>
      <c r="G100" s="68">
        <f t="shared" si="79"/>
        <v>8.6760683489291043E-2</v>
      </c>
      <c r="H100" s="68">
        <f t="shared" si="80"/>
        <v>9.4501365927482456E-2</v>
      </c>
      <c r="I100" s="68">
        <f t="shared" si="81"/>
        <v>8.8576161672948142E-2</v>
      </c>
      <c r="J100" s="68">
        <f t="shared" si="82"/>
        <v>8.8763137524557501E-2</v>
      </c>
      <c r="K100" s="68">
        <f t="shared" si="83"/>
        <v>8.6930713446694133E-2</v>
      </c>
      <c r="L100" s="68">
        <f t="shared" si="84"/>
        <v>7.9010122743947683E-2</v>
      </c>
      <c r="M100" s="68">
        <f t="shared" si="85"/>
        <v>7.5578712009139098E-2</v>
      </c>
      <c r="Q100" s="78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2"/>
      <c r="AE100" s="82"/>
    </row>
    <row r="101" spans="1:31" ht="15" customHeight="1">
      <c r="A101" s="58" t="s">
        <v>162</v>
      </c>
      <c r="B101" s="69">
        <f>AVERAGE(B97:B98)</f>
        <v>6.2273344358707808E-2</v>
      </c>
      <c r="C101" s="69">
        <f t="shared" ref="C101:M101" si="86">AVERAGE(C97:C98)</f>
        <v>6.6590858125695152E-2</v>
      </c>
      <c r="D101" s="69">
        <f t="shared" si="86"/>
        <v>8.8734763519696336E-2</v>
      </c>
      <c r="E101" s="69">
        <f t="shared" si="86"/>
        <v>8.1469321013045964E-2</v>
      </c>
      <c r="F101" s="69">
        <f t="shared" si="86"/>
        <v>9.208100235972265E-2</v>
      </c>
      <c r="G101" s="69">
        <f t="shared" si="86"/>
        <v>8.738900306775714E-2</v>
      </c>
      <c r="H101" s="69">
        <f t="shared" si="86"/>
        <v>8.7632710590654028E-2</v>
      </c>
      <c r="I101" s="69">
        <f t="shared" si="86"/>
        <v>9.9849112198024864E-2</v>
      </c>
      <c r="J101" s="69">
        <f t="shared" si="86"/>
        <v>8.5172515700005669E-2</v>
      </c>
      <c r="K101" s="69">
        <f t="shared" si="86"/>
        <v>9.1662792897842918E-2</v>
      </c>
      <c r="L101" s="69">
        <f t="shared" si="86"/>
        <v>8.1214416942500756E-2</v>
      </c>
      <c r="M101" s="69">
        <f t="shared" si="86"/>
        <v>7.5930159226346855E-2</v>
      </c>
      <c r="Q101" s="78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2"/>
      <c r="AE101" s="82"/>
    </row>
    <row r="102" spans="1:31" ht="15" customHeight="1"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Q102" s="82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2"/>
      <c r="AE102" s="82"/>
    </row>
    <row r="103" spans="1:31" ht="15" customHeight="1">
      <c r="B103" s="58" t="s">
        <v>162</v>
      </c>
      <c r="C103" s="58">
        <v>2019</v>
      </c>
      <c r="D103" s="58">
        <v>2018</v>
      </c>
      <c r="E103" s="58">
        <v>2017</v>
      </c>
      <c r="F103" s="58">
        <v>2016</v>
      </c>
      <c r="G103" s="58">
        <v>2015</v>
      </c>
      <c r="Q103" s="82"/>
      <c r="R103" s="78"/>
      <c r="S103" s="78"/>
      <c r="T103" s="78"/>
      <c r="U103" s="78"/>
      <c r="V103" s="78"/>
      <c r="W103" s="78"/>
      <c r="X103" s="82"/>
      <c r="Y103" s="82"/>
      <c r="Z103" s="82"/>
      <c r="AA103" s="82"/>
      <c r="AB103" s="82"/>
      <c r="AC103" s="82"/>
      <c r="AD103" s="82"/>
      <c r="AE103" s="82"/>
    </row>
    <row r="104" spans="1:31" ht="15" customHeight="1">
      <c r="A104" s="58" t="s">
        <v>163</v>
      </c>
      <c r="B104" s="72">
        <f>B101</f>
        <v>6.2273344358707808E-2</v>
      </c>
      <c r="C104" s="73">
        <f>B96</f>
        <v>6.423030097613204E-2</v>
      </c>
      <c r="D104" s="73">
        <f>B97</f>
        <v>6.4442654407140809E-2</v>
      </c>
      <c r="E104" s="73">
        <f>B98</f>
        <v>6.0104034310274813E-2</v>
      </c>
      <c r="F104" s="73">
        <f>B99</f>
        <v>5.7537008692783512E-2</v>
      </c>
      <c r="G104" s="73">
        <f>B100</f>
        <v>6.0801163871144537E-2</v>
      </c>
      <c r="Q104" s="78"/>
      <c r="R104" s="85"/>
      <c r="S104" s="85"/>
      <c r="T104" s="85"/>
      <c r="U104" s="85"/>
      <c r="V104" s="85"/>
      <c r="W104" s="85"/>
      <c r="X104" s="82"/>
      <c r="Y104" s="82"/>
      <c r="Z104" s="82"/>
      <c r="AA104" s="82"/>
      <c r="AB104" s="82"/>
      <c r="AC104" s="82"/>
      <c r="AD104" s="82"/>
      <c r="AE104" s="82"/>
    </row>
    <row r="105" spans="1:31" ht="15" customHeight="1">
      <c r="A105" s="58" t="s">
        <v>164</v>
      </c>
      <c r="B105" s="72">
        <f>B101+C101</f>
        <v>0.12886420248440295</v>
      </c>
      <c r="C105" s="73">
        <f>SUM(B96:C96)</f>
        <v>0.14351255336958396</v>
      </c>
      <c r="D105" s="73">
        <f>SUM(B97:C97)</f>
        <v>0.13135465045818295</v>
      </c>
      <c r="E105" s="73">
        <f>SUM(B98:C98)</f>
        <v>0.12637375451062297</v>
      </c>
      <c r="F105" s="73">
        <f>SUM(B99:C99)</f>
        <v>0.12830906800256173</v>
      </c>
      <c r="G105" s="73">
        <f>SUM(B100:C100)</f>
        <v>0.13195887961005587</v>
      </c>
      <c r="Q105" s="78"/>
      <c r="R105" s="85"/>
      <c r="S105" s="85"/>
      <c r="T105" s="85"/>
      <c r="U105" s="85"/>
      <c r="V105" s="85"/>
      <c r="W105" s="85"/>
      <c r="X105" s="82"/>
      <c r="Y105" s="82"/>
      <c r="Z105" s="82"/>
      <c r="AA105" s="82"/>
      <c r="AB105" s="82"/>
      <c r="AC105" s="82"/>
      <c r="AD105" s="82"/>
      <c r="AE105" s="82"/>
    </row>
    <row r="106" spans="1:31" ht="15" customHeight="1">
      <c r="A106" s="58" t="s">
        <v>165</v>
      </c>
      <c r="B106" s="69">
        <f>B101+C101+D101</f>
        <v>0.21759896600409928</v>
      </c>
      <c r="C106" s="70">
        <f>SUM(B96:D96)</f>
        <v>0.22163933676289621</v>
      </c>
      <c r="D106" s="70">
        <f>SUM(B97:D97)</f>
        <v>0.21889057114645555</v>
      </c>
      <c r="E106" s="70">
        <f>SUM(B98:D98)</f>
        <v>0.21630736086174301</v>
      </c>
      <c r="F106" s="70">
        <f>SUM(B99:D99)</f>
        <v>0.2207721543618435</v>
      </c>
      <c r="G106" s="70">
        <f>SUM(B100:D100)</f>
        <v>0.22853652415470163</v>
      </c>
      <c r="Q106" s="78"/>
      <c r="R106" s="85"/>
      <c r="S106" s="85"/>
      <c r="T106" s="85"/>
      <c r="U106" s="85"/>
      <c r="V106" s="85"/>
      <c r="W106" s="85"/>
      <c r="X106" s="82"/>
      <c r="Y106" s="82"/>
      <c r="Z106" s="82"/>
      <c r="AA106" s="82"/>
      <c r="AB106" s="82"/>
      <c r="AC106" s="82"/>
      <c r="AD106" s="82"/>
      <c r="AE106" s="82"/>
    </row>
    <row r="107" spans="1:31" ht="15" customHeight="1">
      <c r="A107" s="58" t="s">
        <v>166</v>
      </c>
      <c r="B107" s="69">
        <f>B101+C101+D101+E101</f>
        <v>0.29906828701714527</v>
      </c>
      <c r="C107" s="70">
        <f>SUM(B96:E96)</f>
        <v>0.31268129672853429</v>
      </c>
      <c r="D107" s="70">
        <f>SUM(B97:E97)</f>
        <v>0.30724621276021702</v>
      </c>
      <c r="E107" s="70">
        <f>SUM(B98:E98)</f>
        <v>0.29089036127407347</v>
      </c>
      <c r="F107" s="70">
        <f>SUM(B99:E99)</f>
        <v>0.30396293096159993</v>
      </c>
      <c r="G107" s="70">
        <f>SUM(B100:E100)</f>
        <v>0.31302790594199464</v>
      </c>
      <c r="Q107" s="78"/>
      <c r="R107" s="85"/>
      <c r="S107" s="85"/>
      <c r="T107" s="85"/>
      <c r="U107" s="85"/>
      <c r="V107" s="85"/>
      <c r="W107" s="85"/>
      <c r="X107" s="82"/>
      <c r="Y107" s="82"/>
      <c r="Z107" s="82"/>
      <c r="AA107" s="82"/>
      <c r="AB107" s="82"/>
      <c r="AC107" s="82"/>
      <c r="AD107" s="82"/>
      <c r="AE107" s="82"/>
    </row>
    <row r="108" spans="1:31" ht="15" customHeight="1">
      <c r="A108" s="58" t="s">
        <v>167</v>
      </c>
      <c r="B108" s="69">
        <f>B101+C101+D101+E101+F101</f>
        <v>0.39114928937686794</v>
      </c>
      <c r="C108" s="70">
        <f>SUM(B96:F96)</f>
        <v>0.31268129672853429</v>
      </c>
      <c r="D108" s="70">
        <f>SUM(B97:F97)</f>
        <v>0.39636476037527812</v>
      </c>
      <c r="E108" s="70">
        <f>SUM(B98:F98)</f>
        <v>0.38593381837845764</v>
      </c>
      <c r="F108" s="70">
        <f>SUM(B99:F99)</f>
        <v>0.39181146998723654</v>
      </c>
      <c r="G108" s="70">
        <f>SUM(B100:F100)</f>
        <v>0.39987910318594011</v>
      </c>
      <c r="Q108" s="78"/>
      <c r="R108" s="85"/>
      <c r="S108" s="85"/>
      <c r="T108" s="85"/>
      <c r="U108" s="85"/>
      <c r="V108" s="85"/>
      <c r="W108" s="85"/>
      <c r="X108" s="82"/>
      <c r="Y108" s="82"/>
      <c r="Z108" s="82"/>
      <c r="AA108" s="82"/>
      <c r="AB108" s="82"/>
      <c r="AC108" s="82"/>
      <c r="AD108" s="82"/>
      <c r="AE108" s="82"/>
    </row>
    <row r="109" spans="1:31" ht="15" customHeight="1">
      <c r="A109" s="58" t="s">
        <v>168</v>
      </c>
      <c r="B109" s="69">
        <f>B101+C101+D101+E101+F101+G101</f>
        <v>0.47853829244462509</v>
      </c>
      <c r="C109" s="70">
        <f>SUM(B96:G96)</f>
        <v>0.31268129672853429</v>
      </c>
      <c r="D109" s="70">
        <f>SUM(B97:G97)</f>
        <v>0.47969054291595237</v>
      </c>
      <c r="E109" s="70">
        <f>SUM(B98:G98)</f>
        <v>0.4773860419732977</v>
      </c>
      <c r="F109" s="70">
        <f>SUM(B99:G99)</f>
        <v>0.48330287235168479</v>
      </c>
      <c r="G109" s="70">
        <f>SUM(B100:G100)</f>
        <v>0.48663978667523117</v>
      </c>
      <c r="Q109" s="78"/>
      <c r="R109" s="85"/>
      <c r="S109" s="85"/>
      <c r="T109" s="85"/>
      <c r="U109" s="85"/>
      <c r="V109" s="85"/>
      <c r="W109" s="85"/>
      <c r="X109" s="82"/>
      <c r="Y109" s="82"/>
      <c r="Z109" s="82"/>
      <c r="AA109" s="82"/>
      <c r="AB109" s="82"/>
      <c r="AC109" s="82"/>
      <c r="AD109" s="82"/>
      <c r="AE109" s="82"/>
    </row>
    <row r="110" spans="1:31" ht="15" customHeight="1">
      <c r="A110" s="58" t="s">
        <v>169</v>
      </c>
      <c r="B110" s="69">
        <f>B101+C101+D101+E101+F101+G101+H101</f>
        <v>0.56617100303527912</v>
      </c>
      <c r="C110" s="70">
        <f>SUM(B96:H96)</f>
        <v>0.31268129672853429</v>
      </c>
      <c r="D110" s="70">
        <f>SUM(B97:H97)</f>
        <v>0.56800023771285502</v>
      </c>
      <c r="E110" s="70">
        <f>SUM(B98:H98)</f>
        <v>0.56434176835770311</v>
      </c>
      <c r="F110" s="70">
        <f>SUM(B99:H99)</f>
        <v>0.57104465797451376</v>
      </c>
      <c r="G110" s="70">
        <f>SUM(B100:H100)</f>
        <v>0.5811411526027136</v>
      </c>
      <c r="Q110" s="78"/>
      <c r="R110" s="85"/>
      <c r="S110" s="85"/>
      <c r="T110" s="85"/>
      <c r="U110" s="85"/>
      <c r="V110" s="85"/>
      <c r="W110" s="85"/>
      <c r="X110" s="82"/>
      <c r="Y110" s="82"/>
      <c r="Z110" s="82"/>
      <c r="AA110" s="82"/>
      <c r="AB110" s="82"/>
      <c r="AC110" s="82"/>
      <c r="AD110" s="82"/>
      <c r="AE110" s="82"/>
    </row>
    <row r="111" spans="1:31" ht="15" customHeight="1">
      <c r="A111" s="58" t="s">
        <v>170</v>
      </c>
      <c r="B111" s="69">
        <f>B101+C101+D101+E101+F101+G101+H101+I101</f>
        <v>0.66602011523330396</v>
      </c>
      <c r="C111" s="70">
        <f>SUM(B96:I96)</f>
        <v>0.31268129672853429</v>
      </c>
      <c r="D111" s="70">
        <f>SUM(B97:I97)</f>
        <v>0.66739740960338789</v>
      </c>
      <c r="E111" s="70">
        <f>SUM(B98:I98)</f>
        <v>0.66464282086322002</v>
      </c>
      <c r="F111" s="70">
        <f>SUM(B99:I99)</f>
        <v>0.66331974439897656</v>
      </c>
      <c r="G111" s="70">
        <f>SUM(B100:I100)</f>
        <v>0.66971731427566172</v>
      </c>
      <c r="Q111" s="78"/>
      <c r="R111" s="85"/>
      <c r="S111" s="85"/>
      <c r="T111" s="85"/>
      <c r="U111" s="85"/>
      <c r="V111" s="85"/>
      <c r="W111" s="85"/>
      <c r="X111" s="82"/>
      <c r="Y111" s="82"/>
      <c r="Z111" s="82"/>
      <c r="AA111" s="82"/>
      <c r="AB111" s="82"/>
      <c r="AC111" s="82"/>
      <c r="AD111" s="82"/>
      <c r="AE111" s="82"/>
    </row>
    <row r="112" spans="1:31" ht="15" customHeight="1">
      <c r="A112" s="58" t="s">
        <v>171</v>
      </c>
      <c r="B112" s="69">
        <f>B101+C101+D101+E101+F101+G101+H101+I101+J101</f>
        <v>0.75119263093330968</v>
      </c>
      <c r="C112" s="70">
        <f>SUM(B96:J96)</f>
        <v>0.31268129672853429</v>
      </c>
      <c r="D112" s="70">
        <f>SUM(B97:J97)</f>
        <v>0.75055854449008552</v>
      </c>
      <c r="E112" s="70">
        <f>SUM(B98:J98)</f>
        <v>0.75182671737653373</v>
      </c>
      <c r="F112" s="70">
        <f>SUM(B99:J99)</f>
        <v>0.75346834906991489</v>
      </c>
      <c r="G112" s="70">
        <f>SUM(B100:J100)</f>
        <v>0.75848045180021928</v>
      </c>
      <c r="Q112" s="78"/>
      <c r="R112" s="85"/>
      <c r="S112" s="85"/>
      <c r="T112" s="85"/>
      <c r="U112" s="85"/>
      <c r="V112" s="85"/>
      <c r="W112" s="85"/>
      <c r="X112" s="82"/>
      <c r="Y112" s="82"/>
      <c r="Z112" s="82"/>
      <c r="AA112" s="82"/>
      <c r="AB112" s="82"/>
      <c r="AC112" s="82"/>
      <c r="AD112" s="82"/>
      <c r="AE112" s="82"/>
    </row>
    <row r="113" spans="1:31" ht="15" customHeight="1">
      <c r="A113" s="58" t="s">
        <v>172</v>
      </c>
      <c r="B113" s="69">
        <f>B101+C101+D101+E101+F101+G101+H101+I101+J101+K101</f>
        <v>0.84285542383115264</v>
      </c>
      <c r="C113" s="70">
        <f>SUM(B96:K96)</f>
        <v>0.31268129672853429</v>
      </c>
      <c r="D113" s="70">
        <f>SUM(B97:K97)</f>
        <v>0.84451592005344933</v>
      </c>
      <c r="E113" s="70">
        <f>SUM(B98:K98)</f>
        <v>0.84119492760885572</v>
      </c>
      <c r="F113" s="70">
        <f>SUM(B99:K99)</f>
        <v>0.83404150046957803</v>
      </c>
      <c r="G113" s="70">
        <f>SUM(B100:K100)</f>
        <v>0.8454111652469134</v>
      </c>
      <c r="Q113" s="78"/>
      <c r="R113" s="85"/>
      <c r="S113" s="85"/>
      <c r="T113" s="85"/>
      <c r="U113" s="85"/>
      <c r="V113" s="85"/>
      <c r="W113" s="85"/>
      <c r="X113" s="82"/>
      <c r="Y113" s="82"/>
      <c r="Z113" s="82"/>
      <c r="AA113" s="82"/>
      <c r="AB113" s="82"/>
      <c r="AC113" s="82"/>
      <c r="AD113" s="82"/>
      <c r="AE113" s="82"/>
    </row>
    <row r="114" spans="1:31" ht="15" customHeight="1">
      <c r="A114" s="58" t="s">
        <v>173</v>
      </c>
      <c r="B114" s="69">
        <f>B101+C101+D101+E101+F101+G101+H101+I101+J101+K101+L101</f>
        <v>0.92406984077365339</v>
      </c>
      <c r="C114" s="70">
        <f>SUM(B96:L96)</f>
        <v>0.31268129672853429</v>
      </c>
      <c r="D114" s="70">
        <f>SUM(B97:L97)</f>
        <v>0.92418204415226024</v>
      </c>
      <c r="E114" s="70">
        <f>SUM(B98:L98)</f>
        <v>0.92395763739504633</v>
      </c>
      <c r="F114" s="70">
        <f>SUM(B99:L99)</f>
        <v>0.91662304916468285</v>
      </c>
      <c r="G114" s="70">
        <f>SUM(B100:L100)</f>
        <v>0.9244212879908611</v>
      </c>
      <c r="Q114" s="78"/>
      <c r="R114" s="85"/>
      <c r="S114" s="85"/>
      <c r="T114" s="85"/>
      <c r="U114" s="85"/>
      <c r="V114" s="85"/>
      <c r="W114" s="85"/>
      <c r="X114" s="82"/>
      <c r="Y114" s="82"/>
      <c r="Z114" s="82"/>
      <c r="AA114" s="82"/>
      <c r="AB114" s="82"/>
      <c r="AC114" s="82"/>
      <c r="AD114" s="82"/>
      <c r="AE114" s="82"/>
    </row>
    <row r="115" spans="1:31" ht="15" customHeight="1">
      <c r="A115" s="58" t="s">
        <v>174</v>
      </c>
      <c r="B115" s="69">
        <f>SUM(B101:M101)</f>
        <v>1.0000000000000002</v>
      </c>
      <c r="C115" s="70">
        <f>SUM(B96:M96)</f>
        <v>0.31268129672853429</v>
      </c>
      <c r="D115" s="70">
        <f>SUM(B97:M97)</f>
        <v>1.0000000000000002</v>
      </c>
      <c r="E115" s="70">
        <f>SUM(B98:M98)</f>
        <v>1</v>
      </c>
      <c r="F115" s="70">
        <f>SUM(B99:M99)</f>
        <v>1</v>
      </c>
      <c r="G115" s="70">
        <f>SUM(B100:M100)</f>
        <v>1.0000000000000002</v>
      </c>
      <c r="Q115" s="78"/>
      <c r="R115" s="85"/>
      <c r="S115" s="85"/>
      <c r="T115" s="85"/>
      <c r="U115" s="85"/>
      <c r="V115" s="85"/>
      <c r="W115" s="85"/>
      <c r="X115" s="82"/>
      <c r="Y115" s="82"/>
      <c r="Z115" s="82"/>
      <c r="AA115" s="82"/>
      <c r="AB115" s="82"/>
      <c r="AC115" s="82"/>
      <c r="AD115" s="82"/>
      <c r="AE115" s="82"/>
    </row>
    <row r="116" spans="1:31" s="14" customFormat="1" ht="15" customHeight="1">
      <c r="A116" s="74"/>
      <c r="B116" s="75"/>
      <c r="C116" s="75"/>
      <c r="D116" s="75"/>
      <c r="E116" s="75"/>
      <c r="F116" s="75"/>
      <c r="G116" s="75"/>
      <c r="Q116" s="78"/>
      <c r="R116" s="85"/>
      <c r="S116" s="85"/>
      <c r="T116" s="85"/>
      <c r="U116" s="85"/>
      <c r="V116" s="85"/>
      <c r="W116" s="85"/>
      <c r="X116" s="82"/>
      <c r="Y116" s="82"/>
      <c r="Z116" s="82"/>
      <c r="AA116" s="82"/>
      <c r="AB116" s="82"/>
      <c r="AC116" s="82"/>
      <c r="AD116" s="82"/>
      <c r="AE116" s="82"/>
    </row>
    <row r="117" spans="1:31" ht="25.5" customHeight="1">
      <c r="A117" s="313" t="s">
        <v>175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313"/>
      <c r="M117" s="313"/>
      <c r="N117" s="313"/>
      <c r="O117" s="313"/>
      <c r="Q117" s="314"/>
      <c r="R117" s="314"/>
      <c r="S117" s="314"/>
      <c r="T117" s="314"/>
      <c r="U117" s="314"/>
      <c r="V117" s="314"/>
      <c r="W117" s="314"/>
      <c r="X117" s="314"/>
      <c r="Y117" s="314"/>
      <c r="Z117" s="314"/>
      <c r="AA117" s="314"/>
      <c r="AB117" s="314"/>
      <c r="AC117" s="314"/>
      <c r="AD117" s="314"/>
      <c r="AE117" s="314"/>
    </row>
    <row r="118" spans="1:31" ht="15" customHeight="1">
      <c r="A118" s="58" t="s">
        <v>147</v>
      </c>
      <c r="B118" s="76" t="s">
        <v>148</v>
      </c>
      <c r="C118" s="76" t="s">
        <v>149</v>
      </c>
      <c r="D118" s="76" t="s">
        <v>150</v>
      </c>
      <c r="E118" s="76" t="s">
        <v>151</v>
      </c>
      <c r="F118" s="76" t="s">
        <v>152</v>
      </c>
      <c r="G118" s="76" t="s">
        <v>153</v>
      </c>
      <c r="H118" s="76" t="s">
        <v>154</v>
      </c>
      <c r="I118" s="76" t="s">
        <v>155</v>
      </c>
      <c r="J118" s="76" t="s">
        <v>156</v>
      </c>
      <c r="K118" s="76" t="s">
        <v>157</v>
      </c>
      <c r="L118" s="76" t="s">
        <v>158</v>
      </c>
      <c r="M118" s="76" t="s">
        <v>159</v>
      </c>
      <c r="N118" s="76" t="s">
        <v>160</v>
      </c>
      <c r="O118" s="76" t="s">
        <v>161</v>
      </c>
      <c r="Q118" s="78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</row>
    <row r="119" spans="1:31" ht="15" customHeight="1">
      <c r="A119" s="86">
        <v>2019</v>
      </c>
      <c r="B119" s="61">
        <f>SUM('ARRECADAÇÃO MENSAL POR RECEITA'!G5:P5)</f>
        <v>648692.31000000017</v>
      </c>
      <c r="C119" s="62">
        <f>SUM('ARRECADAÇÃO MENSAL POR RECEITA'!G6:P6)</f>
        <v>628940.54999999981</v>
      </c>
      <c r="D119" s="62">
        <f>SUM('ARRECADAÇÃO MENSAL POR RECEITA'!G7:P7)</f>
        <v>485833.07999999996</v>
      </c>
      <c r="E119" s="62">
        <f>SUM('ARRECADAÇÃO MENSAL POR RECEITA'!G8:P8)</f>
        <v>528782.26300000015</v>
      </c>
      <c r="F119" s="62"/>
      <c r="G119" s="62"/>
      <c r="H119" s="62"/>
      <c r="I119" s="62"/>
      <c r="J119" s="62"/>
      <c r="K119" s="62"/>
      <c r="L119" s="62"/>
      <c r="M119" s="62"/>
      <c r="N119" s="63">
        <f>SUM(B119:M119)</f>
        <v>2292248.2030000002</v>
      </c>
      <c r="O119" s="133">
        <v>6782877.4148296248</v>
      </c>
      <c r="P119" s="92">
        <f>N119/O119</f>
        <v>0.33794628191103432</v>
      </c>
      <c r="Q119" s="78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1"/>
      <c r="AE119" s="79"/>
    </row>
    <row r="120" spans="1:31" ht="15" customHeight="1">
      <c r="A120" s="86">
        <v>2018</v>
      </c>
      <c r="B120" s="64">
        <v>891818.24</v>
      </c>
      <c r="C120" s="65">
        <v>696803.92200000002</v>
      </c>
      <c r="D120" s="65">
        <v>537059.97000000009</v>
      </c>
      <c r="E120" s="65">
        <v>633812.36</v>
      </c>
      <c r="F120" s="65">
        <v>518619.05</v>
      </c>
      <c r="G120" s="65">
        <v>539529.73</v>
      </c>
      <c r="H120" s="65">
        <v>624000.97</v>
      </c>
      <c r="I120" s="65">
        <v>629244.55000000005</v>
      </c>
      <c r="J120" s="65">
        <v>508032.74</v>
      </c>
      <c r="K120" s="65">
        <v>648680.08000000019</v>
      </c>
      <c r="L120" s="65">
        <v>557872.15000000014</v>
      </c>
      <c r="M120" s="65">
        <v>686671.9</v>
      </c>
      <c r="N120" s="63">
        <f>SUM(B120:M120)</f>
        <v>7472145.6620000005</v>
      </c>
      <c r="O120" s="62"/>
      <c r="Q120" s="78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1"/>
      <c r="AE120" s="80"/>
    </row>
    <row r="121" spans="1:31" ht="15" customHeight="1">
      <c r="A121" s="86">
        <v>2017</v>
      </c>
      <c r="B121" s="61">
        <v>725705.97</v>
      </c>
      <c r="C121" s="62">
        <v>463398.82000000007</v>
      </c>
      <c r="D121" s="62">
        <v>562416.81999999995</v>
      </c>
      <c r="E121" s="62">
        <v>387273.12000000005</v>
      </c>
      <c r="F121" s="62">
        <v>554939.61</v>
      </c>
      <c r="G121" s="62">
        <v>540003.85000000009</v>
      </c>
      <c r="H121" s="62">
        <v>556558.75</v>
      </c>
      <c r="I121" s="62">
        <v>739784.04</v>
      </c>
      <c r="J121" s="62">
        <v>600273.45000000007</v>
      </c>
      <c r="K121" s="62">
        <v>929789.57400000002</v>
      </c>
      <c r="L121" s="62">
        <v>863704.84000000008</v>
      </c>
      <c r="M121" s="62">
        <v>690490.60999999987</v>
      </c>
      <c r="N121" s="63">
        <f t="shared" ref="N121:N123" si="87">SUM(B121:M121)</f>
        <v>7614339.4539999999</v>
      </c>
      <c r="O121" s="62"/>
      <c r="Q121" s="78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1"/>
      <c r="AE121" s="82"/>
    </row>
    <row r="122" spans="1:31" ht="15" customHeight="1">
      <c r="A122" s="86">
        <v>2016</v>
      </c>
      <c r="B122" s="64">
        <v>371780.60000000003</v>
      </c>
      <c r="C122" s="65">
        <v>401990.97</v>
      </c>
      <c r="D122" s="65">
        <v>434908.28</v>
      </c>
      <c r="E122" s="65">
        <v>359921.28</v>
      </c>
      <c r="F122" s="65">
        <v>346770.53</v>
      </c>
      <c r="G122" s="65">
        <v>412304.52</v>
      </c>
      <c r="H122" s="65">
        <v>432302.89</v>
      </c>
      <c r="I122" s="65">
        <v>485676.55999999994</v>
      </c>
      <c r="J122" s="65">
        <v>501553.45</v>
      </c>
      <c r="K122" s="65">
        <v>498741.43</v>
      </c>
      <c r="L122" s="65">
        <v>565796.65</v>
      </c>
      <c r="M122" s="65">
        <v>751275.06</v>
      </c>
      <c r="N122" s="63">
        <f t="shared" si="87"/>
        <v>5563022.2200000007</v>
      </c>
      <c r="O122" s="62"/>
      <c r="Q122" s="78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1"/>
      <c r="AE122" s="82"/>
    </row>
    <row r="123" spans="1:31" ht="15" customHeight="1">
      <c r="A123" s="87">
        <v>2015</v>
      </c>
      <c r="B123" s="61">
        <v>351696.66000000009</v>
      </c>
      <c r="C123" s="62">
        <v>414254.25</v>
      </c>
      <c r="D123" s="62">
        <v>384288.9200000001</v>
      </c>
      <c r="E123" s="62">
        <v>286915.38</v>
      </c>
      <c r="F123" s="62">
        <v>302206.52</v>
      </c>
      <c r="G123" s="62">
        <v>388235.47</v>
      </c>
      <c r="H123" s="62">
        <v>433014.54</v>
      </c>
      <c r="I123" s="62">
        <v>379232.69</v>
      </c>
      <c r="J123" s="62">
        <v>435611.22999999992</v>
      </c>
      <c r="K123" s="62">
        <v>446307.47000000009</v>
      </c>
      <c r="L123" s="62">
        <v>484277.2919999999</v>
      </c>
      <c r="M123" s="62">
        <v>517908.32999999996</v>
      </c>
      <c r="N123" s="63">
        <f t="shared" si="87"/>
        <v>4823948.7520000003</v>
      </c>
      <c r="O123" s="62"/>
      <c r="Q123" s="78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1"/>
      <c r="AE123" s="82"/>
    </row>
    <row r="124" spans="1:31" ht="15" customHeight="1">
      <c r="A124" s="66"/>
      <c r="Q124" s="83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</row>
    <row r="125" spans="1:31" ht="15" customHeight="1">
      <c r="A125" s="88">
        <v>2019</v>
      </c>
      <c r="B125" s="67">
        <f>B119/O119</f>
        <v>9.5636743866510568E-2</v>
      </c>
      <c r="C125" s="67">
        <f>C119/O119</f>
        <v>9.2724740775194714E-2</v>
      </c>
      <c r="D125" s="67">
        <f>D119/O119</f>
        <v>7.1626398398090957E-2</v>
      </c>
      <c r="E125" s="67">
        <f>E119/O119</f>
        <v>7.7958398871238094E-2</v>
      </c>
      <c r="F125" s="67">
        <f>F119/O119</f>
        <v>0</v>
      </c>
      <c r="G125" s="67">
        <f>G119/O119</f>
        <v>0</v>
      </c>
      <c r="H125" s="67">
        <f>H119/O119</f>
        <v>0</v>
      </c>
      <c r="I125" s="67">
        <f>I119/O119</f>
        <v>0</v>
      </c>
      <c r="J125" s="67">
        <f>J119/O119</f>
        <v>0</v>
      </c>
      <c r="K125" s="67">
        <f>K119/O119</f>
        <v>0</v>
      </c>
      <c r="L125" s="67">
        <f>L119/O119</f>
        <v>0</v>
      </c>
      <c r="M125" s="67">
        <f>M119/O119</f>
        <v>0</v>
      </c>
      <c r="Q125" s="78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</row>
    <row r="126" spans="1:31" ht="15" customHeight="1">
      <c r="A126" s="86">
        <v>2018</v>
      </c>
      <c r="B126" s="67">
        <f>B120/N120</f>
        <v>0.11935236280729773</v>
      </c>
      <c r="C126" s="68">
        <f>C120/N120</f>
        <v>9.325352496052558E-2</v>
      </c>
      <c r="D126" s="68">
        <f>D120/N120</f>
        <v>7.1874933157586515E-2</v>
      </c>
      <c r="E126" s="68">
        <f>E120/N120</f>
        <v>8.4823341068320832E-2</v>
      </c>
      <c r="F126" s="68">
        <f>F120/N120</f>
        <v>6.9406978056847188E-2</v>
      </c>
      <c r="G126" s="68">
        <f>G120/N120</f>
        <v>7.2205462046036853E-2</v>
      </c>
      <c r="H126" s="68">
        <f>H120/N120</f>
        <v>8.3510279138881163E-2</v>
      </c>
      <c r="I126" s="68">
        <f>I120/N120</f>
        <v>8.4212029377325595E-2</v>
      </c>
      <c r="J126" s="68">
        <f>J120/N120</f>
        <v>6.7990208299020166E-2</v>
      </c>
      <c r="K126" s="68">
        <f>K120/N120</f>
        <v>8.6813093499889554E-2</v>
      </c>
      <c r="L126" s="68">
        <f>L120/N120</f>
        <v>7.4660234855576893E-2</v>
      </c>
      <c r="M126" s="68">
        <f>M120/N120</f>
        <v>9.1897552732691901E-2</v>
      </c>
      <c r="Q126" s="78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2"/>
      <c r="AE126" s="82"/>
    </row>
    <row r="127" spans="1:31" ht="15" customHeight="1">
      <c r="A127" s="86">
        <v>2017</v>
      </c>
      <c r="B127" s="67">
        <f t="shared" ref="B127:B129" si="88">B121/N121</f>
        <v>9.5307803701707675E-2</v>
      </c>
      <c r="C127" s="68">
        <f t="shared" ref="C127:C129" si="89">C121/N121</f>
        <v>6.0858702557129267E-2</v>
      </c>
      <c r="D127" s="68">
        <f t="shared" ref="D127:D129" si="90">D121/N121</f>
        <v>7.3862850927213203E-2</v>
      </c>
      <c r="E127" s="68">
        <f t="shared" ref="E127:E129" si="91">E121/N121</f>
        <v>5.086102640151615E-2</v>
      </c>
      <c r="F127" s="68">
        <f t="shared" ref="F127:F129" si="92">F121/N121</f>
        <v>7.2880860296880581E-2</v>
      </c>
      <c r="G127" s="68">
        <f t="shared" ref="G127:G129" si="93">G121/N121</f>
        <v>7.0919329675579776E-2</v>
      </c>
      <c r="H127" s="68">
        <f t="shared" ref="H127:H129" si="94">H121/N121</f>
        <v>7.3093503824238626E-2</v>
      </c>
      <c r="I127" s="68">
        <f t="shared" ref="I127:I129" si="95">I121/N121</f>
        <v>9.7156692904119643E-2</v>
      </c>
      <c r="J127" s="68">
        <f t="shared" ref="J127:J129" si="96">J121/N121</f>
        <v>7.8834605894101767E-2</v>
      </c>
      <c r="K127" s="68">
        <f t="shared" ref="K127:K129" si="97">K121/N121</f>
        <v>0.122110339264105</v>
      </c>
      <c r="L127" s="68">
        <f t="shared" ref="L127:L129" si="98">L121/N121</f>
        <v>0.11343135477710738</v>
      </c>
      <c r="M127" s="68">
        <f t="shared" ref="M127:M129" si="99">M121/N121</f>
        <v>9.0682929776300977E-2</v>
      </c>
      <c r="Q127" s="78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2"/>
      <c r="AE127" s="82"/>
    </row>
    <row r="128" spans="1:31" ht="15" customHeight="1">
      <c r="A128" s="86">
        <v>2016</v>
      </c>
      <c r="B128" s="67">
        <f t="shared" si="88"/>
        <v>6.6830687582621229E-2</v>
      </c>
      <c r="C128" s="68">
        <f t="shared" si="89"/>
        <v>7.2261255501510455E-2</v>
      </c>
      <c r="D128" s="68">
        <f t="shared" si="90"/>
        <v>7.8178418636623739E-2</v>
      </c>
      <c r="E128" s="68">
        <f t="shared" si="91"/>
        <v>6.4698875137694484E-2</v>
      </c>
      <c r="F128" s="68">
        <f t="shared" si="92"/>
        <v>6.2334917296088019E-2</v>
      </c>
      <c r="G128" s="68">
        <f t="shared" si="93"/>
        <v>7.411520279708679E-2</v>
      </c>
      <c r="H128" s="68">
        <f t="shared" si="94"/>
        <v>7.7710077886404702E-2</v>
      </c>
      <c r="I128" s="68">
        <f t="shared" si="95"/>
        <v>8.7304443662639175E-2</v>
      </c>
      <c r="J128" s="68">
        <f t="shared" si="96"/>
        <v>9.0158448081841369E-2</v>
      </c>
      <c r="K128" s="68">
        <f t="shared" si="97"/>
        <v>8.9652963852443493E-2</v>
      </c>
      <c r="L128" s="68">
        <f t="shared" si="98"/>
        <v>0.10170670323153948</v>
      </c>
      <c r="M128" s="68">
        <f t="shared" si="99"/>
        <v>0.13504800633350697</v>
      </c>
      <c r="Q128" s="78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2"/>
      <c r="AE128" s="82"/>
    </row>
    <row r="129" spans="1:31" ht="15" customHeight="1">
      <c r="A129" s="86">
        <v>2015</v>
      </c>
      <c r="B129" s="67">
        <f t="shared" si="88"/>
        <v>7.290638397727324E-2</v>
      </c>
      <c r="C129" s="68">
        <f t="shared" si="89"/>
        <v>8.5874513038359065E-2</v>
      </c>
      <c r="D129" s="68">
        <f t="shared" si="90"/>
        <v>7.9662728556283813E-2</v>
      </c>
      <c r="E129" s="68">
        <f t="shared" si="91"/>
        <v>5.9477286088714235E-2</v>
      </c>
      <c r="F129" s="68">
        <f t="shared" si="92"/>
        <v>6.2647124904613827E-2</v>
      </c>
      <c r="G129" s="68">
        <f t="shared" si="93"/>
        <v>8.0480844627347725E-2</v>
      </c>
      <c r="H129" s="68">
        <f t="shared" si="94"/>
        <v>8.9763503358213106E-2</v>
      </c>
      <c r="I129" s="68">
        <f t="shared" si="95"/>
        <v>7.8614576873929434E-2</v>
      </c>
      <c r="J129" s="68">
        <f t="shared" si="96"/>
        <v>9.0301794731835888E-2</v>
      </c>
      <c r="K129" s="68">
        <f t="shared" si="97"/>
        <v>9.2519115136735608E-2</v>
      </c>
      <c r="L129" s="68">
        <f t="shared" si="98"/>
        <v>0.10039022321686553</v>
      </c>
      <c r="M129" s="68">
        <f t="shared" si="99"/>
        <v>0.10736190548982845</v>
      </c>
      <c r="Q129" s="78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2"/>
      <c r="AE129" s="82"/>
    </row>
    <row r="130" spans="1:31" ht="15" customHeight="1">
      <c r="A130" s="87" t="s">
        <v>162</v>
      </c>
      <c r="B130" s="69">
        <f>AVERAGE(B126:B127)</f>
        <v>0.1073300832545027</v>
      </c>
      <c r="C130" s="69">
        <f t="shared" ref="C130:M130" si="100">AVERAGE(C126:C127)</f>
        <v>7.7056113758827427E-2</v>
      </c>
      <c r="D130" s="69">
        <f t="shared" si="100"/>
        <v>7.2868892042399852E-2</v>
      </c>
      <c r="E130" s="69">
        <f t="shared" si="100"/>
        <v>6.7842183734918488E-2</v>
      </c>
      <c r="F130" s="69">
        <f t="shared" si="100"/>
        <v>7.1143919176863885E-2</v>
      </c>
      <c r="G130" s="69">
        <f t="shared" si="100"/>
        <v>7.1562395860808314E-2</v>
      </c>
      <c r="H130" s="69">
        <f t="shared" si="100"/>
        <v>7.8301891481559888E-2</v>
      </c>
      <c r="I130" s="69">
        <f t="shared" si="100"/>
        <v>9.0684361140722619E-2</v>
      </c>
      <c r="J130" s="69">
        <f t="shared" si="100"/>
        <v>7.3412407096560967E-2</v>
      </c>
      <c r="K130" s="69">
        <f t="shared" si="100"/>
        <v>0.10446171638199728</v>
      </c>
      <c r="L130" s="69">
        <f t="shared" si="100"/>
        <v>9.4045794816342135E-2</v>
      </c>
      <c r="M130" s="69">
        <f t="shared" si="100"/>
        <v>9.1290241254496446E-2</v>
      </c>
      <c r="Q130" s="78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2"/>
      <c r="AE130" s="82"/>
    </row>
    <row r="131" spans="1:31" ht="15" customHeight="1"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Q131" s="82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2"/>
      <c r="AE131" s="82"/>
    </row>
    <row r="132" spans="1:31" ht="15" customHeight="1">
      <c r="B132" s="89" t="s">
        <v>162</v>
      </c>
      <c r="C132" s="90">
        <v>2019</v>
      </c>
      <c r="D132" s="90">
        <v>2018</v>
      </c>
      <c r="E132" s="90">
        <v>2017</v>
      </c>
      <c r="F132" s="90">
        <v>2016</v>
      </c>
      <c r="G132" s="91">
        <v>2015</v>
      </c>
      <c r="Q132" s="82"/>
      <c r="R132" s="78"/>
      <c r="S132" s="78"/>
      <c r="T132" s="78"/>
      <c r="U132" s="78"/>
      <c r="V132" s="78"/>
      <c r="W132" s="78"/>
      <c r="X132" s="82"/>
      <c r="Y132" s="82"/>
      <c r="Z132" s="82"/>
      <c r="AA132" s="82"/>
      <c r="AB132" s="82"/>
      <c r="AC132" s="82"/>
      <c r="AD132" s="82"/>
      <c r="AE132" s="82"/>
    </row>
    <row r="133" spans="1:31" ht="15" customHeight="1">
      <c r="A133" s="58" t="s">
        <v>163</v>
      </c>
      <c r="B133" s="72">
        <f>B130</f>
        <v>0.1073300832545027</v>
      </c>
      <c r="C133" s="73">
        <f>B125</f>
        <v>9.5636743866510568E-2</v>
      </c>
      <c r="D133" s="73">
        <f>B126</f>
        <v>0.11935236280729773</v>
      </c>
      <c r="E133" s="73">
        <f>B127</f>
        <v>9.5307803701707675E-2</v>
      </c>
      <c r="F133" s="73">
        <f>B128</f>
        <v>6.6830687582621229E-2</v>
      </c>
      <c r="G133" s="73">
        <f>B129</f>
        <v>7.290638397727324E-2</v>
      </c>
      <c r="Q133" s="78"/>
      <c r="R133" s="85"/>
      <c r="S133" s="85"/>
      <c r="T133" s="85"/>
      <c r="U133" s="85"/>
      <c r="V133" s="85"/>
      <c r="W133" s="85"/>
      <c r="X133" s="82"/>
      <c r="Y133" s="82"/>
      <c r="Z133" s="82"/>
      <c r="AA133" s="82"/>
      <c r="AB133" s="82"/>
      <c r="AC133" s="82"/>
      <c r="AD133" s="82"/>
      <c r="AE133" s="82"/>
    </row>
    <row r="134" spans="1:31" ht="15" customHeight="1">
      <c r="A134" s="58" t="s">
        <v>164</v>
      </c>
      <c r="B134" s="72">
        <f>B130+C130</f>
        <v>0.18438619701333014</v>
      </c>
      <c r="C134" s="73">
        <f>SUM(B125:C125)</f>
        <v>0.18836148464170527</v>
      </c>
      <c r="D134" s="73">
        <f>SUM(B126:C126)</f>
        <v>0.2126058877678233</v>
      </c>
      <c r="E134" s="73">
        <f>SUM(B127:C127)</f>
        <v>0.15616650625883693</v>
      </c>
      <c r="F134" s="73">
        <f>SUM(B128:C128)</f>
        <v>0.1390919430841317</v>
      </c>
      <c r="G134" s="73">
        <f>SUM(B129:C129)</f>
        <v>0.15878089701563231</v>
      </c>
      <c r="Q134" s="78"/>
      <c r="R134" s="85"/>
      <c r="S134" s="85"/>
      <c r="T134" s="85"/>
      <c r="U134" s="85"/>
      <c r="V134" s="85"/>
      <c r="W134" s="85"/>
      <c r="X134" s="82"/>
      <c r="Y134" s="82"/>
      <c r="Z134" s="82"/>
      <c r="AA134" s="82"/>
      <c r="AB134" s="82"/>
      <c r="AC134" s="82"/>
      <c r="AD134" s="82"/>
      <c r="AE134" s="82"/>
    </row>
    <row r="135" spans="1:31" ht="15" customHeight="1">
      <c r="A135" s="58" t="s">
        <v>165</v>
      </c>
      <c r="B135" s="69">
        <f>B130+C130+D130</f>
        <v>0.25725508905573002</v>
      </c>
      <c r="C135" s="70">
        <f>SUM(B125:D125)</f>
        <v>0.25998788303979625</v>
      </c>
      <c r="D135" s="70">
        <f>SUM(B126:D126)</f>
        <v>0.28448082092540983</v>
      </c>
      <c r="E135" s="70">
        <f>SUM(B127:D127)</f>
        <v>0.23002935718605014</v>
      </c>
      <c r="F135" s="70">
        <f>SUM(B128:D128)</f>
        <v>0.21727036172075542</v>
      </c>
      <c r="G135" s="70">
        <f>SUM(B129:D129)</f>
        <v>0.23844362557191612</v>
      </c>
      <c r="Q135" s="78"/>
      <c r="R135" s="85"/>
      <c r="S135" s="85"/>
      <c r="T135" s="85"/>
      <c r="U135" s="85"/>
      <c r="V135" s="85"/>
      <c r="W135" s="85"/>
      <c r="X135" s="82"/>
      <c r="Y135" s="82"/>
      <c r="Z135" s="82"/>
      <c r="AA135" s="82"/>
      <c r="AB135" s="82"/>
      <c r="AC135" s="82"/>
      <c r="AD135" s="82"/>
      <c r="AE135" s="82"/>
    </row>
    <row r="136" spans="1:31" ht="15" customHeight="1">
      <c r="A136" s="58" t="s">
        <v>166</v>
      </c>
      <c r="B136" s="69">
        <f>B130+C130+D130+E130</f>
        <v>0.32509727279064848</v>
      </c>
      <c r="C136" s="70">
        <f>SUM(B125:E125)</f>
        <v>0.33794628191103437</v>
      </c>
      <c r="D136" s="70">
        <f>SUM(B126:E126)</f>
        <v>0.36930416199373067</v>
      </c>
      <c r="E136" s="70">
        <f>SUM(B127:E127)</f>
        <v>0.28089038358756629</v>
      </c>
      <c r="F136" s="70">
        <f>SUM(B128:E128)</f>
        <v>0.28196923685844988</v>
      </c>
      <c r="G136" s="70">
        <f>SUM(B129:E129)</f>
        <v>0.29792091166063034</v>
      </c>
      <c r="Q136" s="78"/>
      <c r="R136" s="85"/>
      <c r="S136" s="85"/>
      <c r="T136" s="85"/>
      <c r="U136" s="85"/>
      <c r="V136" s="85"/>
      <c r="W136" s="85"/>
      <c r="X136" s="82"/>
      <c r="Y136" s="82"/>
      <c r="Z136" s="82"/>
      <c r="AA136" s="82"/>
      <c r="AB136" s="82"/>
      <c r="AC136" s="82"/>
      <c r="AD136" s="82"/>
      <c r="AE136" s="82"/>
    </row>
    <row r="137" spans="1:31" ht="15" customHeight="1">
      <c r="A137" s="58" t="s">
        <v>167</v>
      </c>
      <c r="B137" s="69">
        <f>B130+C130+D130+E130+F130</f>
        <v>0.3962411919675124</v>
      </c>
      <c r="C137" s="70">
        <f>SUM(B125:F125)</f>
        <v>0.33794628191103437</v>
      </c>
      <c r="D137" s="70">
        <f>SUM(B126:F126)</f>
        <v>0.43871114005057787</v>
      </c>
      <c r="E137" s="70">
        <f>SUM(B127:F127)</f>
        <v>0.35377124388444686</v>
      </c>
      <c r="F137" s="70">
        <f>SUM(B128:F128)</f>
        <v>0.34430415415453791</v>
      </c>
      <c r="G137" s="70">
        <f>SUM(B129:F129)</f>
        <v>0.36056803656524417</v>
      </c>
      <c r="Q137" s="78"/>
      <c r="R137" s="85"/>
      <c r="S137" s="85"/>
      <c r="T137" s="85"/>
      <c r="U137" s="85"/>
      <c r="V137" s="85"/>
      <c r="W137" s="85"/>
      <c r="X137" s="82"/>
      <c r="Y137" s="82"/>
      <c r="Z137" s="82"/>
      <c r="AA137" s="82"/>
      <c r="AB137" s="82"/>
      <c r="AC137" s="82"/>
      <c r="AD137" s="82"/>
      <c r="AE137" s="82"/>
    </row>
    <row r="138" spans="1:31" ht="15" customHeight="1">
      <c r="A138" s="58" t="s">
        <v>168</v>
      </c>
      <c r="B138" s="69">
        <f>B130+C130+D130+E130+F130+G130</f>
        <v>0.46780358782832071</v>
      </c>
      <c r="C138" s="70">
        <f>SUM(B125:G125)</f>
        <v>0.33794628191103437</v>
      </c>
      <c r="D138" s="70">
        <f>SUM(B126:G126)</f>
        <v>0.51091660209661471</v>
      </c>
      <c r="E138" s="70">
        <f>SUM(B127:G127)</f>
        <v>0.42469057356002665</v>
      </c>
      <c r="F138" s="70">
        <f>SUM(B128:G128)</f>
        <v>0.41841935695162469</v>
      </c>
      <c r="G138" s="70">
        <f>SUM(B129:G129)</f>
        <v>0.44104888119259189</v>
      </c>
      <c r="Q138" s="78"/>
      <c r="R138" s="85"/>
      <c r="S138" s="85"/>
      <c r="T138" s="85"/>
      <c r="U138" s="85"/>
      <c r="V138" s="85"/>
      <c r="W138" s="85"/>
      <c r="X138" s="82"/>
      <c r="Y138" s="82"/>
      <c r="Z138" s="82"/>
      <c r="AA138" s="82"/>
      <c r="AB138" s="82"/>
      <c r="AC138" s="82"/>
      <c r="AD138" s="82"/>
      <c r="AE138" s="82"/>
    </row>
    <row r="139" spans="1:31" ht="15" customHeight="1">
      <c r="A139" s="58" t="s">
        <v>169</v>
      </c>
      <c r="B139" s="69">
        <f>B130+C130+D130+E130+F130+G130+H130</f>
        <v>0.54610547930988063</v>
      </c>
      <c r="C139" s="70">
        <f>SUM(B125:H125)</f>
        <v>0.33794628191103437</v>
      </c>
      <c r="D139" s="70">
        <f>SUM(B126:H126)</f>
        <v>0.59442688123549592</v>
      </c>
      <c r="E139" s="70">
        <f>SUM(B127:H127)</f>
        <v>0.49778407738426528</v>
      </c>
      <c r="F139" s="70">
        <f>SUM(B128:H128)</f>
        <v>0.4961294348380294</v>
      </c>
      <c r="G139" s="70">
        <f>SUM(B129:H129)</f>
        <v>0.53081238455080504</v>
      </c>
      <c r="Q139" s="78"/>
      <c r="R139" s="85"/>
      <c r="S139" s="85"/>
      <c r="T139" s="85"/>
      <c r="U139" s="85"/>
      <c r="V139" s="85"/>
      <c r="W139" s="85"/>
      <c r="X139" s="82"/>
      <c r="Y139" s="82"/>
      <c r="Z139" s="82"/>
      <c r="AA139" s="82"/>
      <c r="AB139" s="82"/>
      <c r="AC139" s="82"/>
      <c r="AD139" s="82"/>
      <c r="AE139" s="82"/>
    </row>
    <row r="140" spans="1:31" ht="15" customHeight="1">
      <c r="A140" s="58" t="s">
        <v>170</v>
      </c>
      <c r="B140" s="69">
        <f>B130+C130+D130+E130+F130+G130+H130+I130</f>
        <v>0.63678984045060327</v>
      </c>
      <c r="C140" s="70">
        <f>SUM(B125:I125)</f>
        <v>0.33794628191103437</v>
      </c>
      <c r="D140" s="70">
        <f>SUM(B126:I126)</f>
        <v>0.67863891061282156</v>
      </c>
      <c r="E140" s="70">
        <f>SUM(B127:I127)</f>
        <v>0.59494077028838488</v>
      </c>
      <c r="F140" s="70">
        <f>SUM(B128:I128)</f>
        <v>0.58343387850066852</v>
      </c>
      <c r="G140" s="70">
        <f>SUM(B129:I129)</f>
        <v>0.60942696142473451</v>
      </c>
      <c r="Q140" s="78"/>
      <c r="R140" s="85"/>
      <c r="S140" s="85"/>
      <c r="T140" s="85"/>
      <c r="U140" s="85"/>
      <c r="V140" s="85"/>
      <c r="W140" s="85"/>
      <c r="X140" s="82"/>
      <c r="Y140" s="82"/>
      <c r="Z140" s="82"/>
      <c r="AA140" s="82"/>
      <c r="AB140" s="82"/>
      <c r="AC140" s="82"/>
      <c r="AD140" s="82"/>
      <c r="AE140" s="82"/>
    </row>
    <row r="141" spans="1:31" ht="15" customHeight="1">
      <c r="A141" s="58" t="s">
        <v>171</v>
      </c>
      <c r="B141" s="69">
        <f>B130+C130+D130+E130+F130+G130+H130+I130+J130</f>
        <v>0.71020224754716421</v>
      </c>
      <c r="C141" s="70">
        <f>SUM(B125:J125)</f>
        <v>0.33794628191103437</v>
      </c>
      <c r="D141" s="70">
        <f>SUM(B126:J126)</f>
        <v>0.74662911891184169</v>
      </c>
      <c r="E141" s="70">
        <f>SUM(B127:J127)</f>
        <v>0.67377537618248662</v>
      </c>
      <c r="F141" s="70">
        <f>SUM(B128:J128)</f>
        <v>0.67359232658250989</v>
      </c>
      <c r="G141" s="70">
        <f>SUM(B129:J129)</f>
        <v>0.69972875615657038</v>
      </c>
      <c r="Q141" s="78"/>
      <c r="R141" s="85"/>
      <c r="S141" s="85"/>
      <c r="T141" s="85"/>
      <c r="U141" s="85"/>
      <c r="V141" s="85"/>
      <c r="W141" s="85"/>
      <c r="X141" s="82"/>
      <c r="Y141" s="82"/>
      <c r="Z141" s="82"/>
      <c r="AA141" s="82"/>
      <c r="AB141" s="82"/>
      <c r="AC141" s="82"/>
      <c r="AD141" s="82"/>
      <c r="AE141" s="82"/>
    </row>
    <row r="142" spans="1:31" ht="15" customHeight="1">
      <c r="A142" s="58" t="s">
        <v>172</v>
      </c>
      <c r="B142" s="69">
        <f>B130+C130+D130+E130+F130+G130+H130+I130+J130+K130</f>
        <v>0.81466396392916152</v>
      </c>
      <c r="C142" s="70">
        <f>SUM(B125:K125)</f>
        <v>0.33794628191103437</v>
      </c>
      <c r="D142" s="70">
        <f>SUM(B126:K126)</f>
        <v>0.83344221241173122</v>
      </c>
      <c r="E142" s="70">
        <f>SUM(B127:K127)</f>
        <v>0.79588571544659159</v>
      </c>
      <c r="F142" s="70">
        <f>SUM(B128:K128)</f>
        <v>0.76324529043495337</v>
      </c>
      <c r="G142" s="70">
        <f>SUM(B129:K129)</f>
        <v>0.79224787129330598</v>
      </c>
      <c r="Q142" s="78"/>
      <c r="R142" s="85"/>
      <c r="S142" s="85"/>
      <c r="T142" s="85"/>
      <c r="U142" s="85"/>
      <c r="V142" s="85"/>
      <c r="W142" s="85"/>
      <c r="X142" s="82"/>
      <c r="Y142" s="82"/>
      <c r="Z142" s="82"/>
      <c r="AA142" s="82"/>
      <c r="AB142" s="82"/>
      <c r="AC142" s="82"/>
      <c r="AD142" s="82"/>
      <c r="AE142" s="82"/>
    </row>
    <row r="143" spans="1:31" ht="15" customHeight="1">
      <c r="A143" s="58" t="s">
        <v>173</v>
      </c>
      <c r="B143" s="69">
        <f>B130+C130+D130+E130+F130+G130+H130+I130+J130+K130+L130</f>
        <v>0.90870975874550364</v>
      </c>
      <c r="C143" s="70">
        <f>SUM(B125:L125)</f>
        <v>0.33794628191103437</v>
      </c>
      <c r="D143" s="70">
        <f>SUM(B126:L126)</f>
        <v>0.90810244726730815</v>
      </c>
      <c r="E143" s="70">
        <f>SUM(B127:L127)</f>
        <v>0.90931707022369901</v>
      </c>
      <c r="F143" s="70">
        <f>SUM(B128:L128)</f>
        <v>0.86495199366649289</v>
      </c>
      <c r="G143" s="70">
        <f>SUM(B129:L129)</f>
        <v>0.89263809451017151</v>
      </c>
      <c r="Q143" s="78"/>
      <c r="R143" s="85"/>
      <c r="S143" s="85"/>
      <c r="T143" s="85"/>
      <c r="U143" s="85"/>
      <c r="V143" s="85"/>
      <c r="W143" s="85"/>
      <c r="X143" s="82"/>
      <c r="Y143" s="82"/>
      <c r="Z143" s="82"/>
      <c r="AA143" s="82"/>
      <c r="AB143" s="82"/>
      <c r="AC143" s="82"/>
      <c r="AD143" s="82"/>
      <c r="AE143" s="82"/>
    </row>
    <row r="144" spans="1:31" ht="15" customHeight="1">
      <c r="A144" s="58" t="s">
        <v>174</v>
      </c>
      <c r="B144" s="69">
        <f>SUM(B130:M130)</f>
        <v>1</v>
      </c>
      <c r="C144" s="70">
        <f>SUM(B125:M125)</f>
        <v>0.33794628191103437</v>
      </c>
      <c r="D144" s="70">
        <f>SUM(B126:M126)</f>
        <v>1</v>
      </c>
      <c r="E144" s="70">
        <f>SUM(B127:M127)</f>
        <v>1</v>
      </c>
      <c r="F144" s="70">
        <f>SUM(B128:M128)</f>
        <v>0.99999999999999989</v>
      </c>
      <c r="G144" s="70">
        <f>SUM(B129:M129)</f>
        <v>1</v>
      </c>
      <c r="Q144" s="78"/>
      <c r="R144" s="85"/>
      <c r="S144" s="85"/>
      <c r="T144" s="85"/>
      <c r="U144" s="85"/>
      <c r="V144" s="85"/>
      <c r="W144" s="85"/>
      <c r="X144" s="82"/>
      <c r="Y144" s="82"/>
      <c r="Z144" s="82"/>
      <c r="AA144" s="82"/>
      <c r="AB144" s="82"/>
      <c r="AC144" s="82"/>
      <c r="AD144" s="82"/>
      <c r="AE144" s="82"/>
    </row>
    <row r="145" spans="17:31"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</row>
    <row r="146" spans="17:31"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</row>
    <row r="147" spans="17:31"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</row>
    <row r="148" spans="17:31"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</row>
  </sheetData>
  <mergeCells count="10">
    <mergeCell ref="A117:O117"/>
    <mergeCell ref="Q117:AE117"/>
    <mergeCell ref="A1:O1"/>
    <mergeCell ref="A30:O30"/>
    <mergeCell ref="Q30:AE30"/>
    <mergeCell ref="A59:O59"/>
    <mergeCell ref="Q59:AE59"/>
    <mergeCell ref="A88:O88"/>
    <mergeCell ref="Q88:AE88"/>
    <mergeCell ref="Q15:S15"/>
  </mergeCells>
  <pageMargins left="0.511811024" right="0.511811024" top="0.78740157499999996" bottom="0.78740157499999996" header="0.31496062000000002" footer="0.31496062000000002"/>
  <pageSetup paperSize="9" orientation="portrait" verticalDpi="0" r:id="rId1"/>
  <ignoredErrors>
    <ignoredError sqref="N91:N94 N62:N65 N33:N36 N5:N7 N120:N123 AD62:AD65 AD33:AD36" formulaRange="1"/>
    <ignoredError sqref="U8" formula="1"/>
  </ignoredErrors>
</worksheet>
</file>

<file path=xl/worksheets/sheet1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59999389629810485"/>
  </sheetPr>
  <dimension ref="A1:BR180"/>
  <sheetViews>
    <sheetView topLeftCell="BF1" zoomScale="70" zoomScaleNormal="70" workbookViewId="0">
      <selection activeCell="A2" sqref="A2:AC37"/>
    </sheetView>
  </sheetViews>
  <sheetFormatPr defaultRowHeight="15"/>
  <cols>
    <col min="1" max="1" width="6.140625" hidden="1" customWidth="1"/>
    <col min="2" max="14" width="14.42578125" hidden="1" customWidth="1"/>
    <col min="15" max="15" width="3.5703125" hidden="1" customWidth="1"/>
    <col min="16" max="16" width="6.140625" hidden="1" customWidth="1"/>
    <col min="17" max="29" width="14.140625" hidden="1" customWidth="1"/>
    <col min="30" max="30" width="3.5703125" customWidth="1"/>
    <col min="31" max="41" width="12.85546875" customWidth="1"/>
    <col min="42" max="42" width="13" customWidth="1"/>
    <col min="43" max="45" width="3.5703125" customWidth="1"/>
    <col min="46" max="57" width="13" customWidth="1"/>
    <col min="58" max="58" width="3.5703125" customWidth="1"/>
    <col min="59" max="70" width="12.85546875" style="92" customWidth="1"/>
  </cols>
  <sheetData>
    <row r="1" spans="1:70">
      <c r="B1" s="317" t="s">
        <v>234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Q1" s="317" t="s">
        <v>176</v>
      </c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E1" s="316" t="s">
        <v>177</v>
      </c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T1" s="316" t="s">
        <v>178</v>
      </c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G1" s="316" t="s">
        <v>241</v>
      </c>
      <c r="BH1" s="316"/>
      <c r="BI1" s="316"/>
      <c r="BJ1" s="316"/>
      <c r="BK1" s="316"/>
      <c r="BL1" s="316"/>
      <c r="BM1" s="316"/>
      <c r="BN1" s="316"/>
      <c r="BO1" s="316"/>
      <c r="BP1" s="316"/>
      <c r="BQ1" s="316"/>
      <c r="BR1" s="316"/>
    </row>
    <row r="2" spans="1:70">
      <c r="B2" s="131" t="s">
        <v>163</v>
      </c>
      <c r="C2" s="131" t="s">
        <v>179</v>
      </c>
      <c r="D2" s="131" t="s">
        <v>180</v>
      </c>
      <c r="E2" s="131" t="s">
        <v>181</v>
      </c>
      <c r="F2" s="131" t="s">
        <v>182</v>
      </c>
      <c r="G2" s="131" t="s">
        <v>183</v>
      </c>
      <c r="H2" s="131" t="s">
        <v>184</v>
      </c>
      <c r="I2" s="131" t="s">
        <v>185</v>
      </c>
      <c r="J2" s="131" t="s">
        <v>186</v>
      </c>
      <c r="K2" s="131" t="s">
        <v>187</v>
      </c>
      <c r="L2" s="131" t="s">
        <v>188</v>
      </c>
      <c r="M2" s="131" t="s">
        <v>189</v>
      </c>
      <c r="N2" s="131" t="s">
        <v>160</v>
      </c>
      <c r="Q2" s="131" t="s">
        <v>163</v>
      </c>
      <c r="R2" s="131" t="s">
        <v>179</v>
      </c>
      <c r="S2" s="131" t="s">
        <v>180</v>
      </c>
      <c r="T2" s="131" t="s">
        <v>181</v>
      </c>
      <c r="U2" s="131" t="s">
        <v>182</v>
      </c>
      <c r="V2" s="131" t="s">
        <v>183</v>
      </c>
      <c r="W2" s="131" t="s">
        <v>184</v>
      </c>
      <c r="X2" s="131" t="s">
        <v>185</v>
      </c>
      <c r="Y2" s="131" t="s">
        <v>186</v>
      </c>
      <c r="Z2" s="131" t="s">
        <v>187</v>
      </c>
      <c r="AA2" s="131" t="s">
        <v>188</v>
      </c>
      <c r="AB2" s="131" t="s">
        <v>189</v>
      </c>
      <c r="AC2" s="131" t="s">
        <v>160</v>
      </c>
      <c r="AE2" s="131" t="s">
        <v>190</v>
      </c>
      <c r="AF2" s="131" t="s">
        <v>191</v>
      </c>
      <c r="AG2" s="131" t="s">
        <v>238</v>
      </c>
      <c r="AH2" s="131" t="s">
        <v>239</v>
      </c>
      <c r="AI2" s="131" t="s">
        <v>240</v>
      </c>
      <c r="AJ2" s="131" t="s">
        <v>195</v>
      </c>
      <c r="AK2" s="131" t="s">
        <v>196</v>
      </c>
      <c r="AL2" s="131" t="s">
        <v>197</v>
      </c>
      <c r="AM2" s="131" t="s">
        <v>198</v>
      </c>
      <c r="AN2" s="131" t="s">
        <v>199</v>
      </c>
      <c r="AO2" s="131" t="s">
        <v>200</v>
      </c>
      <c r="AP2" s="131" t="s">
        <v>201</v>
      </c>
      <c r="AT2" s="131" t="s">
        <v>190</v>
      </c>
      <c r="AU2" s="131" t="s">
        <v>191</v>
      </c>
      <c r="AV2" s="131" t="s">
        <v>238</v>
      </c>
      <c r="AW2" s="131" t="s">
        <v>239</v>
      </c>
      <c r="AX2" s="131" t="s">
        <v>240</v>
      </c>
      <c r="AY2" s="131" t="s">
        <v>195</v>
      </c>
      <c r="AZ2" s="131" t="s">
        <v>196</v>
      </c>
      <c r="BA2" s="131" t="s">
        <v>197</v>
      </c>
      <c r="BB2" s="131" t="s">
        <v>198</v>
      </c>
      <c r="BC2" s="131" t="s">
        <v>199</v>
      </c>
      <c r="BD2" s="131" t="s">
        <v>200</v>
      </c>
      <c r="BE2" s="131" t="s">
        <v>201</v>
      </c>
      <c r="BG2" s="131" t="s">
        <v>190</v>
      </c>
      <c r="BH2" s="131" t="s">
        <v>191</v>
      </c>
      <c r="BI2" s="131" t="s">
        <v>238</v>
      </c>
      <c r="BJ2" s="131" t="s">
        <v>239</v>
      </c>
      <c r="BK2" s="131" t="s">
        <v>240</v>
      </c>
      <c r="BL2" s="131" t="s">
        <v>195</v>
      </c>
      <c r="BM2" s="131" t="s">
        <v>196</v>
      </c>
      <c r="BN2" s="131" t="s">
        <v>197</v>
      </c>
      <c r="BO2" s="131" t="s">
        <v>198</v>
      </c>
      <c r="BP2" s="131" t="s">
        <v>199</v>
      </c>
      <c r="BQ2" s="131" t="s">
        <v>200</v>
      </c>
      <c r="BR2" s="131" t="s">
        <v>201</v>
      </c>
    </row>
    <row r="3" spans="1:70">
      <c r="A3" s="131" t="s">
        <v>119</v>
      </c>
      <c r="B3" s="62">
        <v>19812.34</v>
      </c>
      <c r="C3" s="62">
        <v>21112.52</v>
      </c>
      <c r="D3" s="62">
        <v>18789.150000000001</v>
      </c>
      <c r="E3" s="62">
        <v>15928.68</v>
      </c>
      <c r="F3" s="62">
        <v>14537.58</v>
      </c>
      <c r="G3" s="62">
        <v>11411.6</v>
      </c>
      <c r="H3" s="62">
        <v>7111.58</v>
      </c>
      <c r="I3" s="62">
        <v>8214.3700000000008</v>
      </c>
      <c r="J3" s="62">
        <v>5449.81</v>
      </c>
      <c r="K3" s="62">
        <v>4810.78</v>
      </c>
      <c r="L3" s="62">
        <v>2609.94</v>
      </c>
      <c r="M3" s="62">
        <v>3205.66</v>
      </c>
      <c r="N3" s="100">
        <f t="shared" ref="N3:N66" si="0">SUM(B3:M3)</f>
        <v>132994.01</v>
      </c>
      <c r="P3" s="131" t="s">
        <v>119</v>
      </c>
      <c r="Q3" s="62">
        <v>16935.78</v>
      </c>
      <c r="R3" s="62">
        <v>27266.25</v>
      </c>
      <c r="S3" s="62">
        <v>10096</v>
      </c>
      <c r="T3" s="62">
        <v>11501.65</v>
      </c>
      <c r="U3" s="62">
        <v>16802.73</v>
      </c>
      <c r="V3" s="62">
        <v>11663.61</v>
      </c>
      <c r="W3" s="62">
        <v>4501.7299999999996</v>
      </c>
      <c r="X3" s="62">
        <v>5782.63</v>
      </c>
      <c r="Y3" s="62">
        <v>5814.48</v>
      </c>
      <c r="Z3" s="62">
        <v>4893.01</v>
      </c>
      <c r="AA3" s="62">
        <v>3669.87</v>
      </c>
      <c r="AB3" s="62">
        <v>3704.44</v>
      </c>
      <c r="AC3" s="100">
        <f>SUM(Q3:AB3)</f>
        <v>122632.17999999998</v>
      </c>
      <c r="AE3" s="68">
        <f t="shared" ref="AE3:AE29" si="1">B3/N3</f>
        <v>0.14897167173168174</v>
      </c>
      <c r="AF3" s="68">
        <f t="shared" ref="AF3:AF29" si="2">SUM(B3:C3)/$N3</f>
        <v>0.30771957323491483</v>
      </c>
      <c r="AG3" s="68">
        <f t="shared" ref="AG3:AG29" si="3">SUM(B3:D3)/$N3</f>
        <v>0.44899774057493264</v>
      </c>
      <c r="AH3" s="68">
        <f t="shared" ref="AH3:AH29" si="4">SUM(B3:E3)/$N3</f>
        <v>0.56876764600150032</v>
      </c>
      <c r="AI3" s="68">
        <f t="shared" ref="AI3:AI29" si="5">SUM(B3:F3)/$N3</f>
        <v>0.67807768184446804</v>
      </c>
      <c r="AJ3" s="68">
        <f t="shared" ref="AJ3:AJ29" si="6">SUM(B3:G3)/$N3</f>
        <v>0.7638830500712025</v>
      </c>
      <c r="AK3" s="68">
        <f t="shared" ref="AK3:AK29" si="7">SUM(B3:H3)/$N3</f>
        <v>0.81735598467931003</v>
      </c>
      <c r="AL3" s="68">
        <f t="shared" ref="AL3:AL29" si="8">SUM(B3:I3)/$N3</f>
        <v>0.87912094687572773</v>
      </c>
      <c r="AM3" s="68">
        <f t="shared" ref="AM3:AM29" si="9">SUM(B3:J3)/$N3</f>
        <v>0.92009880745756889</v>
      </c>
      <c r="AN3" s="68">
        <f t="shared" ref="AN3:AN29" si="10">SUM(B3:K3)/$N3</f>
        <v>0.95627171479377149</v>
      </c>
      <c r="AO3" s="68">
        <f t="shared" ref="AO3:AO29" si="11">SUM(B3:L3)/$N3</f>
        <v>0.97589620765626961</v>
      </c>
      <c r="AP3" s="68">
        <f t="shared" ref="AP3:AP29" si="12">SUM(B3:M3)/$N3</f>
        <v>1</v>
      </c>
      <c r="AQ3" s="92"/>
      <c r="AT3" s="68">
        <f>Q3/AC3</f>
        <v>0.13810225015978678</v>
      </c>
      <c r="AU3" s="68">
        <f>SUM(Q3:R3)/$AC3</f>
        <v>0.36044397155787339</v>
      </c>
      <c r="AV3" s="68">
        <f>SUM(Q3:S3)/$AC3</f>
        <v>0.44277146504286241</v>
      </c>
      <c r="AW3" s="68">
        <f>SUM(Q3:T3)/$AC3</f>
        <v>0.5365612843219455</v>
      </c>
      <c r="AX3" s="68">
        <f>SUM(Q3:U3)/$AC3</f>
        <v>0.67357858271784787</v>
      </c>
      <c r="AY3" s="68">
        <f>SUM(Q3:V3)/$AC3</f>
        <v>0.76868909938647434</v>
      </c>
      <c r="AZ3" s="68">
        <f>SUM(Q3:W3)/$AC3</f>
        <v>0.80539830573019255</v>
      </c>
      <c r="BA3" s="68">
        <f>SUM(Q3:X3)/$AC3</f>
        <v>0.8525525681758247</v>
      </c>
      <c r="BB3" s="68">
        <f>SUM(Q3:Y3)/$AC3</f>
        <v>0.89996655037853857</v>
      </c>
      <c r="BC3" s="68">
        <f>SUM(Q3:Z3)/$AC3</f>
        <v>0.93986643636278833</v>
      </c>
      <c r="BD3" s="68">
        <f>SUM(Q3:AA3)/$AC3</f>
        <v>0.96979226822845355</v>
      </c>
      <c r="BE3" s="68">
        <f>SUM(Q3:AB3)/$AC3</f>
        <v>1</v>
      </c>
      <c r="BG3" s="68">
        <f>(AE3+AT3)/2</f>
        <v>0.14353696094573426</v>
      </c>
      <c r="BH3" s="68">
        <f t="shared" ref="BH3:BR18" si="13">(AF3+AU3)/2</f>
        <v>0.33408177239639414</v>
      </c>
      <c r="BI3" s="68">
        <f t="shared" si="13"/>
        <v>0.44588460280889752</v>
      </c>
      <c r="BJ3" s="68">
        <f t="shared" si="13"/>
        <v>0.55266446516172296</v>
      </c>
      <c r="BK3" s="68">
        <f t="shared" si="13"/>
        <v>0.6758281322811579</v>
      </c>
      <c r="BL3" s="68">
        <f t="shared" si="13"/>
        <v>0.76628607472883847</v>
      </c>
      <c r="BM3" s="68">
        <f t="shared" si="13"/>
        <v>0.81137714520475135</v>
      </c>
      <c r="BN3" s="68">
        <f t="shared" si="13"/>
        <v>0.86583675752577616</v>
      </c>
      <c r="BO3" s="68">
        <f t="shared" si="13"/>
        <v>0.91003267891805373</v>
      </c>
      <c r="BP3" s="68">
        <f t="shared" si="13"/>
        <v>0.94806907557827991</v>
      </c>
      <c r="BQ3" s="68">
        <f t="shared" si="13"/>
        <v>0.97284423794236163</v>
      </c>
      <c r="BR3" s="68">
        <f t="shared" si="13"/>
        <v>1</v>
      </c>
    </row>
    <row r="4" spans="1:70">
      <c r="A4" s="131" t="s">
        <v>120</v>
      </c>
      <c r="B4" s="62">
        <v>82159.570000000007</v>
      </c>
      <c r="C4" s="62">
        <v>85327.87</v>
      </c>
      <c r="D4" s="62">
        <v>73002.100000000006</v>
      </c>
      <c r="E4" s="62">
        <v>46053.47</v>
      </c>
      <c r="F4" s="62">
        <v>56282.27</v>
      </c>
      <c r="G4" s="62">
        <v>51264.53</v>
      </c>
      <c r="H4" s="62">
        <v>15249.210000000001</v>
      </c>
      <c r="I4" s="62">
        <v>15587.62</v>
      </c>
      <c r="J4" s="62">
        <v>12284.18</v>
      </c>
      <c r="K4" s="62">
        <v>11079.87</v>
      </c>
      <c r="L4" s="62">
        <v>12809.8</v>
      </c>
      <c r="M4" s="62">
        <v>10150.6</v>
      </c>
      <c r="N4" s="100">
        <f t="shared" si="0"/>
        <v>471251.09</v>
      </c>
      <c r="P4" s="131" t="s">
        <v>120</v>
      </c>
      <c r="Q4" s="62">
        <v>78370.84</v>
      </c>
      <c r="R4" s="62">
        <v>120876.9</v>
      </c>
      <c r="S4" s="62">
        <v>40599.399999999994</v>
      </c>
      <c r="T4" s="62">
        <v>39292.25</v>
      </c>
      <c r="U4" s="62">
        <v>62018.89</v>
      </c>
      <c r="V4" s="62">
        <v>51425.36</v>
      </c>
      <c r="W4" s="62">
        <v>13872.869999999999</v>
      </c>
      <c r="X4" s="62">
        <v>15263.59</v>
      </c>
      <c r="Y4" s="62">
        <v>13113.52</v>
      </c>
      <c r="Z4" s="62">
        <v>12445.32</v>
      </c>
      <c r="AA4" s="62">
        <v>13139.93</v>
      </c>
      <c r="AB4" s="62">
        <v>9817.1299999999992</v>
      </c>
      <c r="AC4" s="100">
        <f t="shared" ref="AC4:AC67" si="14">SUM(Q4:AB4)</f>
        <v>470236.00000000006</v>
      </c>
      <c r="AE4" s="68">
        <f t="shared" si="1"/>
        <v>0.17434351186328292</v>
      </c>
      <c r="AF4" s="68">
        <f t="shared" si="2"/>
        <v>0.35541019119976996</v>
      </c>
      <c r="AG4" s="68">
        <f t="shared" si="3"/>
        <v>0.51032145092757242</v>
      </c>
      <c r="AH4" s="68">
        <f t="shared" si="4"/>
        <v>0.60804742117413457</v>
      </c>
      <c r="AI4" s="68">
        <f t="shared" si="5"/>
        <v>0.72747901760821398</v>
      </c>
      <c r="AJ4" s="68">
        <f t="shared" si="6"/>
        <v>0.83626291453246304</v>
      </c>
      <c r="AK4" s="68">
        <f t="shared" si="7"/>
        <v>0.86862190599919897</v>
      </c>
      <c r="AL4" s="68">
        <f t="shared" si="8"/>
        <v>0.90169900721078444</v>
      </c>
      <c r="AM4" s="68">
        <f t="shared" si="9"/>
        <v>0.92776617238169157</v>
      </c>
      <c r="AN4" s="68">
        <f t="shared" si="10"/>
        <v>0.95127777847686257</v>
      </c>
      <c r="AO4" s="68">
        <f t="shared" si="11"/>
        <v>0.97846031507322351</v>
      </c>
      <c r="AP4" s="68">
        <f t="shared" si="12"/>
        <v>1</v>
      </c>
      <c r="AQ4" s="92"/>
      <c r="AT4" s="68">
        <f t="shared" ref="AT4:AT67" si="15">Q4/AC4</f>
        <v>0.16666278209239613</v>
      </c>
      <c r="AU4" s="68">
        <f t="shared" ref="AU4:AU67" si="16">SUM(Q4:R4)/$AC4</f>
        <v>0.4237186008727532</v>
      </c>
      <c r="AV4" s="68">
        <f t="shared" ref="AV4:AV67" si="17">SUM(Q4:S4)/$AC4</f>
        <v>0.51005695012717012</v>
      </c>
      <c r="AW4" s="68">
        <f t="shared" ref="AW4:AW67" si="18">SUM(Q4:T4)/$AC4</f>
        <v>0.59361552497044034</v>
      </c>
      <c r="AX4" s="68">
        <f t="shared" ref="AX4:AX67" si="19">SUM(Q4:U4)/$AC4</f>
        <v>0.72550438503219661</v>
      </c>
      <c r="AY4" s="68">
        <f t="shared" ref="AY4:AY67" si="20">SUM(Q4:V4)/$AC4</f>
        <v>0.83486513155096587</v>
      </c>
      <c r="AZ4" s="68">
        <f t="shared" ref="AZ4:AZ67" si="21">SUM(Q4:W4)/$AC4</f>
        <v>0.86436706249627837</v>
      </c>
      <c r="BA4" s="68">
        <f t="shared" ref="BA4:BA67" si="22">SUM(Q4:X4)/$AC4</f>
        <v>0.89682648712561353</v>
      </c>
      <c r="BB4" s="68">
        <f t="shared" ref="BB4:BB67" si="23">SUM(Q4:Y4)/$AC4</f>
        <v>0.92471359062258096</v>
      </c>
      <c r="BC4" s="68">
        <f t="shared" ref="BC4:BC67" si="24">SUM(Q4:Z4)/$AC4</f>
        <v>0.95117970550957398</v>
      </c>
      <c r="BD4" s="68">
        <f t="shared" ref="BD4:BD67" si="25">SUM(Q4:AA4)/$AC4</f>
        <v>0.97912297229476264</v>
      </c>
      <c r="BE4" s="68">
        <f t="shared" ref="BE4:BE67" si="26">SUM(Q4:AB4)/$AC4</f>
        <v>1</v>
      </c>
      <c r="BG4" s="68">
        <f t="shared" ref="BG4:BR41" si="27">(AE4+AT4)/2</f>
        <v>0.17050314697783953</v>
      </c>
      <c r="BH4" s="68">
        <f t="shared" si="13"/>
        <v>0.38956439603626158</v>
      </c>
      <c r="BI4" s="68">
        <f t="shared" si="13"/>
        <v>0.51018920052737127</v>
      </c>
      <c r="BJ4" s="68">
        <f t="shared" si="13"/>
        <v>0.60083147307228746</v>
      </c>
      <c r="BK4" s="68">
        <f t="shared" si="13"/>
        <v>0.72649170132020524</v>
      </c>
      <c r="BL4" s="68">
        <f t="shared" si="13"/>
        <v>0.83556402304171451</v>
      </c>
      <c r="BM4" s="68">
        <f t="shared" si="13"/>
        <v>0.86649448424773867</v>
      </c>
      <c r="BN4" s="68">
        <f t="shared" si="13"/>
        <v>0.89926274716819898</v>
      </c>
      <c r="BO4" s="68">
        <f t="shared" si="13"/>
        <v>0.92623988150213621</v>
      </c>
      <c r="BP4" s="68">
        <f t="shared" si="13"/>
        <v>0.95122874199321827</v>
      </c>
      <c r="BQ4" s="68">
        <f t="shared" si="13"/>
        <v>0.97879164368399307</v>
      </c>
      <c r="BR4" s="68">
        <f t="shared" si="13"/>
        <v>1</v>
      </c>
    </row>
    <row r="5" spans="1:70">
      <c r="A5" s="131" t="s">
        <v>121</v>
      </c>
      <c r="B5" s="62">
        <v>18241.830000000002</v>
      </c>
      <c r="C5" s="62">
        <v>19021.66</v>
      </c>
      <c r="D5" s="62">
        <v>19278.52</v>
      </c>
      <c r="E5" s="62">
        <v>15118.4</v>
      </c>
      <c r="F5" s="62">
        <v>15454.260000000002</v>
      </c>
      <c r="G5" s="62">
        <v>20771.330000000002</v>
      </c>
      <c r="H5" s="62">
        <v>6956.4</v>
      </c>
      <c r="I5" s="62">
        <v>5764.06</v>
      </c>
      <c r="J5" s="62">
        <v>4185.72</v>
      </c>
      <c r="K5" s="62">
        <v>4580.22</v>
      </c>
      <c r="L5" s="62">
        <v>2980.29</v>
      </c>
      <c r="M5" s="62">
        <v>6289.17</v>
      </c>
      <c r="N5" s="100">
        <f t="shared" si="0"/>
        <v>138641.86000000002</v>
      </c>
      <c r="P5" s="131" t="s">
        <v>121</v>
      </c>
      <c r="Q5" s="62">
        <v>15824.45</v>
      </c>
      <c r="R5" s="62">
        <v>23092.239999999998</v>
      </c>
      <c r="S5" s="62">
        <v>14191.66</v>
      </c>
      <c r="T5" s="62">
        <v>11771.61</v>
      </c>
      <c r="U5" s="62">
        <v>12236.97</v>
      </c>
      <c r="V5" s="62">
        <v>20730.730000000003</v>
      </c>
      <c r="W5" s="62">
        <v>7453.22</v>
      </c>
      <c r="X5" s="62">
        <v>7572.6900000000005</v>
      </c>
      <c r="Y5" s="62">
        <v>9324.4</v>
      </c>
      <c r="Z5" s="62">
        <v>6930.1</v>
      </c>
      <c r="AA5" s="62">
        <v>4188.0200000000004</v>
      </c>
      <c r="AB5" s="62">
        <v>3657.3599999999997</v>
      </c>
      <c r="AC5" s="100">
        <f t="shared" si="14"/>
        <v>136973.44999999998</v>
      </c>
      <c r="AE5" s="68">
        <f t="shared" si="1"/>
        <v>0.13157519669744766</v>
      </c>
      <c r="AF5" s="68">
        <f t="shared" si="2"/>
        <v>0.26877517367409814</v>
      </c>
      <c r="AG5" s="68">
        <f t="shared" si="3"/>
        <v>0.40782783785503168</v>
      </c>
      <c r="AH5" s="68">
        <f t="shared" si="4"/>
        <v>0.51687426870932052</v>
      </c>
      <c r="AI5" s="68">
        <f t="shared" si="5"/>
        <v>0.6283432002426973</v>
      </c>
      <c r="AJ5" s="68">
        <f t="shared" si="6"/>
        <v>0.77816324737709086</v>
      </c>
      <c r="AK5" s="68">
        <f t="shared" si="7"/>
        <v>0.8283385696066109</v>
      </c>
      <c r="AL5" s="68">
        <f t="shared" si="8"/>
        <v>0.86991374755070361</v>
      </c>
      <c r="AM5" s="68">
        <f t="shared" si="9"/>
        <v>0.90010462929450019</v>
      </c>
      <c r="AN5" s="68">
        <f t="shared" si="10"/>
        <v>0.93314097199792323</v>
      </c>
      <c r="AO5" s="68">
        <f t="shared" si="11"/>
        <v>0.95463729352736604</v>
      </c>
      <c r="AP5" s="68">
        <f t="shared" si="12"/>
        <v>1</v>
      </c>
      <c r="AQ5" s="92"/>
      <c r="AT5" s="68">
        <f t="shared" si="15"/>
        <v>0.11552932338347324</v>
      </c>
      <c r="AU5" s="68">
        <f t="shared" si="16"/>
        <v>0.28411849157628727</v>
      </c>
      <c r="AV5" s="68">
        <f t="shared" si="17"/>
        <v>0.38772732963943024</v>
      </c>
      <c r="AW5" s="68">
        <f t="shared" si="18"/>
        <v>0.47366814517703987</v>
      </c>
      <c r="AX5" s="68">
        <f t="shared" si="19"/>
        <v>0.56300640744611463</v>
      </c>
      <c r="AY5" s="68">
        <f t="shared" si="20"/>
        <v>0.71435493520824667</v>
      </c>
      <c r="AZ5" s="68">
        <f t="shared" si="21"/>
        <v>0.76876854602114508</v>
      </c>
      <c r="BA5" s="68">
        <f t="shared" si="22"/>
        <v>0.8240543696606899</v>
      </c>
      <c r="BB5" s="68">
        <f t="shared" si="23"/>
        <v>0.89212887607050873</v>
      </c>
      <c r="BC5" s="68">
        <f t="shared" si="24"/>
        <v>0.94272335259132356</v>
      </c>
      <c r="BD5" s="68">
        <f t="shared" si="25"/>
        <v>0.97329876702382845</v>
      </c>
      <c r="BE5" s="68">
        <f t="shared" si="26"/>
        <v>1</v>
      </c>
      <c r="BG5" s="68">
        <f t="shared" si="27"/>
        <v>0.12355226004046045</v>
      </c>
      <c r="BH5" s="68">
        <f t="shared" si="13"/>
        <v>0.27644683262519271</v>
      </c>
      <c r="BI5" s="68">
        <f t="shared" si="13"/>
        <v>0.39777758374723093</v>
      </c>
      <c r="BJ5" s="68">
        <f t="shared" si="13"/>
        <v>0.49527120694318016</v>
      </c>
      <c r="BK5" s="68">
        <f t="shared" si="13"/>
        <v>0.59567480384440596</v>
      </c>
      <c r="BL5" s="68">
        <f t="shared" si="13"/>
        <v>0.74625909129266876</v>
      </c>
      <c r="BM5" s="68">
        <f t="shared" si="13"/>
        <v>0.79855355781387805</v>
      </c>
      <c r="BN5" s="68">
        <f t="shared" si="13"/>
        <v>0.8469840586056967</v>
      </c>
      <c r="BO5" s="68">
        <f t="shared" si="13"/>
        <v>0.89611675268250446</v>
      </c>
      <c r="BP5" s="68">
        <f t="shared" si="13"/>
        <v>0.93793216229462339</v>
      </c>
      <c r="BQ5" s="68">
        <f t="shared" si="13"/>
        <v>0.9639680302755973</v>
      </c>
      <c r="BR5" s="68">
        <f t="shared" si="13"/>
        <v>1</v>
      </c>
    </row>
    <row r="6" spans="1:70">
      <c r="A6" s="131" t="s">
        <v>122</v>
      </c>
      <c r="B6" s="62">
        <v>40402.980000000003</v>
      </c>
      <c r="C6" s="62">
        <v>68823.86</v>
      </c>
      <c r="D6" s="62">
        <v>61100.160000000003</v>
      </c>
      <c r="E6" s="62">
        <v>49071.02</v>
      </c>
      <c r="F6" s="62">
        <v>57944.11</v>
      </c>
      <c r="G6" s="62">
        <v>42500.32</v>
      </c>
      <c r="H6" s="62">
        <v>26889.700000000004</v>
      </c>
      <c r="I6" s="62">
        <v>28745.32</v>
      </c>
      <c r="J6" s="62">
        <v>19037</v>
      </c>
      <c r="K6" s="62">
        <v>18467.68</v>
      </c>
      <c r="L6" s="62">
        <v>12025.53</v>
      </c>
      <c r="M6" s="62">
        <v>16645.18</v>
      </c>
      <c r="N6" s="100">
        <f t="shared" si="0"/>
        <v>441652.86000000004</v>
      </c>
      <c r="P6" s="131" t="s">
        <v>122</v>
      </c>
      <c r="Q6" s="62">
        <v>59048.04</v>
      </c>
      <c r="R6" s="62">
        <v>80404.3</v>
      </c>
      <c r="S6" s="62">
        <v>45797.119999999995</v>
      </c>
      <c r="T6" s="62">
        <v>37658.559999999998</v>
      </c>
      <c r="U6" s="62">
        <v>51489.130000000005</v>
      </c>
      <c r="V6" s="62">
        <v>41132.629999999997</v>
      </c>
      <c r="W6" s="62">
        <v>18432.310000000001</v>
      </c>
      <c r="X6" s="62">
        <v>21706.170000000002</v>
      </c>
      <c r="Y6" s="62">
        <v>21640.240000000002</v>
      </c>
      <c r="Z6" s="62">
        <v>29000.6</v>
      </c>
      <c r="AA6" s="62">
        <v>19573.149999999998</v>
      </c>
      <c r="AB6" s="62">
        <v>12762.880000000001</v>
      </c>
      <c r="AC6" s="100">
        <f t="shared" si="14"/>
        <v>438645.13</v>
      </c>
      <c r="AE6" s="68">
        <f t="shared" si="1"/>
        <v>9.1481305023135132E-2</v>
      </c>
      <c r="AF6" s="68">
        <f t="shared" si="2"/>
        <v>0.24731378395240095</v>
      </c>
      <c r="AG6" s="68">
        <f t="shared" si="3"/>
        <v>0.38565809355338487</v>
      </c>
      <c r="AH6" s="68">
        <f t="shared" si="4"/>
        <v>0.49676576304747572</v>
      </c>
      <c r="AI6" s="68">
        <f t="shared" si="5"/>
        <v>0.62796407567699208</v>
      </c>
      <c r="AJ6" s="68">
        <f t="shared" si="6"/>
        <v>0.72419422349036744</v>
      </c>
      <c r="AK6" s="68">
        <f t="shared" si="7"/>
        <v>0.78507846637741685</v>
      </c>
      <c r="AL6" s="68">
        <f t="shared" si="8"/>
        <v>0.85016424437962423</v>
      </c>
      <c r="AM6" s="68">
        <f t="shared" si="9"/>
        <v>0.89326823333601868</v>
      </c>
      <c r="AN6" s="68">
        <f t="shared" si="10"/>
        <v>0.93508315558060684</v>
      </c>
      <c r="AO6" s="68">
        <f t="shared" si="11"/>
        <v>0.96231162184707697</v>
      </c>
      <c r="AP6" s="68">
        <f t="shared" si="12"/>
        <v>1</v>
      </c>
      <c r="AQ6" s="92"/>
      <c r="AT6" s="68">
        <f t="shared" si="15"/>
        <v>0.13461460292514818</v>
      </c>
      <c r="AU6" s="68">
        <f t="shared" si="16"/>
        <v>0.31791607945128675</v>
      </c>
      <c r="AV6" s="68">
        <f t="shared" si="17"/>
        <v>0.42232193481778763</v>
      </c>
      <c r="AW6" s="68">
        <f t="shared" si="18"/>
        <v>0.5081739309404848</v>
      </c>
      <c r="AX6" s="68">
        <f t="shared" si="19"/>
        <v>0.62555613007717659</v>
      </c>
      <c r="AY6" s="68">
        <f t="shared" si="20"/>
        <v>0.71932812750024155</v>
      </c>
      <c r="AZ6" s="68">
        <f t="shared" si="21"/>
        <v>0.76134913432186069</v>
      </c>
      <c r="BA6" s="68">
        <f t="shared" si="22"/>
        <v>0.81083371426008999</v>
      </c>
      <c r="BB6" s="68">
        <f t="shared" si="23"/>
        <v>0.86016799046646197</v>
      </c>
      <c r="BC6" s="68">
        <f t="shared" si="24"/>
        <v>0.92628202665785886</v>
      </c>
      <c r="BD6" s="68">
        <f t="shared" si="25"/>
        <v>0.97090386025715136</v>
      </c>
      <c r="BE6" s="68">
        <f t="shared" si="26"/>
        <v>1</v>
      </c>
      <c r="BG6" s="68">
        <f t="shared" si="27"/>
        <v>0.11304795397414166</v>
      </c>
      <c r="BH6" s="68">
        <f t="shared" si="13"/>
        <v>0.28261493170184382</v>
      </c>
      <c r="BI6" s="68">
        <f t="shared" si="13"/>
        <v>0.40399001418558622</v>
      </c>
      <c r="BJ6" s="68">
        <f t="shared" si="13"/>
        <v>0.50246984699398023</v>
      </c>
      <c r="BK6" s="68">
        <f t="shared" si="13"/>
        <v>0.62676010287708439</v>
      </c>
      <c r="BL6" s="68">
        <f t="shared" si="13"/>
        <v>0.7217611754953045</v>
      </c>
      <c r="BM6" s="68">
        <f t="shared" si="13"/>
        <v>0.77321380034963871</v>
      </c>
      <c r="BN6" s="68">
        <f t="shared" si="13"/>
        <v>0.83049897931985717</v>
      </c>
      <c r="BO6" s="68">
        <f t="shared" si="13"/>
        <v>0.87671811190124038</v>
      </c>
      <c r="BP6" s="68">
        <f t="shared" si="13"/>
        <v>0.9306825911192329</v>
      </c>
      <c r="BQ6" s="68">
        <f t="shared" si="13"/>
        <v>0.96660774105211411</v>
      </c>
      <c r="BR6" s="68">
        <f t="shared" si="13"/>
        <v>1</v>
      </c>
    </row>
    <row r="7" spans="1:70">
      <c r="A7" s="131" t="s">
        <v>123</v>
      </c>
      <c r="B7" s="62">
        <v>218715.5</v>
      </c>
      <c r="C7" s="62">
        <v>305742.28000000003</v>
      </c>
      <c r="D7" s="62">
        <v>209756.15</v>
      </c>
      <c r="E7" s="62">
        <v>118092.95</v>
      </c>
      <c r="F7" s="62">
        <v>143860.20000000001</v>
      </c>
      <c r="G7" s="62">
        <v>152996.60999999999</v>
      </c>
      <c r="H7" s="62">
        <v>45283.9</v>
      </c>
      <c r="I7" s="62">
        <v>57169.67</v>
      </c>
      <c r="J7" s="62">
        <v>38881.83</v>
      </c>
      <c r="K7" s="62">
        <v>41161.410000000003</v>
      </c>
      <c r="L7" s="62">
        <v>28359.88</v>
      </c>
      <c r="M7" s="62">
        <v>28141.439999999999</v>
      </c>
      <c r="N7" s="100">
        <f t="shared" si="0"/>
        <v>1388161.8199999996</v>
      </c>
      <c r="P7" s="131" t="s">
        <v>123</v>
      </c>
      <c r="Q7" s="62">
        <v>219996.2</v>
      </c>
      <c r="R7" s="62">
        <v>381221.96</v>
      </c>
      <c r="S7" s="62">
        <v>115044.54000000001</v>
      </c>
      <c r="T7" s="62">
        <v>94157.95</v>
      </c>
      <c r="U7" s="62">
        <v>129269.9</v>
      </c>
      <c r="V7" s="62">
        <v>150363.14000000001</v>
      </c>
      <c r="W7" s="62">
        <v>35951.490000000005</v>
      </c>
      <c r="X7" s="62">
        <v>41553.85</v>
      </c>
      <c r="Y7" s="62">
        <v>35146.21</v>
      </c>
      <c r="Z7" s="62">
        <v>26296.1</v>
      </c>
      <c r="AA7" s="62">
        <v>37535.58</v>
      </c>
      <c r="AB7" s="62">
        <v>33312.160000000003</v>
      </c>
      <c r="AC7" s="100">
        <f t="shared" si="14"/>
        <v>1299849.08</v>
      </c>
      <c r="AE7" s="68">
        <f t="shared" si="1"/>
        <v>0.15755763978582848</v>
      </c>
      <c r="AF7" s="68">
        <f t="shared" si="2"/>
        <v>0.37780737983414653</v>
      </c>
      <c r="AG7" s="68">
        <f t="shared" si="3"/>
        <v>0.52891090896016735</v>
      </c>
      <c r="AH7" s="68">
        <f t="shared" si="4"/>
        <v>0.61398236698369957</v>
      </c>
      <c r="AI7" s="68">
        <f t="shared" si="5"/>
        <v>0.71761596209294987</v>
      </c>
      <c r="AJ7" s="68">
        <f t="shared" si="6"/>
        <v>0.8278312178330911</v>
      </c>
      <c r="AK7" s="68">
        <f t="shared" si="7"/>
        <v>0.86045270284122943</v>
      </c>
      <c r="AL7" s="68">
        <f t="shared" si="8"/>
        <v>0.9016364244912024</v>
      </c>
      <c r="AM7" s="68">
        <f t="shared" si="9"/>
        <v>0.92964600481520243</v>
      </c>
      <c r="AN7" s="68">
        <f t="shared" si="10"/>
        <v>0.9592977423914455</v>
      </c>
      <c r="AO7" s="68">
        <f t="shared" si="11"/>
        <v>0.9797275507836688</v>
      </c>
      <c r="AP7" s="68">
        <f t="shared" si="12"/>
        <v>1</v>
      </c>
      <c r="AQ7" s="92"/>
      <c r="AT7" s="68">
        <f t="shared" si="15"/>
        <v>0.16924749448605217</v>
      </c>
      <c r="AU7" s="68">
        <f t="shared" si="16"/>
        <v>0.46252920377494899</v>
      </c>
      <c r="AV7" s="68">
        <f t="shared" si="17"/>
        <v>0.55103527864942603</v>
      </c>
      <c r="AW7" s="68">
        <f t="shared" si="18"/>
        <v>0.62347288040546978</v>
      </c>
      <c r="AX7" s="68">
        <f t="shared" si="19"/>
        <v>0.72292281039272654</v>
      </c>
      <c r="AY7" s="68">
        <f t="shared" si="20"/>
        <v>0.83860019349323223</v>
      </c>
      <c r="AZ7" s="68">
        <f t="shared" si="21"/>
        <v>0.86625839670556204</v>
      </c>
      <c r="BA7" s="68">
        <f t="shared" si="22"/>
        <v>0.89822660796898046</v>
      </c>
      <c r="BB7" s="68">
        <f t="shared" si="23"/>
        <v>0.92526529310618111</v>
      </c>
      <c r="BC7" s="68">
        <f t="shared" si="24"/>
        <v>0.94549541089800981</v>
      </c>
      <c r="BD7" s="68">
        <f t="shared" si="25"/>
        <v>0.97437228635804407</v>
      </c>
      <c r="BE7" s="68">
        <f t="shared" si="26"/>
        <v>1</v>
      </c>
      <c r="BG7" s="68">
        <f t="shared" si="27"/>
        <v>0.16340256713594031</v>
      </c>
      <c r="BH7" s="68">
        <f t="shared" si="13"/>
        <v>0.42016829180454773</v>
      </c>
      <c r="BI7" s="68">
        <f t="shared" si="13"/>
        <v>0.53997309380479663</v>
      </c>
      <c r="BJ7" s="68">
        <f t="shared" si="13"/>
        <v>0.61872762369458467</v>
      </c>
      <c r="BK7" s="68">
        <f t="shared" si="13"/>
        <v>0.72026938624283821</v>
      </c>
      <c r="BL7" s="68">
        <f t="shared" si="13"/>
        <v>0.83321570566316172</v>
      </c>
      <c r="BM7" s="68">
        <f t="shared" si="13"/>
        <v>0.86335554977339579</v>
      </c>
      <c r="BN7" s="68">
        <f t="shared" si="13"/>
        <v>0.89993151623009138</v>
      </c>
      <c r="BO7" s="68">
        <f t="shared" si="13"/>
        <v>0.92745564896069177</v>
      </c>
      <c r="BP7" s="68">
        <f t="shared" si="13"/>
        <v>0.95239657664472765</v>
      </c>
      <c r="BQ7" s="68">
        <f t="shared" si="13"/>
        <v>0.97704991857085643</v>
      </c>
      <c r="BR7" s="68">
        <f t="shared" si="13"/>
        <v>1</v>
      </c>
    </row>
    <row r="8" spans="1:70">
      <c r="A8" s="131" t="s">
        <v>124</v>
      </c>
      <c r="B8" s="62">
        <v>143258.89000000001</v>
      </c>
      <c r="C8" s="62">
        <v>132392.21</v>
      </c>
      <c r="D8" s="62">
        <v>116620.11</v>
      </c>
      <c r="E8" s="62">
        <v>55622.65</v>
      </c>
      <c r="F8" s="62">
        <v>78277.350000000006</v>
      </c>
      <c r="G8" s="62">
        <v>76501.77</v>
      </c>
      <c r="H8" s="62">
        <v>25319.1</v>
      </c>
      <c r="I8" s="62">
        <v>19626.45</v>
      </c>
      <c r="J8" s="62">
        <v>19979.77</v>
      </c>
      <c r="K8" s="62">
        <v>22529.62</v>
      </c>
      <c r="L8" s="62">
        <v>14752.38</v>
      </c>
      <c r="M8" s="62">
        <v>18998.66</v>
      </c>
      <c r="N8" s="100">
        <f t="shared" si="0"/>
        <v>723878.96</v>
      </c>
      <c r="P8" s="131" t="s">
        <v>124</v>
      </c>
      <c r="Q8" s="62">
        <v>139953.03</v>
      </c>
      <c r="R8" s="62">
        <v>189657.29</v>
      </c>
      <c r="S8" s="62">
        <v>57282.570000000007</v>
      </c>
      <c r="T8" s="62">
        <v>43714.15</v>
      </c>
      <c r="U8" s="62">
        <v>59486.080000000002</v>
      </c>
      <c r="V8" s="62">
        <v>67789.150000000009</v>
      </c>
      <c r="W8" s="62">
        <v>16477.28</v>
      </c>
      <c r="X8" s="62">
        <v>21953.829999999998</v>
      </c>
      <c r="Y8" s="62">
        <v>14252.32</v>
      </c>
      <c r="Z8" s="62">
        <v>17647.43</v>
      </c>
      <c r="AA8" s="62">
        <v>20708.8</v>
      </c>
      <c r="AB8" s="62">
        <v>15742.13</v>
      </c>
      <c r="AC8" s="100">
        <f t="shared" si="14"/>
        <v>664664.06000000006</v>
      </c>
      <c r="AE8" s="68">
        <f t="shared" si="1"/>
        <v>0.19790448115801021</v>
      </c>
      <c r="AF8" s="68">
        <f t="shared" si="2"/>
        <v>0.38079722609978883</v>
      </c>
      <c r="AG8" s="68">
        <f t="shared" si="3"/>
        <v>0.54190165991286721</v>
      </c>
      <c r="AH8" s="68">
        <f t="shared" si="4"/>
        <v>0.61874137079491853</v>
      </c>
      <c r="AI8" s="68">
        <f t="shared" si="5"/>
        <v>0.72687733595682902</v>
      </c>
      <c r="AJ8" s="68">
        <f t="shared" si="6"/>
        <v>0.83256043247893263</v>
      </c>
      <c r="AK8" s="68">
        <f t="shared" si="7"/>
        <v>0.86753741260831785</v>
      </c>
      <c r="AL8" s="68">
        <f t="shared" si="8"/>
        <v>0.89465030175763083</v>
      </c>
      <c r="AM8" s="68">
        <f t="shared" si="9"/>
        <v>0.92225128355712949</v>
      </c>
      <c r="AN8" s="68">
        <f t="shared" si="10"/>
        <v>0.95337474651839582</v>
      </c>
      <c r="AO8" s="68">
        <f t="shared" si="11"/>
        <v>0.97375436910060209</v>
      </c>
      <c r="AP8" s="68">
        <f t="shared" si="12"/>
        <v>1</v>
      </c>
      <c r="AQ8" s="92"/>
      <c r="AT8" s="68">
        <f t="shared" si="15"/>
        <v>0.21056205446101597</v>
      </c>
      <c r="AU8" s="68">
        <f t="shared" si="16"/>
        <v>0.4959051343922522</v>
      </c>
      <c r="AV8" s="68">
        <f t="shared" si="17"/>
        <v>0.58208787458735167</v>
      </c>
      <c r="AW8" s="68">
        <f t="shared" si="18"/>
        <v>0.64785666310887935</v>
      </c>
      <c r="AX8" s="68">
        <f t="shared" si="19"/>
        <v>0.7373546269374035</v>
      </c>
      <c r="AY8" s="68">
        <f t="shared" si="20"/>
        <v>0.83934472100086166</v>
      </c>
      <c r="AZ8" s="68">
        <f t="shared" si="21"/>
        <v>0.86413510909556324</v>
      </c>
      <c r="BA8" s="68">
        <f t="shared" si="22"/>
        <v>0.8971650731348404</v>
      </c>
      <c r="BB8" s="68">
        <f t="shared" si="23"/>
        <v>0.91860796565410785</v>
      </c>
      <c r="BC8" s="68">
        <f t="shared" si="24"/>
        <v>0.9451588671726886</v>
      </c>
      <c r="BD8" s="68">
        <f t="shared" si="25"/>
        <v>0.97631565937234521</v>
      </c>
      <c r="BE8" s="68">
        <f t="shared" si="26"/>
        <v>1</v>
      </c>
      <c r="BG8" s="68">
        <f t="shared" si="27"/>
        <v>0.20423326780951309</v>
      </c>
      <c r="BH8" s="68">
        <f t="shared" si="13"/>
        <v>0.43835118024602049</v>
      </c>
      <c r="BI8" s="68">
        <f t="shared" si="13"/>
        <v>0.56199476725010944</v>
      </c>
      <c r="BJ8" s="68">
        <f t="shared" si="13"/>
        <v>0.63329901695189894</v>
      </c>
      <c r="BK8" s="68">
        <f t="shared" si="13"/>
        <v>0.73211598144711632</v>
      </c>
      <c r="BL8" s="68">
        <f t="shared" si="13"/>
        <v>0.8359525767398972</v>
      </c>
      <c r="BM8" s="68">
        <f t="shared" si="13"/>
        <v>0.86583626085194054</v>
      </c>
      <c r="BN8" s="68">
        <f t="shared" si="13"/>
        <v>0.89590768744623561</v>
      </c>
      <c r="BO8" s="68">
        <f t="shared" si="13"/>
        <v>0.92042962460561872</v>
      </c>
      <c r="BP8" s="68">
        <f t="shared" si="13"/>
        <v>0.94926680684554221</v>
      </c>
      <c r="BQ8" s="68">
        <f t="shared" si="13"/>
        <v>0.97503501423647365</v>
      </c>
      <c r="BR8" s="68">
        <f t="shared" si="13"/>
        <v>1</v>
      </c>
    </row>
    <row r="9" spans="1:70">
      <c r="A9" s="131" t="s">
        <v>125</v>
      </c>
      <c r="B9" s="62">
        <v>261867.08</v>
      </c>
      <c r="C9" s="62">
        <v>385246.56</v>
      </c>
      <c r="D9" s="62">
        <v>222589.72</v>
      </c>
      <c r="E9" s="62">
        <v>126808.25</v>
      </c>
      <c r="F9" s="62">
        <v>153532.74</v>
      </c>
      <c r="G9" s="62">
        <v>143258.25</v>
      </c>
      <c r="H9" s="62">
        <v>36921.75</v>
      </c>
      <c r="I9" s="62">
        <v>40236.699999999997</v>
      </c>
      <c r="J9" s="62">
        <v>28483.45</v>
      </c>
      <c r="K9" s="62">
        <v>24216.2</v>
      </c>
      <c r="L9" s="62">
        <v>29424.81</v>
      </c>
      <c r="M9" s="62">
        <v>34692.86</v>
      </c>
      <c r="N9" s="100">
        <f t="shared" si="0"/>
        <v>1487278.37</v>
      </c>
      <c r="P9" s="131" t="s">
        <v>125</v>
      </c>
      <c r="Q9" s="62">
        <v>230250.98</v>
      </c>
      <c r="R9" s="62">
        <v>401049.09</v>
      </c>
      <c r="S9" s="62">
        <v>117665.68000000001</v>
      </c>
      <c r="T9" s="62">
        <v>93954.799999999988</v>
      </c>
      <c r="U9" s="62">
        <v>133084.01</v>
      </c>
      <c r="V9" s="62">
        <v>143558.67000000001</v>
      </c>
      <c r="W9" s="62">
        <v>49726.499999999993</v>
      </c>
      <c r="X9" s="62">
        <v>45253.84</v>
      </c>
      <c r="Y9" s="62">
        <v>37620.36</v>
      </c>
      <c r="Z9" s="62">
        <v>32063.88</v>
      </c>
      <c r="AA9" s="62">
        <v>56742.58</v>
      </c>
      <c r="AB9" s="62">
        <v>38931.089999999997</v>
      </c>
      <c r="AC9" s="100">
        <f t="shared" si="14"/>
        <v>1379901.4800000002</v>
      </c>
      <c r="AE9" s="68">
        <f t="shared" si="1"/>
        <v>0.17607132953866597</v>
      </c>
      <c r="AF9" s="68">
        <f t="shared" si="2"/>
        <v>0.43509920742006081</v>
      </c>
      <c r="AG9" s="68">
        <f t="shared" si="3"/>
        <v>0.58476165426920046</v>
      </c>
      <c r="AH9" s="68">
        <f t="shared" si="4"/>
        <v>0.67002360156693463</v>
      </c>
      <c r="AI9" s="68">
        <f t="shared" si="5"/>
        <v>0.77325426981097023</v>
      </c>
      <c r="AJ9" s="68">
        <f t="shared" si="6"/>
        <v>0.86957668859260018</v>
      </c>
      <c r="AK9" s="68">
        <f t="shared" si="7"/>
        <v>0.89440173193670525</v>
      </c>
      <c r="AL9" s="68">
        <f t="shared" si="8"/>
        <v>0.9214556451863144</v>
      </c>
      <c r="AM9" s="68">
        <f t="shared" si="9"/>
        <v>0.9406070364621788</v>
      </c>
      <c r="AN9" s="68">
        <f t="shared" si="10"/>
        <v>0.95688926075083025</v>
      </c>
      <c r="AO9" s="68">
        <f t="shared" si="11"/>
        <v>0.97667359339059034</v>
      </c>
      <c r="AP9" s="68">
        <f t="shared" si="12"/>
        <v>1</v>
      </c>
      <c r="AQ9" s="92"/>
      <c r="AT9" s="68">
        <f t="shared" si="15"/>
        <v>0.16686044861695487</v>
      </c>
      <c r="AU9" s="68">
        <f t="shared" si="16"/>
        <v>0.45749648011102934</v>
      </c>
      <c r="AV9" s="68">
        <f t="shared" si="17"/>
        <v>0.54276755323140891</v>
      </c>
      <c r="AW9" s="68">
        <f t="shared" si="18"/>
        <v>0.610855602531856</v>
      </c>
      <c r="AX9" s="68">
        <f t="shared" si="19"/>
        <v>0.7073001762415676</v>
      </c>
      <c r="AY9" s="68">
        <f t="shared" si="20"/>
        <v>0.81133562520709801</v>
      </c>
      <c r="AZ9" s="68">
        <f t="shared" si="21"/>
        <v>0.84737189353547171</v>
      </c>
      <c r="BA9" s="68">
        <f t="shared" si="22"/>
        <v>0.880166872492955</v>
      </c>
      <c r="BB9" s="68">
        <f t="shared" si="23"/>
        <v>0.90742994927434961</v>
      </c>
      <c r="BC9" s="68">
        <f t="shared" si="24"/>
        <v>0.93066630380018134</v>
      </c>
      <c r="BD9" s="68">
        <f t="shared" si="25"/>
        <v>0.97178705105816676</v>
      </c>
      <c r="BE9" s="68">
        <f t="shared" si="26"/>
        <v>1</v>
      </c>
      <c r="BG9" s="68">
        <f t="shared" si="27"/>
        <v>0.17146588907781041</v>
      </c>
      <c r="BH9" s="68">
        <f t="shared" si="13"/>
        <v>0.44629784376554504</v>
      </c>
      <c r="BI9" s="68">
        <f t="shared" si="13"/>
        <v>0.56376460375030468</v>
      </c>
      <c r="BJ9" s="68">
        <f t="shared" si="13"/>
        <v>0.64043960204939532</v>
      </c>
      <c r="BK9" s="68">
        <f t="shared" si="13"/>
        <v>0.74027722302626886</v>
      </c>
      <c r="BL9" s="68">
        <f t="shared" si="13"/>
        <v>0.84045615689984909</v>
      </c>
      <c r="BM9" s="68">
        <f t="shared" si="13"/>
        <v>0.87088681273608848</v>
      </c>
      <c r="BN9" s="68">
        <f t="shared" si="13"/>
        <v>0.90081125883963464</v>
      </c>
      <c r="BO9" s="68">
        <f t="shared" si="13"/>
        <v>0.92401849286826421</v>
      </c>
      <c r="BP9" s="68">
        <f t="shared" si="13"/>
        <v>0.94377778227550579</v>
      </c>
      <c r="BQ9" s="68">
        <f t="shared" si="13"/>
        <v>0.97423032222437855</v>
      </c>
      <c r="BR9" s="68">
        <f t="shared" si="13"/>
        <v>1</v>
      </c>
    </row>
    <row r="10" spans="1:70">
      <c r="A10" s="131" t="s">
        <v>126</v>
      </c>
      <c r="B10" s="62">
        <v>128711.7</v>
      </c>
      <c r="C10" s="62">
        <v>227208.42</v>
      </c>
      <c r="D10" s="62">
        <v>177911.2</v>
      </c>
      <c r="E10" s="62">
        <v>88379.23</v>
      </c>
      <c r="F10" s="62">
        <v>116906.83000000002</v>
      </c>
      <c r="G10" s="62">
        <v>114255.61</v>
      </c>
      <c r="H10" s="62">
        <v>32554.160000000003</v>
      </c>
      <c r="I10" s="62">
        <v>42881.67</v>
      </c>
      <c r="J10" s="62">
        <v>31684.82</v>
      </c>
      <c r="K10" s="62">
        <v>27976.560000000001</v>
      </c>
      <c r="L10" s="62">
        <v>27578.22</v>
      </c>
      <c r="M10" s="62">
        <v>28005.63</v>
      </c>
      <c r="N10" s="100">
        <f t="shared" si="0"/>
        <v>1044054.0500000002</v>
      </c>
      <c r="P10" s="131" t="s">
        <v>126</v>
      </c>
      <c r="Q10" s="62">
        <v>146855.85</v>
      </c>
      <c r="R10" s="62">
        <v>277212.68</v>
      </c>
      <c r="S10" s="62">
        <v>76819.41</v>
      </c>
      <c r="T10" s="62">
        <v>62210.66</v>
      </c>
      <c r="U10" s="62">
        <v>92465.78</v>
      </c>
      <c r="V10" s="62">
        <v>98390.97</v>
      </c>
      <c r="W10" s="62">
        <v>27547.7</v>
      </c>
      <c r="X10" s="62">
        <v>24966.78</v>
      </c>
      <c r="Y10" s="62">
        <v>20145.810000000001</v>
      </c>
      <c r="Z10" s="62">
        <v>22303.360000000001</v>
      </c>
      <c r="AA10" s="62">
        <v>22430.61</v>
      </c>
      <c r="AB10" s="62">
        <v>19569.190000000002</v>
      </c>
      <c r="AC10" s="100">
        <f t="shared" si="14"/>
        <v>890918.8</v>
      </c>
      <c r="AE10" s="68">
        <f t="shared" si="1"/>
        <v>0.12328068647403836</v>
      </c>
      <c r="AF10" s="68">
        <f t="shared" si="2"/>
        <v>0.34090200598331089</v>
      </c>
      <c r="AG10" s="68">
        <f t="shared" si="3"/>
        <v>0.51130621063152815</v>
      </c>
      <c r="AH10" s="68">
        <f t="shared" si="4"/>
        <v>0.59595626299232296</v>
      </c>
      <c r="AI10" s="68">
        <f t="shared" si="5"/>
        <v>0.70793018809706265</v>
      </c>
      <c r="AJ10" s="68">
        <f t="shared" si="6"/>
        <v>0.81736476191055429</v>
      </c>
      <c r="AK10" s="68">
        <f t="shared" si="7"/>
        <v>0.84854529322500116</v>
      </c>
      <c r="AL10" s="68">
        <f t="shared" si="8"/>
        <v>0.88961756338189579</v>
      </c>
      <c r="AM10" s="68">
        <f t="shared" si="9"/>
        <v>0.91996543665531494</v>
      </c>
      <c r="AN10" s="68">
        <f t="shared" si="10"/>
        <v>0.94676152063200181</v>
      </c>
      <c r="AO10" s="68">
        <f t="shared" si="11"/>
        <v>0.9731760726372356</v>
      </c>
      <c r="AP10" s="68">
        <f t="shared" si="12"/>
        <v>1</v>
      </c>
      <c r="AQ10" s="92"/>
      <c r="AT10" s="68">
        <f t="shared" si="15"/>
        <v>0.16483640259920432</v>
      </c>
      <c r="AU10" s="68">
        <f t="shared" si="16"/>
        <v>0.47599010145481274</v>
      </c>
      <c r="AV10" s="68">
        <f t="shared" si="17"/>
        <v>0.56221503014640617</v>
      </c>
      <c r="AW10" s="68">
        <f t="shared" si="18"/>
        <v>0.63204256100555978</v>
      </c>
      <c r="AX10" s="68">
        <f t="shared" si="19"/>
        <v>0.73582955034734943</v>
      </c>
      <c r="AY10" s="68">
        <f t="shared" si="20"/>
        <v>0.84626719068000367</v>
      </c>
      <c r="AZ10" s="68">
        <f t="shared" si="21"/>
        <v>0.87718774146420531</v>
      </c>
      <c r="BA10" s="68">
        <f t="shared" si="22"/>
        <v>0.90521137279850872</v>
      </c>
      <c r="BB10" s="68">
        <f t="shared" si="23"/>
        <v>0.92782377024707541</v>
      </c>
      <c r="BC10" s="68">
        <f t="shared" si="24"/>
        <v>0.9528578810998265</v>
      </c>
      <c r="BD10" s="68">
        <f t="shared" si="25"/>
        <v>0.97803482202867431</v>
      </c>
      <c r="BE10" s="68">
        <f t="shared" si="26"/>
        <v>1</v>
      </c>
      <c r="BG10" s="68">
        <f t="shared" si="27"/>
        <v>0.14405854453662134</v>
      </c>
      <c r="BH10" s="68">
        <f t="shared" si="13"/>
        <v>0.40844605371906184</v>
      </c>
      <c r="BI10" s="68">
        <f t="shared" si="13"/>
        <v>0.53676062038896721</v>
      </c>
      <c r="BJ10" s="68">
        <f t="shared" si="13"/>
        <v>0.61399941199894137</v>
      </c>
      <c r="BK10" s="68">
        <f t="shared" si="13"/>
        <v>0.72187986922220604</v>
      </c>
      <c r="BL10" s="68">
        <f t="shared" si="13"/>
        <v>0.83181597629527904</v>
      </c>
      <c r="BM10" s="68">
        <f t="shared" si="13"/>
        <v>0.86286651734460329</v>
      </c>
      <c r="BN10" s="68">
        <f t="shared" si="13"/>
        <v>0.89741446809020231</v>
      </c>
      <c r="BO10" s="68">
        <f t="shared" si="13"/>
        <v>0.92389460345119523</v>
      </c>
      <c r="BP10" s="68">
        <f t="shared" si="13"/>
        <v>0.9498097008659141</v>
      </c>
      <c r="BQ10" s="68">
        <f t="shared" si="13"/>
        <v>0.97560544733295496</v>
      </c>
      <c r="BR10" s="68">
        <f t="shared" si="13"/>
        <v>1</v>
      </c>
    </row>
    <row r="11" spans="1:70">
      <c r="A11" s="131" t="s">
        <v>127</v>
      </c>
      <c r="B11" s="62">
        <v>142031.79</v>
      </c>
      <c r="C11" s="62">
        <v>214628.73</v>
      </c>
      <c r="D11" s="62">
        <v>162946.67000000001</v>
      </c>
      <c r="E11" s="62">
        <v>105702.76</v>
      </c>
      <c r="F11" s="62">
        <v>121088.58</v>
      </c>
      <c r="G11" s="62">
        <v>125641.59</v>
      </c>
      <c r="H11" s="62">
        <v>35214.65</v>
      </c>
      <c r="I11" s="62">
        <v>33851.49</v>
      </c>
      <c r="J11" s="62">
        <v>23829.16</v>
      </c>
      <c r="K11" s="62">
        <v>25013.55</v>
      </c>
      <c r="L11" s="62">
        <v>21957.25</v>
      </c>
      <c r="M11" s="62">
        <v>26039.11</v>
      </c>
      <c r="N11" s="100">
        <f t="shared" si="0"/>
        <v>1037945.3300000001</v>
      </c>
      <c r="P11" s="131" t="s">
        <v>127</v>
      </c>
      <c r="Q11" s="62">
        <v>147828.78</v>
      </c>
      <c r="R11" s="62">
        <v>259975.77000000002</v>
      </c>
      <c r="S11" s="62">
        <v>94385.55</v>
      </c>
      <c r="T11" s="62">
        <v>76433.960000000006</v>
      </c>
      <c r="U11" s="62">
        <v>107052.17</v>
      </c>
      <c r="V11" s="62">
        <v>118597.93</v>
      </c>
      <c r="W11" s="62">
        <v>32089.719999999998</v>
      </c>
      <c r="X11" s="62">
        <v>35985.94</v>
      </c>
      <c r="Y11" s="62">
        <v>28888.309999999998</v>
      </c>
      <c r="Z11" s="62">
        <v>25397.64</v>
      </c>
      <c r="AA11" s="62">
        <v>25910.499999999996</v>
      </c>
      <c r="AB11" s="62">
        <v>18188.89</v>
      </c>
      <c r="AC11" s="100">
        <f t="shared" si="14"/>
        <v>970735.16000000015</v>
      </c>
      <c r="AE11" s="68">
        <f t="shared" si="1"/>
        <v>0.13683937476745522</v>
      </c>
      <c r="AF11" s="68">
        <f t="shared" si="2"/>
        <v>0.34362168188569236</v>
      </c>
      <c r="AG11" s="68">
        <f t="shared" si="3"/>
        <v>0.50061132795886276</v>
      </c>
      <c r="AH11" s="68">
        <f t="shared" si="4"/>
        <v>0.60244979376707641</v>
      </c>
      <c r="AI11" s="68">
        <f t="shared" si="5"/>
        <v>0.71911160292035803</v>
      </c>
      <c r="AJ11" s="68">
        <f t="shared" si="6"/>
        <v>0.84015997258738084</v>
      </c>
      <c r="AK11" s="68">
        <f t="shared" si="7"/>
        <v>0.87408724118446579</v>
      </c>
      <c r="AL11" s="68">
        <f t="shared" si="8"/>
        <v>0.90670118434850511</v>
      </c>
      <c r="AM11" s="68">
        <f t="shared" si="9"/>
        <v>0.92965919505606331</v>
      </c>
      <c r="AN11" s="68">
        <f t="shared" si="10"/>
        <v>0.95375829669179202</v>
      </c>
      <c r="AO11" s="68">
        <f t="shared" si="11"/>
        <v>0.97491283090989</v>
      </c>
      <c r="AP11" s="68">
        <f t="shared" si="12"/>
        <v>1</v>
      </c>
      <c r="AQ11" s="92"/>
      <c r="AT11" s="68">
        <f t="shared" si="15"/>
        <v>0.15228538749951118</v>
      </c>
      <c r="AU11" s="68">
        <f t="shared" si="16"/>
        <v>0.4200986703726689</v>
      </c>
      <c r="AV11" s="68">
        <f t="shared" si="17"/>
        <v>0.51732967002039976</v>
      </c>
      <c r="AW11" s="68">
        <f t="shared" si="18"/>
        <v>0.59606789147309758</v>
      </c>
      <c r="AX11" s="68">
        <f t="shared" si="19"/>
        <v>0.70634737285090199</v>
      </c>
      <c r="AY11" s="68">
        <f t="shared" si="20"/>
        <v>0.8285206852917536</v>
      </c>
      <c r="AZ11" s="68">
        <f t="shared" si="21"/>
        <v>0.86157781696091029</v>
      </c>
      <c r="BA11" s="68">
        <f t="shared" si="22"/>
        <v>0.89864862832412495</v>
      </c>
      <c r="BB11" s="68">
        <f t="shared" si="23"/>
        <v>0.92840783679865879</v>
      </c>
      <c r="BC11" s="68">
        <f t="shared" si="24"/>
        <v>0.95457114173138635</v>
      </c>
      <c r="BD11" s="68">
        <f t="shared" si="25"/>
        <v>0.98126276790056721</v>
      </c>
      <c r="BE11" s="68">
        <f t="shared" si="26"/>
        <v>1</v>
      </c>
      <c r="BG11" s="68">
        <f t="shared" si="27"/>
        <v>0.14456238113348319</v>
      </c>
      <c r="BH11" s="68">
        <f t="shared" si="13"/>
        <v>0.38186017612918066</v>
      </c>
      <c r="BI11" s="68">
        <f t="shared" si="13"/>
        <v>0.50897049898963131</v>
      </c>
      <c r="BJ11" s="68">
        <f t="shared" si="13"/>
        <v>0.599258842620087</v>
      </c>
      <c r="BK11" s="68">
        <f t="shared" si="13"/>
        <v>0.71272948788563006</v>
      </c>
      <c r="BL11" s="68">
        <f t="shared" si="13"/>
        <v>0.83434032893956722</v>
      </c>
      <c r="BM11" s="68">
        <f t="shared" si="13"/>
        <v>0.86783252907268804</v>
      </c>
      <c r="BN11" s="68">
        <f t="shared" si="13"/>
        <v>0.90267490633631509</v>
      </c>
      <c r="BO11" s="68">
        <f t="shared" si="13"/>
        <v>0.92903351592736105</v>
      </c>
      <c r="BP11" s="68">
        <f t="shared" si="13"/>
        <v>0.95416471921158919</v>
      </c>
      <c r="BQ11" s="68">
        <f t="shared" si="13"/>
        <v>0.97808779940522861</v>
      </c>
      <c r="BR11" s="68">
        <f t="shared" si="13"/>
        <v>1</v>
      </c>
    </row>
    <row r="12" spans="1:70">
      <c r="A12" s="131" t="s">
        <v>128</v>
      </c>
      <c r="B12" s="62">
        <v>46372.91</v>
      </c>
      <c r="C12" s="62">
        <v>60525.01</v>
      </c>
      <c r="D12" s="62">
        <v>55267.74</v>
      </c>
      <c r="E12" s="62">
        <v>40474.879999999997</v>
      </c>
      <c r="F12" s="62">
        <v>37072.35</v>
      </c>
      <c r="G12" s="62">
        <v>33471.82</v>
      </c>
      <c r="H12" s="62">
        <v>14016.180000000002</v>
      </c>
      <c r="I12" s="62">
        <v>14821.72</v>
      </c>
      <c r="J12" s="62">
        <v>11983.34</v>
      </c>
      <c r="K12" s="62">
        <v>9782.92</v>
      </c>
      <c r="L12" s="62">
        <v>10078.370000000001</v>
      </c>
      <c r="M12" s="62">
        <v>10378.02</v>
      </c>
      <c r="N12" s="100">
        <f t="shared" si="0"/>
        <v>344245.26</v>
      </c>
      <c r="P12" s="131" t="s">
        <v>128</v>
      </c>
      <c r="Q12" s="62">
        <v>56932.770000000004</v>
      </c>
      <c r="R12" s="62">
        <v>75406.58</v>
      </c>
      <c r="S12" s="62">
        <v>31677.31</v>
      </c>
      <c r="T12" s="62">
        <v>24151.489999999998</v>
      </c>
      <c r="U12" s="62">
        <v>36961.43</v>
      </c>
      <c r="V12" s="62">
        <v>33836.350000000006</v>
      </c>
      <c r="W12" s="62">
        <v>12761.65</v>
      </c>
      <c r="X12" s="62">
        <v>14859.25</v>
      </c>
      <c r="Y12" s="62">
        <v>9314.18</v>
      </c>
      <c r="Z12" s="62">
        <v>7967.03</v>
      </c>
      <c r="AA12" s="62">
        <v>13187.57</v>
      </c>
      <c r="AB12" s="62">
        <v>5661.15</v>
      </c>
      <c r="AC12" s="100">
        <f t="shared" si="14"/>
        <v>322716.76000000007</v>
      </c>
      <c r="AE12" s="68">
        <f t="shared" si="1"/>
        <v>0.13470892816360058</v>
      </c>
      <c r="AF12" s="68">
        <f t="shared" si="2"/>
        <v>0.31052837154533375</v>
      </c>
      <c r="AG12" s="68">
        <f t="shared" si="3"/>
        <v>0.47107594161209365</v>
      </c>
      <c r="AH12" s="68">
        <f t="shared" si="4"/>
        <v>0.58865164911784118</v>
      </c>
      <c r="AI12" s="68">
        <f t="shared" si="5"/>
        <v>0.69634332800980325</v>
      </c>
      <c r="AJ12" s="68">
        <f t="shared" si="6"/>
        <v>0.79357580696971697</v>
      </c>
      <c r="AK12" s="68">
        <f t="shared" si="7"/>
        <v>0.83429148741220138</v>
      </c>
      <c r="AL12" s="68">
        <f t="shared" si="8"/>
        <v>0.87734718555020907</v>
      </c>
      <c r="AM12" s="68">
        <f t="shared" si="9"/>
        <v>0.91215765759563405</v>
      </c>
      <c r="AN12" s="68">
        <f t="shared" si="10"/>
        <v>0.9405761171555419</v>
      </c>
      <c r="AO12" s="68">
        <f t="shared" si="11"/>
        <v>0.96985283108909037</v>
      </c>
      <c r="AP12" s="68">
        <f t="shared" si="12"/>
        <v>1</v>
      </c>
      <c r="AQ12" s="92"/>
      <c r="AT12" s="68">
        <f t="shared" si="15"/>
        <v>0.17641714672643588</v>
      </c>
      <c r="AU12" s="68">
        <f t="shared" si="16"/>
        <v>0.41007894972668907</v>
      </c>
      <c r="AV12" s="68">
        <f t="shared" si="17"/>
        <v>0.50823719226729958</v>
      </c>
      <c r="AW12" s="68">
        <f t="shared" si="18"/>
        <v>0.58307523290702334</v>
      </c>
      <c r="AX12" s="68">
        <f t="shared" si="19"/>
        <v>0.69760733839791877</v>
      </c>
      <c r="AY12" s="68">
        <f t="shared" si="20"/>
        <v>0.80245578196806366</v>
      </c>
      <c r="AZ12" s="68">
        <f t="shared" si="21"/>
        <v>0.84200021095898447</v>
      </c>
      <c r="BA12" s="68">
        <f t="shared" si="22"/>
        <v>0.88804445731296988</v>
      </c>
      <c r="BB12" s="68">
        <f t="shared" si="23"/>
        <v>0.91690623691189743</v>
      </c>
      <c r="BC12" s="68">
        <f t="shared" si="24"/>
        <v>0.9415936129254644</v>
      </c>
      <c r="BD12" s="68">
        <f t="shared" si="25"/>
        <v>0.98245783702092193</v>
      </c>
      <c r="BE12" s="68">
        <f t="shared" si="26"/>
        <v>1</v>
      </c>
      <c r="BG12" s="68">
        <f t="shared" si="27"/>
        <v>0.15556303744501823</v>
      </c>
      <c r="BH12" s="68">
        <f t="shared" si="13"/>
        <v>0.36030366063601138</v>
      </c>
      <c r="BI12" s="68">
        <f t="shared" si="13"/>
        <v>0.48965656693969661</v>
      </c>
      <c r="BJ12" s="68">
        <f t="shared" si="13"/>
        <v>0.58586344101243226</v>
      </c>
      <c r="BK12" s="68">
        <f t="shared" si="13"/>
        <v>0.69697533320386107</v>
      </c>
      <c r="BL12" s="68">
        <f t="shared" si="13"/>
        <v>0.79801579446889037</v>
      </c>
      <c r="BM12" s="68">
        <f t="shared" si="13"/>
        <v>0.83814584918559287</v>
      </c>
      <c r="BN12" s="68">
        <f t="shared" si="13"/>
        <v>0.88269582143158942</v>
      </c>
      <c r="BO12" s="68">
        <f t="shared" si="13"/>
        <v>0.91453194725376574</v>
      </c>
      <c r="BP12" s="68">
        <f t="shared" si="13"/>
        <v>0.94108486504050315</v>
      </c>
      <c r="BQ12" s="68">
        <f t="shared" si="13"/>
        <v>0.97615533405500621</v>
      </c>
      <c r="BR12" s="68">
        <f t="shared" si="13"/>
        <v>1</v>
      </c>
    </row>
    <row r="13" spans="1:70">
      <c r="A13" s="131" t="s">
        <v>129</v>
      </c>
      <c r="B13" s="62">
        <v>97815.87</v>
      </c>
      <c r="C13" s="62">
        <v>135847.39000000001</v>
      </c>
      <c r="D13" s="62">
        <v>121941.64</v>
      </c>
      <c r="E13" s="62">
        <v>87592.06</v>
      </c>
      <c r="F13" s="62">
        <v>100983.69</v>
      </c>
      <c r="G13" s="62">
        <v>94138.38</v>
      </c>
      <c r="H13" s="62">
        <v>24931.07</v>
      </c>
      <c r="I13" s="62">
        <v>23678.240000000002</v>
      </c>
      <c r="J13" s="62">
        <v>15299.07</v>
      </c>
      <c r="K13" s="62">
        <v>19846.57</v>
      </c>
      <c r="L13" s="62">
        <v>19815.48</v>
      </c>
      <c r="M13" s="62">
        <v>17279.61</v>
      </c>
      <c r="N13" s="100">
        <f t="shared" si="0"/>
        <v>759169.06999999983</v>
      </c>
      <c r="P13" s="131" t="s">
        <v>129</v>
      </c>
      <c r="Q13" s="62">
        <v>108475.31</v>
      </c>
      <c r="R13" s="62">
        <v>160612.20000000001</v>
      </c>
      <c r="S13" s="62">
        <v>73493.789999999994</v>
      </c>
      <c r="T13" s="62">
        <v>49631.31</v>
      </c>
      <c r="U13" s="62">
        <v>89424.89</v>
      </c>
      <c r="V13" s="62">
        <v>70780.42</v>
      </c>
      <c r="W13" s="62">
        <v>27156.46</v>
      </c>
      <c r="X13" s="62">
        <v>23073.05</v>
      </c>
      <c r="Y13" s="62">
        <v>16484.73</v>
      </c>
      <c r="Z13" s="62">
        <v>21985.03</v>
      </c>
      <c r="AA13" s="62">
        <v>28962.92</v>
      </c>
      <c r="AB13" s="62">
        <v>15326.4</v>
      </c>
      <c r="AC13" s="100">
        <f t="shared" si="14"/>
        <v>685406.51000000013</v>
      </c>
      <c r="AE13" s="68">
        <f t="shared" si="1"/>
        <v>0.12884596312650096</v>
      </c>
      <c r="AF13" s="68">
        <f t="shared" si="2"/>
        <v>0.30778817161241839</v>
      </c>
      <c r="AG13" s="68">
        <f t="shared" si="3"/>
        <v>0.46841331404610581</v>
      </c>
      <c r="AH13" s="68">
        <f t="shared" si="4"/>
        <v>0.58379217161731856</v>
      </c>
      <c r="AI13" s="68">
        <f t="shared" si="5"/>
        <v>0.71681088113876945</v>
      </c>
      <c r="AJ13" s="68">
        <f t="shared" si="6"/>
        <v>0.84081274544022211</v>
      </c>
      <c r="AK13" s="68">
        <f t="shared" si="7"/>
        <v>0.87365268977567823</v>
      </c>
      <c r="AL13" s="68">
        <f t="shared" si="8"/>
        <v>0.90484236930253248</v>
      </c>
      <c r="AM13" s="68">
        <f t="shared" si="9"/>
        <v>0.92499475775534434</v>
      </c>
      <c r="AN13" s="68">
        <f t="shared" si="10"/>
        <v>0.95113724799141253</v>
      </c>
      <c r="AO13" s="68">
        <f t="shared" si="11"/>
        <v>0.97723878555800492</v>
      </c>
      <c r="AP13" s="68">
        <f t="shared" si="12"/>
        <v>1</v>
      </c>
      <c r="AQ13" s="92"/>
      <c r="AT13" s="68">
        <f t="shared" si="15"/>
        <v>0.15826419565229979</v>
      </c>
      <c r="AU13" s="68">
        <f t="shared" si="16"/>
        <v>0.39259549781632502</v>
      </c>
      <c r="AV13" s="68">
        <f t="shared" si="17"/>
        <v>0.49982206909590038</v>
      </c>
      <c r="AW13" s="68">
        <f t="shared" si="18"/>
        <v>0.5722335639910977</v>
      </c>
      <c r="AX13" s="68">
        <f t="shared" si="19"/>
        <v>0.70270342194444568</v>
      </c>
      <c r="AY13" s="68">
        <f t="shared" si="20"/>
        <v>0.8059712184525355</v>
      </c>
      <c r="AZ13" s="68">
        <f t="shared" si="21"/>
        <v>0.84559217273848175</v>
      </c>
      <c r="BA13" s="68">
        <f t="shared" si="22"/>
        <v>0.87925548007998922</v>
      </c>
      <c r="BB13" s="68">
        <f t="shared" si="23"/>
        <v>0.90330650638261356</v>
      </c>
      <c r="BC13" s="68">
        <f t="shared" si="24"/>
        <v>0.93538240539909656</v>
      </c>
      <c r="BD13" s="68">
        <f t="shared" si="25"/>
        <v>0.97763896348168622</v>
      </c>
      <c r="BE13" s="68">
        <f t="shared" si="26"/>
        <v>1</v>
      </c>
      <c r="BG13" s="68">
        <f t="shared" si="27"/>
        <v>0.14355507938940038</v>
      </c>
      <c r="BH13" s="68">
        <f t="shared" si="13"/>
        <v>0.35019183471437171</v>
      </c>
      <c r="BI13" s="68">
        <f t="shared" si="13"/>
        <v>0.48411769157100309</v>
      </c>
      <c r="BJ13" s="68">
        <f t="shared" si="13"/>
        <v>0.57801286780420813</v>
      </c>
      <c r="BK13" s="68">
        <f t="shared" si="13"/>
        <v>0.70975715154160757</v>
      </c>
      <c r="BL13" s="68">
        <f t="shared" si="13"/>
        <v>0.82339198194637886</v>
      </c>
      <c r="BM13" s="68">
        <f t="shared" si="13"/>
        <v>0.85962243125707993</v>
      </c>
      <c r="BN13" s="68">
        <f t="shared" si="13"/>
        <v>0.89204892469126085</v>
      </c>
      <c r="BO13" s="68">
        <f t="shared" si="13"/>
        <v>0.91415063206897895</v>
      </c>
      <c r="BP13" s="68">
        <f t="shared" si="13"/>
        <v>0.94325982669525454</v>
      </c>
      <c r="BQ13" s="68">
        <f t="shared" si="13"/>
        <v>0.97743887451984557</v>
      </c>
      <c r="BR13" s="68">
        <f t="shared" si="13"/>
        <v>1</v>
      </c>
    </row>
    <row r="14" spans="1:70">
      <c r="A14" s="131" t="s">
        <v>130</v>
      </c>
      <c r="B14" s="62">
        <v>153732.75</v>
      </c>
      <c r="C14" s="62">
        <v>146671.82999999999</v>
      </c>
      <c r="D14" s="62">
        <v>102644.02</v>
      </c>
      <c r="E14" s="62">
        <v>77217.279999999999</v>
      </c>
      <c r="F14" s="62">
        <v>83020.259999999995</v>
      </c>
      <c r="G14" s="62">
        <v>75046.7</v>
      </c>
      <c r="H14" s="62">
        <v>25774.520000000004</v>
      </c>
      <c r="I14" s="62">
        <v>23449.22</v>
      </c>
      <c r="J14" s="62">
        <v>22866.62</v>
      </c>
      <c r="K14" s="62">
        <v>21602.38</v>
      </c>
      <c r="L14" s="62">
        <v>15312.72</v>
      </c>
      <c r="M14" s="62">
        <v>21486.77</v>
      </c>
      <c r="N14" s="100">
        <f t="shared" si="0"/>
        <v>768825.07</v>
      </c>
      <c r="P14" s="131" t="s">
        <v>130</v>
      </c>
      <c r="Q14" s="62">
        <v>162745.49</v>
      </c>
      <c r="R14" s="62">
        <v>173986.86000000002</v>
      </c>
      <c r="S14" s="62">
        <v>61337.68</v>
      </c>
      <c r="T14" s="62">
        <v>50755.63</v>
      </c>
      <c r="U14" s="62">
        <v>84872.83</v>
      </c>
      <c r="V14" s="62">
        <v>78312.14</v>
      </c>
      <c r="W14" s="62">
        <v>24177.56</v>
      </c>
      <c r="X14" s="62">
        <v>29594.14</v>
      </c>
      <c r="Y14" s="62">
        <v>21198.22</v>
      </c>
      <c r="Z14" s="62">
        <v>21389</v>
      </c>
      <c r="AA14" s="62">
        <v>19431.219999999998</v>
      </c>
      <c r="AB14" s="62">
        <v>15816.61</v>
      </c>
      <c r="AC14" s="100">
        <f t="shared" si="14"/>
        <v>743617.38</v>
      </c>
      <c r="AE14" s="68">
        <f t="shared" si="1"/>
        <v>0.19995803466710577</v>
      </c>
      <c r="AF14" s="68">
        <f t="shared" si="2"/>
        <v>0.39073202958899345</v>
      </c>
      <c r="AG14" s="68">
        <f t="shared" si="3"/>
        <v>0.52423966871943961</v>
      </c>
      <c r="AH14" s="68">
        <f t="shared" si="4"/>
        <v>0.62467510327154141</v>
      </c>
      <c r="AI14" s="68">
        <f t="shared" si="5"/>
        <v>0.73265839263019872</v>
      </c>
      <c r="AJ14" s="68">
        <f t="shared" si="6"/>
        <v>0.83027058417853106</v>
      </c>
      <c r="AK14" s="68">
        <f t="shared" si="7"/>
        <v>0.86379514133169466</v>
      </c>
      <c r="AL14" s="68">
        <f t="shared" si="8"/>
        <v>0.89429521334417461</v>
      </c>
      <c r="AM14" s="68">
        <f t="shared" si="9"/>
        <v>0.92403750569684207</v>
      </c>
      <c r="AN14" s="68">
        <f t="shared" si="10"/>
        <v>0.95213541878908814</v>
      </c>
      <c r="AO14" s="68">
        <f t="shared" si="11"/>
        <v>0.97205245921546235</v>
      </c>
      <c r="AP14" s="68">
        <f t="shared" si="12"/>
        <v>1</v>
      </c>
      <c r="AQ14" s="92"/>
      <c r="AT14" s="68">
        <f t="shared" si="15"/>
        <v>0.2188564904171551</v>
      </c>
      <c r="AU14" s="68">
        <f t="shared" si="16"/>
        <v>0.45283012347021795</v>
      </c>
      <c r="AV14" s="68">
        <f t="shared" si="17"/>
        <v>0.5353156619335605</v>
      </c>
      <c r="AW14" s="68">
        <f t="shared" si="18"/>
        <v>0.60357069653213324</v>
      </c>
      <c r="AX14" s="68">
        <f t="shared" si="19"/>
        <v>0.71770577766754184</v>
      </c>
      <c r="AY14" s="68">
        <f t="shared" si="20"/>
        <v>0.82301818981153996</v>
      </c>
      <c r="AZ14" s="68">
        <f t="shared" si="21"/>
        <v>0.85553163106542784</v>
      </c>
      <c r="BA14" s="68">
        <f t="shared" si="22"/>
        <v>0.89532916780401239</v>
      </c>
      <c r="BB14" s="68">
        <f t="shared" si="23"/>
        <v>0.92383605934546609</v>
      </c>
      <c r="BC14" s="68">
        <f t="shared" si="24"/>
        <v>0.95259950755857814</v>
      </c>
      <c r="BD14" s="68">
        <f t="shared" si="25"/>
        <v>0.9787301770703638</v>
      </c>
      <c r="BE14" s="68">
        <f t="shared" si="26"/>
        <v>1</v>
      </c>
      <c r="BG14" s="68">
        <f t="shared" si="27"/>
        <v>0.20940726254213043</v>
      </c>
      <c r="BH14" s="68">
        <f t="shared" si="13"/>
        <v>0.42178107652960573</v>
      </c>
      <c r="BI14" s="68">
        <f t="shared" si="13"/>
        <v>0.52977766532650006</v>
      </c>
      <c r="BJ14" s="68">
        <f t="shared" si="13"/>
        <v>0.61412289990183733</v>
      </c>
      <c r="BK14" s="68">
        <f t="shared" si="13"/>
        <v>0.72518208514887028</v>
      </c>
      <c r="BL14" s="68">
        <f t="shared" si="13"/>
        <v>0.82664438699503551</v>
      </c>
      <c r="BM14" s="68">
        <f t="shared" si="13"/>
        <v>0.8596633861985612</v>
      </c>
      <c r="BN14" s="68">
        <f t="shared" si="13"/>
        <v>0.89481219057409356</v>
      </c>
      <c r="BO14" s="68">
        <f t="shared" si="13"/>
        <v>0.92393678252115408</v>
      </c>
      <c r="BP14" s="68">
        <f t="shared" si="13"/>
        <v>0.95236746317383314</v>
      </c>
      <c r="BQ14" s="68">
        <f t="shared" si="13"/>
        <v>0.97539131814291302</v>
      </c>
      <c r="BR14" s="68">
        <f t="shared" si="13"/>
        <v>1</v>
      </c>
    </row>
    <row r="15" spans="1:70">
      <c r="A15" s="131" t="s">
        <v>131</v>
      </c>
      <c r="B15" s="62">
        <v>815124.91</v>
      </c>
      <c r="C15" s="62">
        <v>769429.77</v>
      </c>
      <c r="D15" s="62">
        <v>537283.21</v>
      </c>
      <c r="E15" s="62">
        <v>324833.07</v>
      </c>
      <c r="F15" s="62">
        <v>378592.45</v>
      </c>
      <c r="G15" s="62">
        <v>350469.62</v>
      </c>
      <c r="H15" s="62">
        <v>107236.02</v>
      </c>
      <c r="I15" s="62">
        <v>110792.37</v>
      </c>
      <c r="J15" s="62">
        <v>83284.19</v>
      </c>
      <c r="K15" s="62">
        <v>88467.79</v>
      </c>
      <c r="L15" s="62">
        <v>70077.22</v>
      </c>
      <c r="M15" s="62">
        <v>64868.160000000003</v>
      </c>
      <c r="N15" s="100">
        <f t="shared" si="0"/>
        <v>3700458.7800000007</v>
      </c>
      <c r="P15" s="131" t="s">
        <v>131</v>
      </c>
      <c r="Q15" s="62">
        <v>1566407</v>
      </c>
      <c r="R15" s="62">
        <v>335006</v>
      </c>
      <c r="S15" s="62">
        <v>377882.64999999997</v>
      </c>
      <c r="T15" s="62">
        <v>124804.32</v>
      </c>
      <c r="U15" s="62">
        <v>516642.49</v>
      </c>
      <c r="V15" s="62">
        <v>156064.23000000001</v>
      </c>
      <c r="W15" s="62">
        <v>71107.25</v>
      </c>
      <c r="X15" s="62">
        <v>89041.83</v>
      </c>
      <c r="Y15" s="62">
        <v>74310.75</v>
      </c>
      <c r="Z15" s="62">
        <v>76522.34</v>
      </c>
      <c r="AA15" s="62">
        <v>89227.180000000008</v>
      </c>
      <c r="AB15" s="62">
        <v>65480.630000000005</v>
      </c>
      <c r="AC15" s="100">
        <f t="shared" si="14"/>
        <v>3542496.67</v>
      </c>
      <c r="AE15" s="68">
        <f t="shared" si="1"/>
        <v>0.22027671660755532</v>
      </c>
      <c r="AF15" s="68">
        <f t="shared" si="2"/>
        <v>0.42820492652535369</v>
      </c>
      <c r="AG15" s="68">
        <f t="shared" si="3"/>
        <v>0.5733986016728444</v>
      </c>
      <c r="AH15" s="68">
        <f t="shared" si="4"/>
        <v>0.66118043882115596</v>
      </c>
      <c r="AI15" s="68">
        <f t="shared" si="5"/>
        <v>0.76349003676781924</v>
      </c>
      <c r="AJ15" s="68">
        <f t="shared" si="6"/>
        <v>0.85819981218653096</v>
      </c>
      <c r="AK15" s="68">
        <f t="shared" si="7"/>
        <v>0.88717892704104107</v>
      </c>
      <c r="AL15" s="68">
        <f t="shared" si="8"/>
        <v>0.91711909840541439</v>
      </c>
      <c r="AM15" s="68">
        <f t="shared" si="9"/>
        <v>0.93962554826782851</v>
      </c>
      <c r="AN15" s="68">
        <f t="shared" si="10"/>
        <v>0.96353279741167652</v>
      </c>
      <c r="AO15" s="68">
        <f t="shared" si="11"/>
        <v>0.98247023846054027</v>
      </c>
      <c r="AP15" s="68">
        <f t="shared" si="12"/>
        <v>1</v>
      </c>
      <c r="AQ15" s="92"/>
      <c r="AT15" s="68">
        <f t="shared" si="15"/>
        <v>0.44217599786762823</v>
      </c>
      <c r="AU15" s="68">
        <f t="shared" si="16"/>
        <v>0.53674376495603027</v>
      </c>
      <c r="AV15" s="68">
        <f t="shared" si="17"/>
        <v>0.64341504377476233</v>
      </c>
      <c r="AW15" s="68">
        <f t="shared" si="18"/>
        <v>0.6786456541679684</v>
      </c>
      <c r="AX15" s="68">
        <f t="shared" si="19"/>
        <v>0.82448700227006844</v>
      </c>
      <c r="AY15" s="68">
        <f t="shared" si="20"/>
        <v>0.86854187219320655</v>
      </c>
      <c r="AZ15" s="68">
        <f t="shared" si="21"/>
        <v>0.88861450926924934</v>
      </c>
      <c r="BA15" s="68">
        <f t="shared" si="22"/>
        <v>0.91374984129484027</v>
      </c>
      <c r="BB15" s="68">
        <f t="shared" si="23"/>
        <v>0.93472678409038568</v>
      </c>
      <c r="BC15" s="68">
        <f t="shared" si="24"/>
        <v>0.95632802951936158</v>
      </c>
      <c r="BD15" s="68">
        <f t="shared" si="25"/>
        <v>0.98151568340076945</v>
      </c>
      <c r="BE15" s="68">
        <f t="shared" si="26"/>
        <v>1</v>
      </c>
      <c r="BG15" s="68">
        <f t="shared" si="27"/>
        <v>0.33122635723759175</v>
      </c>
      <c r="BH15" s="68">
        <f t="shared" si="13"/>
        <v>0.48247434574069198</v>
      </c>
      <c r="BI15" s="68">
        <f t="shared" si="13"/>
        <v>0.60840682272380331</v>
      </c>
      <c r="BJ15" s="68">
        <f t="shared" si="13"/>
        <v>0.66991304649456218</v>
      </c>
      <c r="BK15" s="68">
        <f t="shared" si="13"/>
        <v>0.79398851951894378</v>
      </c>
      <c r="BL15" s="68">
        <f t="shared" si="13"/>
        <v>0.8633708421898687</v>
      </c>
      <c r="BM15" s="68">
        <f t="shared" si="13"/>
        <v>0.88789671815514515</v>
      </c>
      <c r="BN15" s="68">
        <f t="shared" si="13"/>
        <v>0.91543446985012733</v>
      </c>
      <c r="BO15" s="68">
        <f t="shared" si="13"/>
        <v>0.93717616617910715</v>
      </c>
      <c r="BP15" s="68">
        <f t="shared" si="13"/>
        <v>0.95993041346551911</v>
      </c>
      <c r="BQ15" s="68">
        <f t="shared" si="13"/>
        <v>0.9819929609306548</v>
      </c>
      <c r="BR15" s="68">
        <f t="shared" si="13"/>
        <v>1</v>
      </c>
    </row>
    <row r="16" spans="1:70">
      <c r="A16" s="131" t="s">
        <v>132</v>
      </c>
      <c r="B16" s="62">
        <v>88356.57</v>
      </c>
      <c r="C16" s="62">
        <v>102794.66</v>
      </c>
      <c r="D16" s="62">
        <v>83255.86</v>
      </c>
      <c r="E16" s="62">
        <v>70180.45</v>
      </c>
      <c r="F16" s="62">
        <v>65994.720000000001</v>
      </c>
      <c r="G16" s="62">
        <v>63958.36</v>
      </c>
      <c r="H16" s="62">
        <v>21169.96</v>
      </c>
      <c r="I16" s="62">
        <v>23959.360000000001</v>
      </c>
      <c r="J16" s="62">
        <v>16440.099999999999</v>
      </c>
      <c r="K16" s="62">
        <v>17682.060000000001</v>
      </c>
      <c r="L16" s="62">
        <v>13010.45</v>
      </c>
      <c r="M16" s="62">
        <v>10631.05</v>
      </c>
      <c r="N16" s="100">
        <f t="shared" si="0"/>
        <v>577433.60000000009</v>
      </c>
      <c r="P16" s="131" t="s">
        <v>132</v>
      </c>
      <c r="Q16" s="62">
        <v>107902.51</v>
      </c>
      <c r="R16" s="62">
        <v>140935.73000000001</v>
      </c>
      <c r="S16" s="62">
        <v>74659.14</v>
      </c>
      <c r="T16" s="62">
        <v>29775.599999999999</v>
      </c>
      <c r="U16" s="62">
        <v>90909.43</v>
      </c>
      <c r="V16" s="62">
        <v>31173.13</v>
      </c>
      <c r="W16" s="62">
        <v>17150.86</v>
      </c>
      <c r="X16" s="62">
        <v>14777.75</v>
      </c>
      <c r="Y16" s="62">
        <v>17745.46</v>
      </c>
      <c r="Z16" s="62">
        <v>16412.36</v>
      </c>
      <c r="AA16" s="62">
        <v>21783.33</v>
      </c>
      <c r="AB16" s="62">
        <v>14130.11</v>
      </c>
      <c r="AC16" s="100">
        <f t="shared" si="14"/>
        <v>577355.40999999992</v>
      </c>
      <c r="AE16" s="68">
        <f t="shared" si="1"/>
        <v>0.15301598313641601</v>
      </c>
      <c r="AF16" s="68">
        <f t="shared" si="2"/>
        <v>0.33103586282474728</v>
      </c>
      <c r="AG16" s="68">
        <f t="shared" si="3"/>
        <v>0.47521843204136366</v>
      </c>
      <c r="AH16" s="68">
        <f t="shared" si="4"/>
        <v>0.59675699508999824</v>
      </c>
      <c r="AI16" s="68">
        <f t="shared" si="5"/>
        <v>0.71104670736167752</v>
      </c>
      <c r="AJ16" s="68">
        <f t="shared" si="6"/>
        <v>0.82180984965197712</v>
      </c>
      <c r="AK16" s="68">
        <f t="shared" si="7"/>
        <v>0.85847200440015947</v>
      </c>
      <c r="AL16" s="68">
        <f t="shared" si="8"/>
        <v>0.89996484444272018</v>
      </c>
      <c r="AM16" s="68">
        <f t="shared" si="9"/>
        <v>0.9284358236167759</v>
      </c>
      <c r="AN16" s="68">
        <f t="shared" si="10"/>
        <v>0.95905763017600643</v>
      </c>
      <c r="AO16" s="68">
        <f t="shared" si="11"/>
        <v>0.9815891385606933</v>
      </c>
      <c r="AP16" s="68">
        <f t="shared" si="12"/>
        <v>1</v>
      </c>
      <c r="AQ16" s="92"/>
      <c r="AT16" s="68">
        <f t="shared" si="15"/>
        <v>0.18689096547999787</v>
      </c>
      <c r="AU16" s="68">
        <f t="shared" si="16"/>
        <v>0.43099663688957213</v>
      </c>
      <c r="AV16" s="68">
        <f t="shared" si="17"/>
        <v>0.56030890920377807</v>
      </c>
      <c r="AW16" s="68">
        <f t="shared" si="18"/>
        <v>0.61188130202157465</v>
      </c>
      <c r="AX16" s="68">
        <f t="shared" si="19"/>
        <v>0.76933965163676221</v>
      </c>
      <c r="AY16" s="68">
        <f t="shared" si="20"/>
        <v>0.82333261586654227</v>
      </c>
      <c r="AZ16" s="68">
        <f t="shared" si="21"/>
        <v>0.85303851227444116</v>
      </c>
      <c r="BA16" s="68">
        <f t="shared" si="22"/>
        <v>0.87863409818919003</v>
      </c>
      <c r="BB16" s="68">
        <f t="shared" si="23"/>
        <v>0.90936986283717347</v>
      </c>
      <c r="BC16" s="68">
        <f t="shared" si="24"/>
        <v>0.93779665111304678</v>
      </c>
      <c r="BD16" s="68">
        <f t="shared" si="25"/>
        <v>0.97552614948217076</v>
      </c>
      <c r="BE16" s="68">
        <f t="shared" si="26"/>
        <v>1</v>
      </c>
      <c r="BG16" s="68">
        <f t="shared" si="27"/>
        <v>0.16995347430820695</v>
      </c>
      <c r="BH16" s="68">
        <f t="shared" si="13"/>
        <v>0.38101624985715971</v>
      </c>
      <c r="BI16" s="68">
        <f t="shared" si="13"/>
        <v>0.51776367062257089</v>
      </c>
      <c r="BJ16" s="68">
        <f t="shared" si="13"/>
        <v>0.60431914855578639</v>
      </c>
      <c r="BK16" s="68">
        <f t="shared" si="13"/>
        <v>0.74019317949921981</v>
      </c>
      <c r="BL16" s="68">
        <f t="shared" si="13"/>
        <v>0.8225712327592597</v>
      </c>
      <c r="BM16" s="68">
        <f t="shared" si="13"/>
        <v>0.85575525833730026</v>
      </c>
      <c r="BN16" s="68">
        <f t="shared" si="13"/>
        <v>0.8892994713159551</v>
      </c>
      <c r="BO16" s="68">
        <f t="shared" si="13"/>
        <v>0.91890284322697469</v>
      </c>
      <c r="BP16" s="68">
        <f t="shared" si="13"/>
        <v>0.9484271406445266</v>
      </c>
      <c r="BQ16" s="68">
        <f t="shared" si="13"/>
        <v>0.97855764402143208</v>
      </c>
      <c r="BR16" s="68">
        <f t="shared" si="13"/>
        <v>1</v>
      </c>
    </row>
    <row r="17" spans="1:70">
      <c r="A17" s="131" t="s">
        <v>133</v>
      </c>
      <c r="B17" s="62">
        <v>110179.89</v>
      </c>
      <c r="C17" s="62">
        <v>108147.67</v>
      </c>
      <c r="D17" s="62">
        <v>94073.14</v>
      </c>
      <c r="E17" s="62">
        <v>53503.3</v>
      </c>
      <c r="F17" s="62">
        <v>58337.350000000006</v>
      </c>
      <c r="G17" s="62">
        <v>59369.48</v>
      </c>
      <c r="H17" s="62">
        <v>13820.860000000002</v>
      </c>
      <c r="I17" s="62">
        <v>18072.13</v>
      </c>
      <c r="J17" s="62">
        <v>13773.74</v>
      </c>
      <c r="K17" s="62">
        <v>17289.84</v>
      </c>
      <c r="L17" s="62">
        <v>11922.09</v>
      </c>
      <c r="M17" s="62">
        <v>14482.02</v>
      </c>
      <c r="N17" s="100">
        <f t="shared" si="0"/>
        <v>572971.50999999989</v>
      </c>
      <c r="P17" s="131" t="s">
        <v>133</v>
      </c>
      <c r="Q17" s="62">
        <v>99197.7</v>
      </c>
      <c r="R17" s="62">
        <v>153569.04</v>
      </c>
      <c r="S17" s="62">
        <v>43046.49</v>
      </c>
      <c r="T17" s="62">
        <v>39653.82</v>
      </c>
      <c r="U17" s="62">
        <v>51296.62</v>
      </c>
      <c r="V17" s="62">
        <v>61652.72</v>
      </c>
      <c r="W17" s="62">
        <v>18133.27</v>
      </c>
      <c r="X17" s="62">
        <v>18385.59</v>
      </c>
      <c r="Y17" s="62">
        <v>16197.19</v>
      </c>
      <c r="Z17" s="62">
        <v>14076.79</v>
      </c>
      <c r="AA17" s="62">
        <v>11929.58</v>
      </c>
      <c r="AB17" s="62">
        <v>9644.6400000000012</v>
      </c>
      <c r="AC17" s="100">
        <f t="shared" si="14"/>
        <v>536783.45000000007</v>
      </c>
      <c r="AE17" s="68">
        <f t="shared" si="1"/>
        <v>0.19229558202640828</v>
      </c>
      <c r="AF17" s="68">
        <f t="shared" si="2"/>
        <v>0.38104435594014097</v>
      </c>
      <c r="AG17" s="68">
        <f t="shared" si="3"/>
        <v>0.54522902892676128</v>
      </c>
      <c r="AH17" s="68">
        <f t="shared" si="4"/>
        <v>0.6386076682940135</v>
      </c>
      <c r="AI17" s="68">
        <f t="shared" si="5"/>
        <v>0.74042311458033938</v>
      </c>
      <c r="AJ17" s="68">
        <f t="shared" si="6"/>
        <v>0.84403992442835429</v>
      </c>
      <c r="AK17" s="68">
        <f t="shared" si="7"/>
        <v>0.86816129828165456</v>
      </c>
      <c r="AL17" s="68">
        <f t="shared" si="8"/>
        <v>0.89970236041928164</v>
      </c>
      <c r="AM17" s="68">
        <f t="shared" si="9"/>
        <v>0.92374149632675462</v>
      </c>
      <c r="AN17" s="68">
        <f t="shared" si="10"/>
        <v>0.95391723752547486</v>
      </c>
      <c r="AO17" s="68">
        <f t="shared" si="11"/>
        <v>0.97472471187965348</v>
      </c>
      <c r="AP17" s="68">
        <f t="shared" si="12"/>
        <v>1</v>
      </c>
      <c r="AQ17" s="92"/>
      <c r="AT17" s="68">
        <f t="shared" si="15"/>
        <v>0.18480022064763729</v>
      </c>
      <c r="AU17" s="68">
        <f t="shared" si="16"/>
        <v>0.47089145539043714</v>
      </c>
      <c r="AV17" s="68">
        <f t="shared" si="17"/>
        <v>0.55108485554090747</v>
      </c>
      <c r="AW17" s="68">
        <f t="shared" si="18"/>
        <v>0.6249578857172291</v>
      </c>
      <c r="AX17" s="68">
        <f t="shared" si="19"/>
        <v>0.72052085435942548</v>
      </c>
      <c r="AY17" s="68">
        <f t="shared" si="20"/>
        <v>0.83537670544797904</v>
      </c>
      <c r="AZ17" s="68">
        <f t="shared" si="21"/>
        <v>0.86915805619565945</v>
      </c>
      <c r="BA17" s="68">
        <f t="shared" si="22"/>
        <v>0.90340946614505346</v>
      </c>
      <c r="BB17" s="68">
        <f t="shared" si="23"/>
        <v>0.9335839992831374</v>
      </c>
      <c r="BC17" s="68">
        <f t="shared" si="24"/>
        <v>0.95980833611766525</v>
      </c>
      <c r="BD17" s="68">
        <f t="shared" si="25"/>
        <v>0.98203253099550669</v>
      </c>
      <c r="BE17" s="68">
        <f t="shared" si="26"/>
        <v>1</v>
      </c>
      <c r="BG17" s="68">
        <f t="shared" si="27"/>
        <v>0.18854790133702279</v>
      </c>
      <c r="BH17" s="68">
        <f t="shared" si="13"/>
        <v>0.42596790566528908</v>
      </c>
      <c r="BI17" s="68">
        <f t="shared" si="13"/>
        <v>0.54815694223383438</v>
      </c>
      <c r="BJ17" s="68">
        <f t="shared" si="13"/>
        <v>0.63178277700562124</v>
      </c>
      <c r="BK17" s="68">
        <f t="shared" si="13"/>
        <v>0.73047198446988237</v>
      </c>
      <c r="BL17" s="68">
        <f t="shared" si="13"/>
        <v>0.83970831493816667</v>
      </c>
      <c r="BM17" s="68">
        <f t="shared" si="13"/>
        <v>0.868659677238657</v>
      </c>
      <c r="BN17" s="68">
        <f t="shared" si="13"/>
        <v>0.90155591328216755</v>
      </c>
      <c r="BO17" s="68">
        <f t="shared" si="13"/>
        <v>0.92866274780494606</v>
      </c>
      <c r="BP17" s="68">
        <f t="shared" si="13"/>
        <v>0.95686278682157</v>
      </c>
      <c r="BQ17" s="68">
        <f t="shared" si="13"/>
        <v>0.97837862143758003</v>
      </c>
      <c r="BR17" s="68">
        <f t="shared" si="13"/>
        <v>1</v>
      </c>
    </row>
    <row r="18" spans="1:70">
      <c r="A18" s="131" t="s">
        <v>134</v>
      </c>
      <c r="B18" s="62">
        <v>652066.4</v>
      </c>
      <c r="C18" s="62">
        <v>648074.03</v>
      </c>
      <c r="D18" s="62">
        <v>452730.52</v>
      </c>
      <c r="E18" s="62">
        <v>296707.15999999997</v>
      </c>
      <c r="F18" s="62">
        <v>375262.77</v>
      </c>
      <c r="G18" s="62">
        <v>339083.11</v>
      </c>
      <c r="H18" s="62">
        <v>95780.47</v>
      </c>
      <c r="I18" s="62">
        <v>87057.02</v>
      </c>
      <c r="J18" s="62">
        <v>69538.58</v>
      </c>
      <c r="K18" s="62">
        <v>68990.070000000007</v>
      </c>
      <c r="L18" s="62">
        <v>53749.97</v>
      </c>
      <c r="M18" s="62">
        <v>57305.440000000002</v>
      </c>
      <c r="N18" s="100">
        <f t="shared" si="0"/>
        <v>3196345.54</v>
      </c>
      <c r="P18" s="131" t="s">
        <v>134</v>
      </c>
      <c r="Q18" s="62">
        <v>712212.26</v>
      </c>
      <c r="R18" s="62">
        <v>749648.1</v>
      </c>
      <c r="S18" s="62">
        <v>284539.42</v>
      </c>
      <c r="T18" s="62">
        <v>209227.18000000002</v>
      </c>
      <c r="U18" s="62">
        <v>338893.09</v>
      </c>
      <c r="V18" s="62">
        <v>297717.7</v>
      </c>
      <c r="W18" s="62">
        <v>93255.670000000013</v>
      </c>
      <c r="X18" s="62">
        <v>83677.69</v>
      </c>
      <c r="Y18" s="62">
        <v>46152.63</v>
      </c>
      <c r="Z18" s="62">
        <v>73518.75</v>
      </c>
      <c r="AA18" s="62">
        <v>83897.36</v>
      </c>
      <c r="AB18" s="62">
        <v>66967.47</v>
      </c>
      <c r="AC18" s="100">
        <f t="shared" si="14"/>
        <v>3039707.32</v>
      </c>
      <c r="AE18" s="68">
        <f t="shared" si="1"/>
        <v>0.20400372608025352</v>
      </c>
      <c r="AF18" s="68">
        <f t="shared" si="2"/>
        <v>0.40675841010606134</v>
      </c>
      <c r="AG18" s="68">
        <f t="shared" si="3"/>
        <v>0.54839845319101521</v>
      </c>
      <c r="AH18" s="68">
        <f t="shared" si="4"/>
        <v>0.64122545086286264</v>
      </c>
      <c r="AI18" s="68">
        <f t="shared" si="5"/>
        <v>0.7586291437064091</v>
      </c>
      <c r="AJ18" s="68">
        <f t="shared" si="6"/>
        <v>0.86471376620939411</v>
      </c>
      <c r="AK18" s="68">
        <f t="shared" si="7"/>
        <v>0.89467938438220296</v>
      </c>
      <c r="AL18" s="68">
        <f t="shared" si="8"/>
        <v>0.92191580763824421</v>
      </c>
      <c r="AM18" s="68">
        <f t="shared" si="9"/>
        <v>0.94367145925030371</v>
      </c>
      <c r="AN18" s="68">
        <f t="shared" si="10"/>
        <v>0.96525550551083406</v>
      </c>
      <c r="AO18" s="68">
        <f t="shared" si="11"/>
        <v>0.9820715754029522</v>
      </c>
      <c r="AP18" s="68">
        <f t="shared" si="12"/>
        <v>1</v>
      </c>
      <c r="AQ18" s="92"/>
      <c r="AT18" s="68">
        <f t="shared" si="15"/>
        <v>0.2343029065048276</v>
      </c>
      <c r="AU18" s="68">
        <f t="shared" si="16"/>
        <v>0.4809214197635317</v>
      </c>
      <c r="AV18" s="68">
        <f t="shared" si="17"/>
        <v>0.57452892537035438</v>
      </c>
      <c r="AW18" s="68">
        <f t="shared" si="18"/>
        <v>0.64336028246298393</v>
      </c>
      <c r="AX18" s="68">
        <f t="shared" si="19"/>
        <v>0.75484900631814777</v>
      </c>
      <c r="AY18" s="68">
        <f t="shared" si="20"/>
        <v>0.85279188984550003</v>
      </c>
      <c r="AZ18" s="68">
        <f t="shared" si="21"/>
        <v>0.8834710507589264</v>
      </c>
      <c r="BA18" s="68">
        <f t="shared" si="22"/>
        <v>0.91099925699425566</v>
      </c>
      <c r="BB18" s="68">
        <f t="shared" si="23"/>
        <v>0.92618250496564247</v>
      </c>
      <c r="BC18" s="68">
        <f t="shared" si="24"/>
        <v>0.95036863285903461</v>
      </c>
      <c r="BD18" s="68">
        <f t="shared" si="25"/>
        <v>0.97796910592036856</v>
      </c>
      <c r="BE18" s="68">
        <f t="shared" si="26"/>
        <v>1</v>
      </c>
      <c r="BG18" s="68">
        <f t="shared" si="27"/>
        <v>0.21915331629254056</v>
      </c>
      <c r="BH18" s="68">
        <f t="shared" si="13"/>
        <v>0.44383991493479652</v>
      </c>
      <c r="BI18" s="68">
        <f t="shared" si="13"/>
        <v>0.5614636892806848</v>
      </c>
      <c r="BJ18" s="68">
        <f t="shared" si="13"/>
        <v>0.64229286666292329</v>
      </c>
      <c r="BK18" s="68">
        <f t="shared" si="13"/>
        <v>0.75673907501227844</v>
      </c>
      <c r="BL18" s="68">
        <f t="shared" si="13"/>
        <v>0.85875282802744701</v>
      </c>
      <c r="BM18" s="68">
        <f t="shared" si="13"/>
        <v>0.88907521757056474</v>
      </c>
      <c r="BN18" s="68">
        <f t="shared" si="13"/>
        <v>0.91645753231624993</v>
      </c>
      <c r="BO18" s="68">
        <f t="shared" si="13"/>
        <v>0.93492698210797309</v>
      </c>
      <c r="BP18" s="68">
        <f t="shared" si="13"/>
        <v>0.95781206918493433</v>
      </c>
      <c r="BQ18" s="68">
        <f t="shared" si="13"/>
        <v>0.98002034066166033</v>
      </c>
      <c r="BR18" s="68">
        <f t="shared" si="13"/>
        <v>1</v>
      </c>
    </row>
    <row r="19" spans="1:70">
      <c r="A19" s="131" t="s">
        <v>135</v>
      </c>
      <c r="B19" s="62">
        <v>195357.95</v>
      </c>
      <c r="C19" s="62">
        <v>254807.38</v>
      </c>
      <c r="D19" s="62">
        <v>190077.44</v>
      </c>
      <c r="E19" s="62">
        <v>114208.21</v>
      </c>
      <c r="F19" s="62">
        <v>125015.80000000002</v>
      </c>
      <c r="G19" s="62">
        <v>123989.82</v>
      </c>
      <c r="H19" s="62">
        <v>38504.68</v>
      </c>
      <c r="I19" s="62">
        <v>37923.24</v>
      </c>
      <c r="J19" s="62">
        <v>28593.599999999999</v>
      </c>
      <c r="K19" s="62">
        <v>32509.77</v>
      </c>
      <c r="L19" s="62">
        <v>26844.2</v>
      </c>
      <c r="M19" s="62">
        <v>24062.3</v>
      </c>
      <c r="N19" s="100">
        <f t="shared" si="0"/>
        <v>1191894.3900000004</v>
      </c>
      <c r="P19" s="131" t="s">
        <v>135</v>
      </c>
      <c r="Q19" s="62">
        <v>216263.29</v>
      </c>
      <c r="R19" s="62">
        <v>342734.78</v>
      </c>
      <c r="S19" s="62">
        <v>106189.78</v>
      </c>
      <c r="T19" s="62">
        <v>93538.32</v>
      </c>
      <c r="U19" s="62">
        <v>117542.26999999999</v>
      </c>
      <c r="V19" s="62">
        <v>125586.61</v>
      </c>
      <c r="W19" s="62">
        <v>41502</v>
      </c>
      <c r="X19" s="62">
        <v>43445.05</v>
      </c>
      <c r="Y19" s="62">
        <v>28766.5</v>
      </c>
      <c r="Z19" s="62">
        <v>31215.74</v>
      </c>
      <c r="AA19" s="62">
        <v>36413.71</v>
      </c>
      <c r="AB19" s="62">
        <v>20069.59</v>
      </c>
      <c r="AC19" s="100">
        <f t="shared" si="14"/>
        <v>1203267.6400000001</v>
      </c>
      <c r="AE19" s="68">
        <f t="shared" si="1"/>
        <v>0.16390541950616946</v>
      </c>
      <c r="AF19" s="68">
        <f t="shared" si="2"/>
        <v>0.37768894104787243</v>
      </c>
      <c r="AG19" s="68">
        <f t="shared" si="3"/>
        <v>0.53716400997574942</v>
      </c>
      <c r="AH19" s="68">
        <f t="shared" si="4"/>
        <v>0.63298475630882012</v>
      </c>
      <c r="AI19" s="68">
        <f t="shared" si="5"/>
        <v>0.73787307615400366</v>
      </c>
      <c r="AJ19" s="68">
        <f t="shared" si="6"/>
        <v>0.84190059825686381</v>
      </c>
      <c r="AK19" s="68">
        <f t="shared" si="7"/>
        <v>0.87420604437948557</v>
      </c>
      <c r="AL19" s="68">
        <f t="shared" si="8"/>
        <v>0.90602366204609786</v>
      </c>
      <c r="AM19" s="68">
        <f t="shared" si="9"/>
        <v>0.93001370700301733</v>
      </c>
      <c r="AN19" s="68">
        <f t="shared" si="10"/>
        <v>0.95728942058364752</v>
      </c>
      <c r="AO19" s="68">
        <f t="shared" si="11"/>
        <v>0.97981171804995237</v>
      </c>
      <c r="AP19" s="68">
        <f t="shared" si="12"/>
        <v>1</v>
      </c>
      <c r="AQ19" s="92"/>
      <c r="AT19" s="68">
        <f t="shared" si="15"/>
        <v>0.17972999755898031</v>
      </c>
      <c r="AU19" s="68">
        <f t="shared" si="16"/>
        <v>0.46456669440557713</v>
      </c>
      <c r="AV19" s="68">
        <f t="shared" si="17"/>
        <v>0.55281786685462597</v>
      </c>
      <c r="AW19" s="68">
        <f t="shared" si="18"/>
        <v>0.63055478663084474</v>
      </c>
      <c r="AX19" s="68">
        <f t="shared" si="19"/>
        <v>0.72824067636357281</v>
      </c>
      <c r="AY19" s="68">
        <f t="shared" si="20"/>
        <v>0.83261197816306276</v>
      </c>
      <c r="AZ19" s="68">
        <f t="shared" si="21"/>
        <v>0.86710305780349917</v>
      </c>
      <c r="BA19" s="68">
        <f t="shared" si="22"/>
        <v>0.90320894859268386</v>
      </c>
      <c r="BB19" s="68">
        <f t="shared" si="23"/>
        <v>0.92711593241217716</v>
      </c>
      <c r="BC19" s="68">
        <f t="shared" si="24"/>
        <v>0.9530584068561837</v>
      </c>
      <c r="BD19" s="68">
        <f t="shared" si="25"/>
        <v>0.98332075979372291</v>
      </c>
      <c r="BE19" s="68">
        <f t="shared" si="26"/>
        <v>1</v>
      </c>
      <c r="BG19" s="68">
        <f t="shared" si="27"/>
        <v>0.17181770853257489</v>
      </c>
      <c r="BH19" s="68">
        <f t="shared" si="27"/>
        <v>0.42112781772672481</v>
      </c>
      <c r="BI19" s="68">
        <f t="shared" si="27"/>
        <v>0.54499093841518764</v>
      </c>
      <c r="BJ19" s="68">
        <f t="shared" si="27"/>
        <v>0.63176977146983249</v>
      </c>
      <c r="BK19" s="68">
        <f t="shared" si="27"/>
        <v>0.73305687625878824</v>
      </c>
      <c r="BL19" s="68">
        <f t="shared" si="27"/>
        <v>0.83725628820996323</v>
      </c>
      <c r="BM19" s="68">
        <f t="shared" si="27"/>
        <v>0.87065455109149237</v>
      </c>
      <c r="BN19" s="68">
        <f t="shared" si="27"/>
        <v>0.90461630531939086</v>
      </c>
      <c r="BO19" s="68">
        <f t="shared" si="27"/>
        <v>0.9285648197075973</v>
      </c>
      <c r="BP19" s="68">
        <f t="shared" si="27"/>
        <v>0.95517391371991556</v>
      </c>
      <c r="BQ19" s="68">
        <f t="shared" si="27"/>
        <v>0.98156623892183759</v>
      </c>
      <c r="BR19" s="68">
        <f t="shared" si="27"/>
        <v>1</v>
      </c>
    </row>
    <row r="20" spans="1:70">
      <c r="A20" s="131" t="s">
        <v>136</v>
      </c>
      <c r="B20" s="62">
        <v>49912.76</v>
      </c>
      <c r="C20" s="62">
        <v>66146.91</v>
      </c>
      <c r="D20" s="62">
        <v>43459.13</v>
      </c>
      <c r="E20" s="62">
        <v>27998.12</v>
      </c>
      <c r="F20" s="62">
        <v>27087.910000000003</v>
      </c>
      <c r="G20" s="62">
        <v>27381.65</v>
      </c>
      <c r="H20" s="62">
        <v>8540.1</v>
      </c>
      <c r="I20" s="62">
        <v>12005.91</v>
      </c>
      <c r="J20" s="62">
        <v>9590.8799999999992</v>
      </c>
      <c r="K20" s="62">
        <v>6490.39</v>
      </c>
      <c r="L20" s="62">
        <v>7061.83</v>
      </c>
      <c r="M20" s="62">
        <v>4163.08</v>
      </c>
      <c r="N20" s="100">
        <f t="shared" si="0"/>
        <v>289838.67000000004</v>
      </c>
      <c r="P20" s="131" t="s">
        <v>136</v>
      </c>
      <c r="Q20" s="62">
        <v>61557</v>
      </c>
      <c r="R20" s="62">
        <v>64987.600000000006</v>
      </c>
      <c r="S20" s="62">
        <v>24007.600000000002</v>
      </c>
      <c r="T20" s="62">
        <v>19746.169999999998</v>
      </c>
      <c r="U20" s="62">
        <v>28210.73</v>
      </c>
      <c r="V20" s="62">
        <v>24567.77</v>
      </c>
      <c r="W20" s="62">
        <v>7820.5</v>
      </c>
      <c r="X20" s="62">
        <v>7043.25</v>
      </c>
      <c r="Y20" s="62">
        <v>8954.61</v>
      </c>
      <c r="Z20" s="62">
        <v>5438.0199999999995</v>
      </c>
      <c r="AA20" s="62">
        <v>8284.6299999999992</v>
      </c>
      <c r="AB20" s="62">
        <v>3561.5699999999997</v>
      </c>
      <c r="AC20" s="100">
        <f t="shared" si="14"/>
        <v>264179.44999999995</v>
      </c>
      <c r="AE20" s="68">
        <f t="shared" si="1"/>
        <v>0.17220876703581339</v>
      </c>
      <c r="AF20" s="68">
        <f t="shared" si="2"/>
        <v>0.40042852114936905</v>
      </c>
      <c r="AG20" s="68">
        <f t="shared" si="3"/>
        <v>0.55037100466959776</v>
      </c>
      <c r="AH20" s="68">
        <f t="shared" si="4"/>
        <v>0.64696998506099956</v>
      </c>
      <c r="AI20" s="68">
        <f t="shared" si="5"/>
        <v>0.74042856324175099</v>
      </c>
      <c r="AJ20" s="68">
        <f t="shared" si="6"/>
        <v>0.83490060177270331</v>
      </c>
      <c r="AK20" s="68">
        <f t="shared" si="7"/>
        <v>0.86436561415355651</v>
      </c>
      <c r="AL20" s="68">
        <f t="shared" si="8"/>
        <v>0.90578834770391392</v>
      </c>
      <c r="AM20" s="68">
        <f t="shared" si="9"/>
        <v>0.93887875624049733</v>
      </c>
      <c r="AN20" s="68">
        <f t="shared" si="10"/>
        <v>0.96127186893315497</v>
      </c>
      <c r="AO20" s="68">
        <f t="shared" si="11"/>
        <v>0.98563656119454313</v>
      </c>
      <c r="AP20" s="68">
        <f t="shared" si="12"/>
        <v>1</v>
      </c>
      <c r="AQ20" s="92"/>
      <c r="AT20" s="68">
        <f t="shared" si="15"/>
        <v>0.23301206812263411</v>
      </c>
      <c r="AU20" s="68">
        <f t="shared" si="16"/>
        <v>0.47901000626657381</v>
      </c>
      <c r="AV20" s="68">
        <f t="shared" si="17"/>
        <v>0.56988611339754114</v>
      </c>
      <c r="AW20" s="68">
        <f t="shared" si="18"/>
        <v>0.64463140490299309</v>
      </c>
      <c r="AX20" s="68">
        <f t="shared" si="19"/>
        <v>0.75141764433229019</v>
      </c>
      <c r="AY20" s="68">
        <f t="shared" si="20"/>
        <v>0.84441416620407084</v>
      </c>
      <c r="AZ20" s="68">
        <f t="shared" si="21"/>
        <v>0.87401715008491399</v>
      </c>
      <c r="BA20" s="68">
        <f t="shared" si="22"/>
        <v>0.90067800504543427</v>
      </c>
      <c r="BB20" s="68">
        <f t="shared" si="23"/>
        <v>0.93457394206854483</v>
      </c>
      <c r="BC20" s="68">
        <f t="shared" si="24"/>
        <v>0.95515851062601587</v>
      </c>
      <c r="BD20" s="68">
        <f t="shared" si="25"/>
        <v>0.98651836848021301</v>
      </c>
      <c r="BE20" s="68">
        <f t="shared" si="26"/>
        <v>1</v>
      </c>
      <c r="BG20" s="68">
        <f t="shared" si="27"/>
        <v>0.20261041757922377</v>
      </c>
      <c r="BH20" s="68">
        <f t="shared" si="27"/>
        <v>0.43971926370797143</v>
      </c>
      <c r="BI20" s="68">
        <f t="shared" si="27"/>
        <v>0.5601285590335694</v>
      </c>
      <c r="BJ20" s="68">
        <f t="shared" si="27"/>
        <v>0.64580069498199633</v>
      </c>
      <c r="BK20" s="68">
        <f t="shared" si="27"/>
        <v>0.74592310378702065</v>
      </c>
      <c r="BL20" s="68">
        <f t="shared" si="27"/>
        <v>0.83965738398838707</v>
      </c>
      <c r="BM20" s="68">
        <f t="shared" si="27"/>
        <v>0.86919138211923519</v>
      </c>
      <c r="BN20" s="68">
        <f t="shared" si="27"/>
        <v>0.90323317637467415</v>
      </c>
      <c r="BO20" s="68">
        <f t="shared" si="27"/>
        <v>0.93672634915452102</v>
      </c>
      <c r="BP20" s="68">
        <f t="shared" si="27"/>
        <v>0.95821518977958542</v>
      </c>
      <c r="BQ20" s="68">
        <f t="shared" si="27"/>
        <v>0.98607746483737801</v>
      </c>
      <c r="BR20" s="68">
        <f t="shared" si="27"/>
        <v>1</v>
      </c>
    </row>
    <row r="21" spans="1:70">
      <c r="A21" s="131" t="s">
        <v>137</v>
      </c>
      <c r="B21" s="62">
        <v>1052840.29</v>
      </c>
      <c r="C21" s="62">
        <v>1052866.8700000001</v>
      </c>
      <c r="D21" s="62">
        <v>713923.62</v>
      </c>
      <c r="E21" s="62">
        <v>404837.41</v>
      </c>
      <c r="F21" s="62">
        <v>501448.12000000005</v>
      </c>
      <c r="G21" s="62">
        <v>481774.63</v>
      </c>
      <c r="H21" s="62">
        <v>141722.21</v>
      </c>
      <c r="I21" s="62">
        <v>222271.48</v>
      </c>
      <c r="J21" s="62">
        <v>148849.82</v>
      </c>
      <c r="K21" s="62">
        <v>147878.75</v>
      </c>
      <c r="L21" s="62">
        <v>104687.08</v>
      </c>
      <c r="M21" s="62">
        <v>114364.32</v>
      </c>
      <c r="N21" s="100">
        <f t="shared" si="0"/>
        <v>5087464.6000000015</v>
      </c>
      <c r="P21" s="131" t="s">
        <v>137</v>
      </c>
      <c r="Q21" s="62">
        <v>1372440.4500000002</v>
      </c>
      <c r="R21" s="62">
        <v>1277172.8500000001</v>
      </c>
      <c r="S21" s="62">
        <v>426045.14999999997</v>
      </c>
      <c r="T21" s="62">
        <v>310273.49</v>
      </c>
      <c r="U21" s="62">
        <v>477740.23</v>
      </c>
      <c r="V21" s="62">
        <v>483644.76</v>
      </c>
      <c r="W21" s="62">
        <v>225070.39</v>
      </c>
      <c r="X21" s="62">
        <v>226216.44</v>
      </c>
      <c r="Y21" s="62">
        <v>153776.87</v>
      </c>
      <c r="Z21" s="62">
        <v>167512.67000000001</v>
      </c>
      <c r="AA21" s="62">
        <v>131381.07999999999</v>
      </c>
      <c r="AB21" s="62">
        <v>120186.66</v>
      </c>
      <c r="AC21" s="100">
        <f t="shared" si="14"/>
        <v>5371461.040000001</v>
      </c>
      <c r="AE21" s="68">
        <f t="shared" si="1"/>
        <v>0.20694793434041778</v>
      </c>
      <c r="AF21" s="68">
        <f t="shared" si="2"/>
        <v>0.41390109328721414</v>
      </c>
      <c r="AG21" s="68">
        <f t="shared" si="3"/>
        <v>0.55423103681153862</v>
      </c>
      <c r="AH21" s="68">
        <f t="shared" si="4"/>
        <v>0.6338065114005903</v>
      </c>
      <c r="AI21" s="68">
        <f t="shared" si="5"/>
        <v>0.73237193827353597</v>
      </c>
      <c r="AJ21" s="68">
        <f t="shared" si="6"/>
        <v>0.8270703131772158</v>
      </c>
      <c r="AK21" s="68">
        <f t="shared" si="7"/>
        <v>0.85492745246817037</v>
      </c>
      <c r="AL21" s="68">
        <f t="shared" si="8"/>
        <v>0.8986174822720141</v>
      </c>
      <c r="AM21" s="68">
        <f t="shared" si="9"/>
        <v>0.92787563573415321</v>
      </c>
      <c r="AN21" s="68">
        <f t="shared" si="10"/>
        <v>0.95694291415806598</v>
      </c>
      <c r="AO21" s="68">
        <f t="shared" si="11"/>
        <v>0.97752037036287187</v>
      </c>
      <c r="AP21" s="68">
        <f t="shared" si="12"/>
        <v>1</v>
      </c>
      <c r="AQ21" s="92"/>
      <c r="AT21" s="68">
        <f t="shared" si="15"/>
        <v>0.25550598613296466</v>
      </c>
      <c r="AU21" s="68">
        <f t="shared" si="16"/>
        <v>0.49327609011197443</v>
      </c>
      <c r="AV21" s="68">
        <f t="shared" si="17"/>
        <v>0.57259252689283202</v>
      </c>
      <c r="AW21" s="68">
        <f t="shared" si="18"/>
        <v>0.63035585938085847</v>
      </c>
      <c r="AX21" s="68">
        <f t="shared" si="19"/>
        <v>0.71929632203010441</v>
      </c>
      <c r="AY21" s="68">
        <f t="shared" si="20"/>
        <v>0.80933602564117268</v>
      </c>
      <c r="AZ21" s="68">
        <f t="shared" si="21"/>
        <v>0.85123717475571592</v>
      </c>
      <c r="BA21" s="68">
        <f t="shared" si="22"/>
        <v>0.89335168295291212</v>
      </c>
      <c r="BB21" s="68">
        <f t="shared" si="23"/>
        <v>0.92198018250915215</v>
      </c>
      <c r="BC21" s="68">
        <f t="shared" si="24"/>
        <v>0.95316586341655751</v>
      </c>
      <c r="BD21" s="68">
        <f t="shared" si="25"/>
        <v>0.97762495918615089</v>
      </c>
      <c r="BE21" s="68">
        <f t="shared" si="26"/>
        <v>1</v>
      </c>
      <c r="BG21" s="68">
        <f t="shared" si="27"/>
        <v>0.2312269602366912</v>
      </c>
      <c r="BH21" s="68">
        <f t="shared" si="27"/>
        <v>0.45358859169959431</v>
      </c>
      <c r="BI21" s="68">
        <f t="shared" si="27"/>
        <v>0.56341178185218532</v>
      </c>
      <c r="BJ21" s="68">
        <f t="shared" si="27"/>
        <v>0.63208118539072444</v>
      </c>
      <c r="BK21" s="68">
        <f t="shared" si="27"/>
        <v>0.72583413015182019</v>
      </c>
      <c r="BL21" s="68">
        <f t="shared" si="27"/>
        <v>0.81820316940919424</v>
      </c>
      <c r="BM21" s="68">
        <f t="shared" si="27"/>
        <v>0.8530823136119432</v>
      </c>
      <c r="BN21" s="68">
        <f t="shared" si="27"/>
        <v>0.89598458261246305</v>
      </c>
      <c r="BO21" s="68">
        <f t="shared" si="27"/>
        <v>0.92492790912165268</v>
      </c>
      <c r="BP21" s="68">
        <f t="shared" si="27"/>
        <v>0.95505438878731175</v>
      </c>
      <c r="BQ21" s="68">
        <f t="shared" si="27"/>
        <v>0.97757266477451132</v>
      </c>
      <c r="BR21" s="68">
        <f t="shared" si="27"/>
        <v>1</v>
      </c>
    </row>
    <row r="22" spans="1:70">
      <c r="A22" s="131" t="s">
        <v>138</v>
      </c>
      <c r="B22" s="62">
        <v>84327.14</v>
      </c>
      <c r="C22" s="62">
        <v>122545.74</v>
      </c>
      <c r="D22" s="62">
        <v>93804</v>
      </c>
      <c r="E22" s="62">
        <v>60487.68</v>
      </c>
      <c r="F22" s="62">
        <v>70666.47</v>
      </c>
      <c r="G22" s="62">
        <v>67861.429999999993</v>
      </c>
      <c r="H22" s="62">
        <v>21722.3</v>
      </c>
      <c r="I22" s="62">
        <v>14031.28</v>
      </c>
      <c r="J22" s="62">
        <v>14431.18</v>
      </c>
      <c r="K22" s="62">
        <v>14040.31</v>
      </c>
      <c r="L22" s="62">
        <v>12349.72</v>
      </c>
      <c r="M22" s="62">
        <v>11375.19</v>
      </c>
      <c r="N22" s="100">
        <f t="shared" si="0"/>
        <v>587642.44000000006</v>
      </c>
      <c r="P22" s="131" t="s">
        <v>138</v>
      </c>
      <c r="Q22" s="62">
        <v>88281.27</v>
      </c>
      <c r="R22" s="62">
        <v>161823.60999999999</v>
      </c>
      <c r="S22" s="62">
        <v>55004.33</v>
      </c>
      <c r="T22" s="62">
        <v>41276.949999999997</v>
      </c>
      <c r="U22" s="62">
        <v>62614</v>
      </c>
      <c r="V22" s="62">
        <v>69445.69</v>
      </c>
      <c r="W22" s="62">
        <v>18293.670000000002</v>
      </c>
      <c r="X22" s="62">
        <v>19692.09</v>
      </c>
      <c r="Y22" s="62">
        <v>16482.43</v>
      </c>
      <c r="Z22" s="62">
        <v>12972.359999999999</v>
      </c>
      <c r="AA22" s="62">
        <v>17049.59</v>
      </c>
      <c r="AB22" s="62">
        <v>9355.91</v>
      </c>
      <c r="AC22" s="100">
        <f t="shared" si="14"/>
        <v>572291.9</v>
      </c>
      <c r="AE22" s="68">
        <f t="shared" si="1"/>
        <v>0.14350076553354449</v>
      </c>
      <c r="AF22" s="68">
        <f t="shared" si="2"/>
        <v>0.35203869890677053</v>
      </c>
      <c r="AG22" s="68">
        <f t="shared" si="3"/>
        <v>0.51166637998440001</v>
      </c>
      <c r="AH22" s="68">
        <f t="shared" si="4"/>
        <v>0.61459917700974753</v>
      </c>
      <c r="AI22" s="68">
        <f t="shared" si="5"/>
        <v>0.73485337444313925</v>
      </c>
      <c r="AJ22" s="68">
        <f t="shared" si="6"/>
        <v>0.85033419301710067</v>
      </c>
      <c r="AK22" s="68">
        <f t="shared" si="7"/>
        <v>0.88729935843299534</v>
      </c>
      <c r="AL22" s="68">
        <f t="shared" si="8"/>
        <v>0.91117659915781435</v>
      </c>
      <c r="AM22" s="68">
        <f t="shared" si="9"/>
        <v>0.93573435574190322</v>
      </c>
      <c r="AN22" s="68">
        <f t="shared" si="10"/>
        <v>0.95962696295386718</v>
      </c>
      <c r="AO22" s="68">
        <f t="shared" si="11"/>
        <v>0.98064266767390063</v>
      </c>
      <c r="AP22" s="68">
        <f t="shared" si="12"/>
        <v>1</v>
      </c>
      <c r="AQ22" s="92"/>
      <c r="AT22" s="68">
        <f t="shared" si="15"/>
        <v>0.15425916389870276</v>
      </c>
      <c r="AU22" s="68">
        <f t="shared" si="16"/>
        <v>0.43702327431158816</v>
      </c>
      <c r="AV22" s="68">
        <f t="shared" si="17"/>
        <v>0.53313564284240267</v>
      </c>
      <c r="AW22" s="68">
        <f t="shared" si="18"/>
        <v>0.60526133604197441</v>
      </c>
      <c r="AX22" s="68">
        <f t="shared" si="19"/>
        <v>0.71467053788460055</v>
      </c>
      <c r="AY22" s="68">
        <f t="shared" si="20"/>
        <v>0.83601716187141561</v>
      </c>
      <c r="AZ22" s="68">
        <f t="shared" si="21"/>
        <v>0.86798278990144717</v>
      </c>
      <c r="BA22" s="68">
        <f t="shared" si="22"/>
        <v>0.90239196116527254</v>
      </c>
      <c r="BB22" s="68">
        <f t="shared" si="23"/>
        <v>0.93119270078783223</v>
      </c>
      <c r="BC22" s="68">
        <f t="shared" si="24"/>
        <v>0.95386008433807989</v>
      </c>
      <c r="BD22" s="68">
        <f t="shared" si="25"/>
        <v>0.98365185668362587</v>
      </c>
      <c r="BE22" s="68">
        <f t="shared" si="26"/>
        <v>1</v>
      </c>
      <c r="BG22" s="68">
        <f t="shared" si="27"/>
        <v>0.14887996471612364</v>
      </c>
      <c r="BH22" s="68">
        <f t="shared" si="27"/>
        <v>0.39453098660917935</v>
      </c>
      <c r="BI22" s="68">
        <f t="shared" si="27"/>
        <v>0.52240101141340134</v>
      </c>
      <c r="BJ22" s="68">
        <f t="shared" si="27"/>
        <v>0.60993025652586097</v>
      </c>
      <c r="BK22" s="68">
        <f t="shared" si="27"/>
        <v>0.72476195616386985</v>
      </c>
      <c r="BL22" s="68">
        <f t="shared" si="27"/>
        <v>0.84317567744425814</v>
      </c>
      <c r="BM22" s="68">
        <f t="shared" si="27"/>
        <v>0.87764107416722126</v>
      </c>
      <c r="BN22" s="68">
        <f t="shared" si="27"/>
        <v>0.90678428016154344</v>
      </c>
      <c r="BO22" s="68">
        <f t="shared" si="27"/>
        <v>0.93346352826486778</v>
      </c>
      <c r="BP22" s="68">
        <f t="shared" si="27"/>
        <v>0.95674352364597359</v>
      </c>
      <c r="BQ22" s="68">
        <f t="shared" si="27"/>
        <v>0.98214726217876325</v>
      </c>
      <c r="BR22" s="68">
        <f t="shared" si="27"/>
        <v>1</v>
      </c>
    </row>
    <row r="23" spans="1:70">
      <c r="A23" s="131" t="s">
        <v>139</v>
      </c>
      <c r="B23" s="62">
        <v>995249.67</v>
      </c>
      <c r="C23" s="62">
        <v>1022810.5</v>
      </c>
      <c r="D23" s="62">
        <v>618201.18000000005</v>
      </c>
      <c r="E23" s="62">
        <v>414675.77</v>
      </c>
      <c r="F23" s="62">
        <v>465379.45000000007</v>
      </c>
      <c r="G23" s="62">
        <v>450733.5</v>
      </c>
      <c r="H23" s="62">
        <v>101376.87</v>
      </c>
      <c r="I23" s="62">
        <v>89837.37</v>
      </c>
      <c r="J23" s="62">
        <v>72607.91</v>
      </c>
      <c r="K23" s="62">
        <v>83818.649999999994</v>
      </c>
      <c r="L23" s="62">
        <v>77966.350000000006</v>
      </c>
      <c r="M23" s="62">
        <v>87273.83</v>
      </c>
      <c r="N23" s="100">
        <f t="shared" si="0"/>
        <v>4479931.0500000007</v>
      </c>
      <c r="P23" s="131" t="s">
        <v>139</v>
      </c>
      <c r="Q23" s="62">
        <v>978965.38</v>
      </c>
      <c r="R23" s="62">
        <v>1097615.01</v>
      </c>
      <c r="S23" s="62">
        <v>354664.63</v>
      </c>
      <c r="T23" s="62">
        <v>299233.59000000003</v>
      </c>
      <c r="U23" s="62">
        <v>498889.79000000004</v>
      </c>
      <c r="V23" s="62">
        <v>454772.99</v>
      </c>
      <c r="W23" s="62">
        <v>118806.73999999999</v>
      </c>
      <c r="X23" s="62">
        <v>109853.48000000001</v>
      </c>
      <c r="Y23" s="62">
        <v>89500.43</v>
      </c>
      <c r="Z23" s="62">
        <v>119330.04</v>
      </c>
      <c r="AA23" s="62">
        <v>109436.90999999999</v>
      </c>
      <c r="AB23" s="62">
        <v>90800.260000000009</v>
      </c>
      <c r="AC23" s="100">
        <f t="shared" si="14"/>
        <v>4321869.25</v>
      </c>
      <c r="AE23" s="68">
        <f t="shared" si="1"/>
        <v>0.22215736333709865</v>
      </c>
      <c r="AF23" s="68">
        <f t="shared" si="2"/>
        <v>0.45046679234047576</v>
      </c>
      <c r="AG23" s="68">
        <f t="shared" si="3"/>
        <v>0.58846025096747856</v>
      </c>
      <c r="AH23" s="68">
        <f t="shared" si="4"/>
        <v>0.68102323137317022</v>
      </c>
      <c r="AI23" s="68">
        <f t="shared" si="5"/>
        <v>0.78490417168362436</v>
      </c>
      <c r="AJ23" s="68">
        <f t="shared" si="6"/>
        <v>0.88551587641064244</v>
      </c>
      <c r="AK23" s="68">
        <f t="shared" si="7"/>
        <v>0.90814499031184859</v>
      </c>
      <c r="AL23" s="68">
        <f t="shared" si="8"/>
        <v>0.92819828331956133</v>
      </c>
      <c r="AM23" s="68">
        <f t="shared" si="9"/>
        <v>0.94440565552900635</v>
      </c>
      <c r="AN23" s="68">
        <f t="shared" si="10"/>
        <v>0.96311546357393163</v>
      </c>
      <c r="AO23" s="68">
        <f t="shared" si="11"/>
        <v>0.98051893454922701</v>
      </c>
      <c r="AP23" s="68">
        <f t="shared" si="12"/>
        <v>1</v>
      </c>
      <c r="AQ23" s="92"/>
      <c r="AT23" s="68">
        <f t="shared" si="15"/>
        <v>0.22651434445870847</v>
      </c>
      <c r="AU23" s="68">
        <f t="shared" si="16"/>
        <v>0.48048200208740699</v>
      </c>
      <c r="AV23" s="68">
        <f t="shared" si="17"/>
        <v>0.56254478776746886</v>
      </c>
      <c r="AW23" s="68">
        <f t="shared" si="18"/>
        <v>0.63178186383125767</v>
      </c>
      <c r="AX23" s="68">
        <f t="shared" si="19"/>
        <v>0.74721566368533709</v>
      </c>
      <c r="AY23" s="68">
        <f t="shared" si="20"/>
        <v>0.85244165820148299</v>
      </c>
      <c r="AZ23" s="68">
        <f t="shared" si="21"/>
        <v>0.87993132369749494</v>
      </c>
      <c r="BA23" s="68">
        <f t="shared" si="22"/>
        <v>0.90534937168679963</v>
      </c>
      <c r="BB23" s="68">
        <f t="shared" si="23"/>
        <v>0.92605810321540849</v>
      </c>
      <c r="BC23" s="68">
        <f t="shared" si="24"/>
        <v>0.95366885057894801</v>
      </c>
      <c r="BD23" s="68">
        <f t="shared" si="25"/>
        <v>0.97899051203365306</v>
      </c>
      <c r="BE23" s="68">
        <f t="shared" si="26"/>
        <v>1</v>
      </c>
      <c r="BG23" s="68">
        <f t="shared" si="27"/>
        <v>0.22433585389790356</v>
      </c>
      <c r="BH23" s="68">
        <f t="shared" si="27"/>
        <v>0.46547439721394135</v>
      </c>
      <c r="BI23" s="68">
        <f t="shared" si="27"/>
        <v>0.57550251936747365</v>
      </c>
      <c r="BJ23" s="68">
        <f t="shared" si="27"/>
        <v>0.65640254760221395</v>
      </c>
      <c r="BK23" s="68">
        <f t="shared" si="27"/>
        <v>0.76605991768448067</v>
      </c>
      <c r="BL23" s="68">
        <f t="shared" si="27"/>
        <v>0.86897876730606272</v>
      </c>
      <c r="BM23" s="68">
        <f t="shared" si="27"/>
        <v>0.89403815700467182</v>
      </c>
      <c r="BN23" s="68">
        <f t="shared" si="27"/>
        <v>0.91677382750318048</v>
      </c>
      <c r="BO23" s="68">
        <f t="shared" si="27"/>
        <v>0.93523187937220742</v>
      </c>
      <c r="BP23" s="68">
        <f t="shared" si="27"/>
        <v>0.95839215707643977</v>
      </c>
      <c r="BQ23" s="68">
        <f t="shared" si="27"/>
        <v>0.97975472329144009</v>
      </c>
      <c r="BR23" s="68">
        <f t="shared" si="27"/>
        <v>1</v>
      </c>
    </row>
    <row r="24" spans="1:70">
      <c r="A24" s="131" t="s">
        <v>140</v>
      </c>
      <c r="B24" s="62">
        <v>29786.95</v>
      </c>
      <c r="C24" s="62">
        <v>40966.65</v>
      </c>
      <c r="D24" s="62">
        <v>37814.129999999997</v>
      </c>
      <c r="E24" s="62">
        <v>25909.16</v>
      </c>
      <c r="F24" s="62">
        <v>31764.97</v>
      </c>
      <c r="G24" s="62">
        <v>36315</v>
      </c>
      <c r="H24" s="62">
        <v>7897.61</v>
      </c>
      <c r="I24" s="62">
        <v>8143.13</v>
      </c>
      <c r="J24" s="62">
        <v>8392.49</v>
      </c>
      <c r="K24" s="62">
        <v>5222.84</v>
      </c>
      <c r="L24" s="62">
        <v>5319.55</v>
      </c>
      <c r="M24" s="62">
        <v>6104.03</v>
      </c>
      <c r="N24" s="100">
        <f t="shared" si="0"/>
        <v>243636.50999999998</v>
      </c>
      <c r="P24" s="131" t="s">
        <v>140</v>
      </c>
      <c r="Q24" s="62">
        <v>34329.31</v>
      </c>
      <c r="R24" s="62">
        <v>48523.96</v>
      </c>
      <c r="S24" s="62">
        <v>19905.18</v>
      </c>
      <c r="T24" s="62">
        <v>16130.029999999999</v>
      </c>
      <c r="U24" s="62">
        <v>26542.43</v>
      </c>
      <c r="V24" s="62">
        <v>26038.1</v>
      </c>
      <c r="W24" s="62">
        <v>8565.65</v>
      </c>
      <c r="X24" s="62">
        <v>7414.8600000000006</v>
      </c>
      <c r="Y24" s="62">
        <v>7518.76</v>
      </c>
      <c r="Z24" s="62">
        <v>5461.67</v>
      </c>
      <c r="AA24" s="62">
        <v>5054.55</v>
      </c>
      <c r="AB24" s="62">
        <v>7494.9</v>
      </c>
      <c r="AC24" s="100">
        <f t="shared" si="14"/>
        <v>212979.39999999997</v>
      </c>
      <c r="AE24" s="68">
        <f t="shared" si="1"/>
        <v>0.12225979595586886</v>
      </c>
      <c r="AF24" s="68">
        <f t="shared" si="2"/>
        <v>0.29040639270362234</v>
      </c>
      <c r="AG24" s="68">
        <f t="shared" si="3"/>
        <v>0.44561354946350207</v>
      </c>
      <c r="AH24" s="68">
        <f t="shared" si="4"/>
        <v>0.5519570527422184</v>
      </c>
      <c r="AI24" s="68">
        <f t="shared" si="5"/>
        <v>0.68233558262675831</v>
      </c>
      <c r="AJ24" s="68">
        <f t="shared" si="6"/>
        <v>0.83138959756072695</v>
      </c>
      <c r="AK24" s="68">
        <f t="shared" si="7"/>
        <v>0.86380514152004562</v>
      </c>
      <c r="AL24" s="68">
        <f t="shared" si="8"/>
        <v>0.89722841621725757</v>
      </c>
      <c r="AM24" s="68">
        <f t="shared" si="9"/>
        <v>0.93167518283692385</v>
      </c>
      <c r="AN24" s="68">
        <f t="shared" si="10"/>
        <v>0.95311219980946216</v>
      </c>
      <c r="AO24" s="68">
        <f t="shared" si="11"/>
        <v>0.97494616057338856</v>
      </c>
      <c r="AP24" s="68">
        <f t="shared" si="12"/>
        <v>1</v>
      </c>
      <c r="AQ24" s="92"/>
      <c r="AT24" s="68">
        <f t="shared" si="15"/>
        <v>0.16118605836996444</v>
      </c>
      <c r="AU24" s="68">
        <f t="shared" si="16"/>
        <v>0.38902011180424023</v>
      </c>
      <c r="AV24" s="68">
        <f t="shared" si="17"/>
        <v>0.48248070001136262</v>
      </c>
      <c r="AW24" s="68">
        <f t="shared" si="18"/>
        <v>0.5582158650085407</v>
      </c>
      <c r="AX24" s="68">
        <f t="shared" si="19"/>
        <v>0.68284026530265363</v>
      </c>
      <c r="AY24" s="68">
        <f t="shared" si="20"/>
        <v>0.80509669010242313</v>
      </c>
      <c r="AZ24" s="68">
        <f t="shared" si="21"/>
        <v>0.84531489899962153</v>
      </c>
      <c r="BA24" s="68">
        <f t="shared" si="22"/>
        <v>0.88012981537181523</v>
      </c>
      <c r="BB24" s="68">
        <f t="shared" si="23"/>
        <v>0.91543257235206787</v>
      </c>
      <c r="BC24" s="68">
        <f t="shared" si="24"/>
        <v>0.9410766956804274</v>
      </c>
      <c r="BD24" s="68">
        <f t="shared" si="25"/>
        <v>0.96480927263387917</v>
      </c>
      <c r="BE24" s="68">
        <f t="shared" si="26"/>
        <v>1</v>
      </c>
      <c r="BG24" s="68">
        <f t="shared" si="27"/>
        <v>0.14172292716291665</v>
      </c>
      <c r="BH24" s="68">
        <f t="shared" si="27"/>
        <v>0.33971325225393129</v>
      </c>
      <c r="BI24" s="68">
        <f t="shared" si="27"/>
        <v>0.46404712473743237</v>
      </c>
      <c r="BJ24" s="68">
        <f t="shared" si="27"/>
        <v>0.55508645887537955</v>
      </c>
      <c r="BK24" s="68">
        <f t="shared" si="27"/>
        <v>0.68258792396470591</v>
      </c>
      <c r="BL24" s="68">
        <f t="shared" si="27"/>
        <v>0.81824314383157504</v>
      </c>
      <c r="BM24" s="68">
        <f t="shared" si="27"/>
        <v>0.85456002025983357</v>
      </c>
      <c r="BN24" s="68">
        <f t="shared" si="27"/>
        <v>0.8886791157945364</v>
      </c>
      <c r="BO24" s="68">
        <f t="shared" si="27"/>
        <v>0.92355387759449581</v>
      </c>
      <c r="BP24" s="68">
        <f t="shared" si="27"/>
        <v>0.94709444774494478</v>
      </c>
      <c r="BQ24" s="68">
        <f t="shared" si="27"/>
        <v>0.96987771660363387</v>
      </c>
      <c r="BR24" s="68">
        <f t="shared" si="27"/>
        <v>1</v>
      </c>
    </row>
    <row r="25" spans="1:70">
      <c r="A25" s="131" t="s">
        <v>141</v>
      </c>
      <c r="B25" s="62">
        <v>9100.9</v>
      </c>
      <c r="C25" s="62">
        <v>9510.23</v>
      </c>
      <c r="D25" s="62">
        <v>10367.68</v>
      </c>
      <c r="E25" s="62">
        <v>7351.43</v>
      </c>
      <c r="F25" s="62">
        <v>6119.31</v>
      </c>
      <c r="G25" s="62">
        <v>4354.78</v>
      </c>
      <c r="H25" s="62">
        <v>2762.31</v>
      </c>
      <c r="I25" s="62">
        <v>822.91</v>
      </c>
      <c r="J25" s="62">
        <v>444.81</v>
      </c>
      <c r="K25" s="62">
        <v>177.92</v>
      </c>
      <c r="L25" s="62">
        <v>951.92</v>
      </c>
      <c r="M25" s="62">
        <v>0</v>
      </c>
      <c r="N25" s="100">
        <f t="shared" si="0"/>
        <v>51964.19999999999</v>
      </c>
      <c r="P25" s="131" t="s">
        <v>141</v>
      </c>
      <c r="Q25" s="62">
        <v>11397.92</v>
      </c>
      <c r="R25" s="62">
        <v>8689.57</v>
      </c>
      <c r="S25" s="62">
        <v>5362.53</v>
      </c>
      <c r="T25" s="62">
        <v>3571.85</v>
      </c>
      <c r="U25" s="62">
        <v>3931.7</v>
      </c>
      <c r="V25" s="62">
        <v>5645.13</v>
      </c>
      <c r="W25" s="62">
        <v>2548.19</v>
      </c>
      <c r="X25" s="62">
        <v>1876.61</v>
      </c>
      <c r="Y25" s="62">
        <v>1439.89</v>
      </c>
      <c r="Z25" s="62">
        <v>3215.4300000000003</v>
      </c>
      <c r="AA25" s="62">
        <v>2069.98</v>
      </c>
      <c r="AB25" s="62">
        <v>1883.21</v>
      </c>
      <c r="AC25" s="100">
        <f t="shared" si="14"/>
        <v>51632.009999999995</v>
      </c>
      <c r="AE25" s="68">
        <f t="shared" si="1"/>
        <v>0.17513788338894856</v>
      </c>
      <c r="AF25" s="68">
        <f t="shared" si="2"/>
        <v>0.35815292066461141</v>
      </c>
      <c r="AG25" s="68">
        <f t="shared" si="3"/>
        <v>0.55766874117180676</v>
      </c>
      <c r="AH25" s="68">
        <f t="shared" si="4"/>
        <v>0.69913979239553392</v>
      </c>
      <c r="AI25" s="68">
        <f t="shared" si="5"/>
        <v>0.81689990416479041</v>
      </c>
      <c r="AJ25" s="68">
        <f t="shared" si="6"/>
        <v>0.90070336885779068</v>
      </c>
      <c r="AK25" s="68">
        <f t="shared" si="7"/>
        <v>0.95386131221109927</v>
      </c>
      <c r="AL25" s="68">
        <f t="shared" si="8"/>
        <v>0.96969740706101515</v>
      </c>
      <c r="AM25" s="68">
        <f t="shared" si="9"/>
        <v>0.97825733870626319</v>
      </c>
      <c r="AN25" s="68">
        <f t="shared" si="10"/>
        <v>0.98168123438829047</v>
      </c>
      <c r="AO25" s="68">
        <f t="shared" si="11"/>
        <v>1</v>
      </c>
      <c r="AP25" s="68">
        <f t="shared" si="12"/>
        <v>1</v>
      </c>
      <c r="AQ25" s="92"/>
      <c r="AT25" s="68">
        <f t="shared" si="15"/>
        <v>0.22075297862701843</v>
      </c>
      <c r="AU25" s="68">
        <f t="shared" si="16"/>
        <v>0.38905109446639791</v>
      </c>
      <c r="AV25" s="68">
        <f t="shared" si="17"/>
        <v>0.49291166468243247</v>
      </c>
      <c r="AW25" s="68">
        <f t="shared" si="18"/>
        <v>0.56209064880487891</v>
      </c>
      <c r="AX25" s="68">
        <f t="shared" si="19"/>
        <v>0.63823914660692072</v>
      </c>
      <c r="AY25" s="68">
        <f t="shared" si="20"/>
        <v>0.74757306562343773</v>
      </c>
      <c r="AZ25" s="68">
        <f t="shared" si="21"/>
        <v>0.79692597673420029</v>
      </c>
      <c r="BA25" s="68">
        <f t="shared" si="22"/>
        <v>0.83327184047260594</v>
      </c>
      <c r="BB25" s="68">
        <f t="shared" si="23"/>
        <v>0.86115938542776072</v>
      </c>
      <c r="BC25" s="68">
        <f t="shared" si="24"/>
        <v>0.92343528752802762</v>
      </c>
      <c r="BD25" s="68">
        <f t="shared" si="25"/>
        <v>0.96352630858260213</v>
      </c>
      <c r="BE25" s="68">
        <f t="shared" si="26"/>
        <v>1</v>
      </c>
      <c r="BG25" s="68">
        <f t="shared" si="27"/>
        <v>0.19794543100798351</v>
      </c>
      <c r="BH25" s="68">
        <f t="shared" si="27"/>
        <v>0.37360200756550466</v>
      </c>
      <c r="BI25" s="68">
        <f t="shared" si="27"/>
        <v>0.52529020292711959</v>
      </c>
      <c r="BJ25" s="68">
        <f t="shared" si="27"/>
        <v>0.63061522060020647</v>
      </c>
      <c r="BK25" s="68">
        <f t="shared" si="27"/>
        <v>0.72756952538585562</v>
      </c>
      <c r="BL25" s="68">
        <f t="shared" si="27"/>
        <v>0.8241382172406142</v>
      </c>
      <c r="BM25" s="68">
        <f t="shared" si="27"/>
        <v>0.87539364447264978</v>
      </c>
      <c r="BN25" s="68">
        <f t="shared" si="27"/>
        <v>0.9014846237668106</v>
      </c>
      <c r="BO25" s="68">
        <f t="shared" si="27"/>
        <v>0.9197083620670119</v>
      </c>
      <c r="BP25" s="68">
        <f t="shared" si="27"/>
        <v>0.9525582609581591</v>
      </c>
      <c r="BQ25" s="68">
        <f t="shared" si="27"/>
        <v>0.98176315429130101</v>
      </c>
      <c r="BR25" s="68">
        <f t="shared" si="27"/>
        <v>1</v>
      </c>
    </row>
    <row r="26" spans="1:70">
      <c r="A26" s="131" t="s">
        <v>142</v>
      </c>
      <c r="B26" s="62">
        <v>506570.91</v>
      </c>
      <c r="C26" s="62">
        <v>636216.56000000006</v>
      </c>
      <c r="D26" s="62">
        <v>422761.68</v>
      </c>
      <c r="E26" s="62">
        <v>278807.03999999998</v>
      </c>
      <c r="F26" s="62">
        <v>294160.32</v>
      </c>
      <c r="G26" s="62">
        <v>302821.59000000003</v>
      </c>
      <c r="H26" s="62">
        <v>61530.09</v>
      </c>
      <c r="I26" s="62">
        <v>55334.62</v>
      </c>
      <c r="J26" s="62">
        <v>46039.34</v>
      </c>
      <c r="K26" s="62">
        <v>57447.519999999997</v>
      </c>
      <c r="L26" s="62">
        <v>46815.9</v>
      </c>
      <c r="M26" s="62">
        <v>43366.39</v>
      </c>
      <c r="N26" s="100">
        <f t="shared" si="0"/>
        <v>2751871.9599999995</v>
      </c>
      <c r="P26" s="131" t="s">
        <v>142</v>
      </c>
      <c r="Q26" s="62">
        <v>461325.67000000004</v>
      </c>
      <c r="R26" s="62">
        <v>775936.56</v>
      </c>
      <c r="S26" s="62">
        <v>234366.34</v>
      </c>
      <c r="T26" s="62">
        <v>189828.43</v>
      </c>
      <c r="U26" s="62">
        <v>269958.36</v>
      </c>
      <c r="V26" s="62">
        <v>290278.32</v>
      </c>
      <c r="W26" s="62">
        <v>68937.25</v>
      </c>
      <c r="X26" s="62">
        <v>60928.77</v>
      </c>
      <c r="Y26" s="62">
        <v>50011.75</v>
      </c>
      <c r="Z26" s="62">
        <v>45391.86</v>
      </c>
      <c r="AA26" s="62">
        <v>57129.38</v>
      </c>
      <c r="AB26" s="62">
        <v>42027.46</v>
      </c>
      <c r="AC26" s="100">
        <f t="shared" si="14"/>
        <v>2546120.1499999994</v>
      </c>
      <c r="AE26" s="68">
        <f t="shared" si="1"/>
        <v>0.18408229647428803</v>
      </c>
      <c r="AF26" s="68">
        <f t="shared" si="2"/>
        <v>0.41527639607185801</v>
      </c>
      <c r="AG26" s="68">
        <f t="shared" si="3"/>
        <v>0.5689033402557</v>
      </c>
      <c r="AH26" s="68">
        <f t="shared" si="4"/>
        <v>0.67021875174744694</v>
      </c>
      <c r="AI26" s="68">
        <f t="shared" si="5"/>
        <v>0.77711337630694133</v>
      </c>
      <c r="AJ26" s="68">
        <f t="shared" si="6"/>
        <v>0.88715541111149665</v>
      </c>
      <c r="AK26" s="68">
        <f t="shared" si="7"/>
        <v>0.90951476899383066</v>
      </c>
      <c r="AL26" s="68">
        <f t="shared" si="8"/>
        <v>0.92962276122759724</v>
      </c>
      <c r="AM26" s="68">
        <f t="shared" si="9"/>
        <v>0.94635295095633731</v>
      </c>
      <c r="AN26" s="68">
        <f t="shared" si="10"/>
        <v>0.96722874780845547</v>
      </c>
      <c r="AO26" s="68">
        <f t="shared" si="11"/>
        <v>0.98424113089912801</v>
      </c>
      <c r="AP26" s="68">
        <f t="shared" si="12"/>
        <v>1</v>
      </c>
      <c r="AQ26" s="92"/>
      <c r="AT26" s="68">
        <f t="shared" si="15"/>
        <v>0.1811877063225002</v>
      </c>
      <c r="AU26" s="68">
        <f t="shared" si="16"/>
        <v>0.48594023734504449</v>
      </c>
      <c r="AV26" s="68">
        <f t="shared" si="17"/>
        <v>0.57798865854779102</v>
      </c>
      <c r="AW26" s="68">
        <f t="shared" si="18"/>
        <v>0.65254461773926908</v>
      </c>
      <c r="AX26" s="68">
        <f t="shared" si="19"/>
        <v>0.75857196291384765</v>
      </c>
      <c r="AY26" s="68">
        <f t="shared" si="20"/>
        <v>0.87258006264943944</v>
      </c>
      <c r="AZ26" s="68">
        <f t="shared" si="21"/>
        <v>0.89965547383928457</v>
      </c>
      <c r="BA26" s="68">
        <f t="shared" si="22"/>
        <v>0.92358551893161844</v>
      </c>
      <c r="BB26" s="68">
        <f t="shared" si="23"/>
        <v>0.94322785592031089</v>
      </c>
      <c r="BC26" s="68">
        <f t="shared" si="24"/>
        <v>0.96105571058773487</v>
      </c>
      <c r="BD26" s="68">
        <f t="shared" si="25"/>
        <v>0.98349352837885518</v>
      </c>
      <c r="BE26" s="68">
        <f t="shared" si="26"/>
        <v>1</v>
      </c>
      <c r="BG26" s="68">
        <f t="shared" si="27"/>
        <v>0.18263500139839411</v>
      </c>
      <c r="BH26" s="68">
        <f t="shared" si="27"/>
        <v>0.45060831670845125</v>
      </c>
      <c r="BI26" s="68">
        <f t="shared" si="27"/>
        <v>0.57344599940174557</v>
      </c>
      <c r="BJ26" s="68">
        <f t="shared" si="27"/>
        <v>0.66138168474335801</v>
      </c>
      <c r="BK26" s="68">
        <f t="shared" si="27"/>
        <v>0.76784266961039449</v>
      </c>
      <c r="BL26" s="68">
        <f t="shared" si="27"/>
        <v>0.87986773688046804</v>
      </c>
      <c r="BM26" s="68">
        <f t="shared" si="27"/>
        <v>0.90458512141655767</v>
      </c>
      <c r="BN26" s="68">
        <f t="shared" si="27"/>
        <v>0.9266041400796079</v>
      </c>
      <c r="BO26" s="68">
        <f t="shared" si="27"/>
        <v>0.9447904034383241</v>
      </c>
      <c r="BP26" s="68">
        <f t="shared" si="27"/>
        <v>0.96414222919809522</v>
      </c>
      <c r="BQ26" s="68">
        <f t="shared" si="27"/>
        <v>0.98386732963899159</v>
      </c>
      <c r="BR26" s="68">
        <f t="shared" si="27"/>
        <v>1</v>
      </c>
    </row>
    <row r="27" spans="1:70">
      <c r="A27" s="131" t="s">
        <v>143</v>
      </c>
      <c r="B27" s="62">
        <v>5167080.1500000004</v>
      </c>
      <c r="C27" s="62">
        <v>3273636.99</v>
      </c>
      <c r="D27" s="62">
        <v>670179.79</v>
      </c>
      <c r="E27" s="62">
        <v>2020931.2</v>
      </c>
      <c r="F27" s="62">
        <v>1481986.46</v>
      </c>
      <c r="G27" s="62">
        <v>1022671.92</v>
      </c>
      <c r="H27" s="62">
        <v>409389.24</v>
      </c>
      <c r="I27" s="62">
        <v>364080.62</v>
      </c>
      <c r="J27" s="62">
        <v>286094.34000000003</v>
      </c>
      <c r="K27" s="62">
        <v>314778.55</v>
      </c>
      <c r="L27" s="62">
        <v>257510.86</v>
      </c>
      <c r="M27" s="62">
        <v>293455.51</v>
      </c>
      <c r="N27" s="100">
        <f t="shared" si="0"/>
        <v>15561795.629999999</v>
      </c>
      <c r="P27" s="131" t="s">
        <v>143</v>
      </c>
      <c r="Q27" s="62">
        <v>6426892.2700000005</v>
      </c>
      <c r="R27" s="62">
        <v>1364083.1099999999</v>
      </c>
      <c r="S27" s="62">
        <v>1814560.58</v>
      </c>
      <c r="T27" s="62">
        <v>591276.49</v>
      </c>
      <c r="U27" s="62">
        <v>2318748.96</v>
      </c>
      <c r="V27" s="62">
        <v>728171.10000000009</v>
      </c>
      <c r="W27" s="62">
        <v>391310.96</v>
      </c>
      <c r="X27" s="62">
        <v>423966.51999999996</v>
      </c>
      <c r="Y27" s="62">
        <v>193439.94999999998</v>
      </c>
      <c r="Z27" s="62">
        <v>527595.19999999995</v>
      </c>
      <c r="AA27" s="62">
        <v>342140.32</v>
      </c>
      <c r="AB27" s="62">
        <v>172216.43</v>
      </c>
      <c r="AC27" s="100">
        <f t="shared" si="14"/>
        <v>15294401.889999999</v>
      </c>
      <c r="AE27" s="68">
        <f t="shared" si="1"/>
        <v>0.33203624265820025</v>
      </c>
      <c r="AF27" s="68">
        <f t="shared" si="2"/>
        <v>0.54239994796795832</v>
      </c>
      <c r="AG27" s="68">
        <f t="shared" si="3"/>
        <v>0.58546565875958623</v>
      </c>
      <c r="AH27" s="68">
        <f t="shared" si="4"/>
        <v>0.71533056947105012</v>
      </c>
      <c r="AI27" s="68">
        <f t="shared" si="5"/>
        <v>0.81056292537881125</v>
      </c>
      <c r="AJ27" s="68">
        <f t="shared" si="6"/>
        <v>0.87627975808341863</v>
      </c>
      <c r="AK27" s="68">
        <f t="shared" si="7"/>
        <v>0.90258708467565196</v>
      </c>
      <c r="AL27" s="68">
        <f t="shared" si="8"/>
        <v>0.92598288222089964</v>
      </c>
      <c r="AM27" s="68">
        <f t="shared" si="9"/>
        <v>0.9443672863605137</v>
      </c>
      <c r="AN27" s="68">
        <f t="shared" si="10"/>
        <v>0.96459493601510571</v>
      </c>
      <c r="AO27" s="68">
        <f t="shared" si="11"/>
        <v>0.98114256754315188</v>
      </c>
      <c r="AP27" s="68">
        <f t="shared" si="12"/>
        <v>1</v>
      </c>
      <c r="AQ27" s="92"/>
      <c r="AT27" s="68">
        <f t="shared" si="15"/>
        <v>0.42021206950251005</v>
      </c>
      <c r="AU27" s="68">
        <f t="shared" si="16"/>
        <v>0.50940046142595519</v>
      </c>
      <c r="AV27" s="68">
        <f t="shared" si="17"/>
        <v>0.62804260206346663</v>
      </c>
      <c r="AW27" s="68">
        <f t="shared" si="18"/>
        <v>0.66670226945370281</v>
      </c>
      <c r="AX27" s="68">
        <f t="shared" si="19"/>
        <v>0.81830996073034412</v>
      </c>
      <c r="AY27" s="68">
        <f t="shared" si="20"/>
        <v>0.86592026319507165</v>
      </c>
      <c r="AZ27" s="68">
        <f t="shared" si="21"/>
        <v>0.89150550430579811</v>
      </c>
      <c r="BA27" s="68">
        <f t="shared" si="22"/>
        <v>0.91922587696562752</v>
      </c>
      <c r="BB27" s="68">
        <f t="shared" si="23"/>
        <v>0.93187363863628669</v>
      </c>
      <c r="BC27" s="68">
        <f t="shared" si="24"/>
        <v>0.96636960675550809</v>
      </c>
      <c r="BD27" s="68">
        <f t="shared" si="25"/>
        <v>0.98873990423171754</v>
      </c>
      <c r="BE27" s="68">
        <f t="shared" si="26"/>
        <v>1</v>
      </c>
      <c r="BG27" s="68">
        <f t="shared" si="27"/>
        <v>0.37612415608035515</v>
      </c>
      <c r="BH27" s="68">
        <f t="shared" si="27"/>
        <v>0.52590020469695675</v>
      </c>
      <c r="BI27" s="68">
        <f t="shared" si="27"/>
        <v>0.60675413041152648</v>
      </c>
      <c r="BJ27" s="68">
        <f t="shared" si="27"/>
        <v>0.69101641946237646</v>
      </c>
      <c r="BK27" s="68">
        <f t="shared" si="27"/>
        <v>0.81443644305457763</v>
      </c>
      <c r="BL27" s="68">
        <f t="shared" si="27"/>
        <v>0.87110001063924514</v>
      </c>
      <c r="BM27" s="68">
        <f t="shared" si="27"/>
        <v>0.89704629449072504</v>
      </c>
      <c r="BN27" s="68">
        <f t="shared" si="27"/>
        <v>0.92260437959326358</v>
      </c>
      <c r="BO27" s="68">
        <f t="shared" si="27"/>
        <v>0.9381204624984002</v>
      </c>
      <c r="BP27" s="68">
        <f t="shared" si="27"/>
        <v>0.96548227138530684</v>
      </c>
      <c r="BQ27" s="68">
        <f t="shared" si="27"/>
        <v>0.98494123588743476</v>
      </c>
      <c r="BR27" s="68">
        <f t="shared" si="27"/>
        <v>1</v>
      </c>
    </row>
    <row r="28" spans="1:70">
      <c r="A28" s="131" t="s">
        <v>144</v>
      </c>
      <c r="B28" s="62">
        <v>59785.48</v>
      </c>
      <c r="C28" s="62">
        <v>65893.25</v>
      </c>
      <c r="D28" s="62">
        <v>52488.84</v>
      </c>
      <c r="E28" s="62">
        <v>28091.78</v>
      </c>
      <c r="F28" s="62">
        <v>32520.410000000003</v>
      </c>
      <c r="G28" s="62">
        <v>37199.22</v>
      </c>
      <c r="H28" s="62">
        <v>12440.510000000002</v>
      </c>
      <c r="I28" s="62">
        <v>10508.03</v>
      </c>
      <c r="J28" s="62">
        <v>9297.92</v>
      </c>
      <c r="K28" s="62">
        <v>9296.74</v>
      </c>
      <c r="L28" s="62">
        <v>7029.64</v>
      </c>
      <c r="M28" s="62">
        <v>7525.56</v>
      </c>
      <c r="N28" s="100">
        <f t="shared" si="0"/>
        <v>332077.38</v>
      </c>
      <c r="P28" s="131" t="s">
        <v>144</v>
      </c>
      <c r="Q28" s="62">
        <v>59642.25</v>
      </c>
      <c r="R28" s="62">
        <v>83949.55</v>
      </c>
      <c r="S28" s="62">
        <v>29865.360000000001</v>
      </c>
      <c r="T28" s="62">
        <v>24538.94</v>
      </c>
      <c r="U28" s="62">
        <v>34338.29</v>
      </c>
      <c r="V28" s="62">
        <v>33456.339999999997</v>
      </c>
      <c r="W28" s="62">
        <v>8885.89</v>
      </c>
      <c r="X28" s="62">
        <v>13464.45</v>
      </c>
      <c r="Y28" s="62">
        <v>10556.279999999999</v>
      </c>
      <c r="Z28" s="62">
        <v>8488.31</v>
      </c>
      <c r="AA28" s="62">
        <v>6038.5199999999995</v>
      </c>
      <c r="AB28" s="62">
        <v>7769.66</v>
      </c>
      <c r="AC28" s="100">
        <f t="shared" si="14"/>
        <v>320993.83999999997</v>
      </c>
      <c r="AE28" s="68">
        <f t="shared" si="1"/>
        <v>0.18003478586828167</v>
      </c>
      <c r="AF28" s="68">
        <f t="shared" si="2"/>
        <v>0.37846218251902619</v>
      </c>
      <c r="AG28" s="68">
        <f t="shared" si="3"/>
        <v>0.53652425829184758</v>
      </c>
      <c r="AH28" s="68">
        <f t="shared" si="4"/>
        <v>0.62111833693701146</v>
      </c>
      <c r="AI28" s="68">
        <f t="shared" si="5"/>
        <v>0.7190485542857511</v>
      </c>
      <c r="AJ28" s="68">
        <f t="shared" si="6"/>
        <v>0.83106828896325302</v>
      </c>
      <c r="AK28" s="68">
        <f t="shared" si="7"/>
        <v>0.86853097311235106</v>
      </c>
      <c r="AL28" s="68">
        <f t="shared" si="8"/>
        <v>0.90017429070296817</v>
      </c>
      <c r="AM28" s="68">
        <f t="shared" si="9"/>
        <v>0.92817354798450891</v>
      </c>
      <c r="AN28" s="68">
        <f t="shared" si="10"/>
        <v>0.95616925187737867</v>
      </c>
      <c r="AO28" s="68">
        <f t="shared" si="11"/>
        <v>0.97733793250235834</v>
      </c>
      <c r="AP28" s="68">
        <f t="shared" si="12"/>
        <v>1</v>
      </c>
      <c r="AQ28" s="92"/>
      <c r="AT28" s="68">
        <f t="shared" si="15"/>
        <v>0.18580496747227301</v>
      </c>
      <c r="AU28" s="68">
        <f t="shared" si="16"/>
        <v>0.44733506412459506</v>
      </c>
      <c r="AV28" s="68">
        <f t="shared" si="17"/>
        <v>0.54037535424355809</v>
      </c>
      <c r="AW28" s="68">
        <f t="shared" si="18"/>
        <v>0.61682211720947666</v>
      </c>
      <c r="AX28" s="68">
        <f t="shared" si="19"/>
        <v>0.72379703610511659</v>
      </c>
      <c r="AY28" s="68">
        <f t="shared" si="20"/>
        <v>0.82802439448682252</v>
      </c>
      <c r="AZ28" s="68">
        <f t="shared" si="21"/>
        <v>0.85570682602507275</v>
      </c>
      <c r="BA28" s="68">
        <f t="shared" si="22"/>
        <v>0.89765295807545731</v>
      </c>
      <c r="BB28" s="68">
        <f t="shared" si="23"/>
        <v>0.93053919664003526</v>
      </c>
      <c r="BC28" s="68">
        <f t="shared" si="24"/>
        <v>0.95698303743149715</v>
      </c>
      <c r="BD28" s="68">
        <f t="shared" si="25"/>
        <v>0.97579498721844637</v>
      </c>
      <c r="BE28" s="68">
        <f t="shared" si="26"/>
        <v>1</v>
      </c>
      <c r="BG28" s="68">
        <f t="shared" si="27"/>
        <v>0.18291987667027734</v>
      </c>
      <c r="BH28" s="68">
        <f t="shared" si="27"/>
        <v>0.4128986233218106</v>
      </c>
      <c r="BI28" s="68">
        <f t="shared" si="27"/>
        <v>0.53844980626770278</v>
      </c>
      <c r="BJ28" s="68">
        <f t="shared" si="27"/>
        <v>0.61897022707324401</v>
      </c>
      <c r="BK28" s="68">
        <f t="shared" si="27"/>
        <v>0.72142279519543384</v>
      </c>
      <c r="BL28" s="68">
        <f t="shared" si="27"/>
        <v>0.82954634172503772</v>
      </c>
      <c r="BM28" s="68">
        <f t="shared" si="27"/>
        <v>0.8621188995687119</v>
      </c>
      <c r="BN28" s="68">
        <f t="shared" si="27"/>
        <v>0.89891362438921274</v>
      </c>
      <c r="BO28" s="68">
        <f t="shared" si="27"/>
        <v>0.92935637231227208</v>
      </c>
      <c r="BP28" s="68">
        <f t="shared" si="27"/>
        <v>0.95657614465443785</v>
      </c>
      <c r="BQ28" s="68">
        <f t="shared" si="27"/>
        <v>0.97656645986040236</v>
      </c>
      <c r="BR28" s="68">
        <f t="shared" si="27"/>
        <v>1</v>
      </c>
    </row>
    <row r="29" spans="1:70">
      <c r="A29" s="131" t="s">
        <v>145</v>
      </c>
      <c r="B29" s="62">
        <v>18233.98</v>
      </c>
      <c r="C29" s="62">
        <v>32485.1</v>
      </c>
      <c r="D29" s="62">
        <v>35704.239999999998</v>
      </c>
      <c r="E29" s="62">
        <v>19376.8</v>
      </c>
      <c r="F29" s="62">
        <v>16714.97</v>
      </c>
      <c r="G29" s="62">
        <v>16410.25</v>
      </c>
      <c r="H29" s="62">
        <v>7134.920000000001</v>
      </c>
      <c r="I29" s="62">
        <v>8638.5</v>
      </c>
      <c r="J29" s="62">
        <v>6043.62</v>
      </c>
      <c r="K29" s="62">
        <v>7937.39</v>
      </c>
      <c r="L29" s="62">
        <v>3687.61</v>
      </c>
      <c r="M29" s="62">
        <v>4403.7299999999996</v>
      </c>
      <c r="N29" s="100">
        <f t="shared" si="0"/>
        <v>176771.11000000004</v>
      </c>
      <c r="P29" s="131" t="s">
        <v>145</v>
      </c>
      <c r="Q29" s="62">
        <v>21182.93</v>
      </c>
      <c r="R29" s="62">
        <v>41360.97</v>
      </c>
      <c r="S29" s="62">
        <v>15030.32</v>
      </c>
      <c r="T29" s="62">
        <v>13329.109999999999</v>
      </c>
      <c r="U29" s="62">
        <v>18932.27</v>
      </c>
      <c r="V29" s="62">
        <v>18806.72</v>
      </c>
      <c r="W29" s="62">
        <v>7534.65</v>
      </c>
      <c r="X29" s="62">
        <v>6734.91</v>
      </c>
      <c r="Y29" s="62">
        <v>8801.67</v>
      </c>
      <c r="Z29" s="62">
        <v>10783.5</v>
      </c>
      <c r="AA29" s="62">
        <v>8920.81</v>
      </c>
      <c r="AB29" s="62">
        <v>6496.39</v>
      </c>
      <c r="AC29" s="100">
        <f t="shared" si="14"/>
        <v>177914.25000000003</v>
      </c>
      <c r="AE29" s="68">
        <f t="shared" si="1"/>
        <v>0.10315022630111897</v>
      </c>
      <c r="AF29" s="68">
        <f t="shared" si="2"/>
        <v>0.28691950851018577</v>
      </c>
      <c r="AG29" s="68">
        <f t="shared" si="3"/>
        <v>0.48889957188140065</v>
      </c>
      <c r="AH29" s="68">
        <f t="shared" si="4"/>
        <v>0.59851476861801678</v>
      </c>
      <c r="AI29" s="68">
        <f t="shared" si="5"/>
        <v>0.69307190524514994</v>
      </c>
      <c r="AJ29" s="68">
        <f t="shared" si="6"/>
        <v>0.78590523078120622</v>
      </c>
      <c r="AK29" s="68">
        <f t="shared" si="7"/>
        <v>0.8262677085639164</v>
      </c>
      <c r="AL29" s="68">
        <f t="shared" si="8"/>
        <v>0.87513598800165937</v>
      </c>
      <c r="AM29" s="68">
        <f t="shared" si="9"/>
        <v>0.90932494568824052</v>
      </c>
      <c r="AN29" s="68">
        <f t="shared" si="10"/>
        <v>0.95422702273012827</v>
      </c>
      <c r="AO29" s="68">
        <f t="shared" si="11"/>
        <v>0.97508795413458671</v>
      </c>
      <c r="AP29" s="68">
        <f t="shared" si="12"/>
        <v>1</v>
      </c>
      <c r="AQ29" s="92"/>
      <c r="AT29" s="68">
        <f t="shared" si="15"/>
        <v>0.1190625821146985</v>
      </c>
      <c r="AU29" s="68">
        <f t="shared" si="16"/>
        <v>0.35153957594740159</v>
      </c>
      <c r="AV29" s="68">
        <f t="shared" si="17"/>
        <v>0.43602027381168168</v>
      </c>
      <c r="AW29" s="68">
        <f t="shared" si="18"/>
        <v>0.5109390057288834</v>
      </c>
      <c r="AX29" s="68">
        <f t="shared" si="19"/>
        <v>0.61735133638817574</v>
      </c>
      <c r="AY29" s="68">
        <f t="shared" si="20"/>
        <v>0.7230579900148526</v>
      </c>
      <c r="AZ29" s="68">
        <f t="shared" si="21"/>
        <v>0.76540788610243404</v>
      </c>
      <c r="BA29" s="68">
        <f t="shared" si="22"/>
        <v>0.80326269537150607</v>
      </c>
      <c r="BB29" s="68">
        <f t="shared" si="23"/>
        <v>0.85273411207927408</v>
      </c>
      <c r="BC29" s="68">
        <f t="shared" si="24"/>
        <v>0.91334477142780857</v>
      </c>
      <c r="BD29" s="68">
        <f t="shared" si="25"/>
        <v>0.96348583657576603</v>
      </c>
      <c r="BE29" s="68">
        <f t="shared" si="26"/>
        <v>1</v>
      </c>
      <c r="BG29" s="68">
        <f t="shared" si="27"/>
        <v>0.11110640420790874</v>
      </c>
      <c r="BH29" s="68">
        <f t="shared" si="27"/>
        <v>0.31922954222879368</v>
      </c>
      <c r="BI29" s="68">
        <f t="shared" si="27"/>
        <v>0.46245992284654114</v>
      </c>
      <c r="BJ29" s="68">
        <f t="shared" si="27"/>
        <v>0.55472688717345009</v>
      </c>
      <c r="BK29" s="68">
        <f t="shared" si="27"/>
        <v>0.65521162081666284</v>
      </c>
      <c r="BL29" s="68">
        <f t="shared" si="27"/>
        <v>0.75448161039802941</v>
      </c>
      <c r="BM29" s="68">
        <f t="shared" si="27"/>
        <v>0.79583779733317517</v>
      </c>
      <c r="BN29" s="68">
        <f t="shared" si="27"/>
        <v>0.83919934168658272</v>
      </c>
      <c r="BO29" s="68">
        <f t="shared" si="27"/>
        <v>0.8810295288837573</v>
      </c>
      <c r="BP29" s="68">
        <f t="shared" si="27"/>
        <v>0.93378589707896842</v>
      </c>
      <c r="BQ29" s="68">
        <f t="shared" si="27"/>
        <v>0.96928689535517631</v>
      </c>
      <c r="BR29" s="68">
        <f t="shared" si="27"/>
        <v>1</v>
      </c>
    </row>
    <row r="30" spans="1:70">
      <c r="N30" s="94">
        <f t="shared" si="0"/>
        <v>0</v>
      </c>
      <c r="AC30" s="94">
        <f t="shared" si="14"/>
        <v>0</v>
      </c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</row>
    <row r="31" spans="1:70">
      <c r="B31" s="317" t="s">
        <v>235</v>
      </c>
      <c r="C31" s="317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7">
        <f t="shared" si="0"/>
        <v>0</v>
      </c>
      <c r="Q31" s="317" t="s">
        <v>202</v>
      </c>
      <c r="R31" s="317"/>
      <c r="S31" s="317"/>
      <c r="T31" s="317"/>
      <c r="U31" s="317"/>
      <c r="V31" s="317"/>
      <c r="W31" s="317"/>
      <c r="X31" s="317"/>
      <c r="Y31" s="317"/>
      <c r="Z31" s="317"/>
      <c r="AA31" s="317"/>
      <c r="AB31" s="317"/>
      <c r="AC31" s="317">
        <f t="shared" si="14"/>
        <v>0</v>
      </c>
      <c r="AE31" s="316" t="s">
        <v>177</v>
      </c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92"/>
      <c r="AT31" s="316" t="s">
        <v>178</v>
      </c>
      <c r="AU31" s="316"/>
      <c r="AV31" s="316"/>
      <c r="AW31" s="316"/>
      <c r="AX31" s="316"/>
      <c r="AY31" s="316"/>
      <c r="AZ31" s="316"/>
      <c r="BA31" s="316"/>
      <c r="BB31" s="316"/>
      <c r="BC31" s="316"/>
      <c r="BD31" s="316"/>
      <c r="BE31" s="316"/>
      <c r="BG31" s="316" t="s">
        <v>242</v>
      </c>
      <c r="BH31" s="316"/>
      <c r="BI31" s="316"/>
      <c r="BJ31" s="316"/>
      <c r="BK31" s="316"/>
      <c r="BL31" s="316"/>
      <c r="BM31" s="316"/>
      <c r="BN31" s="316"/>
      <c r="BO31" s="316"/>
      <c r="BP31" s="316"/>
      <c r="BQ31" s="316"/>
      <c r="BR31" s="316"/>
    </row>
    <row r="32" spans="1:70">
      <c r="B32" s="131" t="s">
        <v>163</v>
      </c>
      <c r="C32" s="131" t="s">
        <v>179</v>
      </c>
      <c r="D32" s="131" t="s">
        <v>180</v>
      </c>
      <c r="E32" s="131" t="s">
        <v>181</v>
      </c>
      <c r="F32" s="131" t="s">
        <v>182</v>
      </c>
      <c r="G32" s="131" t="s">
        <v>183</v>
      </c>
      <c r="H32" s="131" t="s">
        <v>184</v>
      </c>
      <c r="I32" s="131" t="s">
        <v>185</v>
      </c>
      <c r="J32" s="131" t="s">
        <v>186</v>
      </c>
      <c r="K32" s="131" t="s">
        <v>187</v>
      </c>
      <c r="L32" s="131" t="s">
        <v>188</v>
      </c>
      <c r="M32" s="131" t="s">
        <v>189</v>
      </c>
      <c r="N32" s="131" t="s">
        <v>160</v>
      </c>
      <c r="Q32" s="131" t="s">
        <v>163</v>
      </c>
      <c r="R32" s="131" t="s">
        <v>179</v>
      </c>
      <c r="S32" s="131" t="s">
        <v>180</v>
      </c>
      <c r="T32" s="131" t="s">
        <v>181</v>
      </c>
      <c r="U32" s="131" t="s">
        <v>182</v>
      </c>
      <c r="V32" s="131" t="s">
        <v>183</v>
      </c>
      <c r="W32" s="131" t="s">
        <v>184</v>
      </c>
      <c r="X32" s="131" t="s">
        <v>185</v>
      </c>
      <c r="Y32" s="131" t="s">
        <v>186</v>
      </c>
      <c r="Z32" s="131" t="s">
        <v>187</v>
      </c>
      <c r="AA32" s="131" t="s">
        <v>188</v>
      </c>
      <c r="AB32" s="131" t="s">
        <v>189</v>
      </c>
      <c r="AC32" s="131">
        <f t="shared" si="14"/>
        <v>0</v>
      </c>
      <c r="AE32" s="131" t="s">
        <v>190</v>
      </c>
      <c r="AF32" s="131" t="s">
        <v>191</v>
      </c>
      <c r="AG32" s="131" t="s">
        <v>192</v>
      </c>
      <c r="AH32" s="131" t="s">
        <v>193</v>
      </c>
      <c r="AI32" s="131" t="s">
        <v>194</v>
      </c>
      <c r="AJ32" s="131" t="s">
        <v>195</v>
      </c>
      <c r="AK32" s="131" t="s">
        <v>196</v>
      </c>
      <c r="AL32" s="131" t="s">
        <v>197</v>
      </c>
      <c r="AM32" s="131" t="s">
        <v>198</v>
      </c>
      <c r="AN32" s="131" t="s">
        <v>199</v>
      </c>
      <c r="AO32" s="131" t="s">
        <v>200</v>
      </c>
      <c r="AP32" s="131" t="s">
        <v>201</v>
      </c>
      <c r="AQ32" s="92"/>
      <c r="AT32" s="131" t="s">
        <v>190</v>
      </c>
      <c r="AU32" s="131" t="s">
        <v>191</v>
      </c>
      <c r="AV32" s="131" t="s">
        <v>238</v>
      </c>
      <c r="AW32" s="131" t="s">
        <v>239</v>
      </c>
      <c r="AX32" s="131" t="s">
        <v>240</v>
      </c>
      <c r="AY32" s="131" t="s">
        <v>195</v>
      </c>
      <c r="AZ32" s="131" t="s">
        <v>196</v>
      </c>
      <c r="BA32" s="131" t="s">
        <v>197</v>
      </c>
      <c r="BB32" s="131" t="s">
        <v>198</v>
      </c>
      <c r="BC32" s="131" t="s">
        <v>199</v>
      </c>
      <c r="BD32" s="131" t="s">
        <v>200</v>
      </c>
      <c r="BE32" s="131" t="s">
        <v>201</v>
      </c>
      <c r="BG32" s="131" t="s">
        <v>190</v>
      </c>
      <c r="BH32" s="131" t="s">
        <v>191</v>
      </c>
      <c r="BI32" s="131" t="s">
        <v>238</v>
      </c>
      <c r="BJ32" s="131" t="s">
        <v>239</v>
      </c>
      <c r="BK32" s="131" t="s">
        <v>240</v>
      </c>
      <c r="BL32" s="131" t="s">
        <v>195</v>
      </c>
      <c r="BM32" s="131" t="s">
        <v>196</v>
      </c>
      <c r="BN32" s="131" t="s">
        <v>197</v>
      </c>
      <c r="BO32" s="131" t="s">
        <v>198</v>
      </c>
      <c r="BP32" s="131" t="s">
        <v>199</v>
      </c>
      <c r="BQ32" s="131" t="s">
        <v>200</v>
      </c>
      <c r="BR32" s="131" t="s">
        <v>201</v>
      </c>
    </row>
    <row r="33" spans="1:70">
      <c r="A33" s="131" t="s">
        <v>119</v>
      </c>
      <c r="B33" s="62">
        <v>2154.869999999999</v>
      </c>
      <c r="C33" s="62">
        <v>1308.1800000000003</v>
      </c>
      <c r="D33" s="62">
        <v>1887.1099999999969</v>
      </c>
      <c r="E33" s="62">
        <v>514.86000000000058</v>
      </c>
      <c r="F33" s="62">
        <v>1482.9500000000007</v>
      </c>
      <c r="G33" s="62">
        <v>591.66</v>
      </c>
      <c r="H33" s="62">
        <v>1514.0300000000007</v>
      </c>
      <c r="I33" s="62">
        <v>3058.38</v>
      </c>
      <c r="J33" s="62">
        <v>665.37</v>
      </c>
      <c r="K33" s="62">
        <v>1440.98</v>
      </c>
      <c r="L33" s="62">
        <v>2004.45</v>
      </c>
      <c r="M33" s="62">
        <v>1036.51</v>
      </c>
      <c r="N33" s="100">
        <f t="shared" si="0"/>
        <v>17659.349999999995</v>
      </c>
      <c r="P33" s="131" t="s">
        <v>119</v>
      </c>
      <c r="Q33" s="62">
        <v>2352.2099999999991</v>
      </c>
      <c r="R33" s="62">
        <v>1113.1800000000003</v>
      </c>
      <c r="S33" s="62">
        <v>478.63999999999942</v>
      </c>
      <c r="T33" s="62">
        <v>992.37599999999929</v>
      </c>
      <c r="U33" s="62">
        <v>1397.67</v>
      </c>
      <c r="V33" s="62">
        <v>273.0300000000002</v>
      </c>
      <c r="W33" s="62">
        <v>1044.82</v>
      </c>
      <c r="X33" s="62">
        <v>1387.3199999999993</v>
      </c>
      <c r="Y33" s="62">
        <v>706.16999999999985</v>
      </c>
      <c r="Z33" s="62">
        <v>891.83999999999958</v>
      </c>
      <c r="AA33" s="62">
        <v>738.7299999999999</v>
      </c>
      <c r="AB33" s="62">
        <v>186.84999999999997</v>
      </c>
      <c r="AC33" s="100">
        <f t="shared" si="14"/>
        <v>11562.835999999998</v>
      </c>
      <c r="AE33" s="68">
        <f t="shared" ref="AE33:AE59" si="28">B33/N33</f>
        <v>0.12202431006803759</v>
      </c>
      <c r="AF33" s="68">
        <f t="shared" ref="AF33:AF59" si="29">SUM(B33:C33)/$N33</f>
        <v>0.19610291432017601</v>
      </c>
      <c r="AG33" s="68">
        <f t="shared" ref="AG33:AG59" si="30">SUM(B33:D33)/$N33</f>
        <v>0.30296471840696276</v>
      </c>
      <c r="AH33" s="68">
        <f t="shared" ref="AH33:AH59" si="31">SUM(B33:E33)/$N33</f>
        <v>0.3321198118843558</v>
      </c>
      <c r="AI33" s="68">
        <f t="shared" ref="AI33:AI59" si="32">SUM(B33:F33)/$N33</f>
        <v>0.41609515639024086</v>
      </c>
      <c r="AJ33" s="68">
        <f t="shared" ref="AJ33:AJ59" si="33">SUM(B33:G33)/$N33</f>
        <v>0.44959922080937292</v>
      </c>
      <c r="AK33" s="68">
        <f t="shared" ref="AK33:AK59" si="34">SUM(B33:H33)/$N33</f>
        <v>0.53533453949324294</v>
      </c>
      <c r="AL33" s="68">
        <f t="shared" ref="AL33:AL59" si="35">SUM(B33:I33)/$N33</f>
        <v>0.70852211434735712</v>
      </c>
      <c r="AM33" s="68">
        <f t="shared" ref="AM33:AM59" si="36">SUM(B33:J33)/$N33</f>
        <v>0.74620017158049434</v>
      </c>
      <c r="AN33" s="68">
        <f t="shared" ref="AN33:AN59" si="37">SUM(B33:K33)/$N33</f>
        <v>0.82779887141938979</v>
      </c>
      <c r="AO33" s="68">
        <f t="shared" ref="AO33:AO59" si="38">SUM(B33:L33)/$N33</f>
        <v>0.94130531418200569</v>
      </c>
      <c r="AP33" s="68">
        <f t="shared" ref="AP33:AP59" si="39">SUM(B33:M33)/$N33</f>
        <v>1</v>
      </c>
      <c r="AQ33" s="92"/>
      <c r="AT33" s="68">
        <f t="shared" si="15"/>
        <v>0.20342846685709282</v>
      </c>
      <c r="AU33" s="68">
        <f t="shared" si="16"/>
        <v>0.29970069626517232</v>
      </c>
      <c r="AV33" s="68">
        <f t="shared" si="17"/>
        <v>0.34109538524977778</v>
      </c>
      <c r="AW33" s="68">
        <f t="shared" si="18"/>
        <v>0.42692000474624037</v>
      </c>
      <c r="AX33" s="68">
        <f t="shared" si="19"/>
        <v>0.54779605972098888</v>
      </c>
      <c r="AY33" s="68">
        <f t="shared" si="20"/>
        <v>0.57140877895353692</v>
      </c>
      <c r="AZ33" s="68">
        <f t="shared" si="21"/>
        <v>0.66176896394621521</v>
      </c>
      <c r="BA33" s="68">
        <f t="shared" si="22"/>
        <v>0.78174990979721581</v>
      </c>
      <c r="BB33" s="68">
        <f t="shared" si="23"/>
        <v>0.8428222972288113</v>
      </c>
      <c r="BC33" s="68">
        <f t="shared" si="24"/>
        <v>0.91995216398468338</v>
      </c>
      <c r="BD33" s="68">
        <f t="shared" si="25"/>
        <v>0.98384046958721882</v>
      </c>
      <c r="BE33" s="68">
        <f t="shared" si="26"/>
        <v>1</v>
      </c>
      <c r="BG33" s="68">
        <f t="shared" si="27"/>
        <v>0.16272638846256521</v>
      </c>
      <c r="BH33" s="68">
        <f t="shared" si="27"/>
        <v>0.24790180529267417</v>
      </c>
      <c r="BI33" s="68">
        <f t="shared" si="27"/>
        <v>0.3220300518283703</v>
      </c>
      <c r="BJ33" s="68">
        <f t="shared" si="27"/>
        <v>0.37951990831529808</v>
      </c>
      <c r="BK33" s="68">
        <f t="shared" si="27"/>
        <v>0.48194560805561487</v>
      </c>
      <c r="BL33" s="68">
        <f t="shared" si="27"/>
        <v>0.5105039998814549</v>
      </c>
      <c r="BM33" s="68">
        <f t="shared" si="27"/>
        <v>0.59855175171972907</v>
      </c>
      <c r="BN33" s="68">
        <f t="shared" si="27"/>
        <v>0.74513601207228652</v>
      </c>
      <c r="BO33" s="68">
        <f t="shared" si="27"/>
        <v>0.79451123440465277</v>
      </c>
      <c r="BP33" s="68">
        <f t="shared" si="27"/>
        <v>0.87387551770203653</v>
      </c>
      <c r="BQ33" s="68">
        <f t="shared" si="27"/>
        <v>0.96257289188461226</v>
      </c>
      <c r="BR33" s="68">
        <f t="shared" si="27"/>
        <v>1</v>
      </c>
    </row>
    <row r="34" spans="1:70">
      <c r="A34" s="131" t="s">
        <v>120</v>
      </c>
      <c r="B34" s="62">
        <v>19817.459999999995</v>
      </c>
      <c r="C34" s="62">
        <v>11696.830000000002</v>
      </c>
      <c r="D34" s="62">
        <v>8679.9699999999975</v>
      </c>
      <c r="E34" s="62">
        <v>7434.8300000000017</v>
      </c>
      <c r="F34" s="62">
        <v>9516.2400000000071</v>
      </c>
      <c r="G34" s="62">
        <v>5826</v>
      </c>
      <c r="H34" s="62">
        <v>4521.1600000000017</v>
      </c>
      <c r="I34" s="62">
        <v>7166.13</v>
      </c>
      <c r="J34" s="62">
        <v>4947.6499999999996</v>
      </c>
      <c r="K34" s="62">
        <v>3740.82</v>
      </c>
      <c r="L34" s="62">
        <v>3044.56</v>
      </c>
      <c r="M34" s="62">
        <v>6203.24</v>
      </c>
      <c r="N34" s="100">
        <f t="shared" si="0"/>
        <v>92594.890000000014</v>
      </c>
      <c r="P34" s="131" t="s">
        <v>120</v>
      </c>
      <c r="Q34" s="62">
        <v>8899.9900000000016</v>
      </c>
      <c r="R34" s="62">
        <v>13869.910000000003</v>
      </c>
      <c r="S34" s="62">
        <v>8620.6100000000042</v>
      </c>
      <c r="T34" s="62">
        <v>7676.5400000000027</v>
      </c>
      <c r="U34" s="62">
        <v>10707.779999999999</v>
      </c>
      <c r="V34" s="62">
        <v>7782.4900000000016</v>
      </c>
      <c r="W34" s="62">
        <v>5573.98</v>
      </c>
      <c r="X34" s="62">
        <v>6146.65</v>
      </c>
      <c r="Y34" s="62">
        <v>5282.96</v>
      </c>
      <c r="Z34" s="62">
        <v>5117.9000000000015</v>
      </c>
      <c r="AA34" s="62">
        <v>8552.6900000000023</v>
      </c>
      <c r="AB34" s="62">
        <v>5251.1099999999988</v>
      </c>
      <c r="AC34" s="100">
        <f t="shared" si="14"/>
        <v>93482.61</v>
      </c>
      <c r="AE34" s="68">
        <f t="shared" si="28"/>
        <v>0.21402325765493099</v>
      </c>
      <c r="AF34" s="68">
        <f t="shared" si="29"/>
        <v>0.34034588733784327</v>
      </c>
      <c r="AG34" s="68">
        <f t="shared" si="30"/>
        <v>0.4340872374274648</v>
      </c>
      <c r="AH34" s="68">
        <f t="shared" si="31"/>
        <v>0.51438140916847563</v>
      </c>
      <c r="AI34" s="68">
        <f t="shared" si="32"/>
        <v>0.61715425116871991</v>
      </c>
      <c r="AJ34" s="68">
        <f t="shared" si="33"/>
        <v>0.68007349001656558</v>
      </c>
      <c r="AK34" s="68">
        <f t="shared" si="34"/>
        <v>0.72890080651318878</v>
      </c>
      <c r="AL34" s="68">
        <f t="shared" si="35"/>
        <v>0.8062930902558445</v>
      </c>
      <c r="AM34" s="68">
        <f t="shared" si="36"/>
        <v>0.85972638446894845</v>
      </c>
      <c r="AN34" s="68">
        <f t="shared" si="37"/>
        <v>0.90012623806778103</v>
      </c>
      <c r="AO34" s="68">
        <f t="shared" si="38"/>
        <v>0.93300667023849804</v>
      </c>
      <c r="AP34" s="68">
        <f t="shared" si="39"/>
        <v>1</v>
      </c>
      <c r="AQ34" s="92"/>
      <c r="AT34" s="68">
        <f t="shared" si="15"/>
        <v>9.5204765891752502E-2</v>
      </c>
      <c r="AU34" s="68">
        <f t="shared" si="16"/>
        <v>0.24357364433877066</v>
      </c>
      <c r="AV34" s="68">
        <f t="shared" si="17"/>
        <v>0.33578983299674675</v>
      </c>
      <c r="AW34" s="68">
        <f t="shared" si="18"/>
        <v>0.41790713802278318</v>
      </c>
      <c r="AX34" s="68">
        <f t="shared" si="19"/>
        <v>0.53245015302846177</v>
      </c>
      <c r="AY34" s="68">
        <f t="shared" si="20"/>
        <v>0.615700823928643</v>
      </c>
      <c r="AZ34" s="68">
        <f t="shared" si="21"/>
        <v>0.6753266730571601</v>
      </c>
      <c r="BA34" s="68">
        <f t="shared" si="22"/>
        <v>0.74107847438149188</v>
      </c>
      <c r="BB34" s="68">
        <f t="shared" si="23"/>
        <v>0.79759123113913921</v>
      </c>
      <c r="BC34" s="68">
        <f t="shared" si="24"/>
        <v>0.85233831190635345</v>
      </c>
      <c r="BD34" s="68">
        <f t="shared" si="25"/>
        <v>0.94382794832108341</v>
      </c>
      <c r="BE34" s="68">
        <f t="shared" si="26"/>
        <v>1</v>
      </c>
      <c r="BG34" s="68">
        <f t="shared" si="27"/>
        <v>0.15461401177334175</v>
      </c>
      <c r="BH34" s="68">
        <f t="shared" si="27"/>
        <v>0.29195976583830696</v>
      </c>
      <c r="BI34" s="68">
        <f t="shared" si="27"/>
        <v>0.38493853521210575</v>
      </c>
      <c r="BJ34" s="68">
        <f t="shared" si="27"/>
        <v>0.46614427359562938</v>
      </c>
      <c r="BK34" s="68">
        <f t="shared" si="27"/>
        <v>0.57480220209859079</v>
      </c>
      <c r="BL34" s="68">
        <f t="shared" si="27"/>
        <v>0.64788715697260435</v>
      </c>
      <c r="BM34" s="68">
        <f t="shared" si="27"/>
        <v>0.70211373978517444</v>
      </c>
      <c r="BN34" s="68">
        <f t="shared" si="27"/>
        <v>0.77368578231866825</v>
      </c>
      <c r="BO34" s="68">
        <f t="shared" si="27"/>
        <v>0.82865880780404377</v>
      </c>
      <c r="BP34" s="68">
        <f t="shared" si="27"/>
        <v>0.87623227498706724</v>
      </c>
      <c r="BQ34" s="68">
        <f t="shared" si="27"/>
        <v>0.93841730927979072</v>
      </c>
      <c r="BR34" s="68">
        <f t="shared" si="27"/>
        <v>1</v>
      </c>
    </row>
    <row r="35" spans="1:70">
      <c r="A35" s="131" t="s">
        <v>121</v>
      </c>
      <c r="B35" s="62">
        <v>2839.2399999999975</v>
      </c>
      <c r="C35" s="62">
        <v>3464.380000000001</v>
      </c>
      <c r="D35" s="62">
        <v>1699.489999999998</v>
      </c>
      <c r="E35" s="62">
        <v>2442.2600000000002</v>
      </c>
      <c r="F35" s="62">
        <v>2737.6900000000005</v>
      </c>
      <c r="G35" s="62">
        <v>1461.68</v>
      </c>
      <c r="H35" s="62">
        <v>3767.8700000000003</v>
      </c>
      <c r="I35" s="62">
        <v>1717.91</v>
      </c>
      <c r="J35" s="62">
        <v>2265.3000000000002</v>
      </c>
      <c r="K35" s="62">
        <v>3945.2699999999995</v>
      </c>
      <c r="L35" s="62">
        <v>3771.18</v>
      </c>
      <c r="M35" s="62">
        <v>2450.7799999999997</v>
      </c>
      <c r="N35" s="100">
        <f t="shared" si="0"/>
        <v>32563.049999999996</v>
      </c>
      <c r="P35" s="131" t="s">
        <v>121</v>
      </c>
      <c r="Q35" s="62">
        <v>2086.0799999999995</v>
      </c>
      <c r="R35" s="62">
        <v>1246.8000000000011</v>
      </c>
      <c r="S35" s="62">
        <v>3160.1400000000003</v>
      </c>
      <c r="T35" s="62">
        <v>1215.8999999999987</v>
      </c>
      <c r="U35" s="62">
        <v>977.20000000000027</v>
      </c>
      <c r="V35" s="62">
        <v>1571.65</v>
      </c>
      <c r="W35" s="62">
        <v>628.12999999999943</v>
      </c>
      <c r="X35" s="62">
        <v>1386.5999999999997</v>
      </c>
      <c r="Y35" s="62">
        <v>1730.9900000000007</v>
      </c>
      <c r="Z35" s="62">
        <v>922.88000000000011</v>
      </c>
      <c r="AA35" s="62">
        <v>1450.7999999999997</v>
      </c>
      <c r="AB35" s="62">
        <v>591.69000000000005</v>
      </c>
      <c r="AC35" s="100">
        <f t="shared" si="14"/>
        <v>16968.859999999997</v>
      </c>
      <c r="AE35" s="68">
        <f t="shared" si="28"/>
        <v>8.719207813764368E-2</v>
      </c>
      <c r="AF35" s="68">
        <f t="shared" si="29"/>
        <v>0.19358198940209839</v>
      </c>
      <c r="AG35" s="68">
        <f t="shared" si="30"/>
        <v>0.24577273934720481</v>
      </c>
      <c r="AH35" s="68">
        <f t="shared" si="31"/>
        <v>0.32077369902389358</v>
      </c>
      <c r="AI35" s="68">
        <f t="shared" si="32"/>
        <v>0.40484721179373551</v>
      </c>
      <c r="AJ35" s="68">
        <f t="shared" si="33"/>
        <v>0.44973489891149632</v>
      </c>
      <c r="AK35" s="68">
        <f t="shared" si="34"/>
        <v>0.56544488308066965</v>
      </c>
      <c r="AL35" s="68">
        <f t="shared" si="35"/>
        <v>0.61820130485320013</v>
      </c>
      <c r="AM35" s="68">
        <f t="shared" si="36"/>
        <v>0.68776788415090107</v>
      </c>
      <c r="AN35" s="68">
        <f t="shared" si="37"/>
        <v>0.8089257609468401</v>
      </c>
      <c r="AO35" s="68">
        <f t="shared" si="38"/>
        <v>0.92473739407088718</v>
      </c>
      <c r="AP35" s="68">
        <f t="shared" si="39"/>
        <v>1</v>
      </c>
      <c r="AQ35" s="92"/>
      <c r="AT35" s="68">
        <f t="shared" si="15"/>
        <v>0.1229357776538907</v>
      </c>
      <c r="AU35" s="68">
        <f t="shared" si="16"/>
        <v>0.19641154444081696</v>
      </c>
      <c r="AV35" s="68">
        <f t="shared" si="17"/>
        <v>0.38264326536962423</v>
      </c>
      <c r="AW35" s="68">
        <f t="shared" si="18"/>
        <v>0.45429804948594077</v>
      </c>
      <c r="AX35" s="68">
        <f t="shared" si="19"/>
        <v>0.51188588980049343</v>
      </c>
      <c r="AY35" s="68">
        <f t="shared" si="20"/>
        <v>0.60450554722002536</v>
      </c>
      <c r="AZ35" s="68">
        <f t="shared" si="21"/>
        <v>0.64152217650449117</v>
      </c>
      <c r="BA35" s="68">
        <f t="shared" si="22"/>
        <v>0.72323656391767044</v>
      </c>
      <c r="BB35" s="68">
        <f t="shared" si="23"/>
        <v>0.82524636304383447</v>
      </c>
      <c r="BC35" s="68">
        <f t="shared" si="24"/>
        <v>0.87963304547270715</v>
      </c>
      <c r="BD35" s="68">
        <f t="shared" si="25"/>
        <v>0.96513083377433728</v>
      </c>
      <c r="BE35" s="68">
        <f t="shared" si="26"/>
        <v>1</v>
      </c>
      <c r="BG35" s="68">
        <f t="shared" si="27"/>
        <v>0.10506392789576718</v>
      </c>
      <c r="BH35" s="68">
        <f t="shared" si="27"/>
        <v>0.19499676692145768</v>
      </c>
      <c r="BI35" s="68">
        <f t="shared" si="27"/>
        <v>0.31420800235841451</v>
      </c>
      <c r="BJ35" s="68">
        <f t="shared" si="27"/>
        <v>0.3875358742549172</v>
      </c>
      <c r="BK35" s="68">
        <f t="shared" si="27"/>
        <v>0.45836655079711447</v>
      </c>
      <c r="BL35" s="68">
        <f t="shared" si="27"/>
        <v>0.52712022306576078</v>
      </c>
      <c r="BM35" s="68">
        <f t="shared" si="27"/>
        <v>0.60348352979258046</v>
      </c>
      <c r="BN35" s="68">
        <f t="shared" si="27"/>
        <v>0.67071893438543528</v>
      </c>
      <c r="BO35" s="68">
        <f t="shared" si="27"/>
        <v>0.75650712359736771</v>
      </c>
      <c r="BP35" s="68">
        <f t="shared" si="27"/>
        <v>0.84427940320977357</v>
      </c>
      <c r="BQ35" s="68">
        <f t="shared" si="27"/>
        <v>0.94493411392261217</v>
      </c>
      <c r="BR35" s="68">
        <f t="shared" si="27"/>
        <v>1</v>
      </c>
    </row>
    <row r="36" spans="1:70">
      <c r="A36" s="131" t="s">
        <v>122</v>
      </c>
      <c r="B36" s="62">
        <v>16051.829999999994</v>
      </c>
      <c r="C36" s="62">
        <v>10156.150000000001</v>
      </c>
      <c r="D36" s="62">
        <v>9022.9999999999964</v>
      </c>
      <c r="E36" s="62">
        <v>7731.58</v>
      </c>
      <c r="F36" s="62">
        <v>6586.34</v>
      </c>
      <c r="G36" s="62">
        <v>7393.67</v>
      </c>
      <c r="H36" s="62">
        <v>8608.4799999999959</v>
      </c>
      <c r="I36" s="62">
        <v>8537.56</v>
      </c>
      <c r="J36" s="62">
        <v>3567.19</v>
      </c>
      <c r="K36" s="62">
        <v>6809.34</v>
      </c>
      <c r="L36" s="62">
        <v>4650.1000000000004</v>
      </c>
      <c r="M36" s="62">
        <v>4853.82</v>
      </c>
      <c r="N36" s="100">
        <f t="shared" si="0"/>
        <v>93969.06</v>
      </c>
      <c r="P36" s="131" t="s">
        <v>122</v>
      </c>
      <c r="Q36" s="62">
        <v>13496.579999999993</v>
      </c>
      <c r="R36" s="62">
        <v>12678.04</v>
      </c>
      <c r="S36" s="62">
        <v>9213.99</v>
      </c>
      <c r="T36" s="62">
        <v>6941.5699999999988</v>
      </c>
      <c r="U36" s="62">
        <v>7931.889999999994</v>
      </c>
      <c r="V36" s="62">
        <v>7311.8200000000024</v>
      </c>
      <c r="W36" s="62">
        <v>7465.3599999999988</v>
      </c>
      <c r="X36" s="62">
        <v>9422.4000000000015</v>
      </c>
      <c r="Y36" s="62">
        <v>12750.519999999999</v>
      </c>
      <c r="Z36" s="62">
        <v>8555.2899999999991</v>
      </c>
      <c r="AA36" s="62">
        <v>8548.0400000000027</v>
      </c>
      <c r="AB36" s="62">
        <v>7388.71</v>
      </c>
      <c r="AC36" s="100">
        <f t="shared" si="14"/>
        <v>111704.21</v>
      </c>
      <c r="AE36" s="68">
        <f t="shared" si="28"/>
        <v>0.17082037428064084</v>
      </c>
      <c r="AF36" s="68">
        <f t="shared" si="29"/>
        <v>0.27890009754274436</v>
      </c>
      <c r="AG36" s="68">
        <f t="shared" si="30"/>
        <v>0.3749210644439776</v>
      </c>
      <c r="AH36" s="68">
        <f t="shared" si="31"/>
        <v>0.45719899720184493</v>
      </c>
      <c r="AI36" s="68">
        <f t="shared" si="32"/>
        <v>0.52728951422947079</v>
      </c>
      <c r="AJ36" s="68">
        <f t="shared" si="33"/>
        <v>0.6059714761433177</v>
      </c>
      <c r="AK36" s="68">
        <f t="shared" si="34"/>
        <v>0.69758120385582223</v>
      </c>
      <c r="AL36" s="68">
        <f t="shared" si="35"/>
        <v>0.78843621506908745</v>
      </c>
      <c r="AM36" s="68">
        <f t="shared" si="36"/>
        <v>0.82639753978596775</v>
      </c>
      <c r="AN36" s="68">
        <f t="shared" si="37"/>
        <v>0.89886117834955448</v>
      </c>
      <c r="AO36" s="68">
        <f t="shared" si="38"/>
        <v>0.94834661536467424</v>
      </c>
      <c r="AP36" s="68">
        <f t="shared" si="39"/>
        <v>1</v>
      </c>
      <c r="AQ36" s="92"/>
      <c r="AT36" s="68">
        <f t="shared" si="15"/>
        <v>0.12082427331968949</v>
      </c>
      <c r="AU36" s="68">
        <f t="shared" si="16"/>
        <v>0.23432080133774719</v>
      </c>
      <c r="AV36" s="68">
        <f t="shared" si="17"/>
        <v>0.31680641222027345</v>
      </c>
      <c r="AW36" s="68">
        <f t="shared" si="18"/>
        <v>0.37894883281480607</v>
      </c>
      <c r="AX36" s="68">
        <f t="shared" si="19"/>
        <v>0.44995681004323812</v>
      </c>
      <c r="AY36" s="68">
        <f t="shared" si="20"/>
        <v>0.51541378789572911</v>
      </c>
      <c r="AZ36" s="68">
        <f t="shared" si="21"/>
        <v>0.58224528869592274</v>
      </c>
      <c r="BA36" s="68">
        <f t="shared" si="22"/>
        <v>0.66659663051195639</v>
      </c>
      <c r="BB36" s="68">
        <f t="shared" si="23"/>
        <v>0.78074201500552209</v>
      </c>
      <c r="BC36" s="68">
        <f t="shared" si="24"/>
        <v>0.8573308024827353</v>
      </c>
      <c r="BD36" s="68">
        <f t="shared" si="25"/>
        <v>0.93385468640796976</v>
      </c>
      <c r="BE36" s="68">
        <f t="shared" si="26"/>
        <v>1</v>
      </c>
      <c r="BG36" s="68">
        <f t="shared" si="27"/>
        <v>0.14582232380016516</v>
      </c>
      <c r="BH36" s="68">
        <f t="shared" si="27"/>
        <v>0.2566104494402458</v>
      </c>
      <c r="BI36" s="68">
        <f t="shared" si="27"/>
        <v>0.34586373833212553</v>
      </c>
      <c r="BJ36" s="68">
        <f t="shared" si="27"/>
        <v>0.41807391500832547</v>
      </c>
      <c r="BK36" s="68">
        <f t="shared" si="27"/>
        <v>0.48862316213635448</v>
      </c>
      <c r="BL36" s="68">
        <f t="shared" si="27"/>
        <v>0.56069263201952335</v>
      </c>
      <c r="BM36" s="68">
        <f t="shared" si="27"/>
        <v>0.63991324627587254</v>
      </c>
      <c r="BN36" s="68">
        <f t="shared" si="27"/>
        <v>0.72751642279052198</v>
      </c>
      <c r="BO36" s="68">
        <f t="shared" si="27"/>
        <v>0.80356977739574487</v>
      </c>
      <c r="BP36" s="68">
        <f t="shared" si="27"/>
        <v>0.87809599041614494</v>
      </c>
      <c r="BQ36" s="68">
        <f t="shared" si="27"/>
        <v>0.941100650886322</v>
      </c>
      <c r="BR36" s="68">
        <f t="shared" si="27"/>
        <v>1</v>
      </c>
    </row>
    <row r="37" spans="1:70">
      <c r="A37" s="131" t="s">
        <v>123</v>
      </c>
      <c r="B37" s="62">
        <v>52985.74000000002</v>
      </c>
      <c r="C37" s="62">
        <v>40949.159999999982</v>
      </c>
      <c r="D37" s="62">
        <v>31112.410000000007</v>
      </c>
      <c r="E37" s="62">
        <v>30388.760000000009</v>
      </c>
      <c r="F37" s="62">
        <v>24138.400000000001</v>
      </c>
      <c r="G37" s="62">
        <v>15211.310000000001</v>
      </c>
      <c r="H37" s="62">
        <v>27186.410000000007</v>
      </c>
      <c r="I37" s="62">
        <v>34319.25</v>
      </c>
      <c r="J37" s="62">
        <v>16275.36</v>
      </c>
      <c r="K37" s="62">
        <v>23826.32</v>
      </c>
      <c r="L37" s="62">
        <v>17007.740000000002</v>
      </c>
      <c r="M37" s="62">
        <v>15537.7</v>
      </c>
      <c r="N37" s="100">
        <f t="shared" si="0"/>
        <v>328938.56</v>
      </c>
      <c r="P37" s="131" t="s">
        <v>123</v>
      </c>
      <c r="Q37" s="62">
        <v>26687.299999999988</v>
      </c>
      <c r="R37" s="62">
        <v>24558.779999999955</v>
      </c>
      <c r="S37" s="62">
        <v>13976.810000000005</v>
      </c>
      <c r="T37" s="62">
        <v>19549.340000000015</v>
      </c>
      <c r="U37" s="62">
        <v>13124.309999999998</v>
      </c>
      <c r="V37" s="62">
        <v>16731.290000000008</v>
      </c>
      <c r="W37" s="62">
        <v>13698.269999999997</v>
      </c>
      <c r="X37" s="62">
        <v>10718.690000000002</v>
      </c>
      <c r="Y37" s="62">
        <v>13039.72</v>
      </c>
      <c r="Z37" s="62">
        <v>12201.839999999998</v>
      </c>
      <c r="AA37" s="62">
        <v>10416.800000000003</v>
      </c>
      <c r="AB37" s="62">
        <v>22292.799999999999</v>
      </c>
      <c r="AC37" s="100">
        <f t="shared" si="14"/>
        <v>196995.94999999995</v>
      </c>
      <c r="AE37" s="68">
        <f t="shared" si="28"/>
        <v>0.16108096296159385</v>
      </c>
      <c r="AF37" s="68">
        <f t="shared" si="29"/>
        <v>0.28556974287234671</v>
      </c>
      <c r="AG37" s="68">
        <f t="shared" si="30"/>
        <v>0.38015400201180427</v>
      </c>
      <c r="AH37" s="68">
        <f t="shared" si="31"/>
        <v>0.47253830624174925</v>
      </c>
      <c r="AI37" s="68">
        <f t="shared" si="32"/>
        <v>0.54592100725436388</v>
      </c>
      <c r="AJ37" s="68">
        <f t="shared" si="33"/>
        <v>0.59216462794754132</v>
      </c>
      <c r="AK37" s="68">
        <f t="shared" si="34"/>
        <v>0.67481352748671364</v>
      </c>
      <c r="AL37" s="68">
        <f t="shared" si="35"/>
        <v>0.77914684128245715</v>
      </c>
      <c r="AM37" s="68">
        <f t="shared" si="36"/>
        <v>0.82862526059577812</v>
      </c>
      <c r="AN37" s="68">
        <f t="shared" si="37"/>
        <v>0.90105921300318215</v>
      </c>
      <c r="AO37" s="68">
        <f t="shared" si="38"/>
        <v>0.95276412713669079</v>
      </c>
      <c r="AP37" s="68">
        <f t="shared" si="39"/>
        <v>1</v>
      </c>
      <c r="AQ37" s="92"/>
      <c r="AT37" s="68">
        <f t="shared" si="15"/>
        <v>0.13547131298892182</v>
      </c>
      <c r="AU37" s="68">
        <f t="shared" si="16"/>
        <v>0.26013773379604987</v>
      </c>
      <c r="AV37" s="68">
        <f t="shared" si="17"/>
        <v>0.33108746651898158</v>
      </c>
      <c r="AW37" s="68">
        <f t="shared" si="18"/>
        <v>0.43032473510242208</v>
      </c>
      <c r="AX37" s="68">
        <f t="shared" si="19"/>
        <v>0.49694696769146773</v>
      </c>
      <c r="AY37" s="68">
        <f t="shared" si="20"/>
        <v>0.5818791198499258</v>
      </c>
      <c r="AZ37" s="68">
        <f t="shared" si="21"/>
        <v>0.65141491487515357</v>
      </c>
      <c r="BA37" s="68">
        <f t="shared" si="22"/>
        <v>0.70582562737964927</v>
      </c>
      <c r="BB37" s="68">
        <f t="shared" si="23"/>
        <v>0.77201846027799059</v>
      </c>
      <c r="BC37" s="68">
        <f t="shared" si="24"/>
        <v>0.83395800776614959</v>
      </c>
      <c r="BD37" s="68">
        <f t="shared" si="25"/>
        <v>0.88683625221736795</v>
      </c>
      <c r="BE37" s="68">
        <f t="shared" si="26"/>
        <v>1</v>
      </c>
      <c r="BG37" s="68">
        <f t="shared" si="27"/>
        <v>0.14827613797525785</v>
      </c>
      <c r="BH37" s="68">
        <f t="shared" si="27"/>
        <v>0.27285373833419829</v>
      </c>
      <c r="BI37" s="68">
        <f t="shared" si="27"/>
        <v>0.35562073426539292</v>
      </c>
      <c r="BJ37" s="68">
        <f t="shared" si="27"/>
        <v>0.4514315206720857</v>
      </c>
      <c r="BK37" s="68">
        <f t="shared" si="27"/>
        <v>0.52143398747291581</v>
      </c>
      <c r="BL37" s="68">
        <f t="shared" si="27"/>
        <v>0.58702187389873361</v>
      </c>
      <c r="BM37" s="68">
        <f t="shared" si="27"/>
        <v>0.66311422118093355</v>
      </c>
      <c r="BN37" s="68">
        <f t="shared" si="27"/>
        <v>0.74248623433105321</v>
      </c>
      <c r="BO37" s="68">
        <f t="shared" si="27"/>
        <v>0.80032186043688436</v>
      </c>
      <c r="BP37" s="68">
        <f t="shared" si="27"/>
        <v>0.86750861038466587</v>
      </c>
      <c r="BQ37" s="68">
        <f t="shared" si="27"/>
        <v>0.91980018967702937</v>
      </c>
      <c r="BR37" s="68">
        <f t="shared" si="27"/>
        <v>1</v>
      </c>
    </row>
    <row r="38" spans="1:70">
      <c r="A38" s="131" t="s">
        <v>124</v>
      </c>
      <c r="B38" s="62">
        <v>15953.689999999986</v>
      </c>
      <c r="C38" s="62">
        <v>15044.89</v>
      </c>
      <c r="D38" s="62">
        <v>10320.380000000006</v>
      </c>
      <c r="E38" s="62">
        <v>8270.0499999999975</v>
      </c>
      <c r="F38" s="62">
        <v>7238.1999999999907</v>
      </c>
      <c r="G38" s="62">
        <v>7364.8200000000006</v>
      </c>
      <c r="H38" s="62">
        <v>11929.110000000002</v>
      </c>
      <c r="I38" s="62">
        <v>12910.599999999999</v>
      </c>
      <c r="J38" s="62">
        <v>6388.47</v>
      </c>
      <c r="K38" s="62">
        <v>9448.02</v>
      </c>
      <c r="L38" s="62">
        <v>9319.56</v>
      </c>
      <c r="M38" s="62">
        <v>11522.94</v>
      </c>
      <c r="N38" s="100">
        <f t="shared" si="0"/>
        <v>125710.73</v>
      </c>
      <c r="P38" s="131" t="s">
        <v>124</v>
      </c>
      <c r="Q38" s="62">
        <v>11268.220000000008</v>
      </c>
      <c r="R38" s="62">
        <v>17767.579999999987</v>
      </c>
      <c r="S38" s="62">
        <v>22558.02</v>
      </c>
      <c r="T38" s="62">
        <v>15059.509999999995</v>
      </c>
      <c r="U38" s="62">
        <v>11534.250000000004</v>
      </c>
      <c r="V38" s="62">
        <v>13460.049999999996</v>
      </c>
      <c r="W38" s="62">
        <v>9539.16</v>
      </c>
      <c r="X38" s="62">
        <v>7756.550000000002</v>
      </c>
      <c r="Y38" s="62">
        <v>6538.0999999999985</v>
      </c>
      <c r="Z38" s="62">
        <v>6078.4599999999991</v>
      </c>
      <c r="AA38" s="62">
        <v>6382.6500000000005</v>
      </c>
      <c r="AB38" s="62">
        <v>4791.4500000000016</v>
      </c>
      <c r="AC38" s="100">
        <f t="shared" si="14"/>
        <v>132733.99999999997</v>
      </c>
      <c r="AE38" s="68">
        <f t="shared" si="28"/>
        <v>0.12690794174848866</v>
      </c>
      <c r="AF38" s="68">
        <f t="shared" si="29"/>
        <v>0.24658658811383871</v>
      </c>
      <c r="AG38" s="68">
        <f t="shared" si="30"/>
        <v>0.32868284194992736</v>
      </c>
      <c r="AH38" s="68">
        <f t="shared" si="31"/>
        <v>0.39446919129337638</v>
      </c>
      <c r="AI38" s="68">
        <f t="shared" si="32"/>
        <v>0.45204741075006072</v>
      </c>
      <c r="AJ38" s="68">
        <f t="shared" si="33"/>
        <v>0.51063286324087032</v>
      </c>
      <c r="AK38" s="68">
        <f t="shared" si="34"/>
        <v>0.60552619493976356</v>
      </c>
      <c r="AL38" s="68">
        <f t="shared" si="35"/>
        <v>0.70822705428566035</v>
      </c>
      <c r="AM38" s="68">
        <f t="shared" si="36"/>
        <v>0.75904586664956919</v>
      </c>
      <c r="AN38" s="68">
        <f t="shared" si="37"/>
        <v>0.83420269693764404</v>
      </c>
      <c r="AO38" s="68">
        <f t="shared" si="38"/>
        <v>0.90833765741396932</v>
      </c>
      <c r="AP38" s="68">
        <f t="shared" si="39"/>
        <v>1</v>
      </c>
      <c r="AQ38" s="92"/>
      <c r="AT38" s="68">
        <f t="shared" si="15"/>
        <v>8.4893245136890408E-2</v>
      </c>
      <c r="AU38" s="68">
        <f t="shared" si="16"/>
        <v>0.21875178929287148</v>
      </c>
      <c r="AV38" s="68">
        <f t="shared" si="17"/>
        <v>0.3887008603673513</v>
      </c>
      <c r="AW38" s="68">
        <f t="shared" si="18"/>
        <v>0.50215717148582883</v>
      </c>
      <c r="AX38" s="68">
        <f t="shared" si="19"/>
        <v>0.58905465065469287</v>
      </c>
      <c r="AY38" s="68">
        <f t="shared" si="20"/>
        <v>0.69046084650504014</v>
      </c>
      <c r="AZ38" s="68">
        <f t="shared" si="21"/>
        <v>0.76232758750583873</v>
      </c>
      <c r="BA38" s="68">
        <f t="shared" si="22"/>
        <v>0.82076438591468659</v>
      </c>
      <c r="BB38" s="68">
        <f t="shared" si="23"/>
        <v>0.87002154685310473</v>
      </c>
      <c r="BC38" s="68">
        <f t="shared" si="24"/>
        <v>0.9158158422107372</v>
      </c>
      <c r="BD38" s="68">
        <f t="shared" si="25"/>
        <v>0.96390186387813215</v>
      </c>
      <c r="BE38" s="68">
        <f t="shared" si="26"/>
        <v>1</v>
      </c>
      <c r="BG38" s="68">
        <f t="shared" si="27"/>
        <v>0.10590059344268954</v>
      </c>
      <c r="BH38" s="68">
        <f t="shared" si="27"/>
        <v>0.2326691887033551</v>
      </c>
      <c r="BI38" s="68">
        <f t="shared" si="27"/>
        <v>0.35869185115863933</v>
      </c>
      <c r="BJ38" s="68">
        <f t="shared" si="27"/>
        <v>0.44831318138960263</v>
      </c>
      <c r="BK38" s="68">
        <f t="shared" si="27"/>
        <v>0.52055103070237685</v>
      </c>
      <c r="BL38" s="68">
        <f t="shared" si="27"/>
        <v>0.60054685487295523</v>
      </c>
      <c r="BM38" s="68">
        <f t="shared" si="27"/>
        <v>0.68392689122280115</v>
      </c>
      <c r="BN38" s="68">
        <f t="shared" si="27"/>
        <v>0.76449572010017341</v>
      </c>
      <c r="BO38" s="68">
        <f t="shared" si="27"/>
        <v>0.81453370675133696</v>
      </c>
      <c r="BP38" s="68">
        <f t="shared" si="27"/>
        <v>0.87500926957419067</v>
      </c>
      <c r="BQ38" s="68">
        <f t="shared" si="27"/>
        <v>0.93611976064605074</v>
      </c>
      <c r="BR38" s="68">
        <f t="shared" si="27"/>
        <v>1</v>
      </c>
    </row>
    <row r="39" spans="1:70">
      <c r="A39" s="131" t="s">
        <v>125</v>
      </c>
      <c r="B39" s="62">
        <v>48170.460000000006</v>
      </c>
      <c r="C39" s="62">
        <v>50654.609999999986</v>
      </c>
      <c r="D39" s="62">
        <v>43705.979999999981</v>
      </c>
      <c r="E39" s="62">
        <v>28638.840000000011</v>
      </c>
      <c r="F39" s="62">
        <v>28682.26</v>
      </c>
      <c r="G39" s="62">
        <v>24455.170000000002</v>
      </c>
      <c r="H39" s="62">
        <v>19582.89</v>
      </c>
      <c r="I39" s="62">
        <v>21825.68</v>
      </c>
      <c r="J39" s="62">
        <v>11470.320000000002</v>
      </c>
      <c r="K39" s="62">
        <v>14280.029999999999</v>
      </c>
      <c r="L39" s="62">
        <v>17974.5</v>
      </c>
      <c r="M39" s="62">
        <v>27207.38</v>
      </c>
      <c r="N39" s="100">
        <f t="shared" si="0"/>
        <v>336648.12</v>
      </c>
      <c r="P39" s="131" t="s">
        <v>125</v>
      </c>
      <c r="Q39" s="62">
        <v>35934.450000000004</v>
      </c>
      <c r="R39" s="62">
        <v>31581.029999999955</v>
      </c>
      <c r="S39" s="62">
        <v>28986.249999999993</v>
      </c>
      <c r="T39" s="62">
        <v>16017.73000000001</v>
      </c>
      <c r="U39" s="62">
        <v>24779.489999999994</v>
      </c>
      <c r="V39" s="62">
        <v>23037.210000000003</v>
      </c>
      <c r="W39" s="62">
        <v>21775.120000000006</v>
      </c>
      <c r="X39" s="62">
        <v>26775.839999999997</v>
      </c>
      <c r="Y39" s="62">
        <v>24652.57</v>
      </c>
      <c r="Z39" s="62">
        <v>28543.179999999993</v>
      </c>
      <c r="AA39" s="62">
        <v>25121.349999999995</v>
      </c>
      <c r="AB39" s="62">
        <v>22818.309999999998</v>
      </c>
      <c r="AC39" s="100">
        <f t="shared" si="14"/>
        <v>310022.52999999991</v>
      </c>
      <c r="AE39" s="68">
        <f t="shared" si="28"/>
        <v>0.14308845687301033</v>
      </c>
      <c r="AF39" s="68">
        <f t="shared" si="29"/>
        <v>0.29355598361874113</v>
      </c>
      <c r="AG39" s="68">
        <f t="shared" si="30"/>
        <v>0.42338287824093596</v>
      </c>
      <c r="AH39" s="68">
        <f t="shared" si="31"/>
        <v>0.50845342608775002</v>
      </c>
      <c r="AI39" s="68">
        <f t="shared" si="32"/>
        <v>0.59365295133684404</v>
      </c>
      <c r="AJ39" s="68">
        <f t="shared" si="33"/>
        <v>0.66629607199351071</v>
      </c>
      <c r="AK39" s="68">
        <f t="shared" si="34"/>
        <v>0.72446627653824425</v>
      </c>
      <c r="AL39" s="68">
        <f t="shared" si="35"/>
        <v>0.78929860056845114</v>
      </c>
      <c r="AM39" s="68">
        <f t="shared" si="36"/>
        <v>0.82337073499771818</v>
      </c>
      <c r="AN39" s="68">
        <f t="shared" si="37"/>
        <v>0.86578900247534429</v>
      </c>
      <c r="AO39" s="68">
        <f t="shared" si="38"/>
        <v>0.91918154778348382</v>
      </c>
      <c r="AP39" s="68">
        <f t="shared" si="39"/>
        <v>1</v>
      </c>
      <c r="AQ39" s="92"/>
      <c r="AT39" s="68">
        <f t="shared" si="15"/>
        <v>0.1159091566667752</v>
      </c>
      <c r="AU39" s="68">
        <f t="shared" si="16"/>
        <v>0.21777604356689809</v>
      </c>
      <c r="AV39" s="68">
        <f t="shared" si="17"/>
        <v>0.31127328068705196</v>
      </c>
      <c r="AW39" s="68">
        <f t="shared" si="18"/>
        <v>0.36293962248485617</v>
      </c>
      <c r="AX39" s="68">
        <f t="shared" si="19"/>
        <v>0.44286765223159746</v>
      </c>
      <c r="AY39" s="68">
        <f t="shared" si="20"/>
        <v>0.51717583234999076</v>
      </c>
      <c r="AZ39" s="68">
        <f t="shared" si="21"/>
        <v>0.58741305027089485</v>
      </c>
      <c r="BA39" s="68">
        <f t="shared" si="22"/>
        <v>0.67378045073046788</v>
      </c>
      <c r="BB39" s="68">
        <f t="shared" si="23"/>
        <v>0.75329909087575031</v>
      </c>
      <c r="BC39" s="68">
        <f t="shared" si="24"/>
        <v>0.84536717379862691</v>
      </c>
      <c r="BD39" s="68">
        <f t="shared" si="25"/>
        <v>0.92639789759795843</v>
      </c>
      <c r="BE39" s="68">
        <f t="shared" si="26"/>
        <v>1</v>
      </c>
      <c r="BG39" s="68">
        <f t="shared" si="27"/>
        <v>0.12949880676989278</v>
      </c>
      <c r="BH39" s="68">
        <f t="shared" si="27"/>
        <v>0.2556660135928196</v>
      </c>
      <c r="BI39" s="68">
        <f t="shared" si="27"/>
        <v>0.36732807946399393</v>
      </c>
      <c r="BJ39" s="68">
        <f t="shared" si="27"/>
        <v>0.43569652428630312</v>
      </c>
      <c r="BK39" s="68">
        <f t="shared" si="27"/>
        <v>0.51826030178422078</v>
      </c>
      <c r="BL39" s="68">
        <f t="shared" si="27"/>
        <v>0.59173595217175068</v>
      </c>
      <c r="BM39" s="68">
        <f t="shared" si="27"/>
        <v>0.65593966340456955</v>
      </c>
      <c r="BN39" s="68">
        <f t="shared" si="27"/>
        <v>0.73153952564945945</v>
      </c>
      <c r="BO39" s="68">
        <f t="shared" si="27"/>
        <v>0.7883349129367343</v>
      </c>
      <c r="BP39" s="68">
        <f t="shared" si="27"/>
        <v>0.85557808813698566</v>
      </c>
      <c r="BQ39" s="68">
        <f t="shared" si="27"/>
        <v>0.92278972269072113</v>
      </c>
      <c r="BR39" s="68">
        <f t="shared" si="27"/>
        <v>1</v>
      </c>
    </row>
    <row r="40" spans="1:70">
      <c r="A40" s="131" t="s">
        <v>126</v>
      </c>
      <c r="B40" s="62">
        <v>22968.870000000014</v>
      </c>
      <c r="C40" s="62">
        <v>17281.760000000009</v>
      </c>
      <c r="D40" s="62">
        <v>17469.359999999997</v>
      </c>
      <c r="E40" s="62">
        <v>11035.04</v>
      </c>
      <c r="F40" s="62">
        <v>12920.759999999987</v>
      </c>
      <c r="G40" s="62">
        <v>10684.06</v>
      </c>
      <c r="H40" s="62">
        <v>15822.390000000003</v>
      </c>
      <c r="I40" s="62">
        <v>17034.77</v>
      </c>
      <c r="J40" s="62">
        <v>13364.69</v>
      </c>
      <c r="K40" s="62">
        <v>16317.740000000002</v>
      </c>
      <c r="L40" s="62">
        <v>12287.579999999998</v>
      </c>
      <c r="M40" s="62">
        <v>23794.58</v>
      </c>
      <c r="N40" s="100">
        <f t="shared" si="0"/>
        <v>190981.59999999998</v>
      </c>
      <c r="P40" s="131" t="s">
        <v>126</v>
      </c>
      <c r="Q40" s="62">
        <v>12123.200000000004</v>
      </c>
      <c r="R40" s="62">
        <v>9829.4599999999991</v>
      </c>
      <c r="S40" s="62">
        <v>12965.45</v>
      </c>
      <c r="T40" s="62">
        <v>7394.32</v>
      </c>
      <c r="U40" s="62">
        <v>7186.2599999999875</v>
      </c>
      <c r="V40" s="62">
        <v>6458.5800000000017</v>
      </c>
      <c r="W40" s="62">
        <v>7719.239999999998</v>
      </c>
      <c r="X40" s="62">
        <v>8456.6299999999974</v>
      </c>
      <c r="Y40" s="62">
        <v>8235.9199999999983</v>
      </c>
      <c r="Z40" s="62">
        <v>4716.9200000000019</v>
      </c>
      <c r="AA40" s="62">
        <v>7936.2900000000018</v>
      </c>
      <c r="AB40" s="62">
        <v>8084.52</v>
      </c>
      <c r="AC40" s="100">
        <f t="shared" si="14"/>
        <v>101106.79</v>
      </c>
      <c r="AE40" s="68">
        <f t="shared" si="28"/>
        <v>0.12026744984857189</v>
      </c>
      <c r="AF40" s="68">
        <f t="shared" si="29"/>
        <v>0.21075658597477465</v>
      </c>
      <c r="AG40" s="68">
        <f t="shared" si="30"/>
        <v>0.30222801568318636</v>
      </c>
      <c r="AH40" s="68">
        <f t="shared" si="31"/>
        <v>0.36000866052017594</v>
      </c>
      <c r="AI40" s="68">
        <f t="shared" si="32"/>
        <v>0.42766313613458062</v>
      </c>
      <c r="AJ40" s="68">
        <f t="shared" si="33"/>
        <v>0.48360601230694483</v>
      </c>
      <c r="AK40" s="68">
        <f t="shared" si="34"/>
        <v>0.56645373166839119</v>
      </c>
      <c r="AL40" s="68">
        <f t="shared" si="35"/>
        <v>0.65564960184646071</v>
      </c>
      <c r="AM40" s="68">
        <f t="shared" si="36"/>
        <v>0.72562854222605755</v>
      </c>
      <c r="AN40" s="68">
        <f t="shared" si="37"/>
        <v>0.8110699669496958</v>
      </c>
      <c r="AO40" s="68">
        <f t="shared" si="38"/>
        <v>0.87540904464094971</v>
      </c>
      <c r="AP40" s="68">
        <f t="shared" si="39"/>
        <v>1</v>
      </c>
      <c r="AQ40" s="92"/>
      <c r="AT40" s="68">
        <f t="shared" si="15"/>
        <v>0.11990490450740257</v>
      </c>
      <c r="AU40" s="68">
        <f t="shared" si="16"/>
        <v>0.21712349882732906</v>
      </c>
      <c r="AV40" s="68">
        <f t="shared" si="17"/>
        <v>0.34535870439561978</v>
      </c>
      <c r="AW40" s="68">
        <f t="shared" si="18"/>
        <v>0.41849246722203326</v>
      </c>
      <c r="AX40" s="68">
        <f t="shared" si="19"/>
        <v>0.48956840584099237</v>
      </c>
      <c r="AY40" s="68">
        <f t="shared" si="20"/>
        <v>0.55344720171612605</v>
      </c>
      <c r="AZ40" s="68">
        <f t="shared" si="21"/>
        <v>0.62979459638665214</v>
      </c>
      <c r="BA40" s="68">
        <f t="shared" si="22"/>
        <v>0.71343517087230235</v>
      </c>
      <c r="BB40" s="68">
        <f t="shared" si="23"/>
        <v>0.79489280591343059</v>
      </c>
      <c r="BC40" s="68">
        <f t="shared" si="24"/>
        <v>0.8415456568248284</v>
      </c>
      <c r="BD40" s="68">
        <f t="shared" si="25"/>
        <v>0.92003979159065374</v>
      </c>
      <c r="BE40" s="68">
        <f t="shared" si="26"/>
        <v>1</v>
      </c>
      <c r="BG40" s="68">
        <f t="shared" si="27"/>
        <v>0.12008617717798722</v>
      </c>
      <c r="BH40" s="68">
        <f t="shared" si="27"/>
        <v>0.21394004240105186</v>
      </c>
      <c r="BI40" s="68">
        <f t="shared" si="27"/>
        <v>0.32379336003940307</v>
      </c>
      <c r="BJ40" s="68">
        <f t="shared" si="27"/>
        <v>0.38925056387110457</v>
      </c>
      <c r="BK40" s="68">
        <f t="shared" si="27"/>
        <v>0.4586157709877865</v>
      </c>
      <c r="BL40" s="68">
        <f t="shared" si="27"/>
        <v>0.51852660701153541</v>
      </c>
      <c r="BM40" s="68">
        <f t="shared" si="27"/>
        <v>0.59812416402752167</v>
      </c>
      <c r="BN40" s="68">
        <f t="shared" si="27"/>
        <v>0.68454238635938158</v>
      </c>
      <c r="BO40" s="68">
        <f t="shared" si="27"/>
        <v>0.76026067406974407</v>
      </c>
      <c r="BP40" s="68">
        <f t="shared" si="27"/>
        <v>0.8263078118872621</v>
      </c>
      <c r="BQ40" s="68">
        <f t="shared" si="27"/>
        <v>0.89772441811580173</v>
      </c>
      <c r="BR40" s="68">
        <f t="shared" si="27"/>
        <v>1</v>
      </c>
    </row>
    <row r="41" spans="1:70">
      <c r="A41" s="131" t="s">
        <v>127</v>
      </c>
      <c r="B41" s="62">
        <v>32775.00999999998</v>
      </c>
      <c r="C41" s="62">
        <v>20149.899999999983</v>
      </c>
      <c r="D41" s="62">
        <v>16552.709999999995</v>
      </c>
      <c r="E41" s="62">
        <v>15082.55</v>
      </c>
      <c r="F41" s="62">
        <v>12143.390000000012</v>
      </c>
      <c r="G41" s="62">
        <v>7201.42</v>
      </c>
      <c r="H41" s="62">
        <v>9066.6699999999964</v>
      </c>
      <c r="I41" s="62">
        <v>10181.730000000001</v>
      </c>
      <c r="J41" s="62">
        <v>7721.3499999999995</v>
      </c>
      <c r="K41" s="62">
        <v>13991.460000000001</v>
      </c>
      <c r="L41" s="62">
        <v>8878.9</v>
      </c>
      <c r="M41" s="62">
        <v>14586.53</v>
      </c>
      <c r="N41" s="100">
        <f t="shared" si="0"/>
        <v>168331.61999999997</v>
      </c>
      <c r="P41" s="131" t="s">
        <v>127</v>
      </c>
      <c r="Q41" s="62">
        <v>17325.209999999985</v>
      </c>
      <c r="R41" s="62">
        <v>20363.580000000002</v>
      </c>
      <c r="S41" s="62">
        <v>13125.369999999995</v>
      </c>
      <c r="T41" s="62">
        <v>14836.529999999993</v>
      </c>
      <c r="U41" s="62">
        <v>9642.2500000000109</v>
      </c>
      <c r="V41" s="62">
        <v>12954.409999999993</v>
      </c>
      <c r="W41" s="62">
        <v>13415.810000000001</v>
      </c>
      <c r="X41" s="62">
        <v>15084.26</v>
      </c>
      <c r="Y41" s="62">
        <v>11292.669999999998</v>
      </c>
      <c r="Z41" s="62">
        <v>7866.5800000000008</v>
      </c>
      <c r="AA41" s="62">
        <v>8987.2500000000036</v>
      </c>
      <c r="AB41" s="62">
        <v>8838.5</v>
      </c>
      <c r="AC41" s="100">
        <f t="shared" si="14"/>
        <v>153732.41999999995</v>
      </c>
      <c r="AE41" s="68">
        <f t="shared" si="28"/>
        <v>0.19470501145298777</v>
      </c>
      <c r="AF41" s="68">
        <f t="shared" si="29"/>
        <v>0.31440860605987142</v>
      </c>
      <c r="AG41" s="68">
        <f t="shared" si="30"/>
        <v>0.41274253761711532</v>
      </c>
      <c r="AH41" s="68">
        <f t="shared" si="31"/>
        <v>0.50234275651835325</v>
      </c>
      <c r="AI41" s="68">
        <f t="shared" si="32"/>
        <v>0.5744824412668279</v>
      </c>
      <c r="AJ41" s="68">
        <f t="shared" si="33"/>
        <v>0.6172635895739611</v>
      </c>
      <c r="AK41" s="68">
        <f t="shared" si="34"/>
        <v>0.67112554373325695</v>
      </c>
      <c r="AL41" s="68">
        <f t="shared" si="35"/>
        <v>0.7316116841268443</v>
      </c>
      <c r="AM41" s="68">
        <f t="shared" si="36"/>
        <v>0.77748155694099541</v>
      </c>
      <c r="AN41" s="68">
        <f t="shared" si="37"/>
        <v>0.86059998709689833</v>
      </c>
      <c r="AO41" s="68">
        <f t="shared" si="38"/>
        <v>0.91334646455609469</v>
      </c>
      <c r="AP41" s="68">
        <f t="shared" si="39"/>
        <v>1</v>
      </c>
      <c r="AQ41" s="92"/>
      <c r="AT41" s="68">
        <f t="shared" si="15"/>
        <v>0.11269717864325553</v>
      </c>
      <c r="AU41" s="68">
        <f t="shared" si="16"/>
        <v>0.24515837323057815</v>
      </c>
      <c r="AV41" s="68">
        <f t="shared" si="17"/>
        <v>0.33053639564120563</v>
      </c>
      <c r="AW41" s="68">
        <f t="shared" si="18"/>
        <v>0.42704518669516811</v>
      </c>
      <c r="AX41" s="68">
        <f t="shared" si="19"/>
        <v>0.48976617944347722</v>
      </c>
      <c r="AY41" s="68">
        <f t="shared" si="20"/>
        <v>0.5740321397399456</v>
      </c>
      <c r="AZ41" s="68">
        <f t="shared" si="21"/>
        <v>0.66129941882135213</v>
      </c>
      <c r="BA41" s="68">
        <f t="shared" si="22"/>
        <v>0.75941964616181812</v>
      </c>
      <c r="BB41" s="68">
        <f t="shared" si="23"/>
        <v>0.83287630546634217</v>
      </c>
      <c r="BC41" s="68">
        <f t="shared" si="24"/>
        <v>0.88404690435498245</v>
      </c>
      <c r="BD41" s="68">
        <f t="shared" si="25"/>
        <v>0.94250724733273561</v>
      </c>
      <c r="BE41" s="68">
        <f t="shared" si="26"/>
        <v>1</v>
      </c>
      <c r="BG41" s="68">
        <f t="shared" si="27"/>
        <v>0.15370109504812166</v>
      </c>
      <c r="BH41" s="68">
        <f t="shared" si="27"/>
        <v>0.27978348964522481</v>
      </c>
      <c r="BI41" s="68">
        <f t="shared" si="27"/>
        <v>0.37163946662916048</v>
      </c>
      <c r="BJ41" s="68">
        <f t="shared" si="27"/>
        <v>0.46469397160676068</v>
      </c>
      <c r="BK41" s="68">
        <f t="shared" si="27"/>
        <v>0.53212431035515251</v>
      </c>
      <c r="BL41" s="68">
        <f t="shared" si="27"/>
        <v>0.59564786465695341</v>
      </c>
      <c r="BM41" s="68">
        <f t="shared" si="27"/>
        <v>0.66621248127730448</v>
      </c>
      <c r="BN41" s="68">
        <f t="shared" si="27"/>
        <v>0.74551566514433121</v>
      </c>
      <c r="BO41" s="68">
        <f t="shared" si="27"/>
        <v>0.80517893120366879</v>
      </c>
      <c r="BP41" s="68">
        <f t="shared" si="27"/>
        <v>0.87232344572594034</v>
      </c>
      <c r="BQ41" s="68">
        <f t="shared" si="27"/>
        <v>0.92792685594441515</v>
      </c>
      <c r="BR41" s="68">
        <f t="shared" si="27"/>
        <v>1</v>
      </c>
    </row>
    <row r="42" spans="1:70">
      <c r="A42" s="131" t="s">
        <v>128</v>
      </c>
      <c r="B42" s="62">
        <v>10203.849999999997</v>
      </c>
      <c r="C42" s="62">
        <v>5656.9299999999976</v>
      </c>
      <c r="D42" s="62">
        <v>6249.0400000000054</v>
      </c>
      <c r="E42" s="62">
        <v>6650.619999999999</v>
      </c>
      <c r="F42" s="62">
        <v>4588.3500000000022</v>
      </c>
      <c r="G42" s="62">
        <v>5492.16</v>
      </c>
      <c r="H42" s="62">
        <v>12465.53</v>
      </c>
      <c r="I42" s="62">
        <v>8734.09</v>
      </c>
      <c r="J42" s="62">
        <v>7098.96</v>
      </c>
      <c r="K42" s="62">
        <v>5709.4800000000005</v>
      </c>
      <c r="L42" s="62">
        <v>7334.95</v>
      </c>
      <c r="M42" s="62">
        <v>5985.37</v>
      </c>
      <c r="N42" s="100">
        <f t="shared" si="0"/>
        <v>86169.329999999987</v>
      </c>
      <c r="P42" s="131" t="s">
        <v>128</v>
      </c>
      <c r="Q42" s="62">
        <v>10395.449999999995</v>
      </c>
      <c r="R42" s="62">
        <v>5624.8499999999949</v>
      </c>
      <c r="S42" s="62">
        <v>6702.4599999999982</v>
      </c>
      <c r="T42" s="62">
        <v>6489.5299999999988</v>
      </c>
      <c r="U42" s="62">
        <v>5465.4799999999968</v>
      </c>
      <c r="V42" s="62">
        <v>4978.9299999999994</v>
      </c>
      <c r="W42" s="62">
        <v>5261.8100000000013</v>
      </c>
      <c r="X42" s="62">
        <v>4751.4599999999991</v>
      </c>
      <c r="Y42" s="62">
        <v>4087.69</v>
      </c>
      <c r="Z42" s="62">
        <v>4201.4600000000009</v>
      </c>
      <c r="AA42" s="62">
        <v>6812.1700000000019</v>
      </c>
      <c r="AB42" s="62">
        <v>3447.4900000000011</v>
      </c>
      <c r="AC42" s="100">
        <f t="shared" si="14"/>
        <v>68218.779999999984</v>
      </c>
      <c r="AE42" s="68">
        <f t="shared" si="28"/>
        <v>0.11841626249153844</v>
      </c>
      <c r="AF42" s="68">
        <f t="shared" si="29"/>
        <v>0.18406525848582087</v>
      </c>
      <c r="AG42" s="68">
        <f t="shared" si="30"/>
        <v>0.25658572487450004</v>
      </c>
      <c r="AH42" s="68">
        <f t="shared" si="31"/>
        <v>0.33376655011707768</v>
      </c>
      <c r="AI42" s="68">
        <f t="shared" si="32"/>
        <v>0.38701461413242977</v>
      </c>
      <c r="AJ42" s="68">
        <f t="shared" si="33"/>
        <v>0.45075144485862895</v>
      </c>
      <c r="AK42" s="68">
        <f t="shared" si="34"/>
        <v>0.59541463302546282</v>
      </c>
      <c r="AL42" s="68">
        <f t="shared" si="35"/>
        <v>0.69677424670703603</v>
      </c>
      <c r="AM42" s="68">
        <f t="shared" si="36"/>
        <v>0.77915808327626557</v>
      </c>
      <c r="AN42" s="68">
        <f t="shared" si="37"/>
        <v>0.8454169250242517</v>
      </c>
      <c r="AO42" s="68">
        <f t="shared" si="38"/>
        <v>0.93053943903242609</v>
      </c>
      <c r="AP42" s="68">
        <f t="shared" si="39"/>
        <v>1</v>
      </c>
      <c r="AQ42" s="92"/>
      <c r="AT42" s="68">
        <f t="shared" si="15"/>
        <v>0.15238399162224828</v>
      </c>
      <c r="AU42" s="68">
        <f t="shared" si="16"/>
        <v>0.23483709324617055</v>
      </c>
      <c r="AV42" s="68">
        <f t="shared" si="17"/>
        <v>0.33308657821204063</v>
      </c>
      <c r="AW42" s="68">
        <f t="shared" si="18"/>
        <v>0.42821478191196022</v>
      </c>
      <c r="AX42" s="68">
        <f t="shared" si="19"/>
        <v>0.50833172331724474</v>
      </c>
      <c r="AY42" s="68">
        <f t="shared" si="20"/>
        <v>0.58131646446916807</v>
      </c>
      <c r="AZ42" s="68">
        <f t="shared" si="21"/>
        <v>0.65844786435641312</v>
      </c>
      <c r="BA42" s="68">
        <f t="shared" si="22"/>
        <v>0.72809818645246938</v>
      </c>
      <c r="BB42" s="68">
        <f t="shared" si="23"/>
        <v>0.78801848992315593</v>
      </c>
      <c r="BC42" s="68">
        <f t="shared" si="24"/>
        <v>0.84960651597697867</v>
      </c>
      <c r="BD42" s="68">
        <f t="shared" si="25"/>
        <v>0.9494642091224732</v>
      </c>
      <c r="BE42" s="68">
        <f t="shared" si="26"/>
        <v>1</v>
      </c>
      <c r="BG42" s="68">
        <f t="shared" ref="BG42:BR66" si="40">(AE42+AT42)/2</f>
        <v>0.13540012705689336</v>
      </c>
      <c r="BH42" s="68">
        <f t="shared" si="40"/>
        <v>0.20945117586599571</v>
      </c>
      <c r="BI42" s="68">
        <f t="shared" si="40"/>
        <v>0.29483615154327036</v>
      </c>
      <c r="BJ42" s="68">
        <f t="shared" si="40"/>
        <v>0.38099066601451892</v>
      </c>
      <c r="BK42" s="68">
        <f t="shared" si="40"/>
        <v>0.44767316872483726</v>
      </c>
      <c r="BL42" s="68">
        <f t="shared" si="40"/>
        <v>0.51603395466389856</v>
      </c>
      <c r="BM42" s="68">
        <f t="shared" si="40"/>
        <v>0.62693124869093797</v>
      </c>
      <c r="BN42" s="68">
        <f t="shared" si="40"/>
        <v>0.71243621657975265</v>
      </c>
      <c r="BO42" s="68">
        <f t="shared" si="40"/>
        <v>0.7835882865997108</v>
      </c>
      <c r="BP42" s="68">
        <f t="shared" si="40"/>
        <v>0.84751172050061518</v>
      </c>
      <c r="BQ42" s="68">
        <f t="shared" si="40"/>
        <v>0.9400018240774497</v>
      </c>
      <c r="BR42" s="68">
        <f t="shared" si="40"/>
        <v>1</v>
      </c>
    </row>
    <row r="43" spans="1:70">
      <c r="A43" s="131" t="s">
        <v>129</v>
      </c>
      <c r="B43" s="62">
        <v>13861.410000000005</v>
      </c>
      <c r="C43" s="62">
        <v>15066.34999999998</v>
      </c>
      <c r="D43" s="62">
        <v>12100.069999999996</v>
      </c>
      <c r="E43" s="62">
        <v>10810.610000000004</v>
      </c>
      <c r="F43" s="62">
        <v>9728.8800000000047</v>
      </c>
      <c r="G43" s="62">
        <v>6898.43</v>
      </c>
      <c r="H43" s="62">
        <v>4628.760000000002</v>
      </c>
      <c r="I43" s="62">
        <v>4136.79</v>
      </c>
      <c r="J43" s="62">
        <v>3327.05</v>
      </c>
      <c r="K43" s="62">
        <v>6952.51</v>
      </c>
      <c r="L43" s="62">
        <v>3189.99</v>
      </c>
      <c r="M43" s="62">
        <v>5981.06</v>
      </c>
      <c r="N43" s="100">
        <f t="shared" si="0"/>
        <v>96681.91</v>
      </c>
      <c r="P43" s="131" t="s">
        <v>129</v>
      </c>
      <c r="Q43" s="62">
        <v>15884.770000000004</v>
      </c>
      <c r="R43" s="62">
        <v>13233.369999999992</v>
      </c>
      <c r="S43" s="62">
        <v>10044.659999999996</v>
      </c>
      <c r="T43" s="62">
        <v>4932.3700000000008</v>
      </c>
      <c r="U43" s="62">
        <v>7012.1000000000022</v>
      </c>
      <c r="V43" s="62">
        <v>6950.6299999999992</v>
      </c>
      <c r="W43" s="62">
        <v>3284.9399999999987</v>
      </c>
      <c r="X43" s="62">
        <v>7733.5700000000015</v>
      </c>
      <c r="Y43" s="62">
        <v>5424.3600000000006</v>
      </c>
      <c r="Z43" s="62">
        <v>3859.7699999999995</v>
      </c>
      <c r="AA43" s="62">
        <v>7181.0700000000015</v>
      </c>
      <c r="AB43" s="62">
        <v>2965.7499999999982</v>
      </c>
      <c r="AC43" s="100">
        <f t="shared" si="14"/>
        <v>88507.36</v>
      </c>
      <c r="AE43" s="68">
        <f t="shared" si="28"/>
        <v>0.1433712883826975</v>
      </c>
      <c r="AF43" s="68">
        <f t="shared" si="29"/>
        <v>0.29920550804178347</v>
      </c>
      <c r="AG43" s="68">
        <f t="shared" si="30"/>
        <v>0.42435891057592867</v>
      </c>
      <c r="AH43" s="68">
        <f t="shared" si="31"/>
        <v>0.53617517485949528</v>
      </c>
      <c r="AI43" s="68">
        <f t="shared" si="32"/>
        <v>0.6368028931161992</v>
      </c>
      <c r="AJ43" s="68">
        <f t="shared" si="33"/>
        <v>0.70815471063821556</v>
      </c>
      <c r="AK43" s="68">
        <f t="shared" si="34"/>
        <v>0.75603088519868922</v>
      </c>
      <c r="AL43" s="68">
        <f t="shared" si="35"/>
        <v>0.79881851734207565</v>
      </c>
      <c r="AM43" s="68">
        <f t="shared" si="36"/>
        <v>0.83323084949397463</v>
      </c>
      <c r="AN43" s="68">
        <f t="shared" si="37"/>
        <v>0.90514202708655633</v>
      </c>
      <c r="AO43" s="68">
        <f t="shared" si="38"/>
        <v>0.93813672071641951</v>
      </c>
      <c r="AP43" s="68">
        <f t="shared" si="39"/>
        <v>1</v>
      </c>
      <c r="AQ43" s="92"/>
      <c r="AT43" s="68">
        <f t="shared" si="15"/>
        <v>0.17947400080626066</v>
      </c>
      <c r="AU43" s="68">
        <f t="shared" si="16"/>
        <v>0.32899117090375302</v>
      </c>
      <c r="AV43" s="68">
        <f t="shared" si="17"/>
        <v>0.44248071572804781</v>
      </c>
      <c r="AW43" s="68">
        <f t="shared" si="18"/>
        <v>0.49820907549383453</v>
      </c>
      <c r="AX43" s="68">
        <f t="shared" si="19"/>
        <v>0.57743525510194849</v>
      </c>
      <c r="AY43" s="68">
        <f t="shared" si="20"/>
        <v>0.65596691619770364</v>
      </c>
      <c r="AZ43" s="68">
        <f t="shared" si="21"/>
        <v>0.6930817956834322</v>
      </c>
      <c r="BA43" s="68">
        <f t="shared" si="22"/>
        <v>0.78045950076920145</v>
      </c>
      <c r="BB43" s="68">
        <f t="shared" si="23"/>
        <v>0.8417466072878006</v>
      </c>
      <c r="BC43" s="68">
        <f t="shared" si="24"/>
        <v>0.88535620088544043</v>
      </c>
      <c r="BD43" s="68">
        <f t="shared" si="25"/>
        <v>0.96649148726162437</v>
      </c>
      <c r="BE43" s="68">
        <f t="shared" si="26"/>
        <v>1</v>
      </c>
      <c r="BG43" s="68">
        <f t="shared" si="40"/>
        <v>0.16142264459447908</v>
      </c>
      <c r="BH43" s="68">
        <f t="shared" si="40"/>
        <v>0.31409833947276822</v>
      </c>
      <c r="BI43" s="68">
        <f t="shared" si="40"/>
        <v>0.43341981315198824</v>
      </c>
      <c r="BJ43" s="68">
        <f t="shared" si="40"/>
        <v>0.51719212517666491</v>
      </c>
      <c r="BK43" s="68">
        <f t="shared" si="40"/>
        <v>0.60711907410907384</v>
      </c>
      <c r="BL43" s="68">
        <f t="shared" si="40"/>
        <v>0.68206081341795954</v>
      </c>
      <c r="BM43" s="68">
        <f t="shared" si="40"/>
        <v>0.72455634044106065</v>
      </c>
      <c r="BN43" s="68">
        <f t="shared" si="40"/>
        <v>0.78963900905563855</v>
      </c>
      <c r="BO43" s="68">
        <f t="shared" si="40"/>
        <v>0.83748872839088762</v>
      </c>
      <c r="BP43" s="68">
        <f t="shared" si="40"/>
        <v>0.89524911398599838</v>
      </c>
      <c r="BQ43" s="68">
        <f t="shared" si="40"/>
        <v>0.95231410398902194</v>
      </c>
      <c r="BR43" s="68">
        <f t="shared" si="40"/>
        <v>1</v>
      </c>
    </row>
    <row r="44" spans="1:70">
      <c r="A44" s="131" t="s">
        <v>130</v>
      </c>
      <c r="B44" s="62">
        <v>20146.349999999995</v>
      </c>
      <c r="C44" s="62">
        <v>19123.260000000013</v>
      </c>
      <c r="D44" s="62">
        <v>11760.289999999995</v>
      </c>
      <c r="E44" s="62">
        <v>14537.730000000001</v>
      </c>
      <c r="F44" s="62">
        <v>15170.34</v>
      </c>
      <c r="G44" s="62">
        <v>10578.36</v>
      </c>
      <c r="H44" s="62">
        <v>7585.5899999999983</v>
      </c>
      <c r="I44" s="62">
        <v>11148.82</v>
      </c>
      <c r="J44" s="62">
        <v>7873.1600000000008</v>
      </c>
      <c r="K44" s="62">
        <v>14688.62</v>
      </c>
      <c r="L44" s="62">
        <v>8879.7100000000009</v>
      </c>
      <c r="M44" s="62">
        <v>18040.849999999999</v>
      </c>
      <c r="N44" s="100">
        <f t="shared" si="0"/>
        <v>159533.07999999999</v>
      </c>
      <c r="P44" s="131" t="s">
        <v>130</v>
      </c>
      <c r="Q44" s="62">
        <v>11857.820000000014</v>
      </c>
      <c r="R44" s="62">
        <v>13319.579999999973</v>
      </c>
      <c r="S44" s="62">
        <v>10272.030000000002</v>
      </c>
      <c r="T44" s="62">
        <v>6360.3700000000026</v>
      </c>
      <c r="U44" s="62">
        <v>12331.340000000004</v>
      </c>
      <c r="V44" s="62">
        <v>16387.570000000003</v>
      </c>
      <c r="W44" s="62">
        <v>9569.3499999999967</v>
      </c>
      <c r="X44" s="62">
        <v>8728.9399999999987</v>
      </c>
      <c r="Y44" s="62">
        <v>5380.5999999999995</v>
      </c>
      <c r="Z44" s="62">
        <v>8641.3099999999977</v>
      </c>
      <c r="AA44" s="62">
        <v>6156.2600000000029</v>
      </c>
      <c r="AB44" s="62">
        <v>5214.6500000000015</v>
      </c>
      <c r="AC44" s="100">
        <f t="shared" si="14"/>
        <v>114219.82</v>
      </c>
      <c r="AE44" s="68">
        <f t="shared" si="28"/>
        <v>0.12628321348776064</v>
      </c>
      <c r="AF44" s="68">
        <f t="shared" si="29"/>
        <v>0.24615339965855365</v>
      </c>
      <c r="AG44" s="68">
        <f t="shared" si="30"/>
        <v>0.31987033660981162</v>
      </c>
      <c r="AH44" s="68">
        <f t="shared" si="31"/>
        <v>0.41099707972791605</v>
      </c>
      <c r="AI44" s="68">
        <f t="shared" si="32"/>
        <v>0.50608920732928875</v>
      </c>
      <c r="AJ44" s="68">
        <f t="shared" si="33"/>
        <v>0.57239746139170644</v>
      </c>
      <c r="AK44" s="68">
        <f t="shared" si="34"/>
        <v>0.61994615787521945</v>
      </c>
      <c r="AL44" s="68">
        <f t="shared" si="35"/>
        <v>0.68983022204548428</v>
      </c>
      <c r="AM44" s="68">
        <f t="shared" si="36"/>
        <v>0.73918149138724087</v>
      </c>
      <c r="AN44" s="68">
        <f t="shared" si="37"/>
        <v>0.83125405715228462</v>
      </c>
      <c r="AO44" s="68">
        <f t="shared" si="38"/>
        <v>0.88691467625397813</v>
      </c>
      <c r="AP44" s="68">
        <f t="shared" si="39"/>
        <v>1</v>
      </c>
      <c r="AQ44" s="92"/>
      <c r="AT44" s="68">
        <f t="shared" si="15"/>
        <v>0.10381578258484397</v>
      </c>
      <c r="AU44" s="68">
        <f t="shared" si="16"/>
        <v>0.22042934404904496</v>
      </c>
      <c r="AV44" s="68">
        <f t="shared" si="17"/>
        <v>0.31036145915831415</v>
      </c>
      <c r="AW44" s="68">
        <f t="shared" si="18"/>
        <v>0.36604680343569085</v>
      </c>
      <c r="AX44" s="68">
        <f t="shared" si="19"/>
        <v>0.47400827632192027</v>
      </c>
      <c r="AY44" s="68">
        <f t="shared" si="20"/>
        <v>0.6174822373209834</v>
      </c>
      <c r="AZ44" s="68">
        <f t="shared" si="21"/>
        <v>0.70126235534253156</v>
      </c>
      <c r="BA44" s="68">
        <f t="shared" si="22"/>
        <v>0.77768464352333944</v>
      </c>
      <c r="BB44" s="68">
        <f t="shared" si="23"/>
        <v>0.8247920544788111</v>
      </c>
      <c r="BC44" s="68">
        <f t="shared" si="24"/>
        <v>0.90044713780848185</v>
      </c>
      <c r="BD44" s="68">
        <f t="shared" si="25"/>
        <v>0.9543454892504647</v>
      </c>
      <c r="BE44" s="68">
        <f t="shared" si="26"/>
        <v>1</v>
      </c>
      <c r="BG44" s="68">
        <f t="shared" si="40"/>
        <v>0.11504949803630231</v>
      </c>
      <c r="BH44" s="68">
        <f t="shared" si="40"/>
        <v>0.23329137185379931</v>
      </c>
      <c r="BI44" s="68">
        <f t="shared" si="40"/>
        <v>0.31511589788406291</v>
      </c>
      <c r="BJ44" s="68">
        <f t="shared" si="40"/>
        <v>0.38852194158180342</v>
      </c>
      <c r="BK44" s="68">
        <f t="shared" si="40"/>
        <v>0.49004874182560454</v>
      </c>
      <c r="BL44" s="68">
        <f t="shared" si="40"/>
        <v>0.59493984935634492</v>
      </c>
      <c r="BM44" s="68">
        <f t="shared" si="40"/>
        <v>0.66060425660887545</v>
      </c>
      <c r="BN44" s="68">
        <f t="shared" si="40"/>
        <v>0.73375743278441186</v>
      </c>
      <c r="BO44" s="68">
        <f t="shared" si="40"/>
        <v>0.78198677293302599</v>
      </c>
      <c r="BP44" s="68">
        <f t="shared" si="40"/>
        <v>0.86585059748038318</v>
      </c>
      <c r="BQ44" s="68">
        <f t="shared" si="40"/>
        <v>0.92063008275222136</v>
      </c>
      <c r="BR44" s="68">
        <f t="shared" si="40"/>
        <v>1</v>
      </c>
    </row>
    <row r="45" spans="1:70">
      <c r="A45" s="131" t="s">
        <v>131</v>
      </c>
      <c r="B45" s="62">
        <v>108611.08999999991</v>
      </c>
      <c r="C45" s="62">
        <v>98396.010000000024</v>
      </c>
      <c r="D45" s="62">
        <v>94533.780000000028</v>
      </c>
      <c r="E45" s="62">
        <v>75547.530000000013</v>
      </c>
      <c r="F45" s="62">
        <v>71810.299999999959</v>
      </c>
      <c r="G45" s="62">
        <v>56989.41</v>
      </c>
      <c r="H45" s="62">
        <v>67810.130000000019</v>
      </c>
      <c r="I45" s="62">
        <v>52367.33</v>
      </c>
      <c r="J45" s="62">
        <v>57151.01</v>
      </c>
      <c r="K45" s="62">
        <v>51507.47</v>
      </c>
      <c r="L45" s="62">
        <v>47992.1</v>
      </c>
      <c r="M45" s="62">
        <v>49971.979999999996</v>
      </c>
      <c r="N45" s="100">
        <f t="shared" si="0"/>
        <v>832688.1399999999</v>
      </c>
      <c r="P45" s="131" t="s">
        <v>131</v>
      </c>
      <c r="Q45" s="62">
        <v>108100.61000000004</v>
      </c>
      <c r="R45" s="62">
        <v>36611.72</v>
      </c>
      <c r="S45" s="62">
        <v>68622.800000000017</v>
      </c>
      <c r="T45" s="62">
        <v>26979.19999999999</v>
      </c>
      <c r="U45" s="62">
        <v>58930.430000000008</v>
      </c>
      <c r="V45" s="62">
        <v>42166.059999999983</v>
      </c>
      <c r="W45" s="62">
        <v>26972.57</v>
      </c>
      <c r="X45" s="62">
        <v>42428.459999999992</v>
      </c>
      <c r="Y45" s="62">
        <v>40372.499999999993</v>
      </c>
      <c r="Z45" s="62">
        <v>44686.71</v>
      </c>
      <c r="AA45" s="62">
        <v>51920.679999999993</v>
      </c>
      <c r="AB45" s="62">
        <v>41865.360000000001</v>
      </c>
      <c r="AC45" s="100">
        <f t="shared" si="14"/>
        <v>589657.10000000009</v>
      </c>
      <c r="AE45" s="68">
        <f t="shared" si="28"/>
        <v>0.13043429440462539</v>
      </c>
      <c r="AF45" s="68">
        <f t="shared" si="29"/>
        <v>0.2486009948454411</v>
      </c>
      <c r="AG45" s="68">
        <f t="shared" si="30"/>
        <v>0.3621294281914475</v>
      </c>
      <c r="AH45" s="68">
        <f t="shared" si="31"/>
        <v>0.45285670815486817</v>
      </c>
      <c r="AI45" s="68">
        <f t="shared" si="32"/>
        <v>0.53909583724826438</v>
      </c>
      <c r="AJ45" s="68">
        <f t="shared" si="33"/>
        <v>0.60753611790363682</v>
      </c>
      <c r="AK45" s="68">
        <f t="shared" si="34"/>
        <v>0.68897132364584901</v>
      </c>
      <c r="AL45" s="68">
        <f t="shared" si="35"/>
        <v>0.75186081069918931</v>
      </c>
      <c r="AM45" s="68">
        <f t="shared" si="36"/>
        <v>0.82049516160996372</v>
      </c>
      <c r="AN45" s="68">
        <f t="shared" si="37"/>
        <v>0.88235201716695522</v>
      </c>
      <c r="AO45" s="68">
        <f t="shared" si="38"/>
        <v>0.93998716013896877</v>
      </c>
      <c r="AP45" s="68">
        <f t="shared" si="39"/>
        <v>1</v>
      </c>
      <c r="AQ45" s="92"/>
      <c r="AT45" s="68">
        <f t="shared" si="15"/>
        <v>0.18332792058299649</v>
      </c>
      <c r="AU45" s="68">
        <f t="shared" si="16"/>
        <v>0.24541776907290699</v>
      </c>
      <c r="AV45" s="68">
        <f t="shared" si="17"/>
        <v>0.36179523658750151</v>
      </c>
      <c r="AW45" s="68">
        <f t="shared" si="18"/>
        <v>0.40754928584765621</v>
      </c>
      <c r="AX45" s="68">
        <f t="shared" si="19"/>
        <v>0.50748945446429805</v>
      </c>
      <c r="AY45" s="68">
        <f t="shared" si="20"/>
        <v>0.57899891309712037</v>
      </c>
      <c r="AZ45" s="68">
        <f t="shared" si="21"/>
        <v>0.6247417185343821</v>
      </c>
      <c r="BA45" s="68">
        <f t="shared" si="22"/>
        <v>0.69669618156043578</v>
      </c>
      <c r="BB45" s="68">
        <f t="shared" si="23"/>
        <v>0.76516394019507272</v>
      </c>
      <c r="BC45" s="68">
        <f t="shared" si="24"/>
        <v>0.84094817140334621</v>
      </c>
      <c r="BD45" s="68">
        <f t="shared" si="25"/>
        <v>0.92900049876445145</v>
      </c>
      <c r="BE45" s="68">
        <f t="shared" si="26"/>
        <v>1</v>
      </c>
      <c r="BG45" s="68">
        <f t="shared" si="40"/>
        <v>0.15688110749381096</v>
      </c>
      <c r="BH45" s="68">
        <f t="shared" si="40"/>
        <v>0.24700938195917405</v>
      </c>
      <c r="BI45" s="68">
        <f t="shared" si="40"/>
        <v>0.36196233238947451</v>
      </c>
      <c r="BJ45" s="68">
        <f t="shared" si="40"/>
        <v>0.43020299700126219</v>
      </c>
      <c r="BK45" s="68">
        <f t="shared" si="40"/>
        <v>0.52329264585628121</v>
      </c>
      <c r="BL45" s="68">
        <f t="shared" si="40"/>
        <v>0.59326751550037859</v>
      </c>
      <c r="BM45" s="68">
        <f t="shared" si="40"/>
        <v>0.65685652109011561</v>
      </c>
      <c r="BN45" s="68">
        <f t="shared" si="40"/>
        <v>0.72427849612981254</v>
      </c>
      <c r="BO45" s="68">
        <f t="shared" si="40"/>
        <v>0.79282955090251828</v>
      </c>
      <c r="BP45" s="68">
        <f t="shared" si="40"/>
        <v>0.86165009428515071</v>
      </c>
      <c r="BQ45" s="68">
        <f t="shared" si="40"/>
        <v>0.93449382945171011</v>
      </c>
      <c r="BR45" s="68">
        <f t="shared" si="40"/>
        <v>1</v>
      </c>
    </row>
    <row r="46" spans="1:70">
      <c r="A46" s="131" t="s">
        <v>132</v>
      </c>
      <c r="B46" s="62">
        <v>26668.609999999993</v>
      </c>
      <c r="C46" s="62">
        <v>16535.179999999997</v>
      </c>
      <c r="D46" s="62">
        <v>15833.9</v>
      </c>
      <c r="E46" s="62">
        <v>13976.920000000002</v>
      </c>
      <c r="F46" s="62">
        <v>11575.350000000002</v>
      </c>
      <c r="G46" s="62">
        <v>8868.369999999999</v>
      </c>
      <c r="H46" s="62">
        <v>12416.999999999998</v>
      </c>
      <c r="I46" s="62">
        <v>8080.32</v>
      </c>
      <c r="J46" s="62">
        <v>12346.730000000001</v>
      </c>
      <c r="K46" s="62">
        <v>10964.800000000001</v>
      </c>
      <c r="L46" s="62">
        <v>12702.57</v>
      </c>
      <c r="M46" s="62">
        <v>8815.5400000000009</v>
      </c>
      <c r="N46" s="100">
        <f t="shared" si="0"/>
        <v>158785.29</v>
      </c>
      <c r="P46" s="131" t="s">
        <v>132</v>
      </c>
      <c r="Q46" s="62">
        <v>15261.400000000001</v>
      </c>
      <c r="R46" s="62">
        <v>17601.090000000004</v>
      </c>
      <c r="S46" s="62">
        <v>12659.02</v>
      </c>
      <c r="T46" s="62">
        <v>7318.7500000000036</v>
      </c>
      <c r="U46" s="62">
        <v>13606.190000000002</v>
      </c>
      <c r="V46" s="62">
        <v>13434</v>
      </c>
      <c r="W46" s="62">
        <v>10168.86</v>
      </c>
      <c r="X46" s="62">
        <v>7555.1799999999994</v>
      </c>
      <c r="Y46" s="62">
        <v>11617.939999999999</v>
      </c>
      <c r="Z46" s="62">
        <v>10181.900000000001</v>
      </c>
      <c r="AA46" s="62">
        <v>10219.829999999998</v>
      </c>
      <c r="AB46" s="62">
        <v>5296.9799999999987</v>
      </c>
      <c r="AC46" s="100">
        <f t="shared" si="14"/>
        <v>134921.14000000001</v>
      </c>
      <c r="AE46" s="68">
        <f t="shared" si="28"/>
        <v>0.1679539080729707</v>
      </c>
      <c r="AF46" s="68">
        <f t="shared" si="29"/>
        <v>0.272089373014339</v>
      </c>
      <c r="AG46" s="68">
        <f t="shared" si="30"/>
        <v>0.37180830793582953</v>
      </c>
      <c r="AH46" s="68">
        <f t="shared" si="31"/>
        <v>0.45983233081603464</v>
      </c>
      <c r="AI46" s="68">
        <f t="shared" si="32"/>
        <v>0.53273171589131463</v>
      </c>
      <c r="AJ46" s="68">
        <f t="shared" si="33"/>
        <v>0.58858304821561236</v>
      </c>
      <c r="AK46" s="68">
        <f t="shared" si="34"/>
        <v>0.6667829872653821</v>
      </c>
      <c r="AL46" s="68">
        <f t="shared" si="35"/>
        <v>0.71767132837053094</v>
      </c>
      <c r="AM46" s="68">
        <f t="shared" si="36"/>
        <v>0.79542872012892363</v>
      </c>
      <c r="AN46" s="68">
        <f t="shared" si="37"/>
        <v>0.86448297572149146</v>
      </c>
      <c r="AO46" s="68">
        <f t="shared" si="38"/>
        <v>0.9444813811153413</v>
      </c>
      <c r="AP46" s="68">
        <f t="shared" si="39"/>
        <v>1</v>
      </c>
      <c r="AQ46" s="92"/>
      <c r="AT46" s="68">
        <f t="shared" si="15"/>
        <v>0.11311348243870456</v>
      </c>
      <c r="AU46" s="68">
        <f t="shared" si="16"/>
        <v>0.2435681317249469</v>
      </c>
      <c r="AV46" s="68">
        <f t="shared" si="17"/>
        <v>0.33739345813413674</v>
      </c>
      <c r="AW46" s="68">
        <f t="shared" si="18"/>
        <v>0.391638108008871</v>
      </c>
      <c r="AX46" s="68">
        <f t="shared" si="19"/>
        <v>0.49248360931430024</v>
      </c>
      <c r="AY46" s="68">
        <f t="shared" si="20"/>
        <v>0.59205288363261688</v>
      </c>
      <c r="AZ46" s="68">
        <f t="shared" si="21"/>
        <v>0.66742179913392374</v>
      </c>
      <c r="BA46" s="68">
        <f t="shared" si="22"/>
        <v>0.72341880597806985</v>
      </c>
      <c r="BB46" s="68">
        <f t="shared" si="23"/>
        <v>0.8095279212731229</v>
      </c>
      <c r="BC46" s="68">
        <f t="shared" si="24"/>
        <v>0.88499348582438608</v>
      </c>
      <c r="BD46" s="68">
        <f t="shared" si="25"/>
        <v>0.96074017755853536</v>
      </c>
      <c r="BE46" s="68">
        <f t="shared" si="26"/>
        <v>1</v>
      </c>
      <c r="BG46" s="68">
        <f t="shared" si="40"/>
        <v>0.14053369525583764</v>
      </c>
      <c r="BH46" s="68">
        <f t="shared" si="40"/>
        <v>0.25782875236964298</v>
      </c>
      <c r="BI46" s="68">
        <f t="shared" si="40"/>
        <v>0.35460088303498316</v>
      </c>
      <c r="BJ46" s="68">
        <f t="shared" si="40"/>
        <v>0.42573521941245285</v>
      </c>
      <c r="BK46" s="68">
        <f t="shared" si="40"/>
        <v>0.51260766260280743</v>
      </c>
      <c r="BL46" s="68">
        <f t="shared" si="40"/>
        <v>0.59031796592411467</v>
      </c>
      <c r="BM46" s="68">
        <f t="shared" si="40"/>
        <v>0.66710239319965292</v>
      </c>
      <c r="BN46" s="68">
        <f t="shared" si="40"/>
        <v>0.72054506717430034</v>
      </c>
      <c r="BO46" s="68">
        <f t="shared" si="40"/>
        <v>0.80247832070102332</v>
      </c>
      <c r="BP46" s="68">
        <f t="shared" si="40"/>
        <v>0.87473823077293877</v>
      </c>
      <c r="BQ46" s="68">
        <f t="shared" si="40"/>
        <v>0.95261077933693827</v>
      </c>
      <c r="BR46" s="68">
        <f t="shared" si="40"/>
        <v>1</v>
      </c>
    </row>
    <row r="47" spans="1:70">
      <c r="A47" s="131" t="s">
        <v>133</v>
      </c>
      <c r="B47" s="62">
        <v>14492.239999999994</v>
      </c>
      <c r="C47" s="62">
        <v>13292.862000000001</v>
      </c>
      <c r="D47" s="62">
        <v>13873.439999999999</v>
      </c>
      <c r="E47" s="62">
        <v>10454.889999999996</v>
      </c>
      <c r="F47" s="62">
        <v>9466.7300000000014</v>
      </c>
      <c r="G47" s="62">
        <v>13693.6</v>
      </c>
      <c r="H47" s="62">
        <v>6962.170000000001</v>
      </c>
      <c r="I47" s="62">
        <v>6931.4999999999991</v>
      </c>
      <c r="J47" s="62">
        <v>6994.7199999999993</v>
      </c>
      <c r="K47" s="62">
        <v>6899.579999999999</v>
      </c>
      <c r="L47" s="62">
        <v>6631.6500000000005</v>
      </c>
      <c r="M47" s="62">
        <v>10645.480000000001</v>
      </c>
      <c r="N47" s="100">
        <f t="shared" si="0"/>
        <v>120338.86199999998</v>
      </c>
      <c r="P47" s="131" t="s">
        <v>133</v>
      </c>
      <c r="Q47" s="62">
        <v>13176.400000000009</v>
      </c>
      <c r="R47" s="62">
        <v>11442.840000000002</v>
      </c>
      <c r="S47" s="62">
        <v>5003.8100000000049</v>
      </c>
      <c r="T47" s="62">
        <v>9821.2200000000012</v>
      </c>
      <c r="U47" s="62">
        <v>7193.8600000000006</v>
      </c>
      <c r="V47" s="62">
        <v>8181</v>
      </c>
      <c r="W47" s="62">
        <v>5086.0899999999983</v>
      </c>
      <c r="X47" s="62">
        <v>6929.9499999999989</v>
      </c>
      <c r="Y47" s="62">
        <v>8316.3399999999983</v>
      </c>
      <c r="Z47" s="62">
        <v>6342.32</v>
      </c>
      <c r="AA47" s="62">
        <v>5403.7</v>
      </c>
      <c r="AB47" s="62">
        <v>5343.8399999999983</v>
      </c>
      <c r="AC47" s="100">
        <f t="shared" si="14"/>
        <v>92241.37000000001</v>
      </c>
      <c r="AE47" s="68">
        <f t="shared" si="28"/>
        <v>0.12042859438042548</v>
      </c>
      <c r="AF47" s="68">
        <f t="shared" si="29"/>
        <v>0.23089051648169981</v>
      </c>
      <c r="AG47" s="68">
        <f t="shared" si="30"/>
        <v>0.34617696484449056</v>
      </c>
      <c r="AH47" s="68">
        <f t="shared" si="31"/>
        <v>0.4330557156174536</v>
      </c>
      <c r="AI47" s="68">
        <f t="shared" si="32"/>
        <v>0.51172298770782787</v>
      </c>
      <c r="AJ47" s="68">
        <f t="shared" si="33"/>
        <v>0.6255149894969092</v>
      </c>
      <c r="AK47" s="68">
        <f t="shared" si="34"/>
        <v>0.68336969980653461</v>
      </c>
      <c r="AL47" s="68">
        <f t="shared" si="35"/>
        <v>0.74096954647950719</v>
      </c>
      <c r="AM47" s="68">
        <f t="shared" si="36"/>
        <v>0.7990947429767119</v>
      </c>
      <c r="AN47" s="68">
        <f t="shared" si="37"/>
        <v>0.85642933867863902</v>
      </c>
      <c r="AO47" s="68">
        <f t="shared" si="38"/>
        <v>0.91153747157755238</v>
      </c>
      <c r="AP47" s="68">
        <f t="shared" si="39"/>
        <v>1</v>
      </c>
      <c r="AQ47" s="92"/>
      <c r="AT47" s="68">
        <f t="shared" si="15"/>
        <v>0.14284696768922672</v>
      </c>
      <c r="AU47" s="68">
        <f t="shared" si="16"/>
        <v>0.26690019890207628</v>
      </c>
      <c r="AV47" s="68">
        <f t="shared" si="17"/>
        <v>0.32114711652699884</v>
      </c>
      <c r="AW47" s="68">
        <f t="shared" si="18"/>
        <v>0.42762016652614782</v>
      </c>
      <c r="AX47" s="68">
        <f t="shared" si="19"/>
        <v>0.50560968467836087</v>
      </c>
      <c r="AY47" s="68">
        <f t="shared" si="20"/>
        <v>0.59430090858364326</v>
      </c>
      <c r="AZ47" s="68">
        <f t="shared" si="21"/>
        <v>0.64943983377523562</v>
      </c>
      <c r="BA47" s="68">
        <f t="shared" si="22"/>
        <v>0.72456827126483492</v>
      </c>
      <c r="BB47" s="68">
        <f t="shared" si="23"/>
        <v>0.81472673270138984</v>
      </c>
      <c r="BC47" s="68">
        <f t="shared" si="24"/>
        <v>0.88348460132367945</v>
      </c>
      <c r="BD47" s="68">
        <f t="shared" si="25"/>
        <v>0.94206677546094564</v>
      </c>
      <c r="BE47" s="68">
        <f t="shared" si="26"/>
        <v>1</v>
      </c>
      <c r="BG47" s="68">
        <f t="shared" si="40"/>
        <v>0.1316377810348261</v>
      </c>
      <c r="BH47" s="68">
        <f t="shared" si="40"/>
        <v>0.24889535769188803</v>
      </c>
      <c r="BI47" s="68">
        <f t="shared" si="40"/>
        <v>0.33366204068574468</v>
      </c>
      <c r="BJ47" s="68">
        <f t="shared" si="40"/>
        <v>0.43033794107180068</v>
      </c>
      <c r="BK47" s="68">
        <f t="shared" si="40"/>
        <v>0.50866633619309432</v>
      </c>
      <c r="BL47" s="68">
        <f t="shared" si="40"/>
        <v>0.60990794904027623</v>
      </c>
      <c r="BM47" s="68">
        <f t="shared" si="40"/>
        <v>0.66640476679088512</v>
      </c>
      <c r="BN47" s="68">
        <f t="shared" si="40"/>
        <v>0.73276890887217105</v>
      </c>
      <c r="BO47" s="68">
        <f t="shared" si="40"/>
        <v>0.80691073783905087</v>
      </c>
      <c r="BP47" s="68">
        <f t="shared" si="40"/>
        <v>0.86995697000115924</v>
      </c>
      <c r="BQ47" s="68">
        <f t="shared" si="40"/>
        <v>0.92680212351924895</v>
      </c>
      <c r="BR47" s="68">
        <f t="shared" si="40"/>
        <v>1</v>
      </c>
    </row>
    <row r="48" spans="1:70">
      <c r="A48" s="131" t="s">
        <v>134</v>
      </c>
      <c r="B48" s="62">
        <v>74724.999999999971</v>
      </c>
      <c r="C48" s="62">
        <v>50924.489999999932</v>
      </c>
      <c r="D48" s="62">
        <v>45592.840000000004</v>
      </c>
      <c r="E48" s="62">
        <v>47495.500000000007</v>
      </c>
      <c r="F48" s="62">
        <v>32970.479999999981</v>
      </c>
      <c r="G48" s="62">
        <v>29664.559999999998</v>
      </c>
      <c r="H48" s="62">
        <v>26892.780000000002</v>
      </c>
      <c r="I48" s="62">
        <v>20969.179999999997</v>
      </c>
      <c r="J48" s="62">
        <v>21755.8</v>
      </c>
      <c r="K48" s="62">
        <v>25553.85</v>
      </c>
      <c r="L48" s="62">
        <v>23219.37</v>
      </c>
      <c r="M48" s="62">
        <v>20533.810000000001</v>
      </c>
      <c r="N48" s="100">
        <f t="shared" si="0"/>
        <v>420297.65999999986</v>
      </c>
      <c r="P48" s="131" t="s">
        <v>134</v>
      </c>
      <c r="Q48" s="62">
        <v>52161.499999999971</v>
      </c>
      <c r="R48" s="62">
        <v>50273.929999999935</v>
      </c>
      <c r="S48" s="62">
        <v>32212.549999999988</v>
      </c>
      <c r="T48" s="62">
        <v>25480.239999999976</v>
      </c>
      <c r="U48" s="62">
        <v>30629.639999999941</v>
      </c>
      <c r="V48" s="62">
        <v>27225.17</v>
      </c>
      <c r="W48" s="62">
        <v>22013.329999999998</v>
      </c>
      <c r="X48" s="62">
        <v>30118.850000000006</v>
      </c>
      <c r="Y48" s="62">
        <v>34173.56</v>
      </c>
      <c r="Z48" s="62">
        <v>20601.669999999991</v>
      </c>
      <c r="AA48" s="62">
        <v>27980.340000000011</v>
      </c>
      <c r="AB48" s="62">
        <v>26421.250000000004</v>
      </c>
      <c r="AC48" s="100">
        <f t="shared" si="14"/>
        <v>379292.0299999998</v>
      </c>
      <c r="AE48" s="68">
        <f t="shared" si="28"/>
        <v>0.17779066388330594</v>
      </c>
      <c r="AF48" s="68">
        <f t="shared" si="29"/>
        <v>0.2989535797082476</v>
      </c>
      <c r="AG48" s="68">
        <f t="shared" si="30"/>
        <v>0.40743108110570958</v>
      </c>
      <c r="AH48" s="68">
        <f t="shared" si="31"/>
        <v>0.52043551705712554</v>
      </c>
      <c r="AI48" s="68">
        <f t="shared" si="32"/>
        <v>0.59888106443419165</v>
      </c>
      <c r="AJ48" s="68">
        <f t="shared" si="33"/>
        <v>0.66946094822417035</v>
      </c>
      <c r="AK48" s="68">
        <f t="shared" si="34"/>
        <v>0.73344602965431693</v>
      </c>
      <c r="AL48" s="68">
        <f t="shared" si="35"/>
        <v>0.78333729005295916</v>
      </c>
      <c r="AM48" s="68">
        <f t="shared" si="36"/>
        <v>0.83510012879919437</v>
      </c>
      <c r="AN48" s="68">
        <f t="shared" si="37"/>
        <v>0.89589953938834677</v>
      </c>
      <c r="AO48" s="68">
        <f t="shared" si="38"/>
        <v>0.95114460070988738</v>
      </c>
      <c r="AP48" s="68">
        <f t="shared" si="39"/>
        <v>1</v>
      </c>
      <c r="AQ48" s="92"/>
      <c r="AT48" s="68">
        <f t="shared" si="15"/>
        <v>0.13752332206927734</v>
      </c>
      <c r="AU48" s="68">
        <f t="shared" si="16"/>
        <v>0.27007008293846818</v>
      </c>
      <c r="AV48" s="68">
        <f t="shared" si="17"/>
        <v>0.35499817910753351</v>
      </c>
      <c r="AW48" s="68">
        <f t="shared" si="18"/>
        <v>0.42217660096891552</v>
      </c>
      <c r="AX48" s="68">
        <f t="shared" si="19"/>
        <v>0.50293136926710513</v>
      </c>
      <c r="AY48" s="68">
        <f t="shared" si="20"/>
        <v>0.57471028326115869</v>
      </c>
      <c r="AZ48" s="68">
        <f t="shared" si="21"/>
        <v>0.63274822832422795</v>
      </c>
      <c r="BA48" s="68">
        <f t="shared" si="22"/>
        <v>0.71215630341613012</v>
      </c>
      <c r="BB48" s="68">
        <f t="shared" si="23"/>
        <v>0.80225458467977817</v>
      </c>
      <c r="BC48" s="68">
        <f t="shared" si="24"/>
        <v>0.85657070094512644</v>
      </c>
      <c r="BD48" s="68">
        <f t="shared" si="25"/>
        <v>0.93034061380092792</v>
      </c>
      <c r="BE48" s="68">
        <f t="shared" si="26"/>
        <v>1</v>
      </c>
      <c r="BG48" s="68">
        <f t="shared" si="40"/>
        <v>0.15765699297629165</v>
      </c>
      <c r="BH48" s="68">
        <f t="shared" si="40"/>
        <v>0.28451183132335789</v>
      </c>
      <c r="BI48" s="68">
        <f t="shared" si="40"/>
        <v>0.38121463010662154</v>
      </c>
      <c r="BJ48" s="68">
        <f t="shared" si="40"/>
        <v>0.47130605901302053</v>
      </c>
      <c r="BK48" s="68">
        <f t="shared" si="40"/>
        <v>0.55090621685064844</v>
      </c>
      <c r="BL48" s="68">
        <f t="shared" si="40"/>
        <v>0.62208561574266452</v>
      </c>
      <c r="BM48" s="68">
        <f t="shared" si="40"/>
        <v>0.68309712898927244</v>
      </c>
      <c r="BN48" s="68">
        <f t="shared" si="40"/>
        <v>0.74774679673454458</v>
      </c>
      <c r="BO48" s="68">
        <f t="shared" si="40"/>
        <v>0.81867735673948627</v>
      </c>
      <c r="BP48" s="68">
        <f t="shared" si="40"/>
        <v>0.87623512016673666</v>
      </c>
      <c r="BQ48" s="68">
        <f t="shared" si="40"/>
        <v>0.9407426072554077</v>
      </c>
      <c r="BR48" s="68">
        <f t="shared" si="40"/>
        <v>1</v>
      </c>
    </row>
    <row r="49" spans="1:70">
      <c r="A49" s="131" t="s">
        <v>135</v>
      </c>
      <c r="B49" s="62">
        <v>32427.249999999985</v>
      </c>
      <c r="C49" s="62">
        <v>24175.389999999992</v>
      </c>
      <c r="D49" s="62">
        <v>22067.489999999998</v>
      </c>
      <c r="E49" s="62">
        <v>17947.819999999985</v>
      </c>
      <c r="F49" s="62">
        <v>12517.720000000008</v>
      </c>
      <c r="G49" s="62">
        <v>11188.13</v>
      </c>
      <c r="H49" s="62">
        <v>12289.580000000004</v>
      </c>
      <c r="I49" s="62">
        <v>8991.35</v>
      </c>
      <c r="J49" s="62">
        <v>6177.74</v>
      </c>
      <c r="K49" s="62">
        <v>6827.23</v>
      </c>
      <c r="L49" s="62">
        <v>5880.18</v>
      </c>
      <c r="M49" s="62">
        <v>6923.59</v>
      </c>
      <c r="N49" s="100">
        <f t="shared" si="0"/>
        <v>167413.46999999997</v>
      </c>
      <c r="P49" s="131" t="s">
        <v>135</v>
      </c>
      <c r="Q49" s="62">
        <v>27849.5</v>
      </c>
      <c r="R49" s="62">
        <v>23140.049999999996</v>
      </c>
      <c r="S49" s="62">
        <v>19167.209999999995</v>
      </c>
      <c r="T49" s="62">
        <v>12610.919999999995</v>
      </c>
      <c r="U49" s="62">
        <v>13712.269999999997</v>
      </c>
      <c r="V49" s="62">
        <v>13680.359999999993</v>
      </c>
      <c r="W49" s="62">
        <v>12841.430000000002</v>
      </c>
      <c r="X49" s="62">
        <v>10256.329999999996</v>
      </c>
      <c r="Y49" s="62">
        <v>7413.1699999999983</v>
      </c>
      <c r="Z49" s="62">
        <v>4768.0600000000004</v>
      </c>
      <c r="AA49" s="62">
        <v>6392.5700000000052</v>
      </c>
      <c r="AB49" s="62">
        <v>8211.2000000000007</v>
      </c>
      <c r="AC49" s="100">
        <f t="shared" si="14"/>
        <v>160043.07</v>
      </c>
      <c r="AE49" s="68">
        <f t="shared" si="28"/>
        <v>0.19369558494904854</v>
      </c>
      <c r="AF49" s="68">
        <f t="shared" si="29"/>
        <v>0.33810087085585161</v>
      </c>
      <c r="AG49" s="68">
        <f t="shared" si="30"/>
        <v>0.46991517468695909</v>
      </c>
      <c r="AH49" s="68">
        <f t="shared" si="31"/>
        <v>0.5771217214481007</v>
      </c>
      <c r="AI49" s="68">
        <f t="shared" si="32"/>
        <v>0.65189300478629331</v>
      </c>
      <c r="AJ49" s="68">
        <f t="shared" si="33"/>
        <v>0.71872233458872803</v>
      </c>
      <c r="AK49" s="68">
        <f t="shared" si="34"/>
        <v>0.7921308840919431</v>
      </c>
      <c r="AL49" s="68">
        <f t="shared" si="35"/>
        <v>0.84583833069107284</v>
      </c>
      <c r="AM49" s="68">
        <f t="shared" si="36"/>
        <v>0.88273942353623036</v>
      </c>
      <c r="AN49" s="68">
        <f t="shared" si="37"/>
        <v>0.92352007278745263</v>
      </c>
      <c r="AO49" s="68">
        <f t="shared" si="38"/>
        <v>0.95864376982330035</v>
      </c>
      <c r="AP49" s="68">
        <f t="shared" si="39"/>
        <v>1</v>
      </c>
      <c r="AQ49" s="92"/>
      <c r="AT49" s="68">
        <f t="shared" si="15"/>
        <v>0.1740125330012727</v>
      </c>
      <c r="AU49" s="68">
        <f t="shared" si="16"/>
        <v>0.31859892465197021</v>
      </c>
      <c r="AV49" s="68">
        <f t="shared" si="17"/>
        <v>0.43836174849682646</v>
      </c>
      <c r="AW49" s="68">
        <f t="shared" si="18"/>
        <v>0.5171587873189385</v>
      </c>
      <c r="AX49" s="68">
        <f t="shared" si="19"/>
        <v>0.60283741120437129</v>
      </c>
      <c r="AY49" s="68">
        <f t="shared" si="20"/>
        <v>0.68831665126143837</v>
      </c>
      <c r="AZ49" s="68">
        <f t="shared" si="21"/>
        <v>0.76855398987285095</v>
      </c>
      <c r="BA49" s="68">
        <f t="shared" si="22"/>
        <v>0.83263880154260961</v>
      </c>
      <c r="BB49" s="68">
        <f t="shared" si="23"/>
        <v>0.87895864531966295</v>
      </c>
      <c r="BC49" s="68">
        <f t="shared" si="24"/>
        <v>0.90875100059002856</v>
      </c>
      <c r="BD49" s="68">
        <f t="shared" si="25"/>
        <v>0.94869381098475547</v>
      </c>
      <c r="BE49" s="68">
        <f t="shared" si="26"/>
        <v>1</v>
      </c>
      <c r="BG49" s="68">
        <f t="shared" si="40"/>
        <v>0.18385405897516061</v>
      </c>
      <c r="BH49" s="68">
        <f t="shared" si="40"/>
        <v>0.32834989775391088</v>
      </c>
      <c r="BI49" s="68">
        <f t="shared" si="40"/>
        <v>0.45413846159189275</v>
      </c>
      <c r="BJ49" s="68">
        <f t="shared" si="40"/>
        <v>0.54714025438351954</v>
      </c>
      <c r="BK49" s="68">
        <f t="shared" si="40"/>
        <v>0.62736520799533224</v>
      </c>
      <c r="BL49" s="68">
        <f t="shared" si="40"/>
        <v>0.7035194929250832</v>
      </c>
      <c r="BM49" s="68">
        <f t="shared" si="40"/>
        <v>0.78034243698239703</v>
      </c>
      <c r="BN49" s="68">
        <f t="shared" si="40"/>
        <v>0.83923856611684122</v>
      </c>
      <c r="BO49" s="68">
        <f t="shared" si="40"/>
        <v>0.88084903442794671</v>
      </c>
      <c r="BP49" s="68">
        <f t="shared" si="40"/>
        <v>0.91613553668874059</v>
      </c>
      <c r="BQ49" s="68">
        <f t="shared" si="40"/>
        <v>0.95366879040402797</v>
      </c>
      <c r="BR49" s="68">
        <f t="shared" si="40"/>
        <v>1</v>
      </c>
    </row>
    <row r="50" spans="1:70">
      <c r="A50" s="131" t="s">
        <v>136</v>
      </c>
      <c r="B50" s="62">
        <v>4984.949999999998</v>
      </c>
      <c r="C50" s="62">
        <v>3437.9300000000012</v>
      </c>
      <c r="D50" s="62">
        <v>4239.0700000000052</v>
      </c>
      <c r="E50" s="62">
        <v>2868.9400000000023</v>
      </c>
      <c r="F50" s="62">
        <v>2767.6099999999988</v>
      </c>
      <c r="G50" s="62">
        <v>2215.44</v>
      </c>
      <c r="H50" s="62">
        <v>1470.2700000000004</v>
      </c>
      <c r="I50" s="62">
        <v>1832.5</v>
      </c>
      <c r="J50" s="62">
        <v>1512.21</v>
      </c>
      <c r="K50" s="62">
        <v>700.04</v>
      </c>
      <c r="L50" s="62">
        <v>1876.72</v>
      </c>
      <c r="M50" s="62">
        <v>1599.13</v>
      </c>
      <c r="N50" s="100">
        <f t="shared" si="0"/>
        <v>29504.810000000009</v>
      </c>
      <c r="P50" s="131" t="s">
        <v>136</v>
      </c>
      <c r="Q50" s="62">
        <v>5514.0600000000013</v>
      </c>
      <c r="R50" s="62">
        <v>4000.5599999999959</v>
      </c>
      <c r="S50" s="62">
        <v>3392.7299999999959</v>
      </c>
      <c r="T50" s="62">
        <v>2402.849999999999</v>
      </c>
      <c r="U50" s="62">
        <v>4087.63</v>
      </c>
      <c r="V50" s="62">
        <v>2625.9399999999978</v>
      </c>
      <c r="W50" s="62">
        <v>2475.2800000000007</v>
      </c>
      <c r="X50" s="62">
        <v>2511.41</v>
      </c>
      <c r="Y50" s="62">
        <v>1105.8300000000004</v>
      </c>
      <c r="Z50" s="62">
        <v>1203.4400000000005</v>
      </c>
      <c r="AA50" s="62">
        <v>2306.13</v>
      </c>
      <c r="AB50" s="62">
        <v>1176.1399999999999</v>
      </c>
      <c r="AC50" s="100">
        <f t="shared" si="14"/>
        <v>32801.999999999993</v>
      </c>
      <c r="AE50" s="68">
        <f t="shared" si="28"/>
        <v>0.16895380787064876</v>
      </c>
      <c r="AF50" s="68">
        <f t="shared" si="29"/>
        <v>0.28547480902266431</v>
      </c>
      <c r="AG50" s="68">
        <f t="shared" si="30"/>
        <v>0.42914867101330262</v>
      </c>
      <c r="AH50" s="68">
        <f t="shared" si="31"/>
        <v>0.52638501993403797</v>
      </c>
      <c r="AI50" s="68">
        <f t="shared" si="32"/>
        <v>0.62018701357507477</v>
      </c>
      <c r="AJ50" s="68">
        <f t="shared" si="33"/>
        <v>0.69527443152489377</v>
      </c>
      <c r="AK50" s="68">
        <f t="shared" si="34"/>
        <v>0.74510596746767732</v>
      </c>
      <c r="AL50" s="68">
        <f t="shared" si="35"/>
        <v>0.80721448468910662</v>
      </c>
      <c r="AM50" s="68">
        <f t="shared" si="36"/>
        <v>0.85846748377637405</v>
      </c>
      <c r="AN50" s="68">
        <f t="shared" si="37"/>
        <v>0.88219378467443099</v>
      </c>
      <c r="AO50" s="68">
        <f t="shared" si="38"/>
        <v>0.94580104057609593</v>
      </c>
      <c r="AP50" s="68">
        <f t="shared" si="39"/>
        <v>1</v>
      </c>
      <c r="AQ50" s="92"/>
      <c r="AT50" s="68">
        <f t="shared" si="15"/>
        <v>0.16810133528443397</v>
      </c>
      <c r="AU50" s="68">
        <f t="shared" si="16"/>
        <v>0.29006219132979694</v>
      </c>
      <c r="AV50" s="68">
        <f t="shared" si="17"/>
        <v>0.39349277483080286</v>
      </c>
      <c r="AW50" s="68">
        <f t="shared" si="18"/>
        <v>0.46674593012621168</v>
      </c>
      <c r="AX50" s="68">
        <f t="shared" si="19"/>
        <v>0.5913611974879579</v>
      </c>
      <c r="AY50" s="68">
        <f t="shared" si="20"/>
        <v>0.67141546247180028</v>
      </c>
      <c r="AZ50" s="68">
        <f t="shared" si="21"/>
        <v>0.74687671483446116</v>
      </c>
      <c r="BA50" s="68">
        <f t="shared" si="22"/>
        <v>0.82343942442533979</v>
      </c>
      <c r="BB50" s="68">
        <f t="shared" si="23"/>
        <v>0.85715169806719094</v>
      </c>
      <c r="BC50" s="68">
        <f t="shared" si="24"/>
        <v>0.89383970489604281</v>
      </c>
      <c r="BD50" s="68">
        <f t="shared" si="25"/>
        <v>0.96414425949637206</v>
      </c>
      <c r="BE50" s="68">
        <f t="shared" si="26"/>
        <v>1</v>
      </c>
      <c r="BG50" s="68">
        <f t="shared" si="40"/>
        <v>0.16852757157754136</v>
      </c>
      <c r="BH50" s="68">
        <f t="shared" si="40"/>
        <v>0.28776850017623062</v>
      </c>
      <c r="BI50" s="68">
        <f t="shared" si="40"/>
        <v>0.41132072292205274</v>
      </c>
      <c r="BJ50" s="68">
        <f t="shared" si="40"/>
        <v>0.49656547503012483</v>
      </c>
      <c r="BK50" s="68">
        <f t="shared" si="40"/>
        <v>0.60577410553151634</v>
      </c>
      <c r="BL50" s="68">
        <f t="shared" si="40"/>
        <v>0.68334494699834702</v>
      </c>
      <c r="BM50" s="68">
        <f t="shared" si="40"/>
        <v>0.74599134115106924</v>
      </c>
      <c r="BN50" s="68">
        <f t="shared" si="40"/>
        <v>0.81532695455722326</v>
      </c>
      <c r="BO50" s="68">
        <f t="shared" si="40"/>
        <v>0.85780959092178244</v>
      </c>
      <c r="BP50" s="68">
        <f t="shared" si="40"/>
        <v>0.88801674478523696</v>
      </c>
      <c r="BQ50" s="68">
        <f t="shared" si="40"/>
        <v>0.95497265003623399</v>
      </c>
      <c r="BR50" s="68">
        <f t="shared" si="40"/>
        <v>1</v>
      </c>
    </row>
    <row r="51" spans="1:70">
      <c r="A51" s="131" t="s">
        <v>137</v>
      </c>
      <c r="B51" s="62">
        <v>148522.44999999984</v>
      </c>
      <c r="C51" s="62">
        <v>97981.489999999845</v>
      </c>
      <c r="D51" s="62">
        <v>76436.03</v>
      </c>
      <c r="E51" s="62">
        <v>73876.430000000037</v>
      </c>
      <c r="F51" s="62">
        <v>60915.569999999978</v>
      </c>
      <c r="G51" s="62">
        <v>50594.34</v>
      </c>
      <c r="H51" s="62">
        <v>49130.720000000008</v>
      </c>
      <c r="I51" s="62">
        <v>69567.31</v>
      </c>
      <c r="J51" s="62">
        <v>55135.86</v>
      </c>
      <c r="K51" s="62">
        <v>63287.9</v>
      </c>
      <c r="L51" s="62">
        <v>42075.880000000005</v>
      </c>
      <c r="M51" s="62">
        <v>66240.36</v>
      </c>
      <c r="N51" s="100">
        <f t="shared" si="0"/>
        <v>853764.33999999962</v>
      </c>
      <c r="P51" s="131" t="s">
        <v>137</v>
      </c>
      <c r="Q51" s="62">
        <v>94501.419999999838</v>
      </c>
      <c r="R51" s="62">
        <v>93141.419999999896</v>
      </c>
      <c r="S51" s="62">
        <v>61065.380000000019</v>
      </c>
      <c r="T51" s="62">
        <v>93684.320000000036</v>
      </c>
      <c r="U51" s="62">
        <v>128340.41999999998</v>
      </c>
      <c r="V51" s="62">
        <v>128046.91000000003</v>
      </c>
      <c r="W51" s="62">
        <v>125415.35</v>
      </c>
      <c r="X51" s="62">
        <v>140854.46999999997</v>
      </c>
      <c r="Y51" s="62">
        <v>96052.22</v>
      </c>
      <c r="Z51" s="62">
        <v>105252.47</v>
      </c>
      <c r="AA51" s="62">
        <v>88066.989999999991</v>
      </c>
      <c r="AB51" s="62">
        <v>78635.149999999994</v>
      </c>
      <c r="AC51" s="100">
        <f t="shared" si="14"/>
        <v>1233056.5199999998</v>
      </c>
      <c r="AE51" s="68">
        <f t="shared" si="28"/>
        <v>0.17396188039430166</v>
      </c>
      <c r="AF51" s="68">
        <f t="shared" si="29"/>
        <v>0.28872597325861582</v>
      </c>
      <c r="AG51" s="68">
        <f t="shared" si="30"/>
        <v>0.37825422645316836</v>
      </c>
      <c r="AH51" s="68">
        <f t="shared" si="31"/>
        <v>0.46478446265394491</v>
      </c>
      <c r="AI51" s="68">
        <f t="shared" si="32"/>
        <v>0.53613385867111751</v>
      </c>
      <c r="AJ51" s="68">
        <f t="shared" si="33"/>
        <v>0.59539416930906242</v>
      </c>
      <c r="AK51" s="68">
        <f t="shared" si="34"/>
        <v>0.65294016613530603</v>
      </c>
      <c r="AL51" s="68">
        <f t="shared" si="35"/>
        <v>0.7344232016061949</v>
      </c>
      <c r="AM51" s="68">
        <f t="shared" si="36"/>
        <v>0.79900291923647215</v>
      </c>
      <c r="AN51" s="68">
        <f t="shared" si="37"/>
        <v>0.87313098600487338</v>
      </c>
      <c r="AO51" s="68">
        <f t="shared" si="38"/>
        <v>0.92241376584081736</v>
      </c>
      <c r="AP51" s="68">
        <f t="shared" si="39"/>
        <v>1</v>
      </c>
      <c r="AQ51" s="92"/>
      <c r="AT51" s="68">
        <f t="shared" si="15"/>
        <v>7.6639974297366228E-2</v>
      </c>
      <c r="AU51" s="68">
        <f t="shared" si="16"/>
        <v>0.15217699834229803</v>
      </c>
      <c r="AV51" s="68">
        <f t="shared" si="17"/>
        <v>0.20170058384671594</v>
      </c>
      <c r="AW51" s="68">
        <f t="shared" si="18"/>
        <v>0.27767789590050573</v>
      </c>
      <c r="AX51" s="68">
        <f t="shared" si="19"/>
        <v>0.38176105666267418</v>
      </c>
      <c r="AY51" s="68">
        <f t="shared" si="20"/>
        <v>0.48560618291852509</v>
      </c>
      <c r="AZ51" s="68">
        <f t="shared" si="21"/>
        <v>0.58731713287562848</v>
      </c>
      <c r="BA51" s="68">
        <f t="shared" si="22"/>
        <v>0.70154909849550118</v>
      </c>
      <c r="BB51" s="68">
        <f t="shared" si="23"/>
        <v>0.77944676047777595</v>
      </c>
      <c r="BC51" s="68">
        <f t="shared" si="24"/>
        <v>0.86480575926884529</v>
      </c>
      <c r="BD51" s="68">
        <f t="shared" si="25"/>
        <v>0.93622745695387921</v>
      </c>
      <c r="BE51" s="68">
        <f t="shared" si="26"/>
        <v>1</v>
      </c>
      <c r="BG51" s="68">
        <f t="shared" si="40"/>
        <v>0.12530092734583395</v>
      </c>
      <c r="BH51" s="68">
        <f t="shared" si="40"/>
        <v>0.22045148580045693</v>
      </c>
      <c r="BI51" s="68">
        <f t="shared" si="40"/>
        <v>0.28997740514994214</v>
      </c>
      <c r="BJ51" s="68">
        <f t="shared" si="40"/>
        <v>0.37123117927722532</v>
      </c>
      <c r="BK51" s="68">
        <f t="shared" si="40"/>
        <v>0.45894745766689582</v>
      </c>
      <c r="BL51" s="68">
        <f t="shared" si="40"/>
        <v>0.54050017611379375</v>
      </c>
      <c r="BM51" s="68">
        <f t="shared" si="40"/>
        <v>0.6201286495054672</v>
      </c>
      <c r="BN51" s="68">
        <f t="shared" si="40"/>
        <v>0.71798615005084798</v>
      </c>
      <c r="BO51" s="68">
        <f t="shared" si="40"/>
        <v>0.78922483985712399</v>
      </c>
      <c r="BP51" s="68">
        <f t="shared" si="40"/>
        <v>0.86896837263685933</v>
      </c>
      <c r="BQ51" s="68">
        <f t="shared" si="40"/>
        <v>0.92932061139734823</v>
      </c>
      <c r="BR51" s="68">
        <f t="shared" si="40"/>
        <v>1</v>
      </c>
    </row>
    <row r="52" spans="1:70">
      <c r="A52" s="131" t="s">
        <v>138</v>
      </c>
      <c r="B52" s="62">
        <v>28027.699999999997</v>
      </c>
      <c r="C52" s="62">
        <v>23062.019999999982</v>
      </c>
      <c r="D52" s="62">
        <v>23082.900000000005</v>
      </c>
      <c r="E52" s="62">
        <v>14386</v>
      </c>
      <c r="F52" s="62">
        <v>17040.260000000002</v>
      </c>
      <c r="G52" s="62">
        <v>11686.05</v>
      </c>
      <c r="H52" s="62">
        <v>10513.19</v>
      </c>
      <c r="I52" s="62">
        <v>10718.210000000001</v>
      </c>
      <c r="J52" s="62">
        <v>6380.21</v>
      </c>
      <c r="K52" s="62">
        <v>7368.8</v>
      </c>
      <c r="L52" s="62">
        <v>9253.0600000000013</v>
      </c>
      <c r="M52" s="62">
        <v>7066.43</v>
      </c>
      <c r="N52" s="100">
        <f t="shared" si="0"/>
        <v>168584.82999999996</v>
      </c>
      <c r="P52" s="131" t="s">
        <v>138</v>
      </c>
      <c r="Q52" s="62">
        <v>15090.060000000005</v>
      </c>
      <c r="R52" s="62">
        <v>16500.430000000004</v>
      </c>
      <c r="S52" s="62">
        <v>11704.680000000004</v>
      </c>
      <c r="T52" s="62">
        <v>8268.8500000000022</v>
      </c>
      <c r="U52" s="62">
        <v>10469.549999999999</v>
      </c>
      <c r="V52" s="62">
        <v>10194.439999999995</v>
      </c>
      <c r="W52" s="62">
        <v>13044.189999999999</v>
      </c>
      <c r="X52" s="62">
        <v>13647.69</v>
      </c>
      <c r="Y52" s="62">
        <v>16577.61</v>
      </c>
      <c r="Z52" s="62">
        <v>14807.32</v>
      </c>
      <c r="AA52" s="62">
        <v>15606</v>
      </c>
      <c r="AB52" s="62">
        <v>12716.259999999998</v>
      </c>
      <c r="AC52" s="100">
        <f t="shared" si="14"/>
        <v>158627.08000000002</v>
      </c>
      <c r="AE52" s="68">
        <f t="shared" si="28"/>
        <v>0.16625279985156435</v>
      </c>
      <c r="AF52" s="68">
        <f t="shared" si="29"/>
        <v>0.30305051765333801</v>
      </c>
      <c r="AG52" s="68">
        <f t="shared" si="30"/>
        <v>0.43997209001545395</v>
      </c>
      <c r="AH52" s="68">
        <f t="shared" si="31"/>
        <v>0.52530598393698891</v>
      </c>
      <c r="AI52" s="68">
        <f t="shared" si="32"/>
        <v>0.62638423635151519</v>
      </c>
      <c r="AJ52" s="68">
        <f t="shared" si="33"/>
        <v>0.69570275095333312</v>
      </c>
      <c r="AK52" s="68">
        <f t="shared" si="34"/>
        <v>0.75806417457608732</v>
      </c>
      <c r="AL52" s="68">
        <f t="shared" si="35"/>
        <v>0.82164172185599393</v>
      </c>
      <c r="AM52" s="68">
        <f t="shared" si="36"/>
        <v>0.85948741651309912</v>
      </c>
      <c r="AN52" s="68">
        <f t="shared" si="37"/>
        <v>0.90319716192732169</v>
      </c>
      <c r="AO52" s="68">
        <f t="shared" si="38"/>
        <v>0.95808383233532934</v>
      </c>
      <c r="AP52" s="68">
        <f t="shared" si="39"/>
        <v>1</v>
      </c>
      <c r="AQ52" s="92"/>
      <c r="AT52" s="68">
        <f t="shared" si="15"/>
        <v>9.5129154492410772E-2</v>
      </c>
      <c r="AU52" s="68">
        <f t="shared" si="16"/>
        <v>0.19914941383274537</v>
      </c>
      <c r="AV52" s="68">
        <f t="shared" si="17"/>
        <v>0.27293681507596312</v>
      </c>
      <c r="AW52" s="68">
        <f t="shared" si="18"/>
        <v>0.3250644215350873</v>
      </c>
      <c r="AX52" s="68">
        <f t="shared" si="19"/>
        <v>0.39106544733723914</v>
      </c>
      <c r="AY52" s="68">
        <f t="shared" si="20"/>
        <v>0.45533215387940068</v>
      </c>
      <c r="AZ52" s="68">
        <f t="shared" si="21"/>
        <v>0.53756395188009509</v>
      </c>
      <c r="BA52" s="68">
        <f t="shared" si="22"/>
        <v>0.62360027052127542</v>
      </c>
      <c r="BB52" s="68">
        <f t="shared" si="23"/>
        <v>0.72810707982521017</v>
      </c>
      <c r="BC52" s="68">
        <f t="shared" si="24"/>
        <v>0.82145381482152979</v>
      </c>
      <c r="BD52" s="68">
        <f t="shared" si="25"/>
        <v>0.91983550349662868</v>
      </c>
      <c r="BE52" s="68">
        <f t="shared" si="26"/>
        <v>1</v>
      </c>
      <c r="BG52" s="68">
        <f t="shared" si="40"/>
        <v>0.13069097717198758</v>
      </c>
      <c r="BH52" s="68">
        <f t="shared" si="40"/>
        <v>0.25109996574304172</v>
      </c>
      <c r="BI52" s="68">
        <f t="shared" si="40"/>
        <v>0.35645445254570851</v>
      </c>
      <c r="BJ52" s="68">
        <f t="shared" si="40"/>
        <v>0.4251852027360381</v>
      </c>
      <c r="BK52" s="68">
        <f t="shared" si="40"/>
        <v>0.50872484184437716</v>
      </c>
      <c r="BL52" s="68">
        <f t="shared" si="40"/>
        <v>0.57551745241636687</v>
      </c>
      <c r="BM52" s="68">
        <f t="shared" si="40"/>
        <v>0.64781406322809121</v>
      </c>
      <c r="BN52" s="68">
        <f t="shared" si="40"/>
        <v>0.72262099618863473</v>
      </c>
      <c r="BO52" s="68">
        <f t="shared" si="40"/>
        <v>0.79379724816915465</v>
      </c>
      <c r="BP52" s="68">
        <f t="shared" si="40"/>
        <v>0.8623254883744258</v>
      </c>
      <c r="BQ52" s="68">
        <f t="shared" si="40"/>
        <v>0.93895966791597907</v>
      </c>
      <c r="BR52" s="68">
        <f t="shared" si="40"/>
        <v>1</v>
      </c>
    </row>
    <row r="53" spans="1:70">
      <c r="A53" s="131" t="s">
        <v>139</v>
      </c>
      <c r="B53" s="62">
        <v>134423.82000000004</v>
      </c>
      <c r="C53" s="62">
        <v>102137.30999999994</v>
      </c>
      <c r="D53" s="62">
        <v>82749.279999999926</v>
      </c>
      <c r="E53" s="62">
        <v>86597.119999999966</v>
      </c>
      <c r="F53" s="62">
        <v>85091.150000000023</v>
      </c>
      <c r="G53" s="62">
        <v>72670.06</v>
      </c>
      <c r="H53" s="62">
        <v>85426.17</v>
      </c>
      <c r="I53" s="62">
        <v>70285.31</v>
      </c>
      <c r="J53" s="62">
        <v>52912.090000000004</v>
      </c>
      <c r="K53" s="62">
        <v>54941.229999999996</v>
      </c>
      <c r="L53" s="62">
        <v>61797.439999999995</v>
      </c>
      <c r="M53" s="62">
        <v>71763.060000000012</v>
      </c>
      <c r="N53" s="100">
        <f t="shared" si="0"/>
        <v>960794.03999999992</v>
      </c>
      <c r="P53" s="131" t="s">
        <v>139</v>
      </c>
      <c r="Q53" s="62">
        <v>95482.089999999967</v>
      </c>
      <c r="R53" s="62">
        <v>69530.140000000043</v>
      </c>
      <c r="S53" s="62">
        <v>57876.589999999989</v>
      </c>
      <c r="T53" s="62">
        <v>52070.710000000014</v>
      </c>
      <c r="U53" s="62">
        <v>59465.279999999955</v>
      </c>
      <c r="V53" s="62">
        <v>56698</v>
      </c>
      <c r="W53" s="62">
        <v>66105.459999999992</v>
      </c>
      <c r="X53" s="62">
        <v>62178.84</v>
      </c>
      <c r="Y53" s="62">
        <v>53467.79</v>
      </c>
      <c r="Z53" s="62">
        <v>73591.340000000011</v>
      </c>
      <c r="AA53" s="62">
        <v>68614.890000000014</v>
      </c>
      <c r="AB53" s="62">
        <v>58135.469999999994</v>
      </c>
      <c r="AC53" s="100">
        <f t="shared" si="14"/>
        <v>773216.6</v>
      </c>
      <c r="AE53" s="68">
        <f t="shared" si="28"/>
        <v>0.13990909019377351</v>
      </c>
      <c r="AF53" s="68">
        <f t="shared" si="29"/>
        <v>0.24621419383492429</v>
      </c>
      <c r="AG53" s="68">
        <f t="shared" si="30"/>
        <v>0.33234012359194065</v>
      </c>
      <c r="AH53" s="68">
        <f t="shared" si="31"/>
        <v>0.42247090750063349</v>
      </c>
      <c r="AI53" s="68">
        <f t="shared" si="32"/>
        <v>0.51103426911349281</v>
      </c>
      <c r="AJ53" s="68">
        <f t="shared" si="33"/>
        <v>0.58666968833403677</v>
      </c>
      <c r="AK53" s="68">
        <f t="shared" si="34"/>
        <v>0.67558174070272137</v>
      </c>
      <c r="AL53" s="68">
        <f t="shared" si="35"/>
        <v>0.7487350983151394</v>
      </c>
      <c r="AM53" s="68">
        <f t="shared" si="36"/>
        <v>0.80380630795753061</v>
      </c>
      <c r="AN53" s="68">
        <f t="shared" si="37"/>
        <v>0.86098945826100248</v>
      </c>
      <c r="AO53" s="68">
        <f t="shared" si="38"/>
        <v>0.92530859163114698</v>
      </c>
      <c r="AP53" s="68">
        <f t="shared" si="39"/>
        <v>1</v>
      </c>
      <c r="AQ53" s="92"/>
      <c r="AT53" s="68">
        <f t="shared" si="15"/>
        <v>0.12348685995618817</v>
      </c>
      <c r="AU53" s="68">
        <f t="shared" si="16"/>
        <v>0.21341009750695991</v>
      </c>
      <c r="AV53" s="68">
        <f t="shared" si="17"/>
        <v>0.28826181434801063</v>
      </c>
      <c r="AW53" s="68">
        <f t="shared" si="18"/>
        <v>0.35560479430989977</v>
      </c>
      <c r="AX53" s="68">
        <f t="shared" si="19"/>
        <v>0.43251116181416693</v>
      </c>
      <c r="AY53" s="68">
        <f t="shared" si="20"/>
        <v>0.50583860977635509</v>
      </c>
      <c r="AZ53" s="68">
        <f t="shared" si="21"/>
        <v>0.59133271323973136</v>
      </c>
      <c r="BA53" s="68">
        <f t="shared" si="22"/>
        <v>0.67174852428155318</v>
      </c>
      <c r="BB53" s="68">
        <f t="shared" si="23"/>
        <v>0.74089834594859971</v>
      </c>
      <c r="BC53" s="68">
        <f t="shared" si="24"/>
        <v>0.83607392805586433</v>
      </c>
      <c r="BD53" s="68">
        <f t="shared" si="25"/>
        <v>0.92481347399939429</v>
      </c>
      <c r="BE53" s="68">
        <f t="shared" si="26"/>
        <v>1</v>
      </c>
      <c r="BG53" s="68">
        <f t="shared" si="40"/>
        <v>0.13169797507498085</v>
      </c>
      <c r="BH53" s="68">
        <f t="shared" si="40"/>
        <v>0.2298121456709421</v>
      </c>
      <c r="BI53" s="68">
        <f t="shared" si="40"/>
        <v>0.31030096896997561</v>
      </c>
      <c r="BJ53" s="68">
        <f t="shared" si="40"/>
        <v>0.38903785090526666</v>
      </c>
      <c r="BK53" s="68">
        <f t="shared" si="40"/>
        <v>0.47177271546382987</v>
      </c>
      <c r="BL53" s="68">
        <f t="shared" si="40"/>
        <v>0.54625414905519598</v>
      </c>
      <c r="BM53" s="68">
        <f t="shared" si="40"/>
        <v>0.63345722697122642</v>
      </c>
      <c r="BN53" s="68">
        <f t="shared" si="40"/>
        <v>0.71024181129834629</v>
      </c>
      <c r="BO53" s="68">
        <f t="shared" si="40"/>
        <v>0.77235232695306522</v>
      </c>
      <c r="BP53" s="68">
        <f t="shared" si="40"/>
        <v>0.84853169315843346</v>
      </c>
      <c r="BQ53" s="68">
        <f t="shared" si="40"/>
        <v>0.92506103281527063</v>
      </c>
      <c r="BR53" s="68">
        <f t="shared" si="40"/>
        <v>1</v>
      </c>
    </row>
    <row r="54" spans="1:70">
      <c r="A54" s="131" t="s">
        <v>140</v>
      </c>
      <c r="B54" s="62">
        <v>6706.8199999999961</v>
      </c>
      <c r="C54" s="62">
        <v>3120.5999999999985</v>
      </c>
      <c r="D54" s="62">
        <v>4478.0600000000049</v>
      </c>
      <c r="E54" s="62">
        <v>3202.9200000000019</v>
      </c>
      <c r="F54" s="62">
        <v>2863.6299999999978</v>
      </c>
      <c r="G54" s="62">
        <v>2030.72</v>
      </c>
      <c r="H54" s="62">
        <v>1551.5600000000006</v>
      </c>
      <c r="I54" s="62">
        <v>1366.77</v>
      </c>
      <c r="J54" s="62">
        <v>790.55</v>
      </c>
      <c r="K54" s="62">
        <v>1818.12</v>
      </c>
      <c r="L54" s="62">
        <v>821.8</v>
      </c>
      <c r="M54" s="62">
        <v>885.06</v>
      </c>
      <c r="N54" s="100">
        <f t="shared" si="0"/>
        <v>29636.61</v>
      </c>
      <c r="P54" s="131" t="s">
        <v>140</v>
      </c>
      <c r="Q54" s="62">
        <v>3899.2100000000028</v>
      </c>
      <c r="R54" s="62">
        <v>1802.9700000000066</v>
      </c>
      <c r="S54" s="62">
        <v>2206.09</v>
      </c>
      <c r="T54" s="62">
        <v>940.43000000000075</v>
      </c>
      <c r="U54" s="62">
        <v>1336.449999999998</v>
      </c>
      <c r="V54" s="62">
        <v>1541.6299999999992</v>
      </c>
      <c r="W54" s="62">
        <v>1652.7500000000007</v>
      </c>
      <c r="X54" s="62">
        <v>1185.7799999999997</v>
      </c>
      <c r="Y54" s="62">
        <v>1289.9900000000005</v>
      </c>
      <c r="Z54" s="62">
        <v>634.02999999999952</v>
      </c>
      <c r="AA54" s="62">
        <v>1554.3199999999993</v>
      </c>
      <c r="AB54" s="62">
        <v>1162.4600000000009</v>
      </c>
      <c r="AC54" s="100">
        <f t="shared" si="14"/>
        <v>19206.110000000008</v>
      </c>
      <c r="AE54" s="68">
        <f t="shared" si="28"/>
        <v>0.22630186111029554</v>
      </c>
      <c r="AF54" s="68">
        <f t="shared" si="29"/>
        <v>0.33159730481995053</v>
      </c>
      <c r="AG54" s="68">
        <f t="shared" si="30"/>
        <v>0.4826962328012549</v>
      </c>
      <c r="AH54" s="68">
        <f t="shared" si="31"/>
        <v>0.59076932213232214</v>
      </c>
      <c r="AI54" s="68">
        <f t="shared" si="32"/>
        <v>0.68739407104928663</v>
      </c>
      <c r="AJ54" s="68">
        <f t="shared" si="33"/>
        <v>0.75591472843891383</v>
      </c>
      <c r="AK54" s="68">
        <f t="shared" si="34"/>
        <v>0.80826754476979656</v>
      </c>
      <c r="AL54" s="68">
        <f t="shared" si="35"/>
        <v>0.85438516753434357</v>
      </c>
      <c r="AM54" s="68">
        <f t="shared" si="36"/>
        <v>0.88105994579002123</v>
      </c>
      <c r="AN54" s="68">
        <f t="shared" si="37"/>
        <v>0.94240704318071467</v>
      </c>
      <c r="AO54" s="68">
        <f t="shared" si="38"/>
        <v>0.97013626052372381</v>
      </c>
      <c r="AP54" s="68">
        <f t="shared" si="39"/>
        <v>1</v>
      </c>
      <c r="AQ54" s="92"/>
      <c r="AT54" s="68">
        <f t="shared" si="15"/>
        <v>0.2030192475207109</v>
      </c>
      <c r="AU54" s="68">
        <f t="shared" si="16"/>
        <v>0.29689406131694585</v>
      </c>
      <c r="AV54" s="68">
        <f t="shared" si="17"/>
        <v>0.4117580290855361</v>
      </c>
      <c r="AW54" s="68">
        <f t="shared" si="18"/>
        <v>0.46072317611426811</v>
      </c>
      <c r="AX54" s="68">
        <f t="shared" si="19"/>
        <v>0.53030780308974612</v>
      </c>
      <c r="AY54" s="68">
        <f t="shared" si="20"/>
        <v>0.61057548873769873</v>
      </c>
      <c r="AZ54" s="68">
        <f t="shared" si="21"/>
        <v>0.69662883322026181</v>
      </c>
      <c r="BA54" s="68">
        <f t="shared" si="22"/>
        <v>0.75836856083819171</v>
      </c>
      <c r="BB54" s="68">
        <f t="shared" si="23"/>
        <v>0.82553416595031481</v>
      </c>
      <c r="BC54" s="68">
        <f t="shared" si="24"/>
        <v>0.85854605643724846</v>
      </c>
      <c r="BD54" s="68">
        <f t="shared" si="25"/>
        <v>0.93947446932252299</v>
      </c>
      <c r="BE54" s="68">
        <f t="shared" si="26"/>
        <v>1</v>
      </c>
      <c r="BG54" s="68">
        <f t="shared" si="40"/>
        <v>0.21466055431550324</v>
      </c>
      <c r="BH54" s="68">
        <f t="shared" si="40"/>
        <v>0.31424568306844819</v>
      </c>
      <c r="BI54" s="68">
        <f t="shared" si="40"/>
        <v>0.4472271309433955</v>
      </c>
      <c r="BJ54" s="68">
        <f t="shared" si="40"/>
        <v>0.52574624912329515</v>
      </c>
      <c r="BK54" s="68">
        <f t="shared" si="40"/>
        <v>0.60885093706951632</v>
      </c>
      <c r="BL54" s="68">
        <f t="shared" si="40"/>
        <v>0.68324510858830623</v>
      </c>
      <c r="BM54" s="68">
        <f t="shared" si="40"/>
        <v>0.75244818899502919</v>
      </c>
      <c r="BN54" s="68">
        <f t="shared" si="40"/>
        <v>0.80637686418626764</v>
      </c>
      <c r="BO54" s="68">
        <f t="shared" si="40"/>
        <v>0.85329705587016802</v>
      </c>
      <c r="BP54" s="68">
        <f t="shared" si="40"/>
        <v>0.90047654980898151</v>
      </c>
      <c r="BQ54" s="68">
        <f t="shared" si="40"/>
        <v>0.9548053649231234</v>
      </c>
      <c r="BR54" s="68">
        <f t="shared" si="40"/>
        <v>1</v>
      </c>
    </row>
    <row r="55" spans="1:70">
      <c r="A55" s="131" t="s">
        <v>141</v>
      </c>
      <c r="B55" s="62">
        <v>613.28000000000065</v>
      </c>
      <c r="C55" s="62">
        <v>770.71000000000095</v>
      </c>
      <c r="D55" s="62">
        <v>1235.2700000000004</v>
      </c>
      <c r="E55" s="62">
        <v>958.84000000000015</v>
      </c>
      <c r="F55" s="62">
        <v>267.69999999999982</v>
      </c>
      <c r="G55" s="62">
        <v>458.16</v>
      </c>
      <c r="H55" s="62">
        <v>1011.1700000000002</v>
      </c>
      <c r="I55" s="62">
        <v>0</v>
      </c>
      <c r="J55" s="62">
        <v>261.8</v>
      </c>
      <c r="K55" s="62">
        <v>0</v>
      </c>
      <c r="L55" s="62">
        <v>0</v>
      </c>
      <c r="M55" s="62">
        <v>0</v>
      </c>
      <c r="N55" s="100">
        <f t="shared" si="0"/>
        <v>5576.9300000000021</v>
      </c>
      <c r="P55" s="131" t="s">
        <v>141</v>
      </c>
      <c r="Q55" s="62">
        <v>1010.8200000000002</v>
      </c>
      <c r="R55" s="62">
        <v>690.06999999999994</v>
      </c>
      <c r="S55" s="62">
        <v>882.44000000000028</v>
      </c>
      <c r="T55" s="62">
        <v>234.02999999999997</v>
      </c>
      <c r="U55" s="62">
        <v>75.85000000000025</v>
      </c>
      <c r="V55" s="62">
        <v>267.75</v>
      </c>
      <c r="W55" s="62">
        <v>609.4699999999998</v>
      </c>
      <c r="X55" s="62">
        <v>195.03999999999996</v>
      </c>
      <c r="Y55" s="62">
        <v>287.77999999999997</v>
      </c>
      <c r="Z55" s="62">
        <v>443.94999999999982</v>
      </c>
      <c r="AA55" s="62">
        <v>677.63000000000011</v>
      </c>
      <c r="AB55" s="62">
        <v>556.77999999999975</v>
      </c>
      <c r="AC55" s="100">
        <f t="shared" si="14"/>
        <v>5931.6100000000006</v>
      </c>
      <c r="AE55" s="68">
        <f t="shared" si="28"/>
        <v>0.10996731176471651</v>
      </c>
      <c r="AF55" s="68">
        <f t="shared" si="29"/>
        <v>0.24816341607300094</v>
      </c>
      <c r="AG55" s="68">
        <f t="shared" si="30"/>
        <v>0.46965983076710682</v>
      </c>
      <c r="AH55" s="68">
        <f t="shared" si="31"/>
        <v>0.64158954837159532</v>
      </c>
      <c r="AI55" s="68">
        <f t="shared" si="32"/>
        <v>0.68959086809409487</v>
      </c>
      <c r="AJ55" s="68">
        <f t="shared" si="33"/>
        <v>0.77174359369760781</v>
      </c>
      <c r="AK55" s="68">
        <f t="shared" si="34"/>
        <v>0.95305660999869102</v>
      </c>
      <c r="AL55" s="68">
        <f t="shared" si="35"/>
        <v>0.95305660999869102</v>
      </c>
      <c r="AM55" s="68">
        <f t="shared" si="36"/>
        <v>1</v>
      </c>
      <c r="AN55" s="68">
        <f t="shared" si="37"/>
        <v>1</v>
      </c>
      <c r="AO55" s="68">
        <f t="shared" si="38"/>
        <v>1</v>
      </c>
      <c r="AP55" s="68">
        <f t="shared" si="39"/>
        <v>1</v>
      </c>
      <c r="AQ55" s="92"/>
      <c r="AT55" s="68">
        <f t="shared" si="15"/>
        <v>0.17041241753925157</v>
      </c>
      <c r="AU55" s="68">
        <f t="shared" si="16"/>
        <v>0.28675014034975327</v>
      </c>
      <c r="AV55" s="68">
        <f t="shared" si="17"/>
        <v>0.4355191929341275</v>
      </c>
      <c r="AW55" s="68">
        <f t="shared" si="18"/>
        <v>0.47497391096177938</v>
      </c>
      <c r="AX55" s="68">
        <f t="shared" si="19"/>
        <v>0.48776133292647372</v>
      </c>
      <c r="AY55" s="68">
        <f t="shared" si="20"/>
        <v>0.53290084816769823</v>
      </c>
      <c r="AZ55" s="68">
        <f t="shared" si="21"/>
        <v>0.6356503546254727</v>
      </c>
      <c r="BA55" s="68">
        <f t="shared" si="22"/>
        <v>0.66853181513956583</v>
      </c>
      <c r="BB55" s="68">
        <f t="shared" si="23"/>
        <v>0.71704815387390619</v>
      </c>
      <c r="BC55" s="68">
        <f t="shared" si="24"/>
        <v>0.79189292620384688</v>
      </c>
      <c r="BD55" s="68">
        <f t="shared" si="25"/>
        <v>0.90613341065916342</v>
      </c>
      <c r="BE55" s="68">
        <f t="shared" si="26"/>
        <v>1</v>
      </c>
      <c r="BG55" s="68">
        <f t="shared" si="40"/>
        <v>0.14018986465198405</v>
      </c>
      <c r="BH55" s="68">
        <f t="shared" si="40"/>
        <v>0.26745677821137709</v>
      </c>
      <c r="BI55" s="68">
        <f t="shared" si="40"/>
        <v>0.45258951185061713</v>
      </c>
      <c r="BJ55" s="68">
        <f t="shared" si="40"/>
        <v>0.55828172966668732</v>
      </c>
      <c r="BK55" s="68">
        <f t="shared" si="40"/>
        <v>0.58867610051028429</v>
      </c>
      <c r="BL55" s="68">
        <f t="shared" si="40"/>
        <v>0.65232222093265302</v>
      </c>
      <c r="BM55" s="68">
        <f t="shared" si="40"/>
        <v>0.79435348231208192</v>
      </c>
      <c r="BN55" s="68">
        <f t="shared" si="40"/>
        <v>0.81079421256912843</v>
      </c>
      <c r="BO55" s="68">
        <f t="shared" si="40"/>
        <v>0.8585240769369531</v>
      </c>
      <c r="BP55" s="68">
        <f t="shared" si="40"/>
        <v>0.89594646310192338</v>
      </c>
      <c r="BQ55" s="68">
        <f t="shared" si="40"/>
        <v>0.95306670532958171</v>
      </c>
      <c r="BR55" s="68">
        <f t="shared" si="40"/>
        <v>1</v>
      </c>
    </row>
    <row r="56" spans="1:70">
      <c r="A56" s="131" t="s">
        <v>142</v>
      </c>
      <c r="B56" s="62">
        <v>47917.010000000053</v>
      </c>
      <c r="C56" s="62">
        <v>39565.39</v>
      </c>
      <c r="D56" s="62">
        <v>28656.299999999992</v>
      </c>
      <c r="E56" s="62">
        <v>25725.500000000004</v>
      </c>
      <c r="F56" s="62">
        <v>24481.990000000013</v>
      </c>
      <c r="G56" s="62">
        <v>22641.469999999998</v>
      </c>
      <c r="H56" s="62">
        <v>16692.439999999999</v>
      </c>
      <c r="I56" s="62">
        <v>19539.490000000002</v>
      </c>
      <c r="J56" s="62">
        <v>9762.3700000000008</v>
      </c>
      <c r="K56" s="62">
        <v>18166.41</v>
      </c>
      <c r="L56" s="62">
        <v>10174.52</v>
      </c>
      <c r="M56" s="62">
        <v>20045.98</v>
      </c>
      <c r="N56" s="100">
        <f t="shared" si="0"/>
        <v>283368.87000000005</v>
      </c>
      <c r="P56" s="131" t="s">
        <v>142</v>
      </c>
      <c r="Q56" s="62">
        <v>30475.419999999984</v>
      </c>
      <c r="R56" s="62">
        <v>39317.629999999946</v>
      </c>
      <c r="S56" s="62">
        <v>37043.240000000013</v>
      </c>
      <c r="T56" s="62">
        <v>21827.360000000008</v>
      </c>
      <c r="U56" s="62">
        <v>26244.959999999999</v>
      </c>
      <c r="V56" s="62">
        <v>26994.380000000005</v>
      </c>
      <c r="W56" s="62">
        <v>22004.180000000004</v>
      </c>
      <c r="X56" s="62">
        <v>22847.360000000008</v>
      </c>
      <c r="Y56" s="62">
        <v>16615.149999999998</v>
      </c>
      <c r="Z56" s="62">
        <v>17535.250000000004</v>
      </c>
      <c r="AA56" s="62">
        <v>14456.410000000003</v>
      </c>
      <c r="AB56" s="62">
        <v>18683.160000000003</v>
      </c>
      <c r="AC56" s="100">
        <f t="shared" si="14"/>
        <v>294044.5</v>
      </c>
      <c r="AE56" s="68">
        <f t="shared" si="28"/>
        <v>0.1690976499994514</v>
      </c>
      <c r="AF56" s="68">
        <f t="shared" si="29"/>
        <v>0.308722690675232</v>
      </c>
      <c r="AG56" s="68">
        <f t="shared" si="30"/>
        <v>0.40984988929800237</v>
      </c>
      <c r="AH56" s="68">
        <f t="shared" si="31"/>
        <v>0.50063438513905922</v>
      </c>
      <c r="AI56" s="68">
        <f t="shared" si="32"/>
        <v>0.58703057255371782</v>
      </c>
      <c r="AJ56" s="68">
        <f t="shared" si="33"/>
        <v>0.66693162167036912</v>
      </c>
      <c r="AK56" s="68">
        <f t="shared" si="34"/>
        <v>0.72583872745090183</v>
      </c>
      <c r="AL56" s="68">
        <f t="shared" si="35"/>
        <v>0.79479298484692418</v>
      </c>
      <c r="AM56" s="68">
        <f t="shared" si="36"/>
        <v>0.8292440873974618</v>
      </c>
      <c r="AN56" s="68">
        <f t="shared" si="37"/>
        <v>0.8933527878344576</v>
      </c>
      <c r="AO56" s="68">
        <f t="shared" si="38"/>
        <v>0.92925835501973109</v>
      </c>
      <c r="AP56" s="68">
        <f t="shared" si="39"/>
        <v>1</v>
      </c>
      <c r="AQ56" s="92"/>
      <c r="AT56" s="68">
        <f t="shared" si="15"/>
        <v>0.103642203816089</v>
      </c>
      <c r="AU56" s="68">
        <f t="shared" si="16"/>
        <v>0.23735540028805141</v>
      </c>
      <c r="AV56" s="68">
        <f t="shared" si="17"/>
        <v>0.36333374710290434</v>
      </c>
      <c r="AW56" s="68">
        <f t="shared" si="18"/>
        <v>0.43756523247331597</v>
      </c>
      <c r="AX56" s="68">
        <f t="shared" si="19"/>
        <v>0.52682029420716914</v>
      </c>
      <c r="AY56" s="68">
        <f t="shared" si="20"/>
        <v>0.61862401779322507</v>
      </c>
      <c r="AZ56" s="68">
        <f t="shared" si="21"/>
        <v>0.69345684071628599</v>
      </c>
      <c r="BA56" s="68">
        <f t="shared" si="22"/>
        <v>0.77115718879285267</v>
      </c>
      <c r="BB56" s="68">
        <f t="shared" si="23"/>
        <v>0.82766275172635417</v>
      </c>
      <c r="BC56" s="68">
        <f t="shared" si="24"/>
        <v>0.88729743287155505</v>
      </c>
      <c r="BD56" s="68">
        <f t="shared" si="25"/>
        <v>0.93646145396360059</v>
      </c>
      <c r="BE56" s="68">
        <f t="shared" si="26"/>
        <v>1</v>
      </c>
      <c r="BG56" s="68">
        <f t="shared" si="40"/>
        <v>0.13636992690777019</v>
      </c>
      <c r="BH56" s="68">
        <f t="shared" si="40"/>
        <v>0.27303904548164171</v>
      </c>
      <c r="BI56" s="68">
        <f t="shared" si="40"/>
        <v>0.38659181820045335</v>
      </c>
      <c r="BJ56" s="68">
        <f t="shared" si="40"/>
        <v>0.46909980880618762</v>
      </c>
      <c r="BK56" s="68">
        <f t="shared" si="40"/>
        <v>0.55692543338044342</v>
      </c>
      <c r="BL56" s="68">
        <f t="shared" si="40"/>
        <v>0.64277781973179704</v>
      </c>
      <c r="BM56" s="68">
        <f t="shared" si="40"/>
        <v>0.70964778408359397</v>
      </c>
      <c r="BN56" s="68">
        <f t="shared" si="40"/>
        <v>0.78297508681988837</v>
      </c>
      <c r="BO56" s="68">
        <f t="shared" si="40"/>
        <v>0.82845341956190799</v>
      </c>
      <c r="BP56" s="68">
        <f t="shared" si="40"/>
        <v>0.89032511035300632</v>
      </c>
      <c r="BQ56" s="68">
        <f t="shared" si="40"/>
        <v>0.93285990449166589</v>
      </c>
      <c r="BR56" s="68">
        <f t="shared" si="40"/>
        <v>1</v>
      </c>
    </row>
    <row r="57" spans="1:70">
      <c r="A57" s="131" t="s">
        <v>143</v>
      </c>
      <c r="B57" s="62">
        <v>657489.8899999999</v>
      </c>
      <c r="C57" s="62">
        <v>377588.27</v>
      </c>
      <c r="D57" s="62">
        <v>177877.71</v>
      </c>
      <c r="E57" s="62">
        <v>349661.0500000001</v>
      </c>
      <c r="F57" s="62">
        <v>198602.43</v>
      </c>
      <c r="G57" s="62">
        <v>191806.25</v>
      </c>
      <c r="H57" s="62">
        <v>213242.04000000007</v>
      </c>
      <c r="I57" s="62">
        <v>188328.82</v>
      </c>
      <c r="J57" s="62">
        <v>154745.30000000002</v>
      </c>
      <c r="K57" s="62">
        <v>229216.39</v>
      </c>
      <c r="L57" s="62">
        <v>170213.44</v>
      </c>
      <c r="M57" s="62">
        <v>256316.98000000004</v>
      </c>
      <c r="N57" s="100">
        <f t="shared" si="0"/>
        <v>3165088.57</v>
      </c>
      <c r="P57" s="131" t="s">
        <v>143</v>
      </c>
      <c r="Q57" s="62">
        <v>663119.95999999938</v>
      </c>
      <c r="R57" s="62">
        <v>205948.24</v>
      </c>
      <c r="S57" s="62">
        <v>378341.80999999988</v>
      </c>
      <c r="T57" s="62">
        <v>140591.06000000003</v>
      </c>
      <c r="U57" s="62">
        <v>355687.2699999999</v>
      </c>
      <c r="V57" s="62">
        <v>259812.96999999991</v>
      </c>
      <c r="W57" s="62">
        <v>228125.20999999996</v>
      </c>
      <c r="X57" s="62">
        <v>271407.68</v>
      </c>
      <c r="Y57" s="62">
        <v>148912.01</v>
      </c>
      <c r="Z57" s="62">
        <v>375878.88</v>
      </c>
      <c r="AA57" s="62">
        <v>262653.37000000005</v>
      </c>
      <c r="AB57" s="62">
        <v>136525</v>
      </c>
      <c r="AC57" s="100">
        <f t="shared" si="14"/>
        <v>3427003.46</v>
      </c>
      <c r="AE57" s="68">
        <f t="shared" si="28"/>
        <v>0.20773190874718553</v>
      </c>
      <c r="AF57" s="68">
        <f t="shared" si="29"/>
        <v>0.32702976144519075</v>
      </c>
      <c r="AG57" s="68">
        <f t="shared" si="30"/>
        <v>0.38322967688705151</v>
      </c>
      <c r="AH57" s="68">
        <f t="shared" si="31"/>
        <v>0.49370401031147132</v>
      </c>
      <c r="AI57" s="68">
        <f t="shared" si="32"/>
        <v>0.55645183730198111</v>
      </c>
      <c r="AJ57" s="68">
        <f t="shared" si="33"/>
        <v>0.61705243212198635</v>
      </c>
      <c r="AK57" s="68">
        <f t="shared" si="34"/>
        <v>0.68442559887036603</v>
      </c>
      <c r="AL57" s="68">
        <f t="shared" si="35"/>
        <v>0.74392751037611571</v>
      </c>
      <c r="AM57" s="68">
        <f t="shared" si="36"/>
        <v>0.79281881201826843</v>
      </c>
      <c r="AN57" s="68">
        <f t="shared" si="37"/>
        <v>0.86523902552275178</v>
      </c>
      <c r="AO57" s="68">
        <f t="shared" si="38"/>
        <v>0.91901743842827122</v>
      </c>
      <c r="AP57" s="68">
        <f t="shared" si="39"/>
        <v>1</v>
      </c>
      <c r="AQ57" s="92"/>
      <c r="AT57" s="68">
        <f t="shared" si="15"/>
        <v>0.1934984798643884</v>
      </c>
      <c r="AU57" s="68">
        <f t="shared" si="16"/>
        <v>0.25359419975607478</v>
      </c>
      <c r="AV57" s="68">
        <f t="shared" si="17"/>
        <v>0.36399438301121506</v>
      </c>
      <c r="AW57" s="68">
        <f t="shared" si="18"/>
        <v>0.40501887033402628</v>
      </c>
      <c r="AX57" s="68">
        <f t="shared" si="19"/>
        <v>0.50880845623657456</v>
      </c>
      <c r="AY57" s="68">
        <f t="shared" si="20"/>
        <v>0.58462191047802425</v>
      </c>
      <c r="AZ57" s="68">
        <f t="shared" si="21"/>
        <v>0.65118887274190251</v>
      </c>
      <c r="BA57" s="68">
        <f t="shared" si="22"/>
        <v>0.73038566468211263</v>
      </c>
      <c r="BB57" s="68">
        <f t="shared" si="23"/>
        <v>0.77383820616276822</v>
      </c>
      <c r="BC57" s="68">
        <f t="shared" si="24"/>
        <v>0.88351970616335473</v>
      </c>
      <c r="BD57" s="68">
        <f t="shared" si="25"/>
        <v>0.96016198944835618</v>
      </c>
      <c r="BE57" s="68">
        <f t="shared" si="26"/>
        <v>1</v>
      </c>
      <c r="BG57" s="68">
        <f t="shared" si="40"/>
        <v>0.20061519430578695</v>
      </c>
      <c r="BH57" s="68">
        <f t="shared" si="40"/>
        <v>0.29031198060063279</v>
      </c>
      <c r="BI57" s="68">
        <f t="shared" si="40"/>
        <v>0.37361202994913328</v>
      </c>
      <c r="BJ57" s="68">
        <f t="shared" si="40"/>
        <v>0.44936144032274883</v>
      </c>
      <c r="BK57" s="68">
        <f t="shared" si="40"/>
        <v>0.53263014676927778</v>
      </c>
      <c r="BL57" s="68">
        <f t="shared" si="40"/>
        <v>0.60083717130000536</v>
      </c>
      <c r="BM57" s="68">
        <f t="shared" si="40"/>
        <v>0.66780723580613421</v>
      </c>
      <c r="BN57" s="68">
        <f t="shared" si="40"/>
        <v>0.73715658752911417</v>
      </c>
      <c r="BO57" s="68">
        <f t="shared" si="40"/>
        <v>0.78332850909051832</v>
      </c>
      <c r="BP57" s="68">
        <f t="shared" si="40"/>
        <v>0.8743793658430532</v>
      </c>
      <c r="BQ57" s="68">
        <f t="shared" si="40"/>
        <v>0.9395897139383137</v>
      </c>
      <c r="BR57" s="68">
        <f t="shared" si="40"/>
        <v>1</v>
      </c>
    </row>
    <row r="58" spans="1:70">
      <c r="A58" s="131" t="s">
        <v>144</v>
      </c>
      <c r="B58" s="62">
        <v>10302.539999999999</v>
      </c>
      <c r="C58" s="62">
        <v>5259.1599999999962</v>
      </c>
      <c r="D58" s="62">
        <v>6273.5500000000065</v>
      </c>
      <c r="E58" s="62">
        <v>3134.2100000000019</v>
      </c>
      <c r="F58" s="62">
        <v>3704.6099999999997</v>
      </c>
      <c r="G58" s="62">
        <v>4668.38</v>
      </c>
      <c r="H58" s="62">
        <v>4530.2299999999996</v>
      </c>
      <c r="I58" s="62">
        <v>1993.9499999999998</v>
      </c>
      <c r="J58" s="62">
        <v>2443.5500000000002</v>
      </c>
      <c r="K58" s="62">
        <v>2945.0099999999998</v>
      </c>
      <c r="L58" s="62">
        <v>1494.24</v>
      </c>
      <c r="M58" s="62">
        <v>3235.09</v>
      </c>
      <c r="N58" s="100">
        <f t="shared" si="0"/>
        <v>49984.520000000004</v>
      </c>
      <c r="P58" s="131" t="s">
        <v>144</v>
      </c>
      <c r="Q58" s="62">
        <v>7139.9999999999982</v>
      </c>
      <c r="R58" s="62">
        <v>4865.1500000000069</v>
      </c>
      <c r="S58" s="62">
        <v>3692.71</v>
      </c>
      <c r="T58" s="62">
        <v>2414.9900000000007</v>
      </c>
      <c r="U58" s="62">
        <v>4631.8400000000029</v>
      </c>
      <c r="V58" s="62">
        <v>2160.4500000000016</v>
      </c>
      <c r="W58" s="62">
        <v>3410.5900000000011</v>
      </c>
      <c r="X58" s="62">
        <v>2609.67</v>
      </c>
      <c r="Y58" s="62">
        <v>2978.9700000000003</v>
      </c>
      <c r="Z58" s="62">
        <v>1989.9600000000005</v>
      </c>
      <c r="AA58" s="62">
        <v>1713.6900000000005</v>
      </c>
      <c r="AB58" s="62">
        <v>2349.19</v>
      </c>
      <c r="AC58" s="100">
        <f t="shared" si="14"/>
        <v>39957.210000000014</v>
      </c>
      <c r="AE58" s="68">
        <f t="shared" si="28"/>
        <v>0.20611461308421083</v>
      </c>
      <c r="AF58" s="68">
        <f t="shared" si="29"/>
        <v>0.31133038788809003</v>
      </c>
      <c r="AG58" s="68">
        <f t="shared" si="30"/>
        <v>0.43684024574008107</v>
      </c>
      <c r="AH58" s="68">
        <f t="shared" si="31"/>
        <v>0.49954385877867791</v>
      </c>
      <c r="AI58" s="68">
        <f t="shared" si="32"/>
        <v>0.57365900482789478</v>
      </c>
      <c r="AJ58" s="68">
        <f t="shared" si="33"/>
        <v>0.66705552038911253</v>
      </c>
      <c r="AK58" s="68">
        <f t="shared" si="34"/>
        <v>0.7576881802606088</v>
      </c>
      <c r="AL58" s="68">
        <f t="shared" si="35"/>
        <v>0.79757953062268083</v>
      </c>
      <c r="AM58" s="68">
        <f t="shared" si="36"/>
        <v>0.8464656657701225</v>
      </c>
      <c r="AN58" s="68">
        <f t="shared" si="37"/>
        <v>0.90538410691950244</v>
      </c>
      <c r="AO58" s="68">
        <f t="shared" si="38"/>
        <v>0.93527816211899206</v>
      </c>
      <c r="AP58" s="68">
        <f t="shared" si="39"/>
        <v>1</v>
      </c>
      <c r="AQ58" s="92"/>
      <c r="AT58" s="68">
        <f t="shared" si="15"/>
        <v>0.17869115486291451</v>
      </c>
      <c r="AU58" s="68">
        <f t="shared" si="16"/>
        <v>0.3004501565549747</v>
      </c>
      <c r="AV58" s="68">
        <f t="shared" si="17"/>
        <v>0.39286676922637986</v>
      </c>
      <c r="AW58" s="68">
        <f t="shared" si="18"/>
        <v>0.45330617427993597</v>
      </c>
      <c r="AX58" s="68">
        <f t="shared" si="19"/>
        <v>0.5692261797057403</v>
      </c>
      <c r="AY58" s="68">
        <f t="shared" si="20"/>
        <v>0.6232952701152058</v>
      </c>
      <c r="AZ58" s="68">
        <f t="shared" si="21"/>
        <v>0.70865132976001077</v>
      </c>
      <c r="BA58" s="68">
        <f t="shared" si="22"/>
        <v>0.77396294686240596</v>
      </c>
      <c r="BB58" s="68">
        <f t="shared" si="23"/>
        <v>0.84851695100834112</v>
      </c>
      <c r="BC58" s="68">
        <f t="shared" si="24"/>
        <v>0.89831922699307576</v>
      </c>
      <c r="BD58" s="68">
        <f t="shared" si="25"/>
        <v>0.94120735656969035</v>
      </c>
      <c r="BE58" s="68">
        <f t="shared" si="26"/>
        <v>1</v>
      </c>
      <c r="BG58" s="68">
        <f t="shared" si="40"/>
        <v>0.19240288397356267</v>
      </c>
      <c r="BH58" s="68">
        <f t="shared" si="40"/>
        <v>0.30589027222153237</v>
      </c>
      <c r="BI58" s="68">
        <f t="shared" si="40"/>
        <v>0.41485350748323047</v>
      </c>
      <c r="BJ58" s="68">
        <f t="shared" si="40"/>
        <v>0.47642501652930691</v>
      </c>
      <c r="BK58" s="68">
        <f t="shared" si="40"/>
        <v>0.5714425922668176</v>
      </c>
      <c r="BL58" s="68">
        <f t="shared" si="40"/>
        <v>0.64517539525215917</v>
      </c>
      <c r="BM58" s="68">
        <f t="shared" si="40"/>
        <v>0.73316975501030979</v>
      </c>
      <c r="BN58" s="68">
        <f t="shared" si="40"/>
        <v>0.7857712387425434</v>
      </c>
      <c r="BO58" s="68">
        <f t="shared" si="40"/>
        <v>0.84749130838923181</v>
      </c>
      <c r="BP58" s="68">
        <f t="shared" si="40"/>
        <v>0.90185166695628904</v>
      </c>
      <c r="BQ58" s="68">
        <f t="shared" si="40"/>
        <v>0.9382427593443412</v>
      </c>
      <c r="BR58" s="68">
        <f t="shared" si="40"/>
        <v>1</v>
      </c>
    </row>
    <row r="59" spans="1:70">
      <c r="A59" s="131" t="s">
        <v>145</v>
      </c>
      <c r="B59" s="62">
        <v>3514.86</v>
      </c>
      <c r="C59" s="62">
        <v>2809.6199999999985</v>
      </c>
      <c r="D59" s="62">
        <v>2474.4600000000023</v>
      </c>
      <c r="E59" s="62">
        <v>3661.6000000000008</v>
      </c>
      <c r="F59" s="62">
        <v>2256.91</v>
      </c>
      <c r="G59" s="62">
        <v>4043.67</v>
      </c>
      <c r="H59" s="62">
        <v>3442.8999999999996</v>
      </c>
      <c r="I59" s="62">
        <v>3029.62</v>
      </c>
      <c r="J59" s="62">
        <v>2505.21</v>
      </c>
      <c r="K59" s="62">
        <v>3365.16</v>
      </c>
      <c r="L59" s="62">
        <v>3609.36</v>
      </c>
      <c r="M59" s="62">
        <v>3466.34</v>
      </c>
      <c r="N59" s="100">
        <f t="shared" si="0"/>
        <v>38179.710000000006</v>
      </c>
      <c r="P59" s="131" t="s">
        <v>145</v>
      </c>
      <c r="Q59" s="62">
        <v>4408.8099999999986</v>
      </c>
      <c r="R59" s="62">
        <v>3108.8999999999987</v>
      </c>
      <c r="S59" s="62">
        <v>2397.4600000000005</v>
      </c>
      <c r="T59" s="62">
        <v>1141.690000000001</v>
      </c>
      <c r="U59" s="62">
        <v>1565.87</v>
      </c>
      <c r="V59" s="62">
        <v>2051.8399999999983</v>
      </c>
      <c r="W59" s="62">
        <v>1946.5599999999997</v>
      </c>
      <c r="X59" s="62">
        <v>3441.42</v>
      </c>
      <c r="Y59" s="62">
        <v>939.18000000000052</v>
      </c>
      <c r="Z59" s="62">
        <v>2342.19</v>
      </c>
      <c r="AA59" s="62">
        <v>2376.3599999999997</v>
      </c>
      <c r="AB59" s="62">
        <v>1371.3999999999999</v>
      </c>
      <c r="AC59" s="100">
        <f t="shared" si="14"/>
        <v>27091.679999999997</v>
      </c>
      <c r="AE59" s="68">
        <f t="shared" si="28"/>
        <v>9.2060940221913676E-2</v>
      </c>
      <c r="AF59" s="68">
        <f t="shared" si="29"/>
        <v>0.16565028911953489</v>
      </c>
      <c r="AG59" s="68">
        <f t="shared" si="30"/>
        <v>0.23046115331939396</v>
      </c>
      <c r="AH59" s="68">
        <f t="shared" si="31"/>
        <v>0.32636549622823219</v>
      </c>
      <c r="AI59" s="68">
        <f t="shared" si="32"/>
        <v>0.38547830771894281</v>
      </c>
      <c r="AJ59" s="68">
        <f t="shared" si="33"/>
        <v>0.49138979840339281</v>
      </c>
      <c r="AK59" s="68">
        <f t="shared" si="34"/>
        <v>0.58156596789237003</v>
      </c>
      <c r="AL59" s="68">
        <f t="shared" si="35"/>
        <v>0.66091753970891864</v>
      </c>
      <c r="AM59" s="68">
        <f t="shared" si="36"/>
        <v>0.72653380552130953</v>
      </c>
      <c r="AN59" s="68">
        <f t="shared" si="37"/>
        <v>0.81467381496611668</v>
      </c>
      <c r="AO59" s="68">
        <f t="shared" si="38"/>
        <v>0.90920989185093326</v>
      </c>
      <c r="AP59" s="68">
        <f t="shared" si="39"/>
        <v>1</v>
      </c>
      <c r="AQ59" s="92"/>
      <c r="AT59" s="68">
        <f t="shared" si="15"/>
        <v>0.16273667782876511</v>
      </c>
      <c r="AU59" s="68">
        <f t="shared" si="16"/>
        <v>0.27749146601465829</v>
      </c>
      <c r="AV59" s="68">
        <f t="shared" si="17"/>
        <v>0.36598579342440185</v>
      </c>
      <c r="AW59" s="68">
        <f t="shared" si="18"/>
        <v>0.40812751368685884</v>
      </c>
      <c r="AX59" s="68">
        <f t="shared" si="19"/>
        <v>0.4659264394087041</v>
      </c>
      <c r="AY59" s="68">
        <f t="shared" si="20"/>
        <v>0.54166334461354926</v>
      </c>
      <c r="AZ59" s="68">
        <f t="shared" si="21"/>
        <v>0.61351418590504536</v>
      </c>
      <c r="BA59" s="68">
        <f t="shared" si="22"/>
        <v>0.74054285300874656</v>
      </c>
      <c r="BB59" s="68">
        <f t="shared" si="23"/>
        <v>0.77520958464000755</v>
      </c>
      <c r="BC59" s="68">
        <f t="shared" si="24"/>
        <v>0.86166380231864537</v>
      </c>
      <c r="BD59" s="68">
        <f t="shared" si="25"/>
        <v>0.94937929283086164</v>
      </c>
      <c r="BE59" s="68">
        <f t="shared" si="26"/>
        <v>1</v>
      </c>
      <c r="BG59" s="68">
        <f t="shared" si="40"/>
        <v>0.1273988090253394</v>
      </c>
      <c r="BH59" s="68">
        <f t="shared" si="40"/>
        <v>0.22157087756709659</v>
      </c>
      <c r="BI59" s="68">
        <f t="shared" si="40"/>
        <v>0.29822347337189792</v>
      </c>
      <c r="BJ59" s="68">
        <f t="shared" si="40"/>
        <v>0.36724650495754552</v>
      </c>
      <c r="BK59" s="68">
        <f t="shared" si="40"/>
        <v>0.42570237356382346</v>
      </c>
      <c r="BL59" s="68">
        <f t="shared" si="40"/>
        <v>0.51652657150847103</v>
      </c>
      <c r="BM59" s="68">
        <f t="shared" si="40"/>
        <v>0.59754007689870769</v>
      </c>
      <c r="BN59" s="68">
        <f t="shared" si="40"/>
        <v>0.7007301963588326</v>
      </c>
      <c r="BO59" s="68">
        <f t="shared" si="40"/>
        <v>0.75087169508065854</v>
      </c>
      <c r="BP59" s="68">
        <f t="shared" si="40"/>
        <v>0.83816880864238108</v>
      </c>
      <c r="BQ59" s="68">
        <f t="shared" si="40"/>
        <v>0.92929459234089751</v>
      </c>
      <c r="BR59" s="68">
        <f t="shared" si="40"/>
        <v>1</v>
      </c>
    </row>
    <row r="60" spans="1:70">
      <c r="N60" s="94">
        <f t="shared" si="0"/>
        <v>0</v>
      </c>
      <c r="AC60" s="94">
        <f t="shared" si="14"/>
        <v>0</v>
      </c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</row>
    <row r="61" spans="1:70">
      <c r="B61" s="317" t="s">
        <v>236</v>
      </c>
      <c r="C61" s="317"/>
      <c r="D61" s="317"/>
      <c r="E61" s="317"/>
      <c r="F61" s="317"/>
      <c r="G61" s="317"/>
      <c r="H61" s="317"/>
      <c r="I61" s="317"/>
      <c r="J61" s="317"/>
      <c r="K61" s="317"/>
      <c r="L61" s="317"/>
      <c r="M61" s="317"/>
      <c r="N61" s="317">
        <f t="shared" si="0"/>
        <v>0</v>
      </c>
      <c r="Q61" s="317" t="s">
        <v>203</v>
      </c>
      <c r="R61" s="317"/>
      <c r="S61" s="317"/>
      <c r="T61" s="317"/>
      <c r="U61" s="317"/>
      <c r="V61" s="317"/>
      <c r="W61" s="317"/>
      <c r="X61" s="317"/>
      <c r="Y61" s="317"/>
      <c r="Z61" s="317"/>
      <c r="AA61" s="317"/>
      <c r="AB61" s="317"/>
      <c r="AC61" s="317">
        <f t="shared" si="14"/>
        <v>0</v>
      </c>
      <c r="AE61" s="316" t="s">
        <v>177</v>
      </c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92"/>
      <c r="AT61" s="316" t="s">
        <v>178</v>
      </c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G61" s="316" t="s">
        <v>243</v>
      </c>
      <c r="BH61" s="316"/>
      <c r="BI61" s="316"/>
      <c r="BJ61" s="316"/>
      <c r="BK61" s="316"/>
      <c r="BL61" s="316"/>
      <c r="BM61" s="316"/>
      <c r="BN61" s="316"/>
      <c r="BO61" s="316"/>
      <c r="BP61" s="316"/>
      <c r="BQ61" s="316"/>
      <c r="BR61" s="316"/>
    </row>
    <row r="62" spans="1:70">
      <c r="B62" s="131" t="s">
        <v>163</v>
      </c>
      <c r="C62" s="131" t="s">
        <v>179</v>
      </c>
      <c r="D62" s="131" t="s">
        <v>180</v>
      </c>
      <c r="E62" s="131" t="s">
        <v>181</v>
      </c>
      <c r="F62" s="131" t="s">
        <v>182</v>
      </c>
      <c r="G62" s="131" t="s">
        <v>183</v>
      </c>
      <c r="H62" s="131" t="s">
        <v>184</v>
      </c>
      <c r="I62" s="131" t="s">
        <v>185</v>
      </c>
      <c r="J62" s="131" t="s">
        <v>186</v>
      </c>
      <c r="K62" s="131" t="s">
        <v>187</v>
      </c>
      <c r="L62" s="131" t="s">
        <v>188</v>
      </c>
      <c r="M62" s="131" t="s">
        <v>189</v>
      </c>
      <c r="N62" s="131" t="s">
        <v>160</v>
      </c>
      <c r="Q62" s="131" t="s">
        <v>163</v>
      </c>
      <c r="R62" s="131" t="s">
        <v>179</v>
      </c>
      <c r="S62" s="131" t="s">
        <v>180</v>
      </c>
      <c r="T62" s="131" t="s">
        <v>181</v>
      </c>
      <c r="U62" s="131" t="s">
        <v>182</v>
      </c>
      <c r="V62" s="131" t="s">
        <v>183</v>
      </c>
      <c r="W62" s="131" t="s">
        <v>184</v>
      </c>
      <c r="X62" s="131" t="s">
        <v>185</v>
      </c>
      <c r="Y62" s="131" t="s">
        <v>186</v>
      </c>
      <c r="Z62" s="131" t="s">
        <v>187</v>
      </c>
      <c r="AA62" s="131" t="s">
        <v>188</v>
      </c>
      <c r="AB62" s="131" t="s">
        <v>189</v>
      </c>
      <c r="AC62" s="131">
        <f t="shared" si="14"/>
        <v>0</v>
      </c>
      <c r="AE62" s="131" t="s">
        <v>190</v>
      </c>
      <c r="AF62" s="131" t="s">
        <v>191</v>
      </c>
      <c r="AG62" s="131" t="s">
        <v>192</v>
      </c>
      <c r="AH62" s="131" t="s">
        <v>193</v>
      </c>
      <c r="AI62" s="131" t="s">
        <v>194</v>
      </c>
      <c r="AJ62" s="131" t="s">
        <v>195</v>
      </c>
      <c r="AK62" s="131" t="s">
        <v>196</v>
      </c>
      <c r="AL62" s="131" t="s">
        <v>197</v>
      </c>
      <c r="AM62" s="131" t="s">
        <v>198</v>
      </c>
      <c r="AN62" s="131" t="s">
        <v>199</v>
      </c>
      <c r="AO62" s="131" t="s">
        <v>200</v>
      </c>
      <c r="AP62" s="131" t="s">
        <v>201</v>
      </c>
      <c r="AQ62" s="92"/>
      <c r="AT62" s="131" t="s">
        <v>190</v>
      </c>
      <c r="AU62" s="131" t="s">
        <v>191</v>
      </c>
      <c r="AV62" s="131" t="s">
        <v>238</v>
      </c>
      <c r="AW62" s="131" t="s">
        <v>239</v>
      </c>
      <c r="AX62" s="131" t="s">
        <v>240</v>
      </c>
      <c r="AY62" s="131" t="s">
        <v>195</v>
      </c>
      <c r="AZ62" s="131" t="s">
        <v>196</v>
      </c>
      <c r="BA62" s="131" t="s">
        <v>197</v>
      </c>
      <c r="BB62" s="131" t="s">
        <v>198</v>
      </c>
      <c r="BC62" s="131" t="s">
        <v>199</v>
      </c>
      <c r="BD62" s="131" t="s">
        <v>200</v>
      </c>
      <c r="BE62" s="131" t="s">
        <v>201</v>
      </c>
      <c r="BG62" s="131" t="s">
        <v>190</v>
      </c>
      <c r="BH62" s="131" t="s">
        <v>191</v>
      </c>
      <c r="BI62" s="131" t="s">
        <v>238</v>
      </c>
      <c r="BJ62" s="131" t="s">
        <v>239</v>
      </c>
      <c r="BK62" s="131" t="s">
        <v>240</v>
      </c>
      <c r="BL62" s="131" t="s">
        <v>195</v>
      </c>
      <c r="BM62" s="131" t="s">
        <v>196</v>
      </c>
      <c r="BN62" s="131" t="s">
        <v>197</v>
      </c>
      <c r="BO62" s="131" t="s">
        <v>198</v>
      </c>
      <c r="BP62" s="131" t="s">
        <v>199</v>
      </c>
      <c r="BQ62" s="131" t="s">
        <v>200</v>
      </c>
      <c r="BR62" s="131" t="s">
        <v>201</v>
      </c>
    </row>
    <row r="63" spans="1:70">
      <c r="A63" s="131" t="s">
        <v>119</v>
      </c>
      <c r="B63" s="62">
        <v>1547.96</v>
      </c>
      <c r="C63" s="62">
        <v>2882.39</v>
      </c>
      <c r="D63" s="62">
        <v>2188.4899999999998</v>
      </c>
      <c r="E63" s="62">
        <v>3349.49</v>
      </c>
      <c r="F63" s="62">
        <v>2571.0500000000002</v>
      </c>
      <c r="G63" s="62">
        <v>1583.57</v>
      </c>
      <c r="H63" s="62">
        <v>1211.68</v>
      </c>
      <c r="I63" s="62">
        <v>1254.3699999999999</v>
      </c>
      <c r="J63" s="62">
        <v>832.71</v>
      </c>
      <c r="K63" s="62">
        <v>1138.75</v>
      </c>
      <c r="L63" s="62">
        <v>384.32</v>
      </c>
      <c r="M63" s="62">
        <v>1263.27</v>
      </c>
      <c r="N63" s="100">
        <f t="shared" si="0"/>
        <v>20208.05</v>
      </c>
      <c r="P63" s="131" t="s">
        <v>119</v>
      </c>
      <c r="Q63" s="62">
        <v>2530.73</v>
      </c>
      <c r="R63" s="62">
        <v>2963.8</v>
      </c>
      <c r="S63" s="62">
        <v>1519.52</v>
      </c>
      <c r="T63" s="62">
        <v>1151.92</v>
      </c>
      <c r="U63" s="62">
        <v>2460.9499999999998</v>
      </c>
      <c r="V63" s="62">
        <v>1583.8700000000001</v>
      </c>
      <c r="W63" s="62">
        <v>910.19</v>
      </c>
      <c r="X63" s="62">
        <v>1677.27</v>
      </c>
      <c r="Y63" s="62">
        <v>907.57</v>
      </c>
      <c r="Z63" s="62">
        <v>314.15999999999997</v>
      </c>
      <c r="AA63" s="62">
        <v>628.32000000000005</v>
      </c>
      <c r="AB63" s="62">
        <v>1850.06</v>
      </c>
      <c r="AC63" s="100">
        <f t="shared" si="14"/>
        <v>18498.360000000004</v>
      </c>
      <c r="AE63" s="68">
        <f t="shared" ref="AE63:AE89" si="41">B63/N63</f>
        <v>7.660115646982267E-2</v>
      </c>
      <c r="AF63" s="68">
        <f t="shared" ref="AF63:AF89" si="42">SUM(B63:C63)/$N63</f>
        <v>0.21923688826977369</v>
      </c>
      <c r="AG63" s="68">
        <f t="shared" ref="AG63:AG89" si="43">SUM(B63:D63)/$N63</f>
        <v>0.32753481904488557</v>
      </c>
      <c r="AH63" s="68">
        <f t="shared" ref="AH63:AH89" si="44">SUM(B63:E63)/$N63</f>
        <v>0.49328510172926138</v>
      </c>
      <c r="AI63" s="68">
        <f t="shared" ref="AI63:AI89" si="45">SUM(B63:F63)/$N63</f>
        <v>0.62051410205338964</v>
      </c>
      <c r="AJ63" s="68">
        <f t="shared" ref="AJ63:AJ89" si="46">SUM(B63:G63)/$N63</f>
        <v>0.69887742755980919</v>
      </c>
      <c r="AK63" s="68">
        <f t="shared" ref="AK63:AK89" si="47">SUM(B63:H63)/$N63</f>
        <v>0.7588376909202027</v>
      </c>
      <c r="AL63" s="68">
        <f t="shared" ref="AL63:AL89" si="48">SUM(B63:I63)/$N63</f>
        <v>0.82091047874485668</v>
      </c>
      <c r="AM63" s="68">
        <f t="shared" ref="AM63:AM89" si="49">SUM(B63:J63)/$N63</f>
        <v>0.86211732453156042</v>
      </c>
      <c r="AN63" s="68">
        <f t="shared" ref="AN63:AN89" si="50">SUM(B63:K63)/$N63</f>
        <v>0.91846863007563817</v>
      </c>
      <c r="AO63" s="68">
        <f t="shared" ref="AO63:AO89" si="51">SUM(B63:L63)/$N63</f>
        <v>0.93748679362927145</v>
      </c>
      <c r="AP63" s="68">
        <f t="shared" ref="AP63:AP89" si="52">SUM(B63:M63)/$N63</f>
        <v>1</v>
      </c>
      <c r="AQ63" s="92"/>
      <c r="AT63" s="68">
        <f t="shared" si="15"/>
        <v>0.13680834409104373</v>
      </c>
      <c r="AU63" s="68">
        <f t="shared" si="16"/>
        <v>0.29702795274824362</v>
      </c>
      <c r="AV63" s="68">
        <f t="shared" si="17"/>
        <v>0.379171450874564</v>
      </c>
      <c r="AW63" s="68">
        <f t="shared" si="18"/>
        <v>0.44144291710184036</v>
      </c>
      <c r="AX63" s="68">
        <f t="shared" si="19"/>
        <v>0.57447903489822882</v>
      </c>
      <c r="AY63" s="68">
        <f t="shared" si="20"/>
        <v>0.66010121978380787</v>
      </c>
      <c r="AZ63" s="68">
        <f t="shared" si="21"/>
        <v>0.70930504109553494</v>
      </c>
      <c r="BA63" s="68">
        <f t="shared" si="22"/>
        <v>0.79997632222532156</v>
      </c>
      <c r="BB63" s="68">
        <f t="shared" si="23"/>
        <v>0.84903850935974867</v>
      </c>
      <c r="BC63" s="68">
        <f t="shared" si="24"/>
        <v>0.86602163651264219</v>
      </c>
      <c r="BD63" s="68">
        <f t="shared" si="25"/>
        <v>0.89998789081842923</v>
      </c>
      <c r="BE63" s="68">
        <f t="shared" si="26"/>
        <v>1</v>
      </c>
      <c r="BG63" s="68">
        <f t="shared" si="40"/>
        <v>0.10670475028043319</v>
      </c>
      <c r="BH63" s="68">
        <f t="shared" si="40"/>
        <v>0.25813242050900864</v>
      </c>
      <c r="BI63" s="68">
        <f t="shared" si="40"/>
        <v>0.35335313495972476</v>
      </c>
      <c r="BJ63" s="68">
        <f t="shared" si="40"/>
        <v>0.4673640094155509</v>
      </c>
      <c r="BK63" s="68">
        <f t="shared" si="40"/>
        <v>0.59749656847580923</v>
      </c>
      <c r="BL63" s="68">
        <f t="shared" si="40"/>
        <v>0.67948932367180848</v>
      </c>
      <c r="BM63" s="68">
        <f t="shared" si="40"/>
        <v>0.73407136600786882</v>
      </c>
      <c r="BN63" s="68">
        <f t="shared" si="40"/>
        <v>0.81044340048508912</v>
      </c>
      <c r="BO63" s="68">
        <f t="shared" si="40"/>
        <v>0.85557791694565455</v>
      </c>
      <c r="BP63" s="68">
        <f t="shared" si="40"/>
        <v>0.89224513329414012</v>
      </c>
      <c r="BQ63" s="68">
        <f t="shared" si="40"/>
        <v>0.91873734222385028</v>
      </c>
      <c r="BR63" s="68">
        <f t="shared" si="40"/>
        <v>1</v>
      </c>
    </row>
    <row r="64" spans="1:70">
      <c r="A64" s="131" t="s">
        <v>120</v>
      </c>
      <c r="B64" s="62">
        <v>2668.89</v>
      </c>
      <c r="C64" s="62">
        <v>7873.25</v>
      </c>
      <c r="D64" s="62">
        <v>2953.58</v>
      </c>
      <c r="E64" s="62">
        <v>2072.87</v>
      </c>
      <c r="F64" s="62">
        <v>2873.53</v>
      </c>
      <c r="G64" s="62">
        <v>2250.79</v>
      </c>
      <c r="H64" s="62">
        <v>1009.72</v>
      </c>
      <c r="I64" s="62">
        <v>969.7</v>
      </c>
      <c r="J64" s="62">
        <v>1218.79</v>
      </c>
      <c r="K64" s="62">
        <v>493.73</v>
      </c>
      <c r="L64" s="62">
        <v>346.96</v>
      </c>
      <c r="M64" s="62">
        <v>1307.77</v>
      </c>
      <c r="N64" s="100">
        <f t="shared" si="0"/>
        <v>26039.58</v>
      </c>
      <c r="P64" s="131" t="s">
        <v>120</v>
      </c>
      <c r="Q64" s="62">
        <v>5489.03</v>
      </c>
      <c r="R64" s="62">
        <v>8011.12</v>
      </c>
      <c r="S64" s="62">
        <v>2615.0700000000002</v>
      </c>
      <c r="T64" s="62">
        <v>1083.58</v>
      </c>
      <c r="U64" s="62">
        <v>2207.84</v>
      </c>
      <c r="V64" s="62">
        <v>1367.17</v>
      </c>
      <c r="W64" s="62">
        <v>523.6</v>
      </c>
      <c r="X64" s="62">
        <v>1762.78</v>
      </c>
      <c r="Y64" s="62">
        <v>65.45</v>
      </c>
      <c r="Z64" s="62">
        <v>104.72</v>
      </c>
      <c r="AA64" s="62">
        <v>104.72</v>
      </c>
      <c r="AB64" s="62">
        <v>261.8</v>
      </c>
      <c r="AC64" s="100">
        <f t="shared" si="14"/>
        <v>23596.879999999997</v>
      </c>
      <c r="AE64" s="68">
        <f t="shared" si="41"/>
        <v>0.10249358860626784</v>
      </c>
      <c r="AF64" s="68">
        <f t="shared" si="42"/>
        <v>0.40485061587014837</v>
      </c>
      <c r="AG64" s="68">
        <f t="shared" si="43"/>
        <v>0.51827717651359961</v>
      </c>
      <c r="AH64" s="68">
        <f t="shared" si="44"/>
        <v>0.59788176306991125</v>
      </c>
      <c r="AI64" s="68">
        <f t="shared" si="45"/>
        <v>0.70823415738656303</v>
      </c>
      <c r="AJ64" s="68">
        <f t="shared" si="46"/>
        <v>0.79467141943149611</v>
      </c>
      <c r="AK64" s="68">
        <f t="shared" si="47"/>
        <v>0.83344777450327534</v>
      </c>
      <c r="AL64" s="68">
        <f t="shared" si="48"/>
        <v>0.87068723842704066</v>
      </c>
      <c r="AM64" s="68">
        <f t="shared" si="49"/>
        <v>0.9174925248410305</v>
      </c>
      <c r="AN64" s="68">
        <f t="shared" si="50"/>
        <v>0.93645327612810958</v>
      </c>
      <c r="AO64" s="68">
        <f t="shared" si="51"/>
        <v>0.94977760778015619</v>
      </c>
      <c r="AP64" s="68">
        <f t="shared" si="52"/>
        <v>1</v>
      </c>
      <c r="AQ64" s="92"/>
      <c r="AT64" s="68">
        <f t="shared" si="15"/>
        <v>0.23261676967463496</v>
      </c>
      <c r="AU64" s="68">
        <f t="shared" si="16"/>
        <v>0.57211588989730855</v>
      </c>
      <c r="AV64" s="68">
        <f t="shared" si="17"/>
        <v>0.68293859188163863</v>
      </c>
      <c r="AW64" s="68">
        <f t="shared" si="18"/>
        <v>0.72885906950410395</v>
      </c>
      <c r="AX64" s="68">
        <f t="shared" si="19"/>
        <v>0.82242398147551721</v>
      </c>
      <c r="AY64" s="68">
        <f t="shared" si="20"/>
        <v>0.88036257335715573</v>
      </c>
      <c r="AZ64" s="68">
        <f t="shared" si="21"/>
        <v>0.90255194754560764</v>
      </c>
      <c r="BA64" s="68">
        <f t="shared" si="22"/>
        <v>0.97725589145683656</v>
      </c>
      <c r="BB64" s="68">
        <f t="shared" si="23"/>
        <v>0.98002956323039314</v>
      </c>
      <c r="BC64" s="68">
        <f t="shared" si="24"/>
        <v>0.98446743806808357</v>
      </c>
      <c r="BD64" s="68">
        <f t="shared" si="25"/>
        <v>0.98890531290577399</v>
      </c>
      <c r="BE64" s="68">
        <f t="shared" si="26"/>
        <v>1</v>
      </c>
      <c r="BG64" s="68">
        <f t="shared" si="40"/>
        <v>0.1675551791404514</v>
      </c>
      <c r="BH64" s="68">
        <f t="shared" si="40"/>
        <v>0.48848325288372846</v>
      </c>
      <c r="BI64" s="68">
        <f t="shared" si="40"/>
        <v>0.60060788419761912</v>
      </c>
      <c r="BJ64" s="68">
        <f t="shared" si="40"/>
        <v>0.66337041628700755</v>
      </c>
      <c r="BK64" s="68">
        <f t="shared" si="40"/>
        <v>0.76532906943104018</v>
      </c>
      <c r="BL64" s="68">
        <f t="shared" si="40"/>
        <v>0.83751699639432586</v>
      </c>
      <c r="BM64" s="68">
        <f t="shared" si="40"/>
        <v>0.86799986102444149</v>
      </c>
      <c r="BN64" s="68">
        <f t="shared" si="40"/>
        <v>0.92397156494193866</v>
      </c>
      <c r="BO64" s="68">
        <f t="shared" si="40"/>
        <v>0.94876104403571182</v>
      </c>
      <c r="BP64" s="68">
        <f t="shared" si="40"/>
        <v>0.96046035709809652</v>
      </c>
      <c r="BQ64" s="68">
        <f t="shared" si="40"/>
        <v>0.96934146034296509</v>
      </c>
      <c r="BR64" s="68">
        <f t="shared" si="40"/>
        <v>1</v>
      </c>
    </row>
    <row r="65" spans="1:70">
      <c r="A65" s="131" t="s">
        <v>121</v>
      </c>
      <c r="B65" s="62">
        <v>1583.53</v>
      </c>
      <c r="C65" s="62">
        <v>3053.66</v>
      </c>
      <c r="D65" s="62">
        <v>1003.81</v>
      </c>
      <c r="E65" s="62">
        <v>5320.03</v>
      </c>
      <c r="F65" s="62">
        <v>3101.8800000000006</v>
      </c>
      <c r="G65" s="62">
        <v>5574.91</v>
      </c>
      <c r="H65" s="62">
        <v>2464.3200000000002</v>
      </c>
      <c r="I65" s="62">
        <v>707.26</v>
      </c>
      <c r="J65" s="62">
        <v>1430.52</v>
      </c>
      <c r="K65" s="62">
        <v>1928.29</v>
      </c>
      <c r="L65" s="62">
        <v>1702.26</v>
      </c>
      <c r="M65" s="62">
        <v>696.13</v>
      </c>
      <c r="N65" s="100">
        <f t="shared" si="0"/>
        <v>28566.6</v>
      </c>
      <c r="P65" s="131" t="s">
        <v>121</v>
      </c>
      <c r="Q65" s="62">
        <v>1326.45</v>
      </c>
      <c r="R65" s="62">
        <v>2018.8700000000001</v>
      </c>
      <c r="S65" s="62">
        <v>707.43000000000006</v>
      </c>
      <c r="T65" s="62">
        <v>1994.92</v>
      </c>
      <c r="U65" s="62">
        <v>2985.21</v>
      </c>
      <c r="V65" s="62">
        <v>5981.61</v>
      </c>
      <c r="W65" s="62">
        <v>1923.36</v>
      </c>
      <c r="X65" s="62">
        <v>2375.39</v>
      </c>
      <c r="Y65" s="62">
        <v>1247.9100000000001</v>
      </c>
      <c r="Z65" s="62">
        <v>1926.83</v>
      </c>
      <c r="AA65" s="62">
        <v>748.59</v>
      </c>
      <c r="AB65" s="62">
        <v>1151.8800000000001</v>
      </c>
      <c r="AC65" s="100">
        <f t="shared" si="14"/>
        <v>24388.450000000004</v>
      </c>
      <c r="AE65" s="68">
        <f t="shared" si="41"/>
        <v>5.543291816316958E-2</v>
      </c>
      <c r="AF65" s="68">
        <f t="shared" si="42"/>
        <v>0.16232908361513096</v>
      </c>
      <c r="AG65" s="68">
        <f t="shared" si="43"/>
        <v>0.19746837215489418</v>
      </c>
      <c r="AH65" s="68">
        <f t="shared" si="44"/>
        <v>0.38370089545133124</v>
      </c>
      <c r="AI65" s="68">
        <f t="shared" si="45"/>
        <v>0.49228504617280322</v>
      </c>
      <c r="AJ65" s="68">
        <f t="shared" si="46"/>
        <v>0.68743987733927037</v>
      </c>
      <c r="AK65" s="68">
        <f t="shared" si="47"/>
        <v>0.77370565625590726</v>
      </c>
      <c r="AL65" s="68">
        <f t="shared" si="48"/>
        <v>0.79846394040592861</v>
      </c>
      <c r="AM65" s="68">
        <f t="shared" si="49"/>
        <v>0.84854060336196813</v>
      </c>
      <c r="AN65" s="68">
        <f t="shared" si="50"/>
        <v>0.91604216112523018</v>
      </c>
      <c r="AO65" s="68">
        <f t="shared" si="51"/>
        <v>0.97563133169505645</v>
      </c>
      <c r="AP65" s="68">
        <f t="shared" si="52"/>
        <v>1</v>
      </c>
      <c r="AQ65" s="92"/>
      <c r="AT65" s="68">
        <f t="shared" si="15"/>
        <v>5.4388450270517391E-2</v>
      </c>
      <c r="AU65" s="68">
        <f t="shared" si="16"/>
        <v>0.13716820872175148</v>
      </c>
      <c r="AV65" s="68">
        <f t="shared" si="17"/>
        <v>0.16617497216920302</v>
      </c>
      <c r="AW65" s="68">
        <f t="shared" si="18"/>
        <v>0.24797270839270225</v>
      </c>
      <c r="AX65" s="68">
        <f t="shared" si="19"/>
        <v>0.37037532110486726</v>
      </c>
      <c r="AY65" s="68">
        <f t="shared" si="20"/>
        <v>0.61563937027568372</v>
      </c>
      <c r="AZ65" s="68">
        <f t="shared" si="21"/>
        <v>0.69450293069055224</v>
      </c>
      <c r="BA65" s="68">
        <f t="shared" si="22"/>
        <v>0.79190108432475204</v>
      </c>
      <c r="BB65" s="68">
        <f t="shared" si="23"/>
        <v>0.84306915773655144</v>
      </c>
      <c r="BC65" s="68">
        <f t="shared" si="24"/>
        <v>0.92207499861614817</v>
      </c>
      <c r="BD65" s="68">
        <f t="shared" si="25"/>
        <v>0.95276944619276749</v>
      </c>
      <c r="BE65" s="68">
        <f t="shared" si="26"/>
        <v>1</v>
      </c>
      <c r="BG65" s="68">
        <f t="shared" si="40"/>
        <v>5.4910684216843489E-2</v>
      </c>
      <c r="BH65" s="68">
        <f t="shared" si="40"/>
        <v>0.14974864616844122</v>
      </c>
      <c r="BI65" s="68">
        <f t="shared" si="40"/>
        <v>0.18182167216204859</v>
      </c>
      <c r="BJ65" s="68">
        <f t="shared" si="40"/>
        <v>0.31583680192201674</v>
      </c>
      <c r="BK65" s="68">
        <f t="shared" si="40"/>
        <v>0.43133018363883524</v>
      </c>
      <c r="BL65" s="68">
        <f t="shared" si="40"/>
        <v>0.6515396238074771</v>
      </c>
      <c r="BM65" s="68">
        <f t="shared" si="40"/>
        <v>0.73410429347322981</v>
      </c>
      <c r="BN65" s="68">
        <f t="shared" si="40"/>
        <v>0.79518251236534032</v>
      </c>
      <c r="BO65" s="68">
        <f t="shared" si="40"/>
        <v>0.84580488054925973</v>
      </c>
      <c r="BP65" s="68">
        <f t="shared" si="40"/>
        <v>0.91905857987068917</v>
      </c>
      <c r="BQ65" s="68">
        <f t="shared" si="40"/>
        <v>0.96420038894391191</v>
      </c>
      <c r="BR65" s="68">
        <f t="shared" si="40"/>
        <v>1</v>
      </c>
    </row>
    <row r="66" spans="1:70">
      <c r="A66" s="131" t="s">
        <v>122</v>
      </c>
      <c r="B66" s="62">
        <v>5150.9799999999996</v>
      </c>
      <c r="C66" s="62">
        <v>4421.49</v>
      </c>
      <c r="D66" s="62">
        <v>7868.82</v>
      </c>
      <c r="E66" s="62">
        <v>4790.72</v>
      </c>
      <c r="F66" s="62">
        <v>4884.1200000000008</v>
      </c>
      <c r="G66" s="62">
        <v>5942.71</v>
      </c>
      <c r="H66" s="62">
        <v>3236.5200000000004</v>
      </c>
      <c r="I66" s="62">
        <v>2889.54</v>
      </c>
      <c r="J66" s="62">
        <v>2090.65</v>
      </c>
      <c r="K66" s="62">
        <v>2446.4899999999998</v>
      </c>
      <c r="L66" s="62">
        <v>661.87</v>
      </c>
      <c r="M66" s="62">
        <v>1476.83</v>
      </c>
      <c r="N66" s="100">
        <f t="shared" si="0"/>
        <v>45860.740000000005</v>
      </c>
      <c r="P66" s="131" t="s">
        <v>122</v>
      </c>
      <c r="Q66" s="62">
        <v>3780.3599999999997</v>
      </c>
      <c r="R66" s="62">
        <v>8620.23</v>
      </c>
      <c r="S66" s="62">
        <v>8765.0399999999991</v>
      </c>
      <c r="T66" s="62">
        <v>4372.07</v>
      </c>
      <c r="U66" s="62">
        <v>3672.1499999999996</v>
      </c>
      <c r="V66" s="62">
        <v>4239.45</v>
      </c>
      <c r="W66" s="62">
        <v>2652.91</v>
      </c>
      <c r="X66" s="62">
        <v>916.3</v>
      </c>
      <c r="Y66" s="62">
        <v>1169.6799999999998</v>
      </c>
      <c r="Z66" s="62">
        <v>694.64</v>
      </c>
      <c r="AA66" s="62">
        <v>506.15</v>
      </c>
      <c r="AB66" s="62">
        <v>1527.16</v>
      </c>
      <c r="AC66" s="100">
        <f t="shared" si="14"/>
        <v>40916.14</v>
      </c>
      <c r="AE66" s="68">
        <f t="shared" si="41"/>
        <v>0.11231785618810336</v>
      </c>
      <c r="AF66" s="68">
        <f t="shared" si="42"/>
        <v>0.20872907851029002</v>
      </c>
      <c r="AG66" s="68">
        <f t="shared" si="43"/>
        <v>0.3803098249177837</v>
      </c>
      <c r="AH66" s="68">
        <f t="shared" si="44"/>
        <v>0.48477216023989145</v>
      </c>
      <c r="AI66" s="68">
        <f t="shared" si="45"/>
        <v>0.59127109593085503</v>
      </c>
      <c r="AJ66" s="68">
        <f t="shared" si="46"/>
        <v>0.72085273809362871</v>
      </c>
      <c r="AK66" s="68">
        <f t="shared" si="47"/>
        <v>0.79142551995454058</v>
      </c>
      <c r="AL66" s="68">
        <f t="shared" si="48"/>
        <v>0.85443235325029643</v>
      </c>
      <c r="AM66" s="68">
        <f t="shared" si="49"/>
        <v>0.90001927574653173</v>
      </c>
      <c r="AN66" s="68">
        <f t="shared" si="50"/>
        <v>0.95336534037610376</v>
      </c>
      <c r="AO66" s="68">
        <f t="shared" si="51"/>
        <v>0.96779751046319795</v>
      </c>
      <c r="AP66" s="68">
        <f t="shared" si="52"/>
        <v>1</v>
      </c>
      <c r="AQ66" s="92"/>
      <c r="AT66" s="68">
        <f t="shared" si="15"/>
        <v>9.2392879680243539E-2</v>
      </c>
      <c r="AU66" s="68">
        <f t="shared" si="16"/>
        <v>0.30307331043446428</v>
      </c>
      <c r="AV66" s="68">
        <f t="shared" si="17"/>
        <v>0.51729293134689636</v>
      </c>
      <c r="AW66" s="68">
        <f t="shared" si="18"/>
        <v>0.62414734136700079</v>
      </c>
      <c r="AX66" s="68">
        <f t="shared" si="19"/>
        <v>0.71389554342125139</v>
      </c>
      <c r="AY66" s="68">
        <f t="shared" si="20"/>
        <v>0.817508689724886</v>
      </c>
      <c r="AZ66" s="68">
        <f t="shared" si="21"/>
        <v>0.88234642857317414</v>
      </c>
      <c r="BA66" s="68">
        <f t="shared" si="22"/>
        <v>0.90474101418168951</v>
      </c>
      <c r="BB66" s="68">
        <f t="shared" si="23"/>
        <v>0.93332826605833286</v>
      </c>
      <c r="BC66" s="68">
        <f t="shared" si="24"/>
        <v>0.95030542959330955</v>
      </c>
      <c r="BD66" s="68">
        <f t="shared" si="25"/>
        <v>0.96267585358736174</v>
      </c>
      <c r="BE66" s="68">
        <f t="shared" si="26"/>
        <v>1</v>
      </c>
      <c r="BG66" s="68">
        <f t="shared" si="40"/>
        <v>0.10235536793417345</v>
      </c>
      <c r="BH66" s="68">
        <f t="shared" si="40"/>
        <v>0.25590119447237714</v>
      </c>
      <c r="BI66" s="68">
        <f t="shared" si="40"/>
        <v>0.44880137813234</v>
      </c>
      <c r="BJ66" s="68">
        <f t="shared" ref="BJ66:BR97" si="53">(AH66+AW66)/2</f>
        <v>0.55445975080344612</v>
      </c>
      <c r="BK66" s="68">
        <f t="shared" si="53"/>
        <v>0.65258331967605321</v>
      </c>
      <c r="BL66" s="68">
        <f t="shared" si="53"/>
        <v>0.76918071390925735</v>
      </c>
      <c r="BM66" s="68">
        <f t="shared" si="53"/>
        <v>0.83688597426385736</v>
      </c>
      <c r="BN66" s="68">
        <f t="shared" si="53"/>
        <v>0.87958668371599291</v>
      </c>
      <c r="BO66" s="68">
        <f t="shared" si="53"/>
        <v>0.91667377090243229</v>
      </c>
      <c r="BP66" s="68">
        <f t="shared" si="53"/>
        <v>0.95183538498470666</v>
      </c>
      <c r="BQ66" s="68">
        <f t="shared" si="53"/>
        <v>0.96523668202527979</v>
      </c>
      <c r="BR66" s="68">
        <f t="shared" si="53"/>
        <v>1</v>
      </c>
    </row>
    <row r="67" spans="1:70">
      <c r="A67" s="131" t="s">
        <v>123</v>
      </c>
      <c r="B67" s="62">
        <v>31234.92</v>
      </c>
      <c r="C67" s="62">
        <v>47326.14</v>
      </c>
      <c r="D67" s="62">
        <v>24469.39</v>
      </c>
      <c r="E67" s="62">
        <v>15891.17</v>
      </c>
      <c r="F67" s="62">
        <v>27695.940000000002</v>
      </c>
      <c r="G67" s="62">
        <v>33178.17</v>
      </c>
      <c r="H67" s="62">
        <v>5204.3900000000012</v>
      </c>
      <c r="I67" s="62">
        <v>7570.8</v>
      </c>
      <c r="J67" s="62">
        <v>5462.35</v>
      </c>
      <c r="K67" s="62">
        <v>4492.6499999999996</v>
      </c>
      <c r="L67" s="62">
        <v>2063.91</v>
      </c>
      <c r="M67" s="62">
        <v>1770.34</v>
      </c>
      <c r="N67" s="100">
        <f t="shared" ref="N67:N130" si="54">SUM(B67:M67)</f>
        <v>206360.16999999998</v>
      </c>
      <c r="P67" s="131" t="s">
        <v>123</v>
      </c>
      <c r="Q67" s="62">
        <v>19083.32</v>
      </c>
      <c r="R67" s="62">
        <v>51126.59</v>
      </c>
      <c r="S67" s="62">
        <v>14530.61</v>
      </c>
      <c r="T67" s="62">
        <v>16867.39</v>
      </c>
      <c r="U67" s="62">
        <v>18300.309999999998</v>
      </c>
      <c r="V67" s="62">
        <v>23559.85</v>
      </c>
      <c r="W67" s="62">
        <v>10590.67</v>
      </c>
      <c r="X67" s="62">
        <v>10864.09</v>
      </c>
      <c r="Y67" s="62">
        <v>7692.9699999999993</v>
      </c>
      <c r="Z67" s="62">
        <v>6625.25</v>
      </c>
      <c r="AA67" s="62">
        <v>2579.63</v>
      </c>
      <c r="AB67" s="62">
        <v>2745.37</v>
      </c>
      <c r="AC67" s="100">
        <f t="shared" si="14"/>
        <v>184566.05000000002</v>
      </c>
      <c r="AE67" s="68">
        <f t="shared" si="41"/>
        <v>0.15136118563965129</v>
      </c>
      <c r="AF67" s="68">
        <f t="shared" si="42"/>
        <v>0.38069875596632818</v>
      </c>
      <c r="AG67" s="68">
        <f t="shared" si="43"/>
        <v>0.49927488429574374</v>
      </c>
      <c r="AH67" s="68">
        <f t="shared" si="44"/>
        <v>0.57628184741270572</v>
      </c>
      <c r="AI67" s="68">
        <f t="shared" si="45"/>
        <v>0.71049350269482725</v>
      </c>
      <c r="AJ67" s="68">
        <f t="shared" si="46"/>
        <v>0.87127147646757608</v>
      </c>
      <c r="AK67" s="68">
        <f t="shared" si="47"/>
        <v>0.8964914111090333</v>
      </c>
      <c r="AL67" s="68">
        <f t="shared" si="48"/>
        <v>0.93317872339415109</v>
      </c>
      <c r="AM67" s="68">
        <f t="shared" si="49"/>
        <v>0.95964870546481917</v>
      </c>
      <c r="AN67" s="68">
        <f t="shared" si="50"/>
        <v>0.98141962181946252</v>
      </c>
      <c r="AO67" s="68">
        <f t="shared" si="51"/>
        <v>0.99142111580931536</v>
      </c>
      <c r="AP67" s="68">
        <f t="shared" si="52"/>
        <v>1</v>
      </c>
      <c r="AQ67" s="92"/>
      <c r="AT67" s="68">
        <f t="shared" si="15"/>
        <v>0.10339561365700788</v>
      </c>
      <c r="AU67" s="68">
        <f t="shared" si="16"/>
        <v>0.38040533456721859</v>
      </c>
      <c r="AV67" s="68">
        <f t="shared" si="17"/>
        <v>0.4591338439545084</v>
      </c>
      <c r="AW67" s="68">
        <f t="shared" si="18"/>
        <v>0.55052329504803288</v>
      </c>
      <c r="AX67" s="68">
        <f t="shared" si="19"/>
        <v>0.6496764708352375</v>
      </c>
      <c r="AY67" s="68">
        <f t="shared" si="20"/>
        <v>0.77732643679593294</v>
      </c>
      <c r="AZ67" s="68">
        <f t="shared" si="21"/>
        <v>0.83470789996318395</v>
      </c>
      <c r="BA67" s="68">
        <f t="shared" si="22"/>
        <v>0.89357078400930179</v>
      </c>
      <c r="BB67" s="68">
        <f t="shared" si="23"/>
        <v>0.93525217665979199</v>
      </c>
      <c r="BC67" s="68">
        <f t="shared" si="24"/>
        <v>0.97114854004840001</v>
      </c>
      <c r="BD67" s="68">
        <f t="shared" si="25"/>
        <v>0.98512527087186408</v>
      </c>
      <c r="BE67" s="68">
        <f t="shared" si="26"/>
        <v>1</v>
      </c>
      <c r="BG67" s="68">
        <f t="shared" ref="BG67:BL129" si="55">(AE67+AT67)/2</f>
        <v>0.12737839964832959</v>
      </c>
      <c r="BH67" s="68">
        <f t="shared" si="55"/>
        <v>0.38055204526677339</v>
      </c>
      <c r="BI67" s="68">
        <f t="shared" si="55"/>
        <v>0.47920436412512607</v>
      </c>
      <c r="BJ67" s="68">
        <f t="shared" si="53"/>
        <v>0.5634025712303693</v>
      </c>
      <c r="BK67" s="68">
        <f t="shared" si="53"/>
        <v>0.68008498676503237</v>
      </c>
      <c r="BL67" s="68">
        <f t="shared" si="53"/>
        <v>0.82429895663175445</v>
      </c>
      <c r="BM67" s="68">
        <f t="shared" si="53"/>
        <v>0.86559965553610863</v>
      </c>
      <c r="BN67" s="68">
        <f t="shared" si="53"/>
        <v>0.91337475370172649</v>
      </c>
      <c r="BO67" s="68">
        <f t="shared" si="53"/>
        <v>0.94745044106230558</v>
      </c>
      <c r="BP67" s="68">
        <f t="shared" si="53"/>
        <v>0.97628408093393126</v>
      </c>
      <c r="BQ67" s="68">
        <f t="shared" si="53"/>
        <v>0.98827319334058972</v>
      </c>
      <c r="BR67" s="68">
        <f t="shared" si="53"/>
        <v>1</v>
      </c>
    </row>
    <row r="68" spans="1:70">
      <c r="A68" s="131" t="s">
        <v>124</v>
      </c>
      <c r="B68" s="62">
        <v>14959.14</v>
      </c>
      <c r="C68" s="62">
        <v>16687.259999999998</v>
      </c>
      <c r="D68" s="62">
        <v>15111.92</v>
      </c>
      <c r="E68" s="62">
        <v>7793.25</v>
      </c>
      <c r="F68" s="62">
        <v>9284.86</v>
      </c>
      <c r="G68" s="62">
        <v>9382.66</v>
      </c>
      <c r="H68" s="62">
        <v>2284.5700000000002</v>
      </c>
      <c r="I68" s="62">
        <v>1590.66</v>
      </c>
      <c r="J68" s="62">
        <v>1482.12</v>
      </c>
      <c r="K68" s="62">
        <v>2193.85</v>
      </c>
      <c r="L68" s="62">
        <v>1948.27</v>
      </c>
      <c r="M68" s="62">
        <v>784.65</v>
      </c>
      <c r="N68" s="100">
        <f t="shared" si="54"/>
        <v>83503.210000000006</v>
      </c>
      <c r="P68" s="131" t="s">
        <v>124</v>
      </c>
      <c r="Q68" s="62">
        <v>15341.420000000002</v>
      </c>
      <c r="R68" s="62">
        <v>19949.2</v>
      </c>
      <c r="S68" s="62">
        <v>6093.52</v>
      </c>
      <c r="T68" s="62">
        <v>6752.4500000000007</v>
      </c>
      <c r="U68" s="62">
        <v>7388.01</v>
      </c>
      <c r="V68" s="62">
        <v>8597.86</v>
      </c>
      <c r="W68" s="62">
        <v>1837.8400000000001</v>
      </c>
      <c r="X68" s="62">
        <v>1466.08</v>
      </c>
      <c r="Y68" s="62">
        <v>2312.56</v>
      </c>
      <c r="Z68" s="62">
        <v>1815.14</v>
      </c>
      <c r="AA68" s="62">
        <v>1125.75</v>
      </c>
      <c r="AB68" s="62">
        <v>2871.07</v>
      </c>
      <c r="AC68" s="100">
        <f t="shared" ref="AC68:AC131" si="56">SUM(Q68:AB68)</f>
        <v>75550.900000000009</v>
      </c>
      <c r="AE68" s="68">
        <f t="shared" si="41"/>
        <v>0.17914449037348382</v>
      </c>
      <c r="AF68" s="68">
        <f t="shared" si="42"/>
        <v>0.37898423306121998</v>
      </c>
      <c r="AG68" s="68">
        <f t="shared" si="43"/>
        <v>0.5599583536968219</v>
      </c>
      <c r="AH68" s="68">
        <f t="shared" si="44"/>
        <v>0.65328710117850552</v>
      </c>
      <c r="AI68" s="68">
        <f t="shared" si="45"/>
        <v>0.76447875476882854</v>
      </c>
      <c r="AJ68" s="68">
        <f t="shared" si="46"/>
        <v>0.87684162081912764</v>
      </c>
      <c r="AK68" s="68">
        <f t="shared" si="47"/>
        <v>0.90420068881184323</v>
      </c>
      <c r="AL68" s="68">
        <f t="shared" si="48"/>
        <v>0.92324977686486542</v>
      </c>
      <c r="AM68" s="68">
        <f t="shared" si="49"/>
        <v>0.94099903464788959</v>
      </c>
      <c r="AN68" s="68">
        <f t="shared" si="50"/>
        <v>0.96727167734030828</v>
      </c>
      <c r="AO68" s="68">
        <f t="shared" si="51"/>
        <v>0.99060335524825938</v>
      </c>
      <c r="AP68" s="68">
        <f t="shared" si="52"/>
        <v>1</v>
      </c>
      <c r="AQ68" s="92"/>
      <c r="AT68" s="68">
        <f t="shared" ref="AT68:AT131" si="57">Q68/AC68</f>
        <v>0.20306071800600656</v>
      </c>
      <c r="AU68" s="68">
        <f t="shared" ref="AU68:AU131" si="58">SUM(Q68:R68)/$AC68</f>
        <v>0.46711051754512517</v>
      </c>
      <c r="AV68" s="68">
        <f t="shared" ref="AV68:AV131" si="59">SUM(Q68:S68)/$AC68</f>
        <v>0.54776501669735234</v>
      </c>
      <c r="AW68" s="68">
        <f t="shared" ref="AW68:AW131" si="60">SUM(Q68:T68)/$AC68</f>
        <v>0.63714118561128974</v>
      </c>
      <c r="AX68" s="68">
        <f t="shared" ref="AX68:AX131" si="61">SUM(Q68:U68)/$AC68</f>
        <v>0.73492969640335182</v>
      </c>
      <c r="AY68" s="68">
        <f t="shared" ref="AY68:AY131" si="62">SUM(Q68:V68)/$AC68</f>
        <v>0.84873191451061458</v>
      </c>
      <c r="AZ68" s="68">
        <f t="shared" ref="AZ68:AZ131" si="63">SUM(Q68:W68)/$AC68</f>
        <v>0.87305776635354437</v>
      </c>
      <c r="BA68" s="68">
        <f t="shared" ref="BA68:BA131" si="64">SUM(Q68:X68)/$AC68</f>
        <v>0.89246296205604425</v>
      </c>
      <c r="BB68" s="68">
        <f t="shared" ref="BB68:BB131" si="65">SUM(Q68:Y68)/$AC68</f>
        <v>0.92307225989366104</v>
      </c>
      <c r="BC68" s="68">
        <f t="shared" ref="BC68:BC131" si="66">SUM(Q68:Z68)/$AC68</f>
        <v>0.94709765204650098</v>
      </c>
      <c r="BD68" s="68">
        <f t="shared" ref="BD68:BD131" si="67">SUM(Q68:AA68)/$AC68</f>
        <v>0.9619982025363033</v>
      </c>
      <c r="BE68" s="68">
        <f t="shared" ref="BE68:BE131" si="68">SUM(Q68:AB68)/$AC68</f>
        <v>1</v>
      </c>
      <c r="BG68" s="68">
        <f t="shared" si="55"/>
        <v>0.19110260418974517</v>
      </c>
      <c r="BH68" s="68">
        <f t="shared" si="55"/>
        <v>0.4230473753031726</v>
      </c>
      <c r="BI68" s="68">
        <f t="shared" si="55"/>
        <v>0.55386168519708712</v>
      </c>
      <c r="BJ68" s="68">
        <f t="shared" si="53"/>
        <v>0.64521414339489769</v>
      </c>
      <c r="BK68" s="68">
        <f t="shared" si="53"/>
        <v>0.74970422558609018</v>
      </c>
      <c r="BL68" s="68">
        <f t="shared" si="53"/>
        <v>0.86278676766487106</v>
      </c>
      <c r="BM68" s="68">
        <f t="shared" si="53"/>
        <v>0.8886292275826938</v>
      </c>
      <c r="BN68" s="68">
        <f t="shared" si="53"/>
        <v>0.90785636946045489</v>
      </c>
      <c r="BO68" s="68">
        <f t="shared" si="53"/>
        <v>0.93203564727077537</v>
      </c>
      <c r="BP68" s="68">
        <f t="shared" si="53"/>
        <v>0.95718466469340457</v>
      </c>
      <c r="BQ68" s="68">
        <f t="shared" si="53"/>
        <v>0.97630077889228128</v>
      </c>
      <c r="BR68" s="68">
        <f t="shared" si="53"/>
        <v>1</v>
      </c>
    </row>
    <row r="69" spans="1:70">
      <c r="A69" s="131" t="s">
        <v>125</v>
      </c>
      <c r="B69" s="62">
        <v>12597.15</v>
      </c>
      <c r="C69" s="62">
        <v>32040.05</v>
      </c>
      <c r="D69" s="62">
        <v>16081.57</v>
      </c>
      <c r="E69" s="62">
        <v>17107.72</v>
      </c>
      <c r="F69" s="62">
        <v>15112</v>
      </c>
      <c r="G69" s="62">
        <v>19408.919999999998</v>
      </c>
      <c r="H69" s="62">
        <v>9781.57</v>
      </c>
      <c r="I69" s="62">
        <v>4087.9</v>
      </c>
      <c r="J69" s="62">
        <v>3193.77</v>
      </c>
      <c r="K69" s="62">
        <v>2953.6</v>
      </c>
      <c r="L69" s="62">
        <v>2473.17</v>
      </c>
      <c r="M69" s="62">
        <v>1583.54</v>
      </c>
      <c r="N69" s="100">
        <f t="shared" si="54"/>
        <v>136420.96</v>
      </c>
      <c r="P69" s="131" t="s">
        <v>125</v>
      </c>
      <c r="Q69" s="62">
        <v>7738.6900000000005</v>
      </c>
      <c r="R69" s="62">
        <v>37788.32</v>
      </c>
      <c r="S69" s="62">
        <v>12685.380000000001</v>
      </c>
      <c r="T69" s="62">
        <v>13549.58</v>
      </c>
      <c r="U69" s="62">
        <v>9271.4500000000007</v>
      </c>
      <c r="V69" s="62">
        <v>14722.02</v>
      </c>
      <c r="W69" s="62">
        <v>5079.4400000000005</v>
      </c>
      <c r="X69" s="62">
        <v>5508.68</v>
      </c>
      <c r="Y69" s="62">
        <v>5535.52</v>
      </c>
      <c r="Z69" s="62">
        <v>3831.01</v>
      </c>
      <c r="AA69" s="62">
        <v>2068.23</v>
      </c>
      <c r="AB69" s="62">
        <v>5960.33</v>
      </c>
      <c r="AC69" s="100">
        <f t="shared" si="56"/>
        <v>123738.65</v>
      </c>
      <c r="AE69" s="68">
        <f t="shared" si="41"/>
        <v>9.23402826075993E-2</v>
      </c>
      <c r="AF69" s="68">
        <f t="shared" si="42"/>
        <v>0.32720191970500723</v>
      </c>
      <c r="AG69" s="68">
        <f t="shared" si="43"/>
        <v>0.4450838786063373</v>
      </c>
      <c r="AH69" s="68">
        <f t="shared" si="44"/>
        <v>0.57048777548552654</v>
      </c>
      <c r="AI69" s="68">
        <f t="shared" si="45"/>
        <v>0.68126254206098535</v>
      </c>
      <c r="AJ69" s="68">
        <f t="shared" si="46"/>
        <v>0.82353481459154076</v>
      </c>
      <c r="AK69" s="68">
        <f t="shared" si="47"/>
        <v>0.8952361865801266</v>
      </c>
      <c r="AL69" s="68">
        <f t="shared" si="48"/>
        <v>0.92520152328498484</v>
      </c>
      <c r="AM69" s="68">
        <f t="shared" si="49"/>
        <v>0.94861266186662219</v>
      </c>
      <c r="AN69" s="68">
        <f t="shared" si="50"/>
        <v>0.97026329385161914</v>
      </c>
      <c r="AO69" s="68">
        <f t="shared" si="51"/>
        <v>0.98839225292066546</v>
      </c>
      <c r="AP69" s="68">
        <f t="shared" si="52"/>
        <v>1</v>
      </c>
      <c r="AQ69" s="92"/>
      <c r="AT69" s="68">
        <f t="shared" si="57"/>
        <v>6.2540604734252395E-2</v>
      </c>
      <c r="AU69" s="68">
        <f t="shared" si="58"/>
        <v>0.36792877568972998</v>
      </c>
      <c r="AV69" s="68">
        <f t="shared" si="59"/>
        <v>0.47044629951918826</v>
      </c>
      <c r="AW69" s="68">
        <f t="shared" si="60"/>
        <v>0.57994789825167803</v>
      </c>
      <c r="AX69" s="68">
        <f t="shared" si="61"/>
        <v>0.65487557848740063</v>
      </c>
      <c r="AY69" s="68">
        <f t="shared" si="62"/>
        <v>0.77385230887843048</v>
      </c>
      <c r="AZ69" s="68">
        <f t="shared" si="63"/>
        <v>0.8149020536428998</v>
      </c>
      <c r="BA69" s="68">
        <f t="shared" si="64"/>
        <v>0.8594207226278936</v>
      </c>
      <c r="BB69" s="68">
        <f t="shared" si="65"/>
        <v>0.90415630039603634</v>
      </c>
      <c r="BC69" s="68">
        <f t="shared" si="66"/>
        <v>0.93511679657083702</v>
      </c>
      <c r="BD69" s="68">
        <f t="shared" si="67"/>
        <v>0.95183129927472132</v>
      </c>
      <c r="BE69" s="68">
        <f t="shared" si="68"/>
        <v>1</v>
      </c>
      <c r="BG69" s="68">
        <f t="shared" si="55"/>
        <v>7.744044367092584E-2</v>
      </c>
      <c r="BH69" s="68">
        <f t="shared" si="55"/>
        <v>0.34756534769736858</v>
      </c>
      <c r="BI69" s="68">
        <f t="shared" si="55"/>
        <v>0.45776508906276281</v>
      </c>
      <c r="BJ69" s="68">
        <f t="shared" si="53"/>
        <v>0.57521783686860228</v>
      </c>
      <c r="BK69" s="68">
        <f t="shared" si="53"/>
        <v>0.66806906027419299</v>
      </c>
      <c r="BL69" s="68">
        <f t="shared" si="53"/>
        <v>0.79869356173498562</v>
      </c>
      <c r="BM69" s="68">
        <f t="shared" si="53"/>
        <v>0.85506912011151326</v>
      </c>
      <c r="BN69" s="68">
        <f t="shared" si="53"/>
        <v>0.89231112295643922</v>
      </c>
      <c r="BO69" s="68">
        <f t="shared" si="53"/>
        <v>0.92638448113132932</v>
      </c>
      <c r="BP69" s="68">
        <f t="shared" si="53"/>
        <v>0.95269004521122813</v>
      </c>
      <c r="BQ69" s="68">
        <f t="shared" si="53"/>
        <v>0.97011177609769339</v>
      </c>
      <c r="BR69" s="68">
        <f t="shared" si="53"/>
        <v>1</v>
      </c>
    </row>
    <row r="70" spans="1:70">
      <c r="A70" s="131" t="s">
        <v>126</v>
      </c>
      <c r="B70" s="62">
        <v>9341.14</v>
      </c>
      <c r="C70" s="62">
        <v>17058.71</v>
      </c>
      <c r="D70" s="62">
        <v>13698.14</v>
      </c>
      <c r="E70" s="62">
        <v>9628.14</v>
      </c>
      <c r="F70" s="62">
        <v>12302.95</v>
      </c>
      <c r="G70" s="62">
        <v>15558.27</v>
      </c>
      <c r="H70" s="62">
        <v>3067.05</v>
      </c>
      <c r="I70" s="62">
        <v>9330.14</v>
      </c>
      <c r="J70" s="62">
        <v>9866</v>
      </c>
      <c r="K70" s="62">
        <v>4264.29</v>
      </c>
      <c r="L70" s="62">
        <v>6658.88</v>
      </c>
      <c r="M70" s="62">
        <v>5429.69</v>
      </c>
      <c r="N70" s="100">
        <f t="shared" si="54"/>
        <v>116203.40000000001</v>
      </c>
      <c r="P70" s="131" t="s">
        <v>126</v>
      </c>
      <c r="Q70" s="62">
        <v>8126.2000000000007</v>
      </c>
      <c r="R70" s="62">
        <v>23106.539999999997</v>
      </c>
      <c r="S70" s="62">
        <v>7863.66</v>
      </c>
      <c r="T70" s="62">
        <v>6202.33</v>
      </c>
      <c r="U70" s="62">
        <v>6735.2199999999993</v>
      </c>
      <c r="V70" s="62">
        <v>8698.18</v>
      </c>
      <c r="W70" s="62">
        <v>4857.26</v>
      </c>
      <c r="X70" s="62">
        <v>4642.57</v>
      </c>
      <c r="Y70" s="62">
        <v>9058.2800000000007</v>
      </c>
      <c r="Z70" s="62">
        <v>8150.6900000000005</v>
      </c>
      <c r="AA70" s="62">
        <v>6738.7300000000005</v>
      </c>
      <c r="AB70" s="62">
        <v>3368.4399999999996</v>
      </c>
      <c r="AC70" s="100">
        <f t="shared" si="56"/>
        <v>97548.099999999991</v>
      </c>
      <c r="AE70" s="68">
        <f t="shared" si="41"/>
        <v>8.0386116068892982E-2</v>
      </c>
      <c r="AF70" s="68">
        <f t="shared" si="42"/>
        <v>0.22718655392183015</v>
      </c>
      <c r="AG70" s="68">
        <f t="shared" si="43"/>
        <v>0.34506726997660991</v>
      </c>
      <c r="AH70" s="68">
        <f t="shared" si="44"/>
        <v>0.42792319329727008</v>
      </c>
      <c r="AI70" s="68">
        <f t="shared" si="45"/>
        <v>0.53379746203639478</v>
      </c>
      <c r="AJ70" s="68">
        <f t="shared" si="46"/>
        <v>0.6676857131546925</v>
      </c>
      <c r="AK70" s="68">
        <f t="shared" si="47"/>
        <v>0.69407951918790678</v>
      </c>
      <c r="AL70" s="68">
        <f t="shared" si="48"/>
        <v>0.77437097365481566</v>
      </c>
      <c r="AM70" s="68">
        <f t="shared" si="49"/>
        <v>0.85927382503437932</v>
      </c>
      <c r="AN70" s="68">
        <f t="shared" si="50"/>
        <v>0.89597059982754368</v>
      </c>
      <c r="AO70" s="68">
        <f t="shared" si="51"/>
        <v>0.95327425875662841</v>
      </c>
      <c r="AP70" s="68">
        <f t="shared" si="52"/>
        <v>1</v>
      </c>
      <c r="AQ70" s="92"/>
      <c r="AT70" s="68">
        <f t="shared" si="57"/>
        <v>8.3304544117209889E-2</v>
      </c>
      <c r="AU70" s="68">
        <f t="shared" si="58"/>
        <v>0.32017784047049608</v>
      </c>
      <c r="AV70" s="68">
        <f t="shared" si="59"/>
        <v>0.4007909943914848</v>
      </c>
      <c r="AW70" s="68">
        <f t="shared" si="60"/>
        <v>0.4643732681620657</v>
      </c>
      <c r="AX70" s="68">
        <f t="shared" si="61"/>
        <v>0.53341838539141206</v>
      </c>
      <c r="AY70" s="68">
        <f t="shared" si="62"/>
        <v>0.62258649835312019</v>
      </c>
      <c r="AZ70" s="68">
        <f t="shared" si="63"/>
        <v>0.67237998484850048</v>
      </c>
      <c r="BA70" s="68">
        <f t="shared" si="64"/>
        <v>0.71997260838499155</v>
      </c>
      <c r="BB70" s="68">
        <f t="shared" si="65"/>
        <v>0.81283223353402068</v>
      </c>
      <c r="BC70" s="68">
        <f t="shared" si="66"/>
        <v>0.89638783328429772</v>
      </c>
      <c r="BD70" s="68">
        <f t="shared" si="67"/>
        <v>0.96546893276240131</v>
      </c>
      <c r="BE70" s="68">
        <f t="shared" si="68"/>
        <v>1</v>
      </c>
      <c r="BG70" s="68">
        <f t="shared" si="55"/>
        <v>8.1845330093051435E-2</v>
      </c>
      <c r="BH70" s="68">
        <f t="shared" si="55"/>
        <v>0.2736821971961631</v>
      </c>
      <c r="BI70" s="68">
        <f t="shared" si="55"/>
        <v>0.37292913218404733</v>
      </c>
      <c r="BJ70" s="68">
        <f t="shared" si="53"/>
        <v>0.44614823072966792</v>
      </c>
      <c r="BK70" s="68">
        <f t="shared" si="53"/>
        <v>0.53360792371390342</v>
      </c>
      <c r="BL70" s="68">
        <f t="shared" si="53"/>
        <v>0.64513610575390634</v>
      </c>
      <c r="BM70" s="68">
        <f t="shared" si="53"/>
        <v>0.68322975201820357</v>
      </c>
      <c r="BN70" s="68">
        <f t="shared" si="53"/>
        <v>0.74717179101990361</v>
      </c>
      <c r="BO70" s="68">
        <f t="shared" si="53"/>
        <v>0.8360530292842</v>
      </c>
      <c r="BP70" s="68">
        <f t="shared" si="53"/>
        <v>0.8961792165559207</v>
      </c>
      <c r="BQ70" s="68">
        <f t="shared" si="53"/>
        <v>0.95937159575951481</v>
      </c>
      <c r="BR70" s="68">
        <f t="shared" si="53"/>
        <v>1</v>
      </c>
    </row>
    <row r="71" spans="1:70">
      <c r="A71" s="131" t="s">
        <v>127</v>
      </c>
      <c r="B71" s="62">
        <v>12561.59</v>
      </c>
      <c r="C71" s="62">
        <v>26019.52</v>
      </c>
      <c r="D71" s="62">
        <v>20001.97</v>
      </c>
      <c r="E71" s="62">
        <v>14815.47</v>
      </c>
      <c r="F71" s="62">
        <v>18147.080000000002</v>
      </c>
      <c r="G71" s="62">
        <v>20659.490000000002</v>
      </c>
      <c r="H71" s="62">
        <v>6948.07</v>
      </c>
      <c r="I71" s="62">
        <v>4059.7</v>
      </c>
      <c r="J71" s="62">
        <v>1983.88</v>
      </c>
      <c r="K71" s="62">
        <v>4154.5600000000004</v>
      </c>
      <c r="L71" s="62">
        <v>5742.6</v>
      </c>
      <c r="M71" s="62">
        <v>5186.57</v>
      </c>
      <c r="N71" s="100">
        <f t="shared" si="54"/>
        <v>140280.5</v>
      </c>
      <c r="P71" s="131" t="s">
        <v>127</v>
      </c>
      <c r="Q71" s="62">
        <v>10687.47</v>
      </c>
      <c r="R71" s="62">
        <v>42059.1</v>
      </c>
      <c r="S71" s="62">
        <v>10780.37</v>
      </c>
      <c r="T71" s="62">
        <v>8245.15</v>
      </c>
      <c r="U71" s="62">
        <v>13248.39</v>
      </c>
      <c r="V71" s="62">
        <v>16063.779999999999</v>
      </c>
      <c r="W71" s="62">
        <v>7785.93</v>
      </c>
      <c r="X71" s="62">
        <v>4649.5599999999995</v>
      </c>
      <c r="Y71" s="62">
        <v>4497.67</v>
      </c>
      <c r="Z71" s="62">
        <v>2933.2000000000003</v>
      </c>
      <c r="AA71" s="62">
        <v>1939.79</v>
      </c>
      <c r="AB71" s="62">
        <v>2569.12</v>
      </c>
      <c r="AC71" s="100">
        <f t="shared" si="56"/>
        <v>125459.52999999998</v>
      </c>
      <c r="AE71" s="68">
        <f t="shared" si="41"/>
        <v>8.9546230588000472E-2</v>
      </c>
      <c r="AF71" s="68">
        <f t="shared" si="42"/>
        <v>0.2750283182623387</v>
      </c>
      <c r="AG71" s="68">
        <f t="shared" si="43"/>
        <v>0.41761385224603564</v>
      </c>
      <c r="AH71" s="68">
        <f t="shared" si="44"/>
        <v>0.52322703440606499</v>
      </c>
      <c r="AI71" s="68">
        <f t="shared" si="45"/>
        <v>0.65258984677129039</v>
      </c>
      <c r="AJ71" s="68">
        <f t="shared" si="46"/>
        <v>0.79986256108297316</v>
      </c>
      <c r="AK71" s="68">
        <f t="shared" si="47"/>
        <v>0.84939239594954397</v>
      </c>
      <c r="AL71" s="68">
        <f t="shared" si="48"/>
        <v>0.87833226998763192</v>
      </c>
      <c r="AM71" s="68">
        <f t="shared" si="49"/>
        <v>0.89247450643532067</v>
      </c>
      <c r="AN71" s="68">
        <f t="shared" si="50"/>
        <v>0.92209059705376017</v>
      </c>
      <c r="AO71" s="68">
        <f t="shared" si="51"/>
        <v>0.96302714917611498</v>
      </c>
      <c r="AP71" s="68">
        <f t="shared" si="52"/>
        <v>1</v>
      </c>
      <c r="AQ71" s="92"/>
      <c r="AT71" s="68">
        <f t="shared" si="57"/>
        <v>8.5186593637007896E-2</v>
      </c>
      <c r="AU71" s="68">
        <f t="shared" si="58"/>
        <v>0.42042696955743425</v>
      </c>
      <c r="AV71" s="68">
        <f t="shared" si="59"/>
        <v>0.50635404102023984</v>
      </c>
      <c r="AW71" s="68">
        <f t="shared" si="60"/>
        <v>0.57207364000168026</v>
      </c>
      <c r="AX71" s="68">
        <f t="shared" si="61"/>
        <v>0.67767255305356244</v>
      </c>
      <c r="AY71" s="68">
        <f t="shared" si="62"/>
        <v>0.8057120889899716</v>
      </c>
      <c r="AZ71" s="68">
        <f t="shared" si="63"/>
        <v>0.86777138412681776</v>
      </c>
      <c r="BA71" s="68">
        <f t="shared" si="64"/>
        <v>0.90483162179867893</v>
      </c>
      <c r="BB71" s="68">
        <f t="shared" si="65"/>
        <v>0.94068119018140761</v>
      </c>
      <c r="BC71" s="68">
        <f t="shared" si="66"/>
        <v>0.96406084097397793</v>
      </c>
      <c r="BD71" s="68">
        <f t="shared" si="67"/>
        <v>0.97952232086315005</v>
      </c>
      <c r="BE71" s="68">
        <f t="shared" si="68"/>
        <v>1</v>
      </c>
      <c r="BG71" s="68">
        <f t="shared" si="55"/>
        <v>8.7366412112504177E-2</v>
      </c>
      <c r="BH71" s="68">
        <f t="shared" si="55"/>
        <v>0.34772764390988647</v>
      </c>
      <c r="BI71" s="68">
        <f t="shared" si="55"/>
        <v>0.46198394663313774</v>
      </c>
      <c r="BJ71" s="68">
        <f t="shared" si="53"/>
        <v>0.54765033720387257</v>
      </c>
      <c r="BK71" s="68">
        <f t="shared" si="53"/>
        <v>0.66513119991242642</v>
      </c>
      <c r="BL71" s="68">
        <f t="shared" si="53"/>
        <v>0.80278732503647232</v>
      </c>
      <c r="BM71" s="68">
        <f t="shared" si="53"/>
        <v>0.85858189003818086</v>
      </c>
      <c r="BN71" s="68">
        <f t="shared" si="53"/>
        <v>0.89158194589315543</v>
      </c>
      <c r="BO71" s="68">
        <f t="shared" si="53"/>
        <v>0.9165778483083642</v>
      </c>
      <c r="BP71" s="68">
        <f t="shared" si="53"/>
        <v>0.943075719013869</v>
      </c>
      <c r="BQ71" s="68">
        <f t="shared" si="53"/>
        <v>0.97127473501963246</v>
      </c>
      <c r="BR71" s="68">
        <f t="shared" si="53"/>
        <v>1</v>
      </c>
    </row>
    <row r="72" spans="1:70">
      <c r="A72" s="131" t="s">
        <v>128</v>
      </c>
      <c r="B72" s="62">
        <v>4950.79</v>
      </c>
      <c r="C72" s="62">
        <v>8055.64</v>
      </c>
      <c r="D72" s="62">
        <v>5217.68</v>
      </c>
      <c r="E72" s="62">
        <v>5324.46</v>
      </c>
      <c r="F72" s="62">
        <v>6013.92</v>
      </c>
      <c r="G72" s="62">
        <v>3576.34</v>
      </c>
      <c r="H72" s="62">
        <v>1485.71</v>
      </c>
      <c r="I72" s="62">
        <v>1636.92</v>
      </c>
      <c r="J72" s="62">
        <v>2019.46</v>
      </c>
      <c r="K72" s="62">
        <v>1565.76</v>
      </c>
      <c r="L72" s="62">
        <v>685.01</v>
      </c>
      <c r="M72" s="62">
        <v>1174.3399999999999</v>
      </c>
      <c r="N72" s="100">
        <f t="shared" si="54"/>
        <v>41706.03</v>
      </c>
      <c r="P72" s="131" t="s">
        <v>128</v>
      </c>
      <c r="Q72" s="62">
        <v>8452.6299999999992</v>
      </c>
      <c r="R72" s="62">
        <v>7927.32</v>
      </c>
      <c r="S72" s="62">
        <v>6726.71</v>
      </c>
      <c r="T72" s="62">
        <v>1728.33</v>
      </c>
      <c r="U72" s="62">
        <v>3574.4100000000003</v>
      </c>
      <c r="V72" s="62">
        <v>4671.26</v>
      </c>
      <c r="W72" s="62">
        <v>2042.0400000000002</v>
      </c>
      <c r="X72" s="62">
        <v>1469.3</v>
      </c>
      <c r="Y72" s="62">
        <v>2387.11</v>
      </c>
      <c r="Z72" s="62">
        <v>1610.46</v>
      </c>
      <c r="AA72" s="62">
        <v>790.13</v>
      </c>
      <c r="AB72" s="62">
        <v>366.51</v>
      </c>
      <c r="AC72" s="100">
        <f t="shared" si="56"/>
        <v>41746.21</v>
      </c>
      <c r="AE72" s="68">
        <f t="shared" si="41"/>
        <v>0.1187068152974522</v>
      </c>
      <c r="AF72" s="68">
        <f t="shared" si="42"/>
        <v>0.3118596999043064</v>
      </c>
      <c r="AG72" s="68">
        <f t="shared" si="43"/>
        <v>0.43696582964142117</v>
      </c>
      <c r="AH72" s="68">
        <f t="shared" si="44"/>
        <v>0.56463226061075578</v>
      </c>
      <c r="AI72" s="68">
        <f t="shared" si="45"/>
        <v>0.70883011401468798</v>
      </c>
      <c r="AJ72" s="68">
        <f t="shared" si="46"/>
        <v>0.7945812631890401</v>
      </c>
      <c r="AK72" s="68">
        <f t="shared" si="47"/>
        <v>0.83020464906393632</v>
      </c>
      <c r="AL72" s="68">
        <f t="shared" si="48"/>
        <v>0.86945364974801009</v>
      </c>
      <c r="AM72" s="68">
        <f t="shared" si="49"/>
        <v>0.9178749451817878</v>
      </c>
      <c r="AN72" s="68">
        <f t="shared" si="50"/>
        <v>0.95541771777366491</v>
      </c>
      <c r="AO72" s="68">
        <f t="shared" si="51"/>
        <v>0.97184244100912998</v>
      </c>
      <c r="AP72" s="68">
        <f t="shared" si="52"/>
        <v>1</v>
      </c>
      <c r="AQ72" s="92"/>
      <c r="AT72" s="68">
        <f t="shared" si="57"/>
        <v>0.20247658410188613</v>
      </c>
      <c r="AU72" s="68">
        <f t="shared" si="58"/>
        <v>0.39236975045159789</v>
      </c>
      <c r="AV72" s="68">
        <f t="shared" si="59"/>
        <v>0.55350318028870171</v>
      </c>
      <c r="AW72" s="68">
        <f t="shared" si="60"/>
        <v>0.59490406434500276</v>
      </c>
      <c r="AX72" s="68">
        <f t="shared" si="61"/>
        <v>0.68052644779011073</v>
      </c>
      <c r="AY72" s="68">
        <f t="shared" si="62"/>
        <v>0.79242307265737411</v>
      </c>
      <c r="AZ72" s="68">
        <f t="shared" si="63"/>
        <v>0.84133865086195847</v>
      </c>
      <c r="BA72" s="68">
        <f t="shared" si="64"/>
        <v>0.8765346602721541</v>
      </c>
      <c r="BB72" s="68">
        <f t="shared" si="65"/>
        <v>0.93371613854287616</v>
      </c>
      <c r="BC72" s="68">
        <f t="shared" si="66"/>
        <v>0.97229353275423092</v>
      </c>
      <c r="BD72" s="68">
        <f t="shared" si="67"/>
        <v>0.99122052037777797</v>
      </c>
      <c r="BE72" s="68">
        <f t="shared" si="68"/>
        <v>1</v>
      </c>
      <c r="BG72" s="68">
        <f t="shared" si="55"/>
        <v>0.16059169969966916</v>
      </c>
      <c r="BH72" s="68">
        <f t="shared" si="55"/>
        <v>0.35211472517795217</v>
      </c>
      <c r="BI72" s="68">
        <f t="shared" si="55"/>
        <v>0.49523450496506144</v>
      </c>
      <c r="BJ72" s="68">
        <f t="shared" si="53"/>
        <v>0.57976816247787921</v>
      </c>
      <c r="BK72" s="68">
        <f t="shared" si="53"/>
        <v>0.69467828090239936</v>
      </c>
      <c r="BL72" s="68">
        <f t="shared" si="53"/>
        <v>0.79350216792320705</v>
      </c>
      <c r="BM72" s="68">
        <f t="shared" si="53"/>
        <v>0.83577164996294739</v>
      </c>
      <c r="BN72" s="68">
        <f t="shared" si="53"/>
        <v>0.87299415501008215</v>
      </c>
      <c r="BO72" s="68">
        <f t="shared" si="53"/>
        <v>0.92579554186233204</v>
      </c>
      <c r="BP72" s="68">
        <f t="shared" si="53"/>
        <v>0.96385562526394786</v>
      </c>
      <c r="BQ72" s="68">
        <f t="shared" si="53"/>
        <v>0.98153148069345397</v>
      </c>
      <c r="BR72" s="68">
        <f t="shared" si="53"/>
        <v>1</v>
      </c>
    </row>
    <row r="73" spans="1:70">
      <c r="A73" s="131" t="s">
        <v>129</v>
      </c>
      <c r="B73" s="62">
        <v>10497.66</v>
      </c>
      <c r="C73" s="62">
        <v>15432.49</v>
      </c>
      <c r="D73" s="62">
        <v>15472.38</v>
      </c>
      <c r="E73" s="62">
        <v>9173.61</v>
      </c>
      <c r="F73" s="62">
        <v>10865.020000000002</v>
      </c>
      <c r="G73" s="62">
        <v>12588.37</v>
      </c>
      <c r="H73" s="62">
        <v>3106.6200000000003</v>
      </c>
      <c r="I73" s="62">
        <v>3414.43</v>
      </c>
      <c r="J73" s="62">
        <v>5111.8599999999997</v>
      </c>
      <c r="K73" s="62">
        <v>3416.24</v>
      </c>
      <c r="L73" s="62">
        <v>1799.28</v>
      </c>
      <c r="M73" s="62">
        <v>1876.1</v>
      </c>
      <c r="N73" s="100">
        <f t="shared" si="54"/>
        <v>92754.06</v>
      </c>
      <c r="P73" s="131" t="s">
        <v>129</v>
      </c>
      <c r="Q73" s="62">
        <v>7971.72</v>
      </c>
      <c r="R73" s="62">
        <v>16915.84</v>
      </c>
      <c r="S73" s="62">
        <v>11551.61</v>
      </c>
      <c r="T73" s="62">
        <v>7325.09</v>
      </c>
      <c r="U73" s="62">
        <v>11655.099999999999</v>
      </c>
      <c r="V73" s="62">
        <v>10958.039999999999</v>
      </c>
      <c r="W73" s="62">
        <v>4707.17</v>
      </c>
      <c r="X73" s="62">
        <v>3435.24</v>
      </c>
      <c r="Y73" s="62">
        <v>3875.21</v>
      </c>
      <c r="Z73" s="62">
        <v>3179.24</v>
      </c>
      <c r="AA73" s="62">
        <v>951.22</v>
      </c>
      <c r="AB73" s="62">
        <v>994.82</v>
      </c>
      <c r="AC73" s="100">
        <f t="shared" si="56"/>
        <v>83520.300000000017</v>
      </c>
      <c r="AE73" s="68">
        <f t="shared" si="41"/>
        <v>0.11317736388035197</v>
      </c>
      <c r="AF73" s="68">
        <f t="shared" si="42"/>
        <v>0.27955811314351092</v>
      </c>
      <c r="AG73" s="68">
        <f t="shared" si="43"/>
        <v>0.44636892444384646</v>
      </c>
      <c r="AH73" s="68">
        <f t="shared" si="44"/>
        <v>0.54527144148730522</v>
      </c>
      <c r="AI73" s="68">
        <f t="shared" si="45"/>
        <v>0.66240938671579452</v>
      </c>
      <c r="AJ73" s="68">
        <f t="shared" si="46"/>
        <v>0.79812711163263361</v>
      </c>
      <c r="AK73" s="68">
        <f t="shared" si="47"/>
        <v>0.83162020077611698</v>
      </c>
      <c r="AL73" s="68">
        <f t="shared" si="48"/>
        <v>0.8684318508537523</v>
      </c>
      <c r="AM73" s="68">
        <f t="shared" si="49"/>
        <v>0.92354383193576639</v>
      </c>
      <c r="AN73" s="68">
        <f t="shared" si="50"/>
        <v>0.96037499598400322</v>
      </c>
      <c r="AO73" s="68">
        <f t="shared" si="51"/>
        <v>0.9797733921296814</v>
      </c>
      <c r="AP73" s="68">
        <f t="shared" si="52"/>
        <v>1</v>
      </c>
      <c r="AQ73" s="92"/>
      <c r="AT73" s="68">
        <f t="shared" si="57"/>
        <v>9.5446496241033602E-2</v>
      </c>
      <c r="AU73" s="68">
        <f t="shared" si="58"/>
        <v>0.29798216720964837</v>
      </c>
      <c r="AV73" s="68">
        <f t="shared" si="59"/>
        <v>0.43629117711502463</v>
      </c>
      <c r="AW73" s="68">
        <f t="shared" si="60"/>
        <v>0.52399548373269711</v>
      </c>
      <c r="AX73" s="68">
        <f t="shared" si="61"/>
        <v>0.66354359359341364</v>
      </c>
      <c r="AY73" s="68">
        <f t="shared" si="62"/>
        <v>0.79474570852834558</v>
      </c>
      <c r="AZ73" s="68">
        <f t="shared" si="63"/>
        <v>0.85110530014858632</v>
      </c>
      <c r="BA73" s="68">
        <f t="shared" si="64"/>
        <v>0.89223589953580129</v>
      </c>
      <c r="BB73" s="68">
        <f t="shared" si="65"/>
        <v>0.93863432003955904</v>
      </c>
      <c r="BC73" s="68">
        <f t="shared" si="66"/>
        <v>0.97669979633693838</v>
      </c>
      <c r="BD73" s="68">
        <f t="shared" si="67"/>
        <v>0.98808888378035031</v>
      </c>
      <c r="BE73" s="68">
        <f t="shared" si="68"/>
        <v>1</v>
      </c>
      <c r="BG73" s="68">
        <f t="shared" si="55"/>
        <v>0.10431193006069278</v>
      </c>
      <c r="BH73" s="68">
        <f t="shared" si="55"/>
        <v>0.28877014017657965</v>
      </c>
      <c r="BI73" s="68">
        <f t="shared" si="55"/>
        <v>0.44133005077943555</v>
      </c>
      <c r="BJ73" s="68">
        <f t="shared" si="53"/>
        <v>0.53463346261000111</v>
      </c>
      <c r="BK73" s="68">
        <f t="shared" si="53"/>
        <v>0.66297649015460403</v>
      </c>
      <c r="BL73" s="68">
        <f t="shared" si="53"/>
        <v>0.7964364100804896</v>
      </c>
      <c r="BM73" s="68">
        <f t="shared" si="53"/>
        <v>0.84136275046235165</v>
      </c>
      <c r="BN73" s="68">
        <f t="shared" si="53"/>
        <v>0.88033387519477679</v>
      </c>
      <c r="BO73" s="68">
        <f t="shared" si="53"/>
        <v>0.93108907598766266</v>
      </c>
      <c r="BP73" s="68">
        <f t="shared" si="53"/>
        <v>0.96853739616047085</v>
      </c>
      <c r="BQ73" s="68">
        <f t="shared" si="53"/>
        <v>0.98393113795501586</v>
      </c>
      <c r="BR73" s="68">
        <f t="shared" si="53"/>
        <v>1</v>
      </c>
    </row>
    <row r="74" spans="1:70">
      <c r="A74" s="131" t="s">
        <v>130</v>
      </c>
      <c r="B74" s="62">
        <v>13010.83</v>
      </c>
      <c r="C74" s="62">
        <v>25777.1</v>
      </c>
      <c r="D74" s="62">
        <v>17883.91</v>
      </c>
      <c r="E74" s="62">
        <v>13512.93</v>
      </c>
      <c r="F74" s="62">
        <v>11389.64</v>
      </c>
      <c r="G74" s="62">
        <v>14786.48</v>
      </c>
      <c r="H74" s="62">
        <v>5457.92</v>
      </c>
      <c r="I74" s="62">
        <v>5755.97</v>
      </c>
      <c r="J74" s="62">
        <v>2753.68</v>
      </c>
      <c r="K74" s="62">
        <v>3282.78</v>
      </c>
      <c r="L74" s="62">
        <v>4298.63</v>
      </c>
      <c r="M74" s="62">
        <v>2837.97</v>
      </c>
      <c r="N74" s="100">
        <f t="shared" si="54"/>
        <v>120747.83999999998</v>
      </c>
      <c r="P74" s="131" t="s">
        <v>130</v>
      </c>
      <c r="Q74" s="62">
        <v>17793.670000000002</v>
      </c>
      <c r="R74" s="62">
        <v>26223.61</v>
      </c>
      <c r="S74" s="62">
        <v>12611.77</v>
      </c>
      <c r="T74" s="62">
        <v>8479.7100000000009</v>
      </c>
      <c r="U74" s="62">
        <v>18583.870000000003</v>
      </c>
      <c r="V74" s="62">
        <v>13927.81</v>
      </c>
      <c r="W74" s="62">
        <v>3993.33</v>
      </c>
      <c r="X74" s="62">
        <v>5813.73</v>
      </c>
      <c r="Y74" s="62">
        <v>2734.91</v>
      </c>
      <c r="Z74" s="62">
        <v>3541.26</v>
      </c>
      <c r="AA74" s="62">
        <v>2178.1699999999996</v>
      </c>
      <c r="AB74" s="62">
        <v>2911.28</v>
      </c>
      <c r="AC74" s="100">
        <f t="shared" si="56"/>
        <v>118793.12</v>
      </c>
      <c r="AE74" s="68">
        <f t="shared" si="41"/>
        <v>0.10775207241802422</v>
      </c>
      <c r="AF74" s="68">
        <f t="shared" si="42"/>
        <v>0.32123083940880437</v>
      </c>
      <c r="AG74" s="68">
        <f t="shared" si="43"/>
        <v>0.46934040393600418</v>
      </c>
      <c r="AH74" s="68">
        <f t="shared" si="44"/>
        <v>0.58125072879150463</v>
      </c>
      <c r="AI74" s="68">
        <f t="shared" si="45"/>
        <v>0.67557655689741536</v>
      </c>
      <c r="AJ74" s="68">
        <f t="shared" si="46"/>
        <v>0.79803406835269264</v>
      </c>
      <c r="AK74" s="68">
        <f t="shared" si="47"/>
        <v>0.84323504254817305</v>
      </c>
      <c r="AL74" s="68">
        <f t="shared" si="48"/>
        <v>0.89090438387966198</v>
      </c>
      <c r="AM74" s="68">
        <f t="shared" si="49"/>
        <v>0.91370959513644301</v>
      </c>
      <c r="AN74" s="68">
        <f t="shared" si="50"/>
        <v>0.94089666531508964</v>
      </c>
      <c r="AO74" s="68">
        <f t="shared" si="51"/>
        <v>0.97649672242584218</v>
      </c>
      <c r="AP74" s="68">
        <f t="shared" si="52"/>
        <v>1</v>
      </c>
      <c r="AQ74" s="92"/>
      <c r="AT74" s="68">
        <f t="shared" si="57"/>
        <v>0.14978704153910599</v>
      </c>
      <c r="AU74" s="68">
        <f t="shared" si="58"/>
        <v>0.37053728364066874</v>
      </c>
      <c r="AV74" s="68">
        <f t="shared" si="59"/>
        <v>0.47670311209942129</v>
      </c>
      <c r="AW74" s="68">
        <f t="shared" si="60"/>
        <v>0.5480852763190327</v>
      </c>
      <c r="AX74" s="68">
        <f t="shared" si="61"/>
        <v>0.70452421823755451</v>
      </c>
      <c r="AY74" s="68">
        <f t="shared" si="62"/>
        <v>0.82176846605257958</v>
      </c>
      <c r="AZ74" s="68">
        <f t="shared" si="63"/>
        <v>0.85538430171713653</v>
      </c>
      <c r="BA74" s="68">
        <f t="shared" si="64"/>
        <v>0.90432425716236764</v>
      </c>
      <c r="BB74" s="68">
        <f t="shared" si="65"/>
        <v>0.92734671839581284</v>
      </c>
      <c r="BC74" s="68">
        <f t="shared" si="66"/>
        <v>0.95715703064285207</v>
      </c>
      <c r="BD74" s="68">
        <f t="shared" si="67"/>
        <v>0.97549285682537845</v>
      </c>
      <c r="BE74" s="68">
        <f t="shared" si="68"/>
        <v>1</v>
      </c>
      <c r="BG74" s="68">
        <f t="shared" si="55"/>
        <v>0.1287695569785651</v>
      </c>
      <c r="BH74" s="68">
        <f t="shared" si="55"/>
        <v>0.34588406152473655</v>
      </c>
      <c r="BI74" s="68">
        <f t="shared" si="55"/>
        <v>0.47302175801771273</v>
      </c>
      <c r="BJ74" s="68">
        <f t="shared" si="53"/>
        <v>0.56466800255526861</v>
      </c>
      <c r="BK74" s="68">
        <f t="shared" si="53"/>
        <v>0.69005038756748494</v>
      </c>
      <c r="BL74" s="68">
        <f t="shared" si="53"/>
        <v>0.80990126720263611</v>
      </c>
      <c r="BM74" s="68">
        <f t="shared" si="53"/>
        <v>0.84930967213265474</v>
      </c>
      <c r="BN74" s="68">
        <f t="shared" si="53"/>
        <v>0.89761432052101475</v>
      </c>
      <c r="BO74" s="68">
        <f t="shared" si="53"/>
        <v>0.92052815676612787</v>
      </c>
      <c r="BP74" s="68">
        <f t="shared" si="53"/>
        <v>0.94902684797897086</v>
      </c>
      <c r="BQ74" s="68">
        <f t="shared" si="53"/>
        <v>0.97599478962561026</v>
      </c>
      <c r="BR74" s="68">
        <f t="shared" si="53"/>
        <v>1</v>
      </c>
    </row>
    <row r="75" spans="1:70">
      <c r="A75" s="131" t="s">
        <v>131</v>
      </c>
      <c r="B75" s="62">
        <v>67318.34</v>
      </c>
      <c r="C75" s="62">
        <v>106195.41</v>
      </c>
      <c r="D75" s="62">
        <v>50423.25</v>
      </c>
      <c r="E75" s="62">
        <v>33295.199999999997</v>
      </c>
      <c r="F75" s="62">
        <v>47818.470000000008</v>
      </c>
      <c r="G75" s="62">
        <v>56628.4</v>
      </c>
      <c r="H75" s="62">
        <v>12405.030000000002</v>
      </c>
      <c r="I75" s="62">
        <v>11169.35</v>
      </c>
      <c r="J75" s="62">
        <v>6500.61</v>
      </c>
      <c r="K75" s="62">
        <v>17959.11</v>
      </c>
      <c r="L75" s="62">
        <v>10257.59</v>
      </c>
      <c r="M75" s="62">
        <v>7638.45</v>
      </c>
      <c r="N75" s="100">
        <f t="shared" si="54"/>
        <v>427609.21000000008</v>
      </c>
      <c r="P75" s="131" t="s">
        <v>131</v>
      </c>
      <c r="Q75" s="62">
        <v>169527.77000000002</v>
      </c>
      <c r="R75" s="62">
        <v>37580.47</v>
      </c>
      <c r="S75" s="62">
        <v>51354.91</v>
      </c>
      <c r="T75" s="62">
        <v>12797.39</v>
      </c>
      <c r="U75" s="62">
        <v>62949.75</v>
      </c>
      <c r="V75" s="62">
        <v>28211.32</v>
      </c>
      <c r="W75" s="62">
        <v>12360.48</v>
      </c>
      <c r="X75" s="62">
        <v>11648.35</v>
      </c>
      <c r="Y75" s="62">
        <v>8611.6</v>
      </c>
      <c r="Z75" s="62">
        <v>10068.469999999999</v>
      </c>
      <c r="AA75" s="62">
        <v>7859.0300000000007</v>
      </c>
      <c r="AB75" s="62">
        <v>7295.48</v>
      </c>
      <c r="AC75" s="100">
        <f t="shared" si="56"/>
        <v>420265.01999999996</v>
      </c>
      <c r="AE75" s="68">
        <f t="shared" si="41"/>
        <v>0.15742958389507089</v>
      </c>
      <c r="AF75" s="68">
        <f t="shared" si="42"/>
        <v>0.4057764564986801</v>
      </c>
      <c r="AG75" s="68">
        <f t="shared" si="43"/>
        <v>0.52369545548375807</v>
      </c>
      <c r="AH75" s="68">
        <f t="shared" si="44"/>
        <v>0.6015590730611251</v>
      </c>
      <c r="AI75" s="68">
        <f t="shared" si="45"/>
        <v>0.71338657556042817</v>
      </c>
      <c r="AJ75" s="68">
        <f t="shared" si="46"/>
        <v>0.84581683822946652</v>
      </c>
      <c r="AK75" s="68">
        <f t="shared" si="47"/>
        <v>0.874827041260407</v>
      </c>
      <c r="AL75" s="68">
        <f t="shared" si="48"/>
        <v>0.900947502978245</v>
      </c>
      <c r="AM75" s="68">
        <f t="shared" si="49"/>
        <v>0.91614972465162758</v>
      </c>
      <c r="AN75" s="68">
        <f t="shared" si="50"/>
        <v>0.95814860956806791</v>
      </c>
      <c r="AO75" s="68">
        <f t="shared" si="51"/>
        <v>0.98213684405908841</v>
      </c>
      <c r="AP75" s="68">
        <f t="shared" si="52"/>
        <v>1</v>
      </c>
      <c r="AQ75" s="92"/>
      <c r="AT75" s="68">
        <f t="shared" si="57"/>
        <v>0.40338301293788392</v>
      </c>
      <c r="AU75" s="68">
        <f t="shared" si="58"/>
        <v>0.49280389788329287</v>
      </c>
      <c r="AV75" s="68">
        <f t="shared" si="59"/>
        <v>0.61500038713666927</v>
      </c>
      <c r="AW75" s="68">
        <f t="shared" si="60"/>
        <v>0.64545114889647504</v>
      </c>
      <c r="AX75" s="68">
        <f t="shared" si="61"/>
        <v>0.79523699117285584</v>
      </c>
      <c r="AY75" s="68">
        <f t="shared" si="62"/>
        <v>0.86236444327438933</v>
      </c>
      <c r="AZ75" s="68">
        <f t="shared" si="63"/>
        <v>0.89177559912076443</v>
      </c>
      <c r="BA75" s="68">
        <f t="shared" si="64"/>
        <v>0.91949227656396437</v>
      </c>
      <c r="BB75" s="68">
        <f t="shared" si="65"/>
        <v>0.93998315634263352</v>
      </c>
      <c r="BC75" s="68">
        <f t="shared" si="66"/>
        <v>0.96394058682304795</v>
      </c>
      <c r="BD75" s="68">
        <f t="shared" si="67"/>
        <v>0.98264076320222893</v>
      </c>
      <c r="BE75" s="68">
        <f t="shared" si="68"/>
        <v>1</v>
      </c>
      <c r="BG75" s="68">
        <f t="shared" si="55"/>
        <v>0.28040629841647741</v>
      </c>
      <c r="BH75" s="68">
        <f t="shared" si="55"/>
        <v>0.44929017719098652</v>
      </c>
      <c r="BI75" s="68">
        <f t="shared" si="55"/>
        <v>0.56934792131021372</v>
      </c>
      <c r="BJ75" s="68">
        <f t="shared" si="53"/>
        <v>0.62350511097880013</v>
      </c>
      <c r="BK75" s="68">
        <f t="shared" si="53"/>
        <v>0.75431178336664195</v>
      </c>
      <c r="BL75" s="68">
        <f t="shared" si="53"/>
        <v>0.85409064075192798</v>
      </c>
      <c r="BM75" s="68">
        <f t="shared" si="53"/>
        <v>0.88330132019058571</v>
      </c>
      <c r="BN75" s="68">
        <f t="shared" si="53"/>
        <v>0.91021988977110468</v>
      </c>
      <c r="BO75" s="68">
        <f t="shared" si="53"/>
        <v>0.92806644049713061</v>
      </c>
      <c r="BP75" s="68">
        <f t="shared" si="53"/>
        <v>0.96104459819555799</v>
      </c>
      <c r="BQ75" s="68">
        <f t="shared" si="53"/>
        <v>0.98238880363065872</v>
      </c>
      <c r="BR75" s="68">
        <f t="shared" si="53"/>
        <v>1</v>
      </c>
    </row>
    <row r="76" spans="1:70">
      <c r="A76" s="131" t="s">
        <v>132</v>
      </c>
      <c r="B76" s="62">
        <v>3149.29</v>
      </c>
      <c r="C76" s="62">
        <v>7125.97</v>
      </c>
      <c r="D76" s="62">
        <v>6118.43</v>
      </c>
      <c r="E76" s="62">
        <v>5368.96</v>
      </c>
      <c r="F76" s="62">
        <v>6347.5600000000013</v>
      </c>
      <c r="G76" s="62">
        <v>8249.1299999999992</v>
      </c>
      <c r="H76" s="62">
        <v>2953.59</v>
      </c>
      <c r="I76" s="62">
        <v>3269.43</v>
      </c>
      <c r="J76" s="62">
        <v>2571.06</v>
      </c>
      <c r="K76" s="62">
        <v>2072.86</v>
      </c>
      <c r="L76" s="62">
        <v>2464.2199999999998</v>
      </c>
      <c r="M76" s="62">
        <v>1031.97</v>
      </c>
      <c r="N76" s="100">
        <f t="shared" si="54"/>
        <v>50722.470000000008</v>
      </c>
      <c r="P76" s="131" t="s">
        <v>132</v>
      </c>
      <c r="Q76" s="62">
        <v>6709.03</v>
      </c>
      <c r="R76" s="62">
        <v>8265.9399999999987</v>
      </c>
      <c r="S76" s="62">
        <v>8309.5300000000007</v>
      </c>
      <c r="T76" s="62">
        <v>2528.9700000000003</v>
      </c>
      <c r="U76" s="62">
        <v>7684.7199999999993</v>
      </c>
      <c r="V76" s="62">
        <v>2780.87</v>
      </c>
      <c r="W76" s="62">
        <v>3306.83</v>
      </c>
      <c r="X76" s="62">
        <v>3312.64</v>
      </c>
      <c r="Y76" s="62">
        <v>3474.96</v>
      </c>
      <c r="Z76" s="62">
        <v>933.75</v>
      </c>
      <c r="AA76" s="62">
        <v>1143.2</v>
      </c>
      <c r="AB76" s="62">
        <v>575.95000000000005</v>
      </c>
      <c r="AC76" s="100">
        <f t="shared" si="56"/>
        <v>49026.39</v>
      </c>
      <c r="AE76" s="68">
        <f t="shared" si="41"/>
        <v>6.2088656171515294E-2</v>
      </c>
      <c r="AF76" s="68">
        <f t="shared" si="42"/>
        <v>0.20257806845762832</v>
      </c>
      <c r="AG76" s="68">
        <f t="shared" si="43"/>
        <v>0.32320370045070757</v>
      </c>
      <c r="AH76" s="68">
        <f t="shared" si="44"/>
        <v>0.42905343529209045</v>
      </c>
      <c r="AI76" s="68">
        <f t="shared" si="45"/>
        <v>0.55419639461564074</v>
      </c>
      <c r="AJ76" s="68">
        <f t="shared" si="46"/>
        <v>0.71682905032030175</v>
      </c>
      <c r="AK76" s="68">
        <f t="shared" si="47"/>
        <v>0.77505945589794822</v>
      </c>
      <c r="AL76" s="68">
        <f t="shared" si="48"/>
        <v>0.83951668757456022</v>
      </c>
      <c r="AM76" s="68">
        <f t="shared" si="49"/>
        <v>0.89020546515183507</v>
      </c>
      <c r="AN76" s="68">
        <f t="shared" si="50"/>
        <v>0.93107216584681307</v>
      </c>
      <c r="AO76" s="68">
        <f t="shared" si="51"/>
        <v>0.9796545791243999</v>
      </c>
      <c r="AP76" s="68">
        <f t="shared" si="52"/>
        <v>1</v>
      </c>
      <c r="AQ76" s="92"/>
      <c r="AT76" s="68">
        <f t="shared" si="57"/>
        <v>0.13684527863462922</v>
      </c>
      <c r="AU76" s="68">
        <f t="shared" si="58"/>
        <v>0.30544712755721964</v>
      </c>
      <c r="AV76" s="68">
        <f t="shared" si="59"/>
        <v>0.47493808946569388</v>
      </c>
      <c r="AW76" s="68">
        <f t="shared" si="60"/>
        <v>0.52652194053039603</v>
      </c>
      <c r="AX76" s="68">
        <f t="shared" si="61"/>
        <v>0.68326854169764495</v>
      </c>
      <c r="AY76" s="68">
        <f t="shared" si="62"/>
        <v>0.73999044188242302</v>
      </c>
      <c r="AZ76" s="68">
        <f t="shared" si="63"/>
        <v>0.80744044177023855</v>
      </c>
      <c r="BA76" s="68">
        <f t="shared" si="64"/>
        <v>0.87500894926181605</v>
      </c>
      <c r="BB76" s="68">
        <f t="shared" si="65"/>
        <v>0.94588832667467471</v>
      </c>
      <c r="BC76" s="68">
        <f t="shared" si="66"/>
        <v>0.96493419156499194</v>
      </c>
      <c r="BD76" s="68">
        <f t="shared" si="67"/>
        <v>0.98825224537233936</v>
      </c>
      <c r="BE76" s="68">
        <f t="shared" si="68"/>
        <v>1</v>
      </c>
      <c r="BG76" s="68">
        <f t="shared" si="55"/>
        <v>9.9466967403072259E-2</v>
      </c>
      <c r="BH76" s="68">
        <f t="shared" si="55"/>
        <v>0.25401259800742398</v>
      </c>
      <c r="BI76" s="68">
        <f t="shared" si="55"/>
        <v>0.39907089495820069</v>
      </c>
      <c r="BJ76" s="68">
        <f t="shared" si="53"/>
        <v>0.47778768791124326</v>
      </c>
      <c r="BK76" s="68">
        <f t="shared" si="53"/>
        <v>0.61873246815664285</v>
      </c>
      <c r="BL76" s="68">
        <f t="shared" si="53"/>
        <v>0.72840974610136233</v>
      </c>
      <c r="BM76" s="68">
        <f t="shared" si="53"/>
        <v>0.79124994883409339</v>
      </c>
      <c r="BN76" s="68">
        <f t="shared" si="53"/>
        <v>0.85726281841818808</v>
      </c>
      <c r="BO76" s="68">
        <f t="shared" si="53"/>
        <v>0.91804689591325483</v>
      </c>
      <c r="BP76" s="68">
        <f t="shared" si="53"/>
        <v>0.94800317870590245</v>
      </c>
      <c r="BQ76" s="68">
        <f t="shared" si="53"/>
        <v>0.98395341224836963</v>
      </c>
      <c r="BR76" s="68">
        <f t="shared" si="53"/>
        <v>1</v>
      </c>
    </row>
    <row r="77" spans="1:70">
      <c r="A77" s="131" t="s">
        <v>133</v>
      </c>
      <c r="B77" s="62">
        <v>9928.2800000000007</v>
      </c>
      <c r="C77" s="62">
        <v>18308.62</v>
      </c>
      <c r="D77" s="62">
        <v>4539.37</v>
      </c>
      <c r="E77" s="62">
        <v>6714.56</v>
      </c>
      <c r="F77" s="62">
        <v>5700.36</v>
      </c>
      <c r="G77" s="62">
        <v>10264.120000000001</v>
      </c>
      <c r="H77" s="62">
        <v>5204.41</v>
      </c>
      <c r="I77" s="62">
        <v>4955.28</v>
      </c>
      <c r="J77" s="62">
        <v>1749.62</v>
      </c>
      <c r="K77" s="62">
        <v>6073.28</v>
      </c>
      <c r="L77" s="62">
        <v>1165.42</v>
      </c>
      <c r="M77" s="62">
        <v>1343.35</v>
      </c>
      <c r="N77" s="100">
        <f t="shared" si="54"/>
        <v>75946.67</v>
      </c>
      <c r="P77" s="131" t="s">
        <v>133</v>
      </c>
      <c r="Q77" s="62">
        <v>4895.66</v>
      </c>
      <c r="R77" s="62">
        <v>13788.14</v>
      </c>
      <c r="S77" s="62">
        <v>4783.5200000000004</v>
      </c>
      <c r="T77" s="62">
        <v>3181.89</v>
      </c>
      <c r="U77" s="62">
        <v>7985.61</v>
      </c>
      <c r="V77" s="62">
        <v>6610.88</v>
      </c>
      <c r="W77" s="62">
        <v>3373.73</v>
      </c>
      <c r="X77" s="62">
        <v>4761.2800000000007</v>
      </c>
      <c r="Y77" s="62">
        <v>2937.39</v>
      </c>
      <c r="Z77" s="62">
        <v>2862.3199999999997</v>
      </c>
      <c r="AA77" s="62">
        <v>2940.89</v>
      </c>
      <c r="AB77" s="62">
        <v>2007.1100000000001</v>
      </c>
      <c r="AC77" s="100">
        <f t="shared" si="56"/>
        <v>60128.42</v>
      </c>
      <c r="AE77" s="68">
        <f t="shared" si="41"/>
        <v>0.1307269956668278</v>
      </c>
      <c r="AF77" s="68">
        <f t="shared" si="42"/>
        <v>0.37179905320404438</v>
      </c>
      <c r="AG77" s="68">
        <f t="shared" si="43"/>
        <v>0.43156954742057824</v>
      </c>
      <c r="AH77" s="68">
        <f t="shared" si="44"/>
        <v>0.51998106039408976</v>
      </c>
      <c r="AI77" s="68">
        <f t="shared" si="45"/>
        <v>0.59503846580765163</v>
      </c>
      <c r="AJ77" s="68">
        <f t="shared" si="46"/>
        <v>0.73018751184219144</v>
      </c>
      <c r="AK77" s="68">
        <f t="shared" si="47"/>
        <v>0.7987146770227056</v>
      </c>
      <c r="AL77" s="68">
        <f t="shared" si="48"/>
        <v>0.86396151404663302</v>
      </c>
      <c r="AM77" s="68">
        <f t="shared" si="49"/>
        <v>0.8869989954793277</v>
      </c>
      <c r="AN77" s="68">
        <f t="shared" si="50"/>
        <v>0.96696668859872326</v>
      </c>
      <c r="AO77" s="68">
        <f t="shared" si="51"/>
        <v>0.98231193020049457</v>
      </c>
      <c r="AP77" s="68">
        <f t="shared" si="52"/>
        <v>1</v>
      </c>
      <c r="AQ77" s="92"/>
      <c r="AT77" s="68">
        <f t="shared" si="57"/>
        <v>8.142006724939721E-2</v>
      </c>
      <c r="AU77" s="68">
        <f t="shared" si="58"/>
        <v>0.31073159747087981</v>
      </c>
      <c r="AV77" s="68">
        <f t="shared" si="59"/>
        <v>0.39028665645962424</v>
      </c>
      <c r="AW77" s="68">
        <f t="shared" si="60"/>
        <v>0.44320489379231981</v>
      </c>
      <c r="AX77" s="68">
        <f t="shared" si="61"/>
        <v>0.57601413774052268</v>
      </c>
      <c r="AY77" s="68">
        <f t="shared" si="62"/>
        <v>0.68596014995903765</v>
      </c>
      <c r="AZ77" s="68">
        <f t="shared" si="63"/>
        <v>0.74206889188174252</v>
      </c>
      <c r="BA77" s="68">
        <f t="shared" si="64"/>
        <v>0.82125407585963506</v>
      </c>
      <c r="BB77" s="68">
        <f t="shared" si="65"/>
        <v>0.87010601642284968</v>
      </c>
      <c r="BC77" s="68">
        <f t="shared" si="66"/>
        <v>0.91770946251373309</v>
      </c>
      <c r="BD77" s="68">
        <f t="shared" si="67"/>
        <v>0.96661961182415901</v>
      </c>
      <c r="BE77" s="68">
        <f t="shared" si="68"/>
        <v>1</v>
      </c>
      <c r="BG77" s="68">
        <f t="shared" si="55"/>
        <v>0.1060735314581125</v>
      </c>
      <c r="BH77" s="68">
        <f t="shared" si="55"/>
        <v>0.34126532533746212</v>
      </c>
      <c r="BI77" s="68">
        <f t="shared" si="55"/>
        <v>0.41092810194010121</v>
      </c>
      <c r="BJ77" s="68">
        <f t="shared" si="53"/>
        <v>0.48159297709320481</v>
      </c>
      <c r="BK77" s="68">
        <f t="shared" si="53"/>
        <v>0.58552630177408715</v>
      </c>
      <c r="BL77" s="68">
        <f t="shared" si="53"/>
        <v>0.70807383090061449</v>
      </c>
      <c r="BM77" s="68">
        <f t="shared" si="53"/>
        <v>0.77039178445222412</v>
      </c>
      <c r="BN77" s="68">
        <f t="shared" si="53"/>
        <v>0.84260779495313409</v>
      </c>
      <c r="BO77" s="68">
        <f t="shared" si="53"/>
        <v>0.87855250595108869</v>
      </c>
      <c r="BP77" s="68">
        <f t="shared" si="53"/>
        <v>0.94233807555622817</v>
      </c>
      <c r="BQ77" s="68">
        <f t="shared" si="53"/>
        <v>0.97446577101232679</v>
      </c>
      <c r="BR77" s="68">
        <f t="shared" si="53"/>
        <v>1</v>
      </c>
    </row>
    <row r="78" spans="1:70">
      <c r="A78" s="131" t="s">
        <v>134</v>
      </c>
      <c r="B78" s="62">
        <v>83954.55</v>
      </c>
      <c r="C78" s="62">
        <v>95070.8</v>
      </c>
      <c r="D78" s="62">
        <v>63509.81</v>
      </c>
      <c r="E78" s="62">
        <v>55363.37</v>
      </c>
      <c r="F78" s="62">
        <v>67107.009999999995</v>
      </c>
      <c r="G78" s="62">
        <v>88088.15</v>
      </c>
      <c r="H78" s="62">
        <v>34578.660000000003</v>
      </c>
      <c r="I78" s="62">
        <v>21034.080000000002</v>
      </c>
      <c r="J78" s="62">
        <v>19381.650000000001</v>
      </c>
      <c r="K78" s="62">
        <v>21653.65</v>
      </c>
      <c r="L78" s="62">
        <v>14707.82</v>
      </c>
      <c r="M78" s="62">
        <v>25732.73</v>
      </c>
      <c r="N78" s="100">
        <f t="shared" si="54"/>
        <v>590182.28</v>
      </c>
      <c r="P78" s="131" t="s">
        <v>134</v>
      </c>
      <c r="Q78" s="62">
        <v>79831.540000000008</v>
      </c>
      <c r="R78" s="62">
        <v>106357.46</v>
      </c>
      <c r="S78" s="62">
        <v>47207.72</v>
      </c>
      <c r="T78" s="62">
        <v>37224.980000000003</v>
      </c>
      <c r="U78" s="62">
        <v>65792.61</v>
      </c>
      <c r="V78" s="62">
        <v>54148.72</v>
      </c>
      <c r="W78" s="62">
        <v>26373.78</v>
      </c>
      <c r="X78" s="62">
        <v>22877.43</v>
      </c>
      <c r="Y78" s="62">
        <v>11358.56</v>
      </c>
      <c r="Z78" s="62">
        <v>17948.990000000002</v>
      </c>
      <c r="AA78" s="62">
        <v>12590.97</v>
      </c>
      <c r="AB78" s="62">
        <v>11059.57</v>
      </c>
      <c r="AC78" s="100">
        <f t="shared" si="56"/>
        <v>492772.33</v>
      </c>
      <c r="AE78" s="68">
        <f t="shared" si="41"/>
        <v>0.14225189885402861</v>
      </c>
      <c r="AF78" s="68">
        <f t="shared" si="42"/>
        <v>0.30333908025839068</v>
      </c>
      <c r="AG78" s="68">
        <f t="shared" si="43"/>
        <v>0.41094957984844954</v>
      </c>
      <c r="AH78" s="68">
        <f t="shared" si="44"/>
        <v>0.50475681852054255</v>
      </c>
      <c r="AI78" s="68">
        <f t="shared" si="45"/>
        <v>0.61846238419764143</v>
      </c>
      <c r="AJ78" s="68">
        <f t="shared" si="46"/>
        <v>0.76771822088592701</v>
      </c>
      <c r="AK78" s="68">
        <f t="shared" si="47"/>
        <v>0.82630801792286968</v>
      </c>
      <c r="AL78" s="68">
        <f t="shared" si="48"/>
        <v>0.86194799003453659</v>
      </c>
      <c r="AM78" s="68">
        <f t="shared" si="49"/>
        <v>0.89478809834819173</v>
      </c>
      <c r="AN78" s="68">
        <f t="shared" si="50"/>
        <v>0.93147786477086381</v>
      </c>
      <c r="AO78" s="68">
        <f t="shared" si="51"/>
        <v>0.9563986739825534</v>
      </c>
      <c r="AP78" s="68">
        <f t="shared" si="52"/>
        <v>1</v>
      </c>
      <c r="AQ78" s="92"/>
      <c r="AT78" s="68">
        <f t="shared" si="57"/>
        <v>0.16200491614454085</v>
      </c>
      <c r="AU78" s="68">
        <f t="shared" si="58"/>
        <v>0.37783980281522705</v>
      </c>
      <c r="AV78" s="68">
        <f t="shared" si="59"/>
        <v>0.47364006822379817</v>
      </c>
      <c r="AW78" s="68">
        <f t="shared" si="60"/>
        <v>0.54918201271568967</v>
      </c>
      <c r="AX78" s="68">
        <f t="shared" si="61"/>
        <v>0.68269724073184057</v>
      </c>
      <c r="AY78" s="68">
        <f t="shared" si="62"/>
        <v>0.79258311845553509</v>
      </c>
      <c r="AZ78" s="68">
        <f t="shared" si="63"/>
        <v>0.84610434599686235</v>
      </c>
      <c r="BA78" s="68">
        <f t="shared" si="64"/>
        <v>0.89253030907802811</v>
      </c>
      <c r="BB78" s="68">
        <f t="shared" si="65"/>
        <v>0.91558062929385675</v>
      </c>
      <c r="BC78" s="68">
        <f t="shared" si="66"/>
        <v>0.95200513795082609</v>
      </c>
      <c r="BD78" s="68">
        <f t="shared" si="67"/>
        <v>0.9775564305731208</v>
      </c>
      <c r="BE78" s="68">
        <f t="shared" si="68"/>
        <v>1</v>
      </c>
      <c r="BG78" s="68">
        <f t="shared" si="55"/>
        <v>0.15212840749928475</v>
      </c>
      <c r="BH78" s="68">
        <f t="shared" si="55"/>
        <v>0.34058944153680887</v>
      </c>
      <c r="BI78" s="68">
        <f t="shared" si="55"/>
        <v>0.44229482403612386</v>
      </c>
      <c r="BJ78" s="68">
        <f t="shared" si="53"/>
        <v>0.52696941561811617</v>
      </c>
      <c r="BK78" s="68">
        <f t="shared" si="53"/>
        <v>0.65057981246474106</v>
      </c>
      <c r="BL78" s="68">
        <f t="shared" si="53"/>
        <v>0.78015066967073099</v>
      </c>
      <c r="BM78" s="68">
        <f t="shared" si="53"/>
        <v>0.83620618195986607</v>
      </c>
      <c r="BN78" s="68">
        <f t="shared" si="53"/>
        <v>0.87723914955628235</v>
      </c>
      <c r="BO78" s="68">
        <f t="shared" si="53"/>
        <v>0.90518436382102418</v>
      </c>
      <c r="BP78" s="68">
        <f t="shared" si="53"/>
        <v>0.941741501360845</v>
      </c>
      <c r="BQ78" s="68">
        <f t="shared" si="53"/>
        <v>0.9669775522778371</v>
      </c>
      <c r="BR78" s="68">
        <f t="shared" si="53"/>
        <v>1</v>
      </c>
    </row>
    <row r="79" spans="1:70">
      <c r="A79" s="131" t="s">
        <v>135</v>
      </c>
      <c r="B79" s="62">
        <v>14812.37</v>
      </c>
      <c r="C79" s="62">
        <v>30836.87</v>
      </c>
      <c r="D79" s="62">
        <v>20218.46</v>
      </c>
      <c r="E79" s="62">
        <v>12213.27</v>
      </c>
      <c r="F79" s="62">
        <v>13719.760000000002</v>
      </c>
      <c r="G79" s="62">
        <v>15166.9</v>
      </c>
      <c r="H79" s="62">
        <v>2820.1500000000005</v>
      </c>
      <c r="I79" s="62">
        <v>4590.51</v>
      </c>
      <c r="J79" s="62">
        <v>5100.58</v>
      </c>
      <c r="K79" s="62">
        <v>3190.82</v>
      </c>
      <c r="L79" s="62">
        <v>4602.3599999999997</v>
      </c>
      <c r="M79" s="62">
        <v>1405.61</v>
      </c>
      <c r="N79" s="100">
        <f t="shared" si="54"/>
        <v>128677.66</v>
      </c>
      <c r="P79" s="131" t="s">
        <v>135</v>
      </c>
      <c r="Q79" s="62">
        <v>20714.349999999999</v>
      </c>
      <c r="R79" s="62">
        <v>38213.75</v>
      </c>
      <c r="S79" s="62">
        <v>15240.64</v>
      </c>
      <c r="T79" s="62">
        <v>11284.650000000001</v>
      </c>
      <c r="U79" s="62">
        <v>13137.09</v>
      </c>
      <c r="V79" s="62">
        <v>14304.77</v>
      </c>
      <c r="W79" s="62">
        <v>4128.6000000000004</v>
      </c>
      <c r="X79" s="62">
        <v>2029.8100000000002</v>
      </c>
      <c r="Y79" s="62">
        <v>2199.11</v>
      </c>
      <c r="Z79" s="62">
        <v>2460.92</v>
      </c>
      <c r="AA79" s="62">
        <v>1588.26</v>
      </c>
      <c r="AB79" s="62">
        <v>2696.54</v>
      </c>
      <c r="AC79" s="100">
        <f t="shared" si="56"/>
        <v>127998.48999999998</v>
      </c>
      <c r="AE79" s="68">
        <f t="shared" si="41"/>
        <v>0.11511221139706769</v>
      </c>
      <c r="AF79" s="68">
        <f t="shared" si="42"/>
        <v>0.35475652883336545</v>
      </c>
      <c r="AG79" s="68">
        <f t="shared" si="43"/>
        <v>0.51188139417518153</v>
      </c>
      <c r="AH79" s="68">
        <f t="shared" si="44"/>
        <v>0.60679507227594909</v>
      </c>
      <c r="AI79" s="68">
        <f t="shared" si="45"/>
        <v>0.71341622158811413</v>
      </c>
      <c r="AJ79" s="68">
        <f t="shared" si="46"/>
        <v>0.83128361208930912</v>
      </c>
      <c r="AK79" s="68">
        <f t="shared" si="47"/>
        <v>0.853200003792422</v>
      </c>
      <c r="AL79" s="68">
        <f t="shared" si="48"/>
        <v>0.88887449460924295</v>
      </c>
      <c r="AM79" s="68">
        <f t="shared" si="49"/>
        <v>0.9285129213571337</v>
      </c>
      <c r="AN79" s="68">
        <f t="shared" si="50"/>
        <v>0.95330992186211649</v>
      </c>
      <c r="AO79" s="68">
        <f t="shared" si="51"/>
        <v>0.98907650325627616</v>
      </c>
      <c r="AP79" s="68">
        <f t="shared" si="52"/>
        <v>1</v>
      </c>
      <c r="AQ79" s="92"/>
      <c r="AT79" s="68">
        <f t="shared" si="57"/>
        <v>0.16183276849594086</v>
      </c>
      <c r="AU79" s="68">
        <f t="shared" si="58"/>
        <v>0.46038121230961404</v>
      </c>
      <c r="AV79" s="68">
        <f t="shared" si="59"/>
        <v>0.57945011695059845</v>
      </c>
      <c r="AW79" s="68">
        <f t="shared" si="60"/>
        <v>0.66761248511603533</v>
      </c>
      <c r="AX79" s="68">
        <f t="shared" si="61"/>
        <v>0.77024721151007325</v>
      </c>
      <c r="AY79" s="68">
        <f t="shared" si="62"/>
        <v>0.88200454552237306</v>
      </c>
      <c r="AZ79" s="68">
        <f t="shared" si="63"/>
        <v>0.91425961353137852</v>
      </c>
      <c r="BA79" s="68">
        <f t="shared" si="64"/>
        <v>0.93011769123213883</v>
      </c>
      <c r="BB79" s="68">
        <f t="shared" si="65"/>
        <v>0.94729844078629377</v>
      </c>
      <c r="BC79" s="68">
        <f t="shared" si="66"/>
        <v>0.96652460509495086</v>
      </c>
      <c r="BD79" s="68">
        <f t="shared" si="67"/>
        <v>0.97893303272562049</v>
      </c>
      <c r="BE79" s="68">
        <f t="shared" si="68"/>
        <v>1</v>
      </c>
      <c r="BG79" s="68">
        <f t="shared" si="55"/>
        <v>0.13847248994650427</v>
      </c>
      <c r="BH79" s="68">
        <f t="shared" si="55"/>
        <v>0.40756887057148972</v>
      </c>
      <c r="BI79" s="68">
        <f t="shared" si="55"/>
        <v>0.54566575556288999</v>
      </c>
      <c r="BJ79" s="68">
        <f t="shared" si="53"/>
        <v>0.63720377869599221</v>
      </c>
      <c r="BK79" s="68">
        <f t="shared" si="53"/>
        <v>0.74183171654909374</v>
      </c>
      <c r="BL79" s="68">
        <f t="shared" si="53"/>
        <v>0.85664407880584115</v>
      </c>
      <c r="BM79" s="68">
        <f t="shared" si="53"/>
        <v>0.88372980866190032</v>
      </c>
      <c r="BN79" s="68">
        <f t="shared" si="53"/>
        <v>0.90949609292069089</v>
      </c>
      <c r="BO79" s="68">
        <f t="shared" si="53"/>
        <v>0.93790568107171368</v>
      </c>
      <c r="BP79" s="68">
        <f t="shared" si="53"/>
        <v>0.95991726347853368</v>
      </c>
      <c r="BQ79" s="68">
        <f t="shared" si="53"/>
        <v>0.98400476799094827</v>
      </c>
      <c r="BR79" s="68">
        <f t="shared" si="53"/>
        <v>1</v>
      </c>
    </row>
    <row r="80" spans="1:70">
      <c r="A80" s="131" t="s">
        <v>136</v>
      </c>
      <c r="B80" s="62">
        <v>5462.34</v>
      </c>
      <c r="C80" s="62">
        <v>9345.59</v>
      </c>
      <c r="D80" s="62">
        <v>7550.04</v>
      </c>
      <c r="E80" s="62">
        <v>4501.58</v>
      </c>
      <c r="F80" s="62">
        <v>4117.55</v>
      </c>
      <c r="G80" s="62">
        <v>6798.42</v>
      </c>
      <c r="H80" s="62">
        <v>2256.6999999999998</v>
      </c>
      <c r="I80" s="62">
        <v>3126.15</v>
      </c>
      <c r="J80" s="62">
        <v>2452.2600000000002</v>
      </c>
      <c r="K80" s="62">
        <v>1218.81</v>
      </c>
      <c r="L80" s="62">
        <v>707.46</v>
      </c>
      <c r="M80" s="62">
        <v>835.02</v>
      </c>
      <c r="N80" s="100">
        <f t="shared" si="54"/>
        <v>48371.92</v>
      </c>
      <c r="P80" s="131" t="s">
        <v>136</v>
      </c>
      <c r="Q80" s="62">
        <v>8702.2000000000007</v>
      </c>
      <c r="R80" s="62">
        <v>7794.6799999999994</v>
      </c>
      <c r="S80" s="62">
        <v>3246.24</v>
      </c>
      <c r="T80" s="62">
        <v>4392.99</v>
      </c>
      <c r="U80" s="62">
        <v>4257.7300000000005</v>
      </c>
      <c r="V80" s="62">
        <v>5078.93</v>
      </c>
      <c r="W80" s="62">
        <v>2678.2200000000003</v>
      </c>
      <c r="X80" s="62">
        <v>2548.2200000000003</v>
      </c>
      <c r="Y80" s="62">
        <v>1611.85</v>
      </c>
      <c r="Z80" s="62">
        <v>901.05000000000007</v>
      </c>
      <c r="AA80" s="62">
        <v>479.97</v>
      </c>
      <c r="AB80" s="62">
        <v>977.39</v>
      </c>
      <c r="AC80" s="100">
        <f t="shared" si="56"/>
        <v>42669.470000000008</v>
      </c>
      <c r="AE80" s="68">
        <f t="shared" si="41"/>
        <v>0.11292377891967076</v>
      </c>
      <c r="AF80" s="68">
        <f t="shared" si="42"/>
        <v>0.3061265709527346</v>
      </c>
      <c r="AG80" s="68">
        <f t="shared" si="43"/>
        <v>0.46220968694234177</v>
      </c>
      <c r="AH80" s="68">
        <f t="shared" si="44"/>
        <v>0.55527152943277847</v>
      </c>
      <c r="AI80" s="68">
        <f t="shared" si="45"/>
        <v>0.64039426179485959</v>
      </c>
      <c r="AJ80" s="68">
        <f t="shared" si="46"/>
        <v>0.78093902412804794</v>
      </c>
      <c r="AK80" s="68">
        <f t="shared" si="47"/>
        <v>0.82759212369490409</v>
      </c>
      <c r="AL80" s="68">
        <f t="shared" si="48"/>
        <v>0.89221949428511427</v>
      </c>
      <c r="AM80" s="68">
        <f t="shared" si="49"/>
        <v>0.94291543523597998</v>
      </c>
      <c r="AN80" s="68">
        <f t="shared" si="50"/>
        <v>0.96811207824704915</v>
      </c>
      <c r="AO80" s="68">
        <f t="shared" si="51"/>
        <v>0.98273750556107764</v>
      </c>
      <c r="AP80" s="68">
        <f t="shared" si="52"/>
        <v>1</v>
      </c>
      <c r="AQ80" s="92"/>
      <c r="AT80" s="68">
        <f t="shared" si="57"/>
        <v>0.20394441271475833</v>
      </c>
      <c r="AU80" s="68">
        <f t="shared" si="58"/>
        <v>0.38662022284317094</v>
      </c>
      <c r="AV80" s="68">
        <f t="shared" si="59"/>
        <v>0.46269897423145867</v>
      </c>
      <c r="AW80" s="68">
        <f t="shared" si="60"/>
        <v>0.56565291296095299</v>
      </c>
      <c r="AX80" s="68">
        <f t="shared" si="61"/>
        <v>0.66543690371593545</v>
      </c>
      <c r="AY80" s="68">
        <f t="shared" si="62"/>
        <v>0.78446650497416526</v>
      </c>
      <c r="AZ80" s="68">
        <f t="shared" si="63"/>
        <v>0.84723316225863599</v>
      </c>
      <c r="BA80" s="68">
        <f t="shared" si="64"/>
        <v>0.90695314471916333</v>
      </c>
      <c r="BB80" s="68">
        <f t="shared" si="65"/>
        <v>0.9447283971420315</v>
      </c>
      <c r="BC80" s="68">
        <f t="shared" si="66"/>
        <v>0.96584536906598562</v>
      </c>
      <c r="BD80" s="68">
        <f t="shared" si="67"/>
        <v>0.97709392687558572</v>
      </c>
      <c r="BE80" s="68">
        <f t="shared" si="68"/>
        <v>1</v>
      </c>
      <c r="BG80" s="68">
        <f t="shared" si="55"/>
        <v>0.15843409581721454</v>
      </c>
      <c r="BH80" s="68">
        <f t="shared" si="55"/>
        <v>0.34637339689795277</v>
      </c>
      <c r="BI80" s="68">
        <f t="shared" si="55"/>
        <v>0.46245433058690022</v>
      </c>
      <c r="BJ80" s="68">
        <f t="shared" si="53"/>
        <v>0.56046222119686573</v>
      </c>
      <c r="BK80" s="68">
        <f t="shared" si="53"/>
        <v>0.65291558275539752</v>
      </c>
      <c r="BL80" s="68">
        <f t="shared" si="53"/>
        <v>0.78270276455110666</v>
      </c>
      <c r="BM80" s="68">
        <f t="shared" si="53"/>
        <v>0.83741264297677009</v>
      </c>
      <c r="BN80" s="68">
        <f t="shared" si="53"/>
        <v>0.89958631950213874</v>
      </c>
      <c r="BO80" s="68">
        <f t="shared" si="53"/>
        <v>0.94382191618900579</v>
      </c>
      <c r="BP80" s="68">
        <f t="shared" si="53"/>
        <v>0.96697872365651738</v>
      </c>
      <c r="BQ80" s="68">
        <f t="shared" si="53"/>
        <v>0.97991571621833162</v>
      </c>
      <c r="BR80" s="68">
        <f t="shared" si="53"/>
        <v>1</v>
      </c>
    </row>
    <row r="81" spans="1:70">
      <c r="A81" s="131" t="s">
        <v>137</v>
      </c>
      <c r="B81" s="62">
        <v>129250.09</v>
      </c>
      <c r="C81" s="62">
        <v>154788.04</v>
      </c>
      <c r="D81" s="62">
        <v>87708.800000000003</v>
      </c>
      <c r="E81" s="62">
        <v>66696.899999999994</v>
      </c>
      <c r="F81" s="62">
        <v>80007.94</v>
      </c>
      <c r="G81" s="62">
        <v>76457.929999999993</v>
      </c>
      <c r="H81" s="62">
        <v>22016.14</v>
      </c>
      <c r="I81" s="62">
        <v>34284.82</v>
      </c>
      <c r="J81" s="62">
        <v>26261.61</v>
      </c>
      <c r="K81" s="62">
        <v>21462.080000000002</v>
      </c>
      <c r="L81" s="62">
        <v>22792.38</v>
      </c>
      <c r="M81" s="62">
        <v>14181.73</v>
      </c>
      <c r="N81" s="100">
        <f t="shared" si="54"/>
        <v>735908.45999999985</v>
      </c>
      <c r="P81" s="131" t="s">
        <v>137</v>
      </c>
      <c r="Q81" s="62">
        <v>135948.36000000002</v>
      </c>
      <c r="R81" s="62">
        <v>155312.91</v>
      </c>
      <c r="S81" s="62">
        <v>62656.729999999996</v>
      </c>
      <c r="T81" s="62">
        <v>46739.92</v>
      </c>
      <c r="U81" s="62">
        <v>70393.88</v>
      </c>
      <c r="V81" s="62">
        <v>104140.7</v>
      </c>
      <c r="W81" s="62">
        <v>25894.33</v>
      </c>
      <c r="X81" s="62">
        <v>37514.92</v>
      </c>
      <c r="Y81" s="62">
        <v>30510.16</v>
      </c>
      <c r="Z81" s="62">
        <v>33117.22</v>
      </c>
      <c r="AA81" s="62">
        <v>21500.010000000002</v>
      </c>
      <c r="AB81" s="62">
        <v>16711.36</v>
      </c>
      <c r="AC81" s="100">
        <f t="shared" si="56"/>
        <v>740440.5</v>
      </c>
      <c r="AE81" s="68">
        <f t="shared" si="41"/>
        <v>0.17563337972769061</v>
      </c>
      <c r="AF81" s="68">
        <f t="shared" si="42"/>
        <v>0.38596937722390101</v>
      </c>
      <c r="AG81" s="68">
        <f t="shared" si="43"/>
        <v>0.50515376599964634</v>
      </c>
      <c r="AH81" s="68">
        <f t="shared" si="44"/>
        <v>0.59578582640563749</v>
      </c>
      <c r="AI81" s="68">
        <f t="shared" si="45"/>
        <v>0.70450578866833524</v>
      </c>
      <c r="AJ81" s="68">
        <f t="shared" si="46"/>
        <v>0.80840176779595674</v>
      </c>
      <c r="AK81" s="68">
        <f t="shared" si="47"/>
        <v>0.83831872241283933</v>
      </c>
      <c r="AL81" s="68">
        <f t="shared" si="48"/>
        <v>0.8849071527184238</v>
      </c>
      <c r="AM81" s="68">
        <f t="shared" si="49"/>
        <v>0.92059312648749825</v>
      </c>
      <c r="AN81" s="68">
        <f t="shared" si="50"/>
        <v>0.94975718855032598</v>
      </c>
      <c r="AO81" s="68">
        <f t="shared" si="51"/>
        <v>0.98072894827163692</v>
      </c>
      <c r="AP81" s="68">
        <f t="shared" si="52"/>
        <v>1</v>
      </c>
      <c r="AQ81" s="92"/>
      <c r="AT81" s="68">
        <f t="shared" si="57"/>
        <v>0.18360470557728814</v>
      </c>
      <c r="AU81" s="68">
        <f t="shared" si="58"/>
        <v>0.39336215401507618</v>
      </c>
      <c r="AV81" s="68">
        <f t="shared" si="59"/>
        <v>0.4779830384750699</v>
      </c>
      <c r="AW81" s="68">
        <f t="shared" si="60"/>
        <v>0.5411075164040865</v>
      </c>
      <c r="AX81" s="68">
        <f t="shared" si="61"/>
        <v>0.63617778876223008</v>
      </c>
      <c r="AY81" s="68">
        <f t="shared" si="62"/>
        <v>0.7768247414883438</v>
      </c>
      <c r="AZ81" s="68">
        <f t="shared" si="63"/>
        <v>0.81179626181982212</v>
      </c>
      <c r="BA81" s="68">
        <f t="shared" si="64"/>
        <v>0.86246193988578423</v>
      </c>
      <c r="BB81" s="68">
        <f t="shared" si="65"/>
        <v>0.90366735747166727</v>
      </c>
      <c r="BC81" s="68">
        <f t="shared" si="66"/>
        <v>0.94839373318990516</v>
      </c>
      <c r="BD81" s="68">
        <f t="shared" si="67"/>
        <v>0.9774305160239074</v>
      </c>
      <c r="BE81" s="68">
        <f t="shared" si="68"/>
        <v>1</v>
      </c>
      <c r="BG81" s="68">
        <f t="shared" si="55"/>
        <v>0.17961904265248937</v>
      </c>
      <c r="BH81" s="68">
        <f t="shared" si="55"/>
        <v>0.38966576561948862</v>
      </c>
      <c r="BI81" s="68">
        <f t="shared" si="55"/>
        <v>0.49156840223735809</v>
      </c>
      <c r="BJ81" s="68">
        <f t="shared" si="53"/>
        <v>0.56844667140486194</v>
      </c>
      <c r="BK81" s="68">
        <f t="shared" si="53"/>
        <v>0.67034178871528272</v>
      </c>
      <c r="BL81" s="68">
        <f t="shared" si="53"/>
        <v>0.79261325464215027</v>
      </c>
      <c r="BM81" s="68">
        <f t="shared" si="53"/>
        <v>0.82505749211633073</v>
      </c>
      <c r="BN81" s="68">
        <f t="shared" si="53"/>
        <v>0.87368454630210401</v>
      </c>
      <c r="BO81" s="68">
        <f t="shared" si="53"/>
        <v>0.9121302419795827</v>
      </c>
      <c r="BP81" s="68">
        <f t="shared" si="53"/>
        <v>0.94907546087011552</v>
      </c>
      <c r="BQ81" s="68">
        <f t="shared" si="53"/>
        <v>0.97907973214777222</v>
      </c>
      <c r="BR81" s="68">
        <f t="shared" si="53"/>
        <v>1</v>
      </c>
    </row>
    <row r="82" spans="1:70">
      <c r="A82" s="131" t="s">
        <v>138</v>
      </c>
      <c r="B82" s="62">
        <v>2241.87</v>
      </c>
      <c r="C82" s="62">
        <v>6676.68</v>
      </c>
      <c r="D82" s="62">
        <v>10865.37</v>
      </c>
      <c r="E82" s="62">
        <v>5898.31</v>
      </c>
      <c r="F82" s="62">
        <v>5213.2700000000013</v>
      </c>
      <c r="G82" s="62">
        <v>5970.43</v>
      </c>
      <c r="H82" s="62">
        <v>2491.0100000000002</v>
      </c>
      <c r="I82" s="62">
        <v>4477.83</v>
      </c>
      <c r="J82" s="62">
        <v>2677.76</v>
      </c>
      <c r="K82" s="62">
        <v>1761.44</v>
      </c>
      <c r="L82" s="62">
        <v>1856.37</v>
      </c>
      <c r="M82" s="62">
        <v>702.8</v>
      </c>
      <c r="N82" s="100">
        <f t="shared" si="54"/>
        <v>50833.140000000014</v>
      </c>
      <c r="P82" s="131" t="s">
        <v>138</v>
      </c>
      <c r="Q82" s="62">
        <v>2680.8</v>
      </c>
      <c r="R82" s="62">
        <v>12784.52</v>
      </c>
      <c r="S82" s="62">
        <v>5503.92</v>
      </c>
      <c r="T82" s="62">
        <v>4702.6099999999997</v>
      </c>
      <c r="U82" s="62">
        <v>6363.46</v>
      </c>
      <c r="V82" s="62">
        <v>9562.85</v>
      </c>
      <c r="W82" s="62">
        <v>3463.88</v>
      </c>
      <c r="X82" s="62">
        <v>3584.92</v>
      </c>
      <c r="Y82" s="62">
        <v>1790.7200000000003</v>
      </c>
      <c r="Z82" s="62">
        <v>1491.98</v>
      </c>
      <c r="AA82" s="62">
        <v>1117.04</v>
      </c>
      <c r="AB82" s="62">
        <v>698.12</v>
      </c>
      <c r="AC82" s="100">
        <f t="shared" si="56"/>
        <v>53744.82</v>
      </c>
      <c r="AE82" s="68">
        <f t="shared" si="41"/>
        <v>4.4102528389944023E-2</v>
      </c>
      <c r="AF82" s="68">
        <f t="shared" si="42"/>
        <v>0.17544755252183902</v>
      </c>
      <c r="AG82" s="68">
        <f t="shared" si="43"/>
        <v>0.38919334906322911</v>
      </c>
      <c r="AH82" s="68">
        <f t="shared" si="44"/>
        <v>0.50522611823703967</v>
      </c>
      <c r="AI82" s="68">
        <f t="shared" si="45"/>
        <v>0.60778263943561206</v>
      </c>
      <c r="AJ82" s="68">
        <f t="shared" si="46"/>
        <v>0.7252341681037211</v>
      </c>
      <c r="AK82" s="68">
        <f t="shared" si="47"/>
        <v>0.77423782988813972</v>
      </c>
      <c r="AL82" s="68">
        <f t="shared" si="48"/>
        <v>0.86232662393076631</v>
      </c>
      <c r="AM82" s="68">
        <f t="shared" si="49"/>
        <v>0.91500407017941432</v>
      </c>
      <c r="AN82" s="68">
        <f t="shared" si="50"/>
        <v>0.94965548065690997</v>
      </c>
      <c r="AO82" s="68">
        <f t="shared" si="51"/>
        <v>0.98617437364679805</v>
      </c>
      <c r="AP82" s="68">
        <f t="shared" si="52"/>
        <v>1</v>
      </c>
      <c r="AQ82" s="92"/>
      <c r="AT82" s="68">
        <f t="shared" si="57"/>
        <v>4.9880155892232964E-2</v>
      </c>
      <c r="AU82" s="68">
        <f t="shared" si="58"/>
        <v>0.28775461523547757</v>
      </c>
      <c r="AV82" s="68">
        <f t="shared" si="59"/>
        <v>0.39016299617339861</v>
      </c>
      <c r="AW82" s="68">
        <f t="shared" si="60"/>
        <v>0.47766184722546284</v>
      </c>
      <c r="AX82" s="68">
        <f t="shared" si="61"/>
        <v>0.59606321130110762</v>
      </c>
      <c r="AY82" s="68">
        <f t="shared" si="62"/>
        <v>0.77399384722099718</v>
      </c>
      <c r="AZ82" s="68">
        <f t="shared" si="63"/>
        <v>0.83844433751941105</v>
      </c>
      <c r="BA82" s="68">
        <f t="shared" si="64"/>
        <v>0.90514695183647453</v>
      </c>
      <c r="BB82" s="68">
        <f t="shared" si="65"/>
        <v>0.93846588378191598</v>
      </c>
      <c r="BC82" s="68">
        <f t="shared" si="66"/>
        <v>0.96622632655574991</v>
      </c>
      <c r="BD82" s="68">
        <f t="shared" si="67"/>
        <v>0.98701046910195245</v>
      </c>
      <c r="BE82" s="68">
        <f t="shared" si="68"/>
        <v>1</v>
      </c>
      <c r="BG82" s="68">
        <f t="shared" si="55"/>
        <v>4.6991342141088494E-2</v>
      </c>
      <c r="BH82" s="68">
        <f t="shared" si="55"/>
        <v>0.2316010838786583</v>
      </c>
      <c r="BI82" s="68">
        <f t="shared" si="55"/>
        <v>0.38967817261831383</v>
      </c>
      <c r="BJ82" s="68">
        <f t="shared" si="53"/>
        <v>0.49144398273125123</v>
      </c>
      <c r="BK82" s="68">
        <f t="shared" si="53"/>
        <v>0.60192292536835978</v>
      </c>
      <c r="BL82" s="68">
        <f t="shared" si="53"/>
        <v>0.74961400766235919</v>
      </c>
      <c r="BM82" s="68">
        <f t="shared" si="53"/>
        <v>0.80634108370377544</v>
      </c>
      <c r="BN82" s="68">
        <f t="shared" si="53"/>
        <v>0.88373678788362042</v>
      </c>
      <c r="BO82" s="68">
        <f t="shared" si="53"/>
        <v>0.9267349769806652</v>
      </c>
      <c r="BP82" s="68">
        <f t="shared" si="53"/>
        <v>0.95794090360633</v>
      </c>
      <c r="BQ82" s="68">
        <f t="shared" si="53"/>
        <v>0.98659242137437531</v>
      </c>
      <c r="BR82" s="68">
        <f t="shared" si="53"/>
        <v>1</v>
      </c>
    </row>
    <row r="83" spans="1:70">
      <c r="A83" s="131" t="s">
        <v>139</v>
      </c>
      <c r="B83" s="62">
        <v>97565.85</v>
      </c>
      <c r="C83" s="62">
        <v>118881.62</v>
      </c>
      <c r="D83" s="62">
        <v>82919.28</v>
      </c>
      <c r="E83" s="62">
        <v>57330.96</v>
      </c>
      <c r="F83" s="62">
        <v>77333.460000000021</v>
      </c>
      <c r="G83" s="62">
        <v>88122.75</v>
      </c>
      <c r="H83" s="62">
        <v>33238.320000000007</v>
      </c>
      <c r="I83" s="62">
        <v>24451.29</v>
      </c>
      <c r="J83" s="62">
        <v>19061.599999999999</v>
      </c>
      <c r="K83" s="62">
        <v>17561.18</v>
      </c>
      <c r="L83" s="62">
        <v>13763.11</v>
      </c>
      <c r="M83" s="62">
        <v>18114.599999999999</v>
      </c>
      <c r="N83" s="100">
        <f t="shared" si="54"/>
        <v>648344.02</v>
      </c>
      <c r="P83" s="131" t="s">
        <v>139</v>
      </c>
      <c r="Q83" s="62">
        <v>71916.45</v>
      </c>
      <c r="R83" s="62">
        <v>156093.79999999999</v>
      </c>
      <c r="S83" s="62">
        <v>55904.31</v>
      </c>
      <c r="T83" s="62">
        <v>41037.54</v>
      </c>
      <c r="U83" s="62">
        <v>69912.41</v>
      </c>
      <c r="V83" s="62">
        <v>78989.27</v>
      </c>
      <c r="W83" s="62">
        <v>29616.929999999997</v>
      </c>
      <c r="X83" s="62">
        <v>24972.65</v>
      </c>
      <c r="Y83" s="62">
        <v>16512.54</v>
      </c>
      <c r="Z83" s="62">
        <v>20798.22</v>
      </c>
      <c r="AA83" s="62">
        <v>11562.33</v>
      </c>
      <c r="AB83" s="62">
        <v>12022.67</v>
      </c>
      <c r="AC83" s="100">
        <f t="shared" si="56"/>
        <v>589339.12</v>
      </c>
      <c r="AE83" s="68">
        <f t="shared" si="41"/>
        <v>0.15048469175361562</v>
      </c>
      <c r="AF83" s="68">
        <f t="shared" si="42"/>
        <v>0.33384663592640212</v>
      </c>
      <c r="AG83" s="68">
        <f t="shared" si="43"/>
        <v>0.46174058950987162</v>
      </c>
      <c r="AH83" s="68">
        <f t="shared" si="44"/>
        <v>0.55016734788422972</v>
      </c>
      <c r="AI83" s="68">
        <f t="shared" si="45"/>
        <v>0.66944578281141554</v>
      </c>
      <c r="AJ83" s="68">
        <f t="shared" si="46"/>
        <v>0.80536552184132126</v>
      </c>
      <c r="AK83" s="68">
        <f t="shared" si="47"/>
        <v>0.85663200842046783</v>
      </c>
      <c r="AL83" s="68">
        <f t="shared" si="48"/>
        <v>0.89434545875814508</v>
      </c>
      <c r="AM83" s="68">
        <f t="shared" si="49"/>
        <v>0.92374589959200981</v>
      </c>
      <c r="AN83" s="68">
        <f t="shared" si="50"/>
        <v>0.95083210607849833</v>
      </c>
      <c r="AO83" s="68">
        <f t="shared" si="51"/>
        <v>0.9720602034703737</v>
      </c>
      <c r="AP83" s="68">
        <f t="shared" si="52"/>
        <v>1</v>
      </c>
      <c r="AQ83" s="92"/>
      <c r="AT83" s="68">
        <f t="shared" si="57"/>
        <v>0.12202897713628784</v>
      </c>
      <c r="AU83" s="68">
        <f t="shared" si="58"/>
        <v>0.38689142169961499</v>
      </c>
      <c r="AV83" s="68">
        <f t="shared" si="59"/>
        <v>0.4817507448003791</v>
      </c>
      <c r="AW83" s="68">
        <f t="shared" si="60"/>
        <v>0.55138389591378212</v>
      </c>
      <c r="AX83" s="68">
        <f t="shared" si="61"/>
        <v>0.67001238607747604</v>
      </c>
      <c r="AY83" s="68">
        <f t="shared" si="62"/>
        <v>0.80404263677591947</v>
      </c>
      <c r="AZ83" s="68">
        <f t="shared" si="63"/>
        <v>0.85429711504642691</v>
      </c>
      <c r="BA83" s="68">
        <f t="shared" si="64"/>
        <v>0.89667110508462422</v>
      </c>
      <c r="BB83" s="68">
        <f t="shared" si="65"/>
        <v>0.92468984580558644</v>
      </c>
      <c r="BC83" s="68">
        <f t="shared" si="66"/>
        <v>0.95998059657061285</v>
      </c>
      <c r="BD83" s="68">
        <f t="shared" si="67"/>
        <v>0.97959974216542756</v>
      </c>
      <c r="BE83" s="68">
        <f t="shared" si="68"/>
        <v>1</v>
      </c>
      <c r="BG83" s="68">
        <f t="shared" si="55"/>
        <v>0.13625683444495174</v>
      </c>
      <c r="BH83" s="68">
        <f t="shared" si="55"/>
        <v>0.36036902881300859</v>
      </c>
      <c r="BI83" s="68">
        <f t="shared" si="55"/>
        <v>0.47174566715512534</v>
      </c>
      <c r="BJ83" s="68">
        <f t="shared" si="53"/>
        <v>0.55077562189900586</v>
      </c>
      <c r="BK83" s="68">
        <f t="shared" si="53"/>
        <v>0.66972908444444579</v>
      </c>
      <c r="BL83" s="68">
        <f t="shared" si="53"/>
        <v>0.80470407930862042</v>
      </c>
      <c r="BM83" s="68">
        <f t="shared" si="53"/>
        <v>0.85546456173344732</v>
      </c>
      <c r="BN83" s="68">
        <f t="shared" si="53"/>
        <v>0.89550828192138465</v>
      </c>
      <c r="BO83" s="68">
        <f t="shared" si="53"/>
        <v>0.92421787269879818</v>
      </c>
      <c r="BP83" s="68">
        <f t="shared" si="53"/>
        <v>0.95540635132455565</v>
      </c>
      <c r="BQ83" s="68">
        <f t="shared" si="53"/>
        <v>0.97582997281790063</v>
      </c>
      <c r="BR83" s="68">
        <f t="shared" si="53"/>
        <v>1</v>
      </c>
    </row>
    <row r="84" spans="1:70">
      <c r="A84" s="131" t="s">
        <v>140</v>
      </c>
      <c r="B84" s="62">
        <v>2989.16</v>
      </c>
      <c r="C84" s="62">
        <v>8263.2000000000007</v>
      </c>
      <c r="D84" s="62">
        <v>2615.5300000000002</v>
      </c>
      <c r="E84" s="62">
        <v>1788.17</v>
      </c>
      <c r="F84" s="62">
        <v>2241.88</v>
      </c>
      <c r="G84" s="62">
        <v>4857.45</v>
      </c>
      <c r="H84" s="62">
        <v>2232.98</v>
      </c>
      <c r="I84" s="62">
        <v>3069.24</v>
      </c>
      <c r="J84" s="62">
        <v>1441.21</v>
      </c>
      <c r="K84" s="62">
        <v>1156.51</v>
      </c>
      <c r="L84" s="62">
        <v>809.55</v>
      </c>
      <c r="M84" s="62">
        <v>1058.67</v>
      </c>
      <c r="N84" s="100">
        <f t="shared" si="54"/>
        <v>32523.549999999996</v>
      </c>
      <c r="P84" s="131" t="s">
        <v>140</v>
      </c>
      <c r="Q84" s="62">
        <v>3120.6400000000003</v>
      </c>
      <c r="R84" s="62">
        <v>5475.13</v>
      </c>
      <c r="S84" s="62">
        <v>603.89</v>
      </c>
      <c r="T84" s="62">
        <v>1367.47</v>
      </c>
      <c r="U84" s="62">
        <v>2036.79</v>
      </c>
      <c r="V84" s="62">
        <v>3139.31</v>
      </c>
      <c r="W84" s="62">
        <v>849.4</v>
      </c>
      <c r="X84" s="62">
        <v>2063</v>
      </c>
      <c r="Y84" s="62">
        <v>799.36</v>
      </c>
      <c r="Z84" s="62">
        <v>1525.4099999999999</v>
      </c>
      <c r="AA84" s="62">
        <v>1501.02</v>
      </c>
      <c r="AB84" s="62">
        <v>305.43</v>
      </c>
      <c r="AC84" s="100">
        <f t="shared" si="56"/>
        <v>22786.85</v>
      </c>
      <c r="AE84" s="68">
        <f t="shared" si="41"/>
        <v>9.1907556216956648E-2</v>
      </c>
      <c r="AF84" s="68">
        <f t="shared" si="42"/>
        <v>0.34597576217848303</v>
      </c>
      <c r="AG84" s="68">
        <f t="shared" si="43"/>
        <v>0.42639533507258598</v>
      </c>
      <c r="AH84" s="68">
        <f t="shared" si="44"/>
        <v>0.48137611054143853</v>
      </c>
      <c r="AI84" s="68">
        <f t="shared" si="45"/>
        <v>0.55030708517366667</v>
      </c>
      <c r="AJ84" s="68">
        <f t="shared" si="46"/>
        <v>0.69965886257803978</v>
      </c>
      <c r="AK84" s="68">
        <f t="shared" si="47"/>
        <v>0.7683161893458742</v>
      </c>
      <c r="AL84" s="68">
        <f t="shared" si="48"/>
        <v>0.86268596140335252</v>
      </c>
      <c r="AM84" s="68">
        <f t="shared" si="49"/>
        <v>0.90699877473400059</v>
      </c>
      <c r="AN84" s="68">
        <f t="shared" si="50"/>
        <v>0.94255793109915742</v>
      </c>
      <c r="AO84" s="68">
        <f t="shared" si="51"/>
        <v>0.96744912532610994</v>
      </c>
      <c r="AP84" s="68">
        <f t="shared" si="52"/>
        <v>1</v>
      </c>
      <c r="AQ84" s="92"/>
      <c r="AT84" s="68">
        <f t="shared" si="57"/>
        <v>0.13694916146812747</v>
      </c>
      <c r="AU84" s="68">
        <f t="shared" si="58"/>
        <v>0.37722502232647342</v>
      </c>
      <c r="AV84" s="68">
        <f t="shared" si="59"/>
        <v>0.40372671080030809</v>
      </c>
      <c r="AW84" s="68">
        <f t="shared" si="60"/>
        <v>0.46373807700493924</v>
      </c>
      <c r="AX84" s="68">
        <f t="shared" si="61"/>
        <v>0.55312252461397693</v>
      </c>
      <c r="AY84" s="68">
        <f t="shared" si="62"/>
        <v>0.69089101828466848</v>
      </c>
      <c r="AZ84" s="68">
        <f t="shared" si="63"/>
        <v>0.72816690327974243</v>
      </c>
      <c r="BA84" s="68">
        <f t="shared" si="64"/>
        <v>0.81870157568948754</v>
      </c>
      <c r="BB84" s="68">
        <f t="shared" si="65"/>
        <v>0.85378145728786559</v>
      </c>
      <c r="BC84" s="68">
        <f t="shared" si="66"/>
        <v>0.92072401406951809</v>
      </c>
      <c r="BD84" s="68">
        <f t="shared" si="67"/>
        <v>0.98659621667760133</v>
      </c>
      <c r="BE84" s="68">
        <f t="shared" si="68"/>
        <v>1</v>
      </c>
      <c r="BG84" s="68">
        <f t="shared" si="55"/>
        <v>0.11442835884254206</v>
      </c>
      <c r="BH84" s="68">
        <f t="shared" si="55"/>
        <v>0.3616003922524782</v>
      </c>
      <c r="BI84" s="68">
        <f t="shared" si="55"/>
        <v>0.41506102293644703</v>
      </c>
      <c r="BJ84" s="68">
        <f t="shared" si="53"/>
        <v>0.47255709377318889</v>
      </c>
      <c r="BK84" s="68">
        <f t="shared" si="53"/>
        <v>0.55171480489382185</v>
      </c>
      <c r="BL84" s="68">
        <f t="shared" si="53"/>
        <v>0.69527494043135407</v>
      </c>
      <c r="BM84" s="68">
        <f t="shared" si="53"/>
        <v>0.74824154631280826</v>
      </c>
      <c r="BN84" s="68">
        <f t="shared" si="53"/>
        <v>0.84069376854641997</v>
      </c>
      <c r="BO84" s="68">
        <f t="shared" si="53"/>
        <v>0.88039011601093309</v>
      </c>
      <c r="BP84" s="68">
        <f t="shared" si="53"/>
        <v>0.93164097258433776</v>
      </c>
      <c r="BQ84" s="68">
        <f t="shared" si="53"/>
        <v>0.97702267100185569</v>
      </c>
      <c r="BR84" s="68">
        <f t="shared" si="53"/>
        <v>1</v>
      </c>
    </row>
    <row r="85" spans="1:70">
      <c r="A85" s="131" t="s">
        <v>141</v>
      </c>
      <c r="B85" s="62">
        <v>2402</v>
      </c>
      <c r="C85" s="62">
        <v>106.76</v>
      </c>
      <c r="D85" s="62">
        <v>551.58000000000004</v>
      </c>
      <c r="E85" s="62">
        <v>106.76</v>
      </c>
      <c r="F85" s="62">
        <v>106.76000000000002</v>
      </c>
      <c r="G85" s="62">
        <v>106.76</v>
      </c>
      <c r="H85" s="62">
        <v>533.79</v>
      </c>
      <c r="I85" s="62">
        <v>533.78</v>
      </c>
      <c r="J85" s="62">
        <v>222.41</v>
      </c>
      <c r="K85" s="62">
        <v>0</v>
      </c>
      <c r="L85" s="62">
        <v>355.85</v>
      </c>
      <c r="M85" s="62">
        <v>266.89</v>
      </c>
      <c r="N85" s="100">
        <f t="shared" si="54"/>
        <v>5293.3400000000011</v>
      </c>
      <c r="P85" s="131" t="s">
        <v>141</v>
      </c>
      <c r="Q85" s="62">
        <v>1612.6799999999998</v>
      </c>
      <c r="R85" s="62">
        <v>1319.48</v>
      </c>
      <c r="S85" s="62">
        <v>0</v>
      </c>
      <c r="T85" s="62">
        <v>261.8</v>
      </c>
      <c r="U85" s="62">
        <v>523.6</v>
      </c>
      <c r="V85" s="62">
        <v>471.24</v>
      </c>
      <c r="W85" s="62">
        <v>0</v>
      </c>
      <c r="X85" s="62">
        <v>785.40000000000009</v>
      </c>
      <c r="Y85" s="62">
        <v>0</v>
      </c>
      <c r="Z85" s="62">
        <v>0</v>
      </c>
      <c r="AA85" s="62">
        <v>0</v>
      </c>
      <c r="AB85" s="62">
        <v>0</v>
      </c>
      <c r="AC85" s="100">
        <f t="shared" si="56"/>
        <v>4974.2000000000007</v>
      </c>
      <c r="AE85" s="68">
        <f t="shared" si="41"/>
        <v>0.4537777660229646</v>
      </c>
      <c r="AF85" s="68">
        <f t="shared" si="42"/>
        <v>0.47394650636460151</v>
      </c>
      <c r="AG85" s="68">
        <f t="shared" si="43"/>
        <v>0.57814914590787658</v>
      </c>
      <c r="AH85" s="68">
        <f t="shared" si="44"/>
        <v>0.59831788624951354</v>
      </c>
      <c r="AI85" s="68">
        <f t="shared" si="45"/>
        <v>0.61848662659115039</v>
      </c>
      <c r="AJ85" s="68">
        <f t="shared" si="46"/>
        <v>0.63865536693278724</v>
      </c>
      <c r="AK85" s="68">
        <f t="shared" si="47"/>
        <v>0.73949717947458504</v>
      </c>
      <c r="AL85" s="68">
        <f t="shared" si="48"/>
        <v>0.8403371028499963</v>
      </c>
      <c r="AM85" s="68">
        <f t="shared" si="49"/>
        <v>0.88235405245081544</v>
      </c>
      <c r="AN85" s="68">
        <f t="shared" si="50"/>
        <v>0.88235405245081544</v>
      </c>
      <c r="AO85" s="68">
        <f t="shared" si="51"/>
        <v>0.94958003831229432</v>
      </c>
      <c r="AP85" s="68">
        <f t="shared" si="52"/>
        <v>1</v>
      </c>
      <c r="AQ85" s="92"/>
      <c r="AT85" s="68">
        <f t="shared" si="57"/>
        <v>0.3242089180169675</v>
      </c>
      <c r="AU85" s="68">
        <f t="shared" si="58"/>
        <v>0.58947368421052615</v>
      </c>
      <c r="AV85" s="68">
        <f t="shared" si="59"/>
        <v>0.58947368421052615</v>
      </c>
      <c r="AW85" s="68">
        <f t="shared" si="60"/>
        <v>0.64210526315789462</v>
      </c>
      <c r="AX85" s="68">
        <f t="shared" si="61"/>
        <v>0.74736842105263146</v>
      </c>
      <c r="AY85" s="68">
        <f t="shared" si="62"/>
        <v>0.84210526315789469</v>
      </c>
      <c r="AZ85" s="68">
        <f t="shared" si="63"/>
        <v>0.84210526315789469</v>
      </c>
      <c r="BA85" s="68">
        <f t="shared" si="64"/>
        <v>1</v>
      </c>
      <c r="BB85" s="68">
        <f t="shared" si="65"/>
        <v>1</v>
      </c>
      <c r="BC85" s="68">
        <f t="shared" si="66"/>
        <v>1</v>
      </c>
      <c r="BD85" s="68">
        <f t="shared" si="67"/>
        <v>1</v>
      </c>
      <c r="BE85" s="68">
        <f t="shared" si="68"/>
        <v>1</v>
      </c>
      <c r="BG85" s="68">
        <f t="shared" si="55"/>
        <v>0.38899334201996605</v>
      </c>
      <c r="BH85" s="68">
        <f t="shared" si="55"/>
        <v>0.53171009528756386</v>
      </c>
      <c r="BI85" s="68">
        <f t="shared" si="55"/>
        <v>0.58381141505920131</v>
      </c>
      <c r="BJ85" s="68">
        <f t="shared" si="53"/>
        <v>0.62021157470370403</v>
      </c>
      <c r="BK85" s="68">
        <f t="shared" si="53"/>
        <v>0.68292752382189092</v>
      </c>
      <c r="BL85" s="68">
        <f t="shared" si="53"/>
        <v>0.74038031504534096</v>
      </c>
      <c r="BM85" s="68">
        <f t="shared" si="53"/>
        <v>0.79080122131623987</v>
      </c>
      <c r="BN85" s="68">
        <f t="shared" si="53"/>
        <v>0.9201685514249982</v>
      </c>
      <c r="BO85" s="68">
        <f t="shared" si="53"/>
        <v>0.94117702622540778</v>
      </c>
      <c r="BP85" s="68">
        <f t="shared" si="53"/>
        <v>0.94117702622540778</v>
      </c>
      <c r="BQ85" s="68">
        <f t="shared" si="53"/>
        <v>0.97479001915614716</v>
      </c>
      <c r="BR85" s="68">
        <f t="shared" si="53"/>
        <v>1</v>
      </c>
    </row>
    <row r="86" spans="1:70">
      <c r="A86" s="131" t="s">
        <v>142</v>
      </c>
      <c r="B86" s="62">
        <v>52599.040000000001</v>
      </c>
      <c r="C86" s="62">
        <v>101006.68</v>
      </c>
      <c r="D86" s="62">
        <v>44291.58</v>
      </c>
      <c r="E86" s="62">
        <v>37365.19</v>
      </c>
      <c r="F86" s="62">
        <v>41225.57</v>
      </c>
      <c r="G86" s="62">
        <v>49564.01</v>
      </c>
      <c r="H86" s="62">
        <v>15049.68</v>
      </c>
      <c r="I86" s="62">
        <v>16696.189999999999</v>
      </c>
      <c r="J86" s="62">
        <v>10900.17</v>
      </c>
      <c r="K86" s="62">
        <v>8400.33</v>
      </c>
      <c r="L86" s="62">
        <v>8017.78</v>
      </c>
      <c r="M86" s="62">
        <v>7309.77</v>
      </c>
      <c r="N86" s="100">
        <f t="shared" si="54"/>
        <v>392425.99000000005</v>
      </c>
      <c r="P86" s="131" t="s">
        <v>142</v>
      </c>
      <c r="Q86" s="62">
        <v>41117.9</v>
      </c>
      <c r="R86" s="62">
        <v>116277.06999999999</v>
      </c>
      <c r="S86" s="62">
        <v>39875.520000000004</v>
      </c>
      <c r="T86" s="62">
        <v>31984.79</v>
      </c>
      <c r="U86" s="62">
        <v>45387.25</v>
      </c>
      <c r="V86" s="62">
        <v>48505.25</v>
      </c>
      <c r="W86" s="62">
        <v>13173.220000000001</v>
      </c>
      <c r="X86" s="62">
        <v>9729.67</v>
      </c>
      <c r="Y86" s="62">
        <v>5021.2</v>
      </c>
      <c r="Z86" s="62">
        <v>10239.42</v>
      </c>
      <c r="AA86" s="62">
        <v>6706.5</v>
      </c>
      <c r="AB86" s="62">
        <v>3161.9399999999996</v>
      </c>
      <c r="AC86" s="100">
        <f t="shared" si="56"/>
        <v>371179.73</v>
      </c>
      <c r="AE86" s="68">
        <f t="shared" si="41"/>
        <v>0.13403556680840634</v>
      </c>
      <c r="AF86" s="68">
        <f t="shared" si="42"/>
        <v>0.39142596034477734</v>
      </c>
      <c r="AG86" s="68">
        <f t="shared" si="43"/>
        <v>0.50429203223772201</v>
      </c>
      <c r="AH86" s="68">
        <f t="shared" si="44"/>
        <v>0.59950792250023999</v>
      </c>
      <c r="AI86" s="68">
        <f t="shared" si="45"/>
        <v>0.70456103073091558</v>
      </c>
      <c r="AJ86" s="68">
        <f t="shared" si="46"/>
        <v>0.83086257869923441</v>
      </c>
      <c r="AK86" s="68">
        <f t="shared" si="47"/>
        <v>0.8692129438215852</v>
      </c>
      <c r="AL86" s="68">
        <f t="shared" si="48"/>
        <v>0.91175903002754721</v>
      </c>
      <c r="AM86" s="68">
        <f t="shared" si="49"/>
        <v>0.93953540131223201</v>
      </c>
      <c r="AN86" s="68">
        <f t="shared" si="50"/>
        <v>0.96094155231665457</v>
      </c>
      <c r="AO86" s="68">
        <f t="shared" si="51"/>
        <v>0.9813728698244476</v>
      </c>
      <c r="AP86" s="68">
        <f t="shared" si="52"/>
        <v>1</v>
      </c>
      <c r="AQ86" s="92"/>
      <c r="AT86" s="68">
        <f t="shared" si="57"/>
        <v>0.11077625386494032</v>
      </c>
      <c r="AU86" s="68">
        <f t="shared" si="58"/>
        <v>0.4240397771720994</v>
      </c>
      <c r="AV86" s="68">
        <f t="shared" si="59"/>
        <v>0.53146891938307084</v>
      </c>
      <c r="AW86" s="68">
        <f t="shared" si="60"/>
        <v>0.61763954621121153</v>
      </c>
      <c r="AX86" s="68">
        <f t="shared" si="61"/>
        <v>0.73991790984922601</v>
      </c>
      <c r="AY86" s="68">
        <f t="shared" si="62"/>
        <v>0.87059651667939963</v>
      </c>
      <c r="AZ86" s="68">
        <f t="shared" si="63"/>
        <v>0.90608665510910313</v>
      </c>
      <c r="BA86" s="68">
        <f t="shared" si="64"/>
        <v>0.93229948197871693</v>
      </c>
      <c r="BB86" s="68">
        <f t="shared" si="65"/>
        <v>0.94582716033550651</v>
      </c>
      <c r="BC86" s="68">
        <f t="shared" si="66"/>
        <v>0.97341331112019502</v>
      </c>
      <c r="BD86" s="68">
        <f t="shared" si="67"/>
        <v>0.99148137749871201</v>
      </c>
      <c r="BE86" s="68">
        <f t="shared" si="68"/>
        <v>1</v>
      </c>
      <c r="BG86" s="68">
        <f t="shared" si="55"/>
        <v>0.12240591033667333</v>
      </c>
      <c r="BH86" s="68">
        <f t="shared" si="55"/>
        <v>0.40773286875843839</v>
      </c>
      <c r="BI86" s="68">
        <f t="shared" si="55"/>
        <v>0.51788047581039642</v>
      </c>
      <c r="BJ86" s="68">
        <f t="shared" si="53"/>
        <v>0.60857373435572581</v>
      </c>
      <c r="BK86" s="68">
        <f t="shared" si="53"/>
        <v>0.72223947029007074</v>
      </c>
      <c r="BL86" s="68">
        <f t="shared" si="53"/>
        <v>0.85072954768931708</v>
      </c>
      <c r="BM86" s="68">
        <f t="shared" si="53"/>
        <v>0.88764979946534417</v>
      </c>
      <c r="BN86" s="68">
        <f t="shared" si="53"/>
        <v>0.92202925600313201</v>
      </c>
      <c r="BO86" s="68">
        <f t="shared" si="53"/>
        <v>0.94268128082386926</v>
      </c>
      <c r="BP86" s="68">
        <f t="shared" si="53"/>
        <v>0.96717743171842474</v>
      </c>
      <c r="BQ86" s="68">
        <f t="shared" si="53"/>
        <v>0.98642712366157981</v>
      </c>
      <c r="BR86" s="68">
        <f t="shared" si="53"/>
        <v>1</v>
      </c>
    </row>
    <row r="87" spans="1:70">
      <c r="A87" s="131" t="s">
        <v>143</v>
      </c>
      <c r="B87" s="62">
        <v>638293.59</v>
      </c>
      <c r="C87" s="62">
        <v>360292.5</v>
      </c>
      <c r="D87" s="62">
        <v>62830.879999999997</v>
      </c>
      <c r="E87" s="62">
        <v>259789.19</v>
      </c>
      <c r="F87" s="62">
        <v>200999.32</v>
      </c>
      <c r="G87" s="62">
        <v>140171.41</v>
      </c>
      <c r="H87" s="62">
        <v>55942.98000000001</v>
      </c>
      <c r="I87" s="62">
        <v>45717.05</v>
      </c>
      <c r="J87" s="62">
        <v>32526.18</v>
      </c>
      <c r="K87" s="62">
        <v>43150.18</v>
      </c>
      <c r="L87" s="62">
        <v>35850.69</v>
      </c>
      <c r="M87" s="62">
        <v>30694.080000000002</v>
      </c>
      <c r="N87" s="100">
        <f t="shared" si="54"/>
        <v>1906258.0499999998</v>
      </c>
      <c r="P87" s="131" t="s">
        <v>143</v>
      </c>
      <c r="Q87" s="62">
        <v>725175.12</v>
      </c>
      <c r="R87" s="62">
        <v>182746.23999999999</v>
      </c>
      <c r="S87" s="62">
        <v>241990.71</v>
      </c>
      <c r="T87" s="62">
        <v>70264.639999999999</v>
      </c>
      <c r="U87" s="62">
        <v>261352.52000000002</v>
      </c>
      <c r="V87" s="62">
        <v>85195.14</v>
      </c>
      <c r="W87" s="62">
        <v>60087.920000000006</v>
      </c>
      <c r="X87" s="62">
        <v>54276.75</v>
      </c>
      <c r="Y87" s="62">
        <v>21822.36</v>
      </c>
      <c r="Z87" s="62">
        <v>53651.39</v>
      </c>
      <c r="AA87" s="62">
        <v>29994.26</v>
      </c>
      <c r="AB87" s="62">
        <v>16822.509999999998</v>
      </c>
      <c r="AC87" s="100">
        <f t="shared" si="56"/>
        <v>1803379.5599999998</v>
      </c>
      <c r="AE87" s="68">
        <f t="shared" si="41"/>
        <v>0.33484112499879021</v>
      </c>
      <c r="AF87" s="68">
        <f t="shared" si="42"/>
        <v>0.52384622847887785</v>
      </c>
      <c r="AG87" s="68">
        <f t="shared" si="43"/>
        <v>0.55680655092840137</v>
      </c>
      <c r="AH87" s="68">
        <f t="shared" si="44"/>
        <v>0.69308882918553449</v>
      </c>
      <c r="AI87" s="68">
        <f t="shared" si="45"/>
        <v>0.79853065013941849</v>
      </c>
      <c r="AJ87" s="68">
        <f t="shared" si="46"/>
        <v>0.87206288256723696</v>
      </c>
      <c r="AK87" s="68">
        <f t="shared" si="47"/>
        <v>0.90140989568542418</v>
      </c>
      <c r="AL87" s="68">
        <f t="shared" si="48"/>
        <v>0.92539250916212534</v>
      </c>
      <c r="AM87" s="68">
        <f t="shared" si="49"/>
        <v>0.94245535120494317</v>
      </c>
      <c r="AN87" s="68">
        <f t="shared" si="50"/>
        <v>0.96509141561395639</v>
      </c>
      <c r="AO87" s="68">
        <f t="shared" si="51"/>
        <v>0.98389825553785859</v>
      </c>
      <c r="AP87" s="68">
        <f t="shared" si="52"/>
        <v>1</v>
      </c>
      <c r="AQ87" s="92"/>
      <c r="AT87" s="68">
        <f t="shared" si="57"/>
        <v>0.40212007282593359</v>
      </c>
      <c r="AU87" s="68">
        <f t="shared" si="58"/>
        <v>0.50345550107044579</v>
      </c>
      <c r="AV87" s="68">
        <f t="shared" si="59"/>
        <v>0.63764284319602704</v>
      </c>
      <c r="AW87" s="68">
        <f t="shared" si="60"/>
        <v>0.67660560043166962</v>
      </c>
      <c r="AX87" s="68">
        <f t="shared" si="61"/>
        <v>0.82152934571355574</v>
      </c>
      <c r="AY87" s="68">
        <f t="shared" si="62"/>
        <v>0.86877128073914733</v>
      </c>
      <c r="AZ87" s="68">
        <f t="shared" si="63"/>
        <v>0.90209089982144408</v>
      </c>
      <c r="BA87" s="68">
        <f t="shared" si="64"/>
        <v>0.93218814124742544</v>
      </c>
      <c r="BB87" s="68">
        <f t="shared" si="65"/>
        <v>0.94428895489976616</v>
      </c>
      <c r="BC87" s="68">
        <f t="shared" si="66"/>
        <v>0.97403942517791431</v>
      </c>
      <c r="BD87" s="68">
        <f t="shared" si="67"/>
        <v>0.99067167535158263</v>
      </c>
      <c r="BE87" s="68">
        <f t="shared" si="68"/>
        <v>1</v>
      </c>
      <c r="BG87" s="68">
        <f t="shared" si="55"/>
        <v>0.3684805989123619</v>
      </c>
      <c r="BH87" s="68">
        <f t="shared" si="55"/>
        <v>0.51365086477466182</v>
      </c>
      <c r="BI87" s="68">
        <f t="shared" si="55"/>
        <v>0.59722469706221415</v>
      </c>
      <c r="BJ87" s="68">
        <f t="shared" si="53"/>
        <v>0.684847214808602</v>
      </c>
      <c r="BK87" s="68">
        <f t="shared" si="53"/>
        <v>0.81002999792648711</v>
      </c>
      <c r="BL87" s="68">
        <f t="shared" si="53"/>
        <v>0.8704170816531922</v>
      </c>
      <c r="BM87" s="68">
        <f t="shared" si="53"/>
        <v>0.90175039775343413</v>
      </c>
      <c r="BN87" s="68">
        <f t="shared" si="53"/>
        <v>0.92879032520477534</v>
      </c>
      <c r="BO87" s="68">
        <f t="shared" si="53"/>
        <v>0.94337215305235467</v>
      </c>
      <c r="BP87" s="68">
        <f t="shared" si="53"/>
        <v>0.96956542039593541</v>
      </c>
      <c r="BQ87" s="68">
        <f t="shared" si="53"/>
        <v>0.98728496544472066</v>
      </c>
      <c r="BR87" s="68">
        <f t="shared" si="53"/>
        <v>1</v>
      </c>
    </row>
    <row r="88" spans="1:70">
      <c r="A88" s="131" t="s">
        <v>144</v>
      </c>
      <c r="B88" s="62">
        <v>7810.96</v>
      </c>
      <c r="C88" s="62">
        <v>4127.92</v>
      </c>
      <c r="D88" s="62">
        <v>6759.03</v>
      </c>
      <c r="E88" s="62">
        <v>2794.21</v>
      </c>
      <c r="F88" s="62">
        <v>3959.61</v>
      </c>
      <c r="G88" s="62">
        <v>2611.8200000000002</v>
      </c>
      <c r="H88" s="62">
        <v>943.0200000000001</v>
      </c>
      <c r="I88" s="62">
        <v>1690.3</v>
      </c>
      <c r="J88" s="62">
        <v>427.01</v>
      </c>
      <c r="K88" s="62">
        <v>1156.54</v>
      </c>
      <c r="L88" s="62">
        <v>1588</v>
      </c>
      <c r="M88" s="62">
        <v>320.29000000000002</v>
      </c>
      <c r="N88" s="100">
        <f t="shared" si="54"/>
        <v>34188.71</v>
      </c>
      <c r="P88" s="131" t="s">
        <v>144</v>
      </c>
      <c r="Q88" s="62">
        <v>3473.16</v>
      </c>
      <c r="R88" s="62">
        <v>8342.74</v>
      </c>
      <c r="S88" s="62">
        <v>4180.05</v>
      </c>
      <c r="T88" s="62">
        <v>5227.26</v>
      </c>
      <c r="U88" s="62">
        <v>2527.2400000000002</v>
      </c>
      <c r="V88" s="62">
        <v>3241.67</v>
      </c>
      <c r="W88" s="62">
        <v>267.62</v>
      </c>
      <c r="X88" s="62">
        <v>1255.49</v>
      </c>
      <c r="Y88" s="62">
        <v>1666.7900000000002</v>
      </c>
      <c r="Z88" s="62">
        <v>488.69000000000005</v>
      </c>
      <c r="AA88" s="62">
        <v>802.90000000000009</v>
      </c>
      <c r="AB88" s="62">
        <v>279.25</v>
      </c>
      <c r="AC88" s="100">
        <f t="shared" si="56"/>
        <v>31752.860000000004</v>
      </c>
      <c r="AE88" s="68">
        <f t="shared" si="41"/>
        <v>0.2284660637970839</v>
      </c>
      <c r="AF88" s="68">
        <f t="shared" si="42"/>
        <v>0.34920533708349927</v>
      </c>
      <c r="AG88" s="68">
        <f t="shared" si="43"/>
        <v>0.54690305659382876</v>
      </c>
      <c r="AH88" s="68">
        <f t="shared" si="44"/>
        <v>0.6286320835152891</v>
      </c>
      <c r="AI88" s="68">
        <f t="shared" si="45"/>
        <v>0.74444838661651758</v>
      </c>
      <c r="AJ88" s="68">
        <f t="shared" si="46"/>
        <v>0.82084261149367732</v>
      </c>
      <c r="AK88" s="68">
        <f t="shared" si="47"/>
        <v>0.84842540125088084</v>
      </c>
      <c r="AL88" s="68">
        <f t="shared" si="48"/>
        <v>0.89786569893979618</v>
      </c>
      <c r="AM88" s="68">
        <f t="shared" si="49"/>
        <v>0.91035549454776143</v>
      </c>
      <c r="AN88" s="68">
        <f t="shared" si="50"/>
        <v>0.94418362085027485</v>
      </c>
      <c r="AO88" s="68">
        <f t="shared" si="51"/>
        <v>0.99063170268781708</v>
      </c>
      <c r="AP88" s="68">
        <f t="shared" si="52"/>
        <v>1</v>
      </c>
      <c r="AQ88" s="92"/>
      <c r="AT88" s="68">
        <f t="shared" si="57"/>
        <v>0.10938101323786265</v>
      </c>
      <c r="AU88" s="68">
        <f t="shared" si="58"/>
        <v>0.37212081053486201</v>
      </c>
      <c r="AV88" s="68">
        <f t="shared" si="59"/>
        <v>0.5037640703861006</v>
      </c>
      <c r="AW88" s="68">
        <f t="shared" si="60"/>
        <v>0.66838735156455187</v>
      </c>
      <c r="AX88" s="68">
        <f t="shared" si="61"/>
        <v>0.74797829234909852</v>
      </c>
      <c r="AY88" s="68">
        <f t="shared" si="62"/>
        <v>0.85006893867198097</v>
      </c>
      <c r="AZ88" s="68">
        <f t="shared" si="63"/>
        <v>0.85849715584674891</v>
      </c>
      <c r="BA88" s="68">
        <f t="shared" si="64"/>
        <v>0.89803658631065042</v>
      </c>
      <c r="BB88" s="68">
        <f t="shared" si="65"/>
        <v>0.95052918067852787</v>
      </c>
      <c r="BC88" s="68">
        <f t="shared" si="66"/>
        <v>0.96591960535208476</v>
      </c>
      <c r="BD88" s="68">
        <f t="shared" si="67"/>
        <v>0.99120551660543332</v>
      </c>
      <c r="BE88" s="68">
        <f t="shared" si="68"/>
        <v>1</v>
      </c>
      <c r="BG88" s="68">
        <f t="shared" si="55"/>
        <v>0.16892353851747327</v>
      </c>
      <c r="BH88" s="68">
        <f t="shared" si="55"/>
        <v>0.36066307380918061</v>
      </c>
      <c r="BI88" s="68">
        <f t="shared" si="55"/>
        <v>0.52533356348996474</v>
      </c>
      <c r="BJ88" s="68">
        <f t="shared" si="53"/>
        <v>0.64850971753992048</v>
      </c>
      <c r="BK88" s="68">
        <f t="shared" si="53"/>
        <v>0.7462133394828081</v>
      </c>
      <c r="BL88" s="68">
        <f t="shared" si="53"/>
        <v>0.83545577508282909</v>
      </c>
      <c r="BM88" s="68">
        <f t="shared" si="53"/>
        <v>0.85346127854881493</v>
      </c>
      <c r="BN88" s="68">
        <f t="shared" si="53"/>
        <v>0.89795114262522335</v>
      </c>
      <c r="BO88" s="68">
        <f t="shared" si="53"/>
        <v>0.93044233761314465</v>
      </c>
      <c r="BP88" s="68">
        <f t="shared" si="53"/>
        <v>0.95505161310117981</v>
      </c>
      <c r="BQ88" s="68">
        <f t="shared" si="53"/>
        <v>0.99091860964662515</v>
      </c>
      <c r="BR88" s="68">
        <f t="shared" si="53"/>
        <v>1</v>
      </c>
    </row>
    <row r="89" spans="1:70">
      <c r="A89" s="131" t="s">
        <v>145</v>
      </c>
      <c r="B89" s="62">
        <v>1547.95</v>
      </c>
      <c r="C89" s="62">
        <v>3803.18</v>
      </c>
      <c r="D89" s="62">
        <v>2766.75</v>
      </c>
      <c r="E89" s="62">
        <v>1316.7</v>
      </c>
      <c r="F89" s="62">
        <v>1997.23</v>
      </c>
      <c r="G89" s="62">
        <v>5675.91</v>
      </c>
      <c r="H89" s="62">
        <v>2464.3000000000002</v>
      </c>
      <c r="I89" s="62">
        <v>2050.59</v>
      </c>
      <c r="J89" s="62">
        <v>729.51</v>
      </c>
      <c r="K89" s="62">
        <v>2028.38</v>
      </c>
      <c r="L89" s="62">
        <v>1227.7</v>
      </c>
      <c r="M89" s="62">
        <v>1094.21</v>
      </c>
      <c r="N89" s="100">
        <f t="shared" si="54"/>
        <v>26702.41</v>
      </c>
      <c r="P89" s="131" t="s">
        <v>145</v>
      </c>
      <c r="Q89" s="62">
        <v>3769.92</v>
      </c>
      <c r="R89" s="62">
        <v>3560.49</v>
      </c>
      <c r="S89" s="62">
        <v>2199.59</v>
      </c>
      <c r="T89" s="62">
        <v>1021.02</v>
      </c>
      <c r="U89" s="62">
        <v>2357.96</v>
      </c>
      <c r="V89" s="62">
        <v>2997.62</v>
      </c>
      <c r="W89" s="62">
        <v>2188.66</v>
      </c>
      <c r="X89" s="62">
        <v>750.49</v>
      </c>
      <c r="Y89" s="62">
        <v>1500.98</v>
      </c>
      <c r="Z89" s="62">
        <v>733.01</v>
      </c>
      <c r="AA89" s="62">
        <v>846.49</v>
      </c>
      <c r="AB89" s="62">
        <v>1108.28</v>
      </c>
      <c r="AC89" s="100">
        <f t="shared" si="56"/>
        <v>23034.51</v>
      </c>
      <c r="AE89" s="68">
        <f t="shared" si="41"/>
        <v>5.7970422894412905E-2</v>
      </c>
      <c r="AF89" s="68">
        <f t="shared" si="42"/>
        <v>0.20039876550468666</v>
      </c>
      <c r="AG89" s="68">
        <f t="shared" si="43"/>
        <v>0.30401300856364649</v>
      </c>
      <c r="AH89" s="68">
        <f t="shared" si="44"/>
        <v>0.35332316446343232</v>
      </c>
      <c r="AI89" s="68">
        <f t="shared" si="45"/>
        <v>0.42811903494853082</v>
      </c>
      <c r="AJ89" s="68">
        <f t="shared" si="46"/>
        <v>0.64068074754301207</v>
      </c>
      <c r="AK89" s="68">
        <f t="shared" si="47"/>
        <v>0.73296829761808013</v>
      </c>
      <c r="AL89" s="68">
        <f t="shared" si="48"/>
        <v>0.80976248960299846</v>
      </c>
      <c r="AM89" s="68">
        <f t="shared" si="49"/>
        <v>0.83708249555002712</v>
      </c>
      <c r="AN89" s="68">
        <f t="shared" si="50"/>
        <v>0.91304492740542897</v>
      </c>
      <c r="AO89" s="68">
        <f t="shared" si="51"/>
        <v>0.95902205081863401</v>
      </c>
      <c r="AP89" s="68">
        <f t="shared" si="52"/>
        <v>1</v>
      </c>
      <c r="AQ89" s="92"/>
      <c r="AT89" s="68">
        <f t="shared" si="57"/>
        <v>0.16366399806203824</v>
      </c>
      <c r="AU89" s="68">
        <f t="shared" si="58"/>
        <v>0.31823598591851965</v>
      </c>
      <c r="AV89" s="68">
        <f t="shared" si="59"/>
        <v>0.41372705562219475</v>
      </c>
      <c r="AW89" s="68">
        <f t="shared" si="60"/>
        <v>0.45805272176399675</v>
      </c>
      <c r="AX89" s="68">
        <f t="shared" si="61"/>
        <v>0.5604191276480377</v>
      </c>
      <c r="AY89" s="68">
        <f t="shared" si="62"/>
        <v>0.69055517134942312</v>
      </c>
      <c r="AZ89" s="68">
        <f t="shared" si="63"/>
        <v>0.78557173562624083</v>
      </c>
      <c r="BA89" s="68">
        <f t="shared" si="64"/>
        <v>0.81815284978929448</v>
      </c>
      <c r="BB89" s="68">
        <f t="shared" si="65"/>
        <v>0.88331507811540166</v>
      </c>
      <c r="BC89" s="68">
        <f t="shared" si="66"/>
        <v>0.9151373309004619</v>
      </c>
      <c r="BD89" s="68">
        <f t="shared" si="67"/>
        <v>0.95188610480535518</v>
      </c>
      <c r="BE89" s="68">
        <f t="shared" si="68"/>
        <v>1</v>
      </c>
      <c r="BG89" s="68">
        <f t="shared" si="55"/>
        <v>0.11081721047822557</v>
      </c>
      <c r="BH89" s="68">
        <f t="shared" si="55"/>
        <v>0.25931737571160318</v>
      </c>
      <c r="BI89" s="68">
        <f t="shared" si="55"/>
        <v>0.35887003209292062</v>
      </c>
      <c r="BJ89" s="68">
        <f t="shared" si="53"/>
        <v>0.40568794311371453</v>
      </c>
      <c r="BK89" s="68">
        <f t="shared" si="53"/>
        <v>0.49426908129828429</v>
      </c>
      <c r="BL89" s="68">
        <f t="shared" si="53"/>
        <v>0.6656179594462176</v>
      </c>
      <c r="BM89" s="68">
        <f t="shared" si="53"/>
        <v>0.75927001662216043</v>
      </c>
      <c r="BN89" s="68">
        <f t="shared" si="53"/>
        <v>0.81395766969614647</v>
      </c>
      <c r="BO89" s="68">
        <f t="shared" si="53"/>
        <v>0.86019878683271433</v>
      </c>
      <c r="BP89" s="68">
        <f t="shared" si="53"/>
        <v>0.91409112915294544</v>
      </c>
      <c r="BQ89" s="68">
        <f t="shared" si="53"/>
        <v>0.95545407781199465</v>
      </c>
      <c r="BR89" s="68">
        <f t="shared" si="53"/>
        <v>1</v>
      </c>
    </row>
    <row r="90" spans="1:70">
      <c r="N90" s="94">
        <f t="shared" si="54"/>
        <v>0</v>
      </c>
      <c r="AC90" s="94">
        <f t="shared" si="56"/>
        <v>0</v>
      </c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</row>
    <row r="91" spans="1:70">
      <c r="B91" s="317" t="s">
        <v>237</v>
      </c>
      <c r="C91" s="317"/>
      <c r="D91" s="317"/>
      <c r="E91" s="317"/>
      <c r="F91" s="317"/>
      <c r="G91" s="317"/>
      <c r="H91" s="317"/>
      <c r="I91" s="317"/>
      <c r="J91" s="317"/>
      <c r="K91" s="317"/>
      <c r="L91" s="317"/>
      <c r="M91" s="317"/>
      <c r="N91" s="317">
        <f t="shared" si="54"/>
        <v>0</v>
      </c>
      <c r="Q91" s="317" t="s">
        <v>204</v>
      </c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7">
        <f t="shared" si="56"/>
        <v>0</v>
      </c>
      <c r="AE91" s="316" t="s">
        <v>177</v>
      </c>
      <c r="AF91" s="316"/>
      <c r="AG91" s="316"/>
      <c r="AH91" s="316"/>
      <c r="AI91" s="316"/>
      <c r="AJ91" s="316"/>
      <c r="AK91" s="316"/>
      <c r="AL91" s="316"/>
      <c r="AM91" s="316"/>
      <c r="AN91" s="316"/>
      <c r="AO91" s="316"/>
      <c r="AP91" s="316"/>
      <c r="AQ91" s="92"/>
      <c r="AT91" s="316" t="s">
        <v>178</v>
      </c>
      <c r="AU91" s="316"/>
      <c r="AV91" s="316"/>
      <c r="AW91" s="316"/>
      <c r="AX91" s="316"/>
      <c r="AY91" s="316"/>
      <c r="AZ91" s="316"/>
      <c r="BA91" s="316"/>
      <c r="BB91" s="316"/>
      <c r="BC91" s="316"/>
      <c r="BD91" s="316"/>
      <c r="BE91" s="316"/>
      <c r="BG91" s="316" t="s">
        <v>244</v>
      </c>
      <c r="BH91" s="316"/>
      <c r="BI91" s="316"/>
      <c r="BJ91" s="316"/>
      <c r="BK91" s="316"/>
      <c r="BL91" s="316"/>
      <c r="BM91" s="316"/>
      <c r="BN91" s="316"/>
      <c r="BO91" s="316"/>
      <c r="BP91" s="316"/>
      <c r="BQ91" s="316"/>
      <c r="BR91" s="316"/>
    </row>
    <row r="92" spans="1:70">
      <c r="B92" s="131" t="s">
        <v>163</v>
      </c>
      <c r="C92" s="131" t="s">
        <v>179</v>
      </c>
      <c r="D92" s="131" t="s">
        <v>180</v>
      </c>
      <c r="E92" s="131" t="s">
        <v>181</v>
      </c>
      <c r="F92" s="131" t="s">
        <v>182</v>
      </c>
      <c r="G92" s="131" t="s">
        <v>183</v>
      </c>
      <c r="H92" s="131" t="s">
        <v>184</v>
      </c>
      <c r="I92" s="131" t="s">
        <v>185</v>
      </c>
      <c r="J92" s="131" t="s">
        <v>186</v>
      </c>
      <c r="K92" s="131" t="s">
        <v>187</v>
      </c>
      <c r="L92" s="131" t="s">
        <v>188</v>
      </c>
      <c r="M92" s="131" t="s">
        <v>189</v>
      </c>
      <c r="N92" s="131" t="s">
        <v>160</v>
      </c>
      <c r="Q92" s="131" t="s">
        <v>163</v>
      </c>
      <c r="R92" s="131" t="s">
        <v>179</v>
      </c>
      <c r="S92" s="131" t="s">
        <v>180</v>
      </c>
      <c r="T92" s="131" t="s">
        <v>181</v>
      </c>
      <c r="U92" s="131" t="s">
        <v>182</v>
      </c>
      <c r="V92" s="131" t="s">
        <v>183</v>
      </c>
      <c r="W92" s="131" t="s">
        <v>184</v>
      </c>
      <c r="X92" s="131" t="s">
        <v>185</v>
      </c>
      <c r="Y92" s="131" t="s">
        <v>186</v>
      </c>
      <c r="Z92" s="131" t="s">
        <v>187</v>
      </c>
      <c r="AA92" s="131" t="s">
        <v>188</v>
      </c>
      <c r="AB92" s="131" t="s">
        <v>189</v>
      </c>
      <c r="AC92" s="131">
        <f t="shared" si="56"/>
        <v>0</v>
      </c>
      <c r="AE92" s="131" t="s">
        <v>190</v>
      </c>
      <c r="AF92" s="131" t="s">
        <v>191</v>
      </c>
      <c r="AG92" s="131" t="s">
        <v>192</v>
      </c>
      <c r="AH92" s="131" t="s">
        <v>193</v>
      </c>
      <c r="AI92" s="131" t="s">
        <v>194</v>
      </c>
      <c r="AJ92" s="131" t="s">
        <v>195</v>
      </c>
      <c r="AK92" s="131" t="s">
        <v>196</v>
      </c>
      <c r="AL92" s="131" t="s">
        <v>197</v>
      </c>
      <c r="AM92" s="131" t="s">
        <v>198</v>
      </c>
      <c r="AN92" s="131" t="s">
        <v>199</v>
      </c>
      <c r="AO92" s="131" t="s">
        <v>200</v>
      </c>
      <c r="AP92" s="131" t="s">
        <v>201</v>
      </c>
      <c r="AQ92" s="92"/>
      <c r="AT92" s="131" t="s">
        <v>190</v>
      </c>
      <c r="AU92" s="131" t="s">
        <v>191</v>
      </c>
      <c r="AV92" s="131" t="s">
        <v>238</v>
      </c>
      <c r="AW92" s="131" t="s">
        <v>239</v>
      </c>
      <c r="AX92" s="131" t="s">
        <v>240</v>
      </c>
      <c r="AY92" s="131" t="s">
        <v>195</v>
      </c>
      <c r="AZ92" s="131" t="s">
        <v>196</v>
      </c>
      <c r="BA92" s="131" t="s">
        <v>197</v>
      </c>
      <c r="BB92" s="131" t="s">
        <v>198</v>
      </c>
      <c r="BC92" s="131" t="s">
        <v>199</v>
      </c>
      <c r="BD92" s="131" t="s">
        <v>200</v>
      </c>
      <c r="BE92" s="131" t="s">
        <v>201</v>
      </c>
      <c r="BG92" s="131" t="s">
        <v>190</v>
      </c>
      <c r="BH92" s="131" t="s">
        <v>191</v>
      </c>
      <c r="BI92" s="131" t="s">
        <v>238</v>
      </c>
      <c r="BJ92" s="131" t="s">
        <v>239</v>
      </c>
      <c r="BK92" s="131" t="s">
        <v>240</v>
      </c>
      <c r="BL92" s="131" t="s">
        <v>195</v>
      </c>
      <c r="BM92" s="131" t="s">
        <v>196</v>
      </c>
      <c r="BN92" s="131" t="s">
        <v>197</v>
      </c>
      <c r="BO92" s="131" t="s">
        <v>198</v>
      </c>
      <c r="BP92" s="131" t="s">
        <v>199</v>
      </c>
      <c r="BQ92" s="131" t="s">
        <v>200</v>
      </c>
      <c r="BR92" s="131" t="s">
        <v>201</v>
      </c>
    </row>
    <row r="93" spans="1:70">
      <c r="A93" s="131" t="s">
        <v>119</v>
      </c>
      <c r="B93" s="62">
        <v>0</v>
      </c>
      <c r="C93" s="62">
        <v>333.78999999999996</v>
      </c>
      <c r="D93" s="62">
        <v>1119.19</v>
      </c>
      <c r="E93" s="62">
        <v>595.59000000000015</v>
      </c>
      <c r="F93" s="62">
        <v>71.989999999999782</v>
      </c>
      <c r="G93" s="62">
        <v>333.8</v>
      </c>
      <c r="H93" s="62">
        <v>0</v>
      </c>
      <c r="I93" s="62">
        <v>0</v>
      </c>
      <c r="J93" s="62">
        <v>0</v>
      </c>
      <c r="K93" s="62">
        <v>395.82</v>
      </c>
      <c r="L93" s="62">
        <v>186.38</v>
      </c>
      <c r="M93" s="62">
        <v>0</v>
      </c>
      <c r="N93" s="100">
        <f t="shared" si="54"/>
        <v>3036.5600000000004</v>
      </c>
      <c r="P93" s="131" t="s">
        <v>119</v>
      </c>
      <c r="Q93" s="62">
        <v>40.629999999999939</v>
      </c>
      <c r="R93" s="62">
        <v>278.08000000000015</v>
      </c>
      <c r="S93" s="62">
        <v>258.5299999999998</v>
      </c>
      <c r="T93" s="62">
        <v>165.82999999999998</v>
      </c>
      <c r="U93" s="62">
        <v>92.700000000000045</v>
      </c>
      <c r="V93" s="62">
        <v>571.77</v>
      </c>
      <c r="W93" s="62">
        <v>0</v>
      </c>
      <c r="X93" s="62">
        <v>0</v>
      </c>
      <c r="Y93" s="62">
        <v>0</v>
      </c>
      <c r="Z93" s="62">
        <v>0</v>
      </c>
      <c r="AA93" s="62">
        <v>0</v>
      </c>
      <c r="AB93" s="62">
        <v>219.38999999999987</v>
      </c>
      <c r="AC93" s="100">
        <f t="shared" si="56"/>
        <v>1626.9299999999998</v>
      </c>
      <c r="AE93" s="68">
        <f t="shared" ref="AE93:AE119" si="69">B93/N93</f>
        <v>0</v>
      </c>
      <c r="AF93" s="68">
        <f t="shared" ref="AF93:AF119" si="70">SUM(B93:C93)/$N93</f>
        <v>0.10992372948336272</v>
      </c>
      <c r="AG93" s="68">
        <f t="shared" ref="AG93:AG119" si="71">SUM(B93:D93)/$N93</f>
        <v>0.47849540269252044</v>
      </c>
      <c r="AH93" s="68">
        <f t="shared" ref="AH93:AH119" si="72">SUM(B93:E93)/$N93</f>
        <v>0.6746351134178149</v>
      </c>
      <c r="AI93" s="68">
        <f t="shared" ref="AI93:AI119" si="73">SUM(B93:F93)/$N93</f>
        <v>0.69834286165924586</v>
      </c>
      <c r="AJ93" s="68">
        <f t="shared" ref="AJ93:AJ119" si="74">SUM(B93:G93)/$N93</f>
        <v>0.80826988434280889</v>
      </c>
      <c r="AK93" s="68">
        <f t="shared" ref="AK93:AK119" si="75">SUM(B93:H93)/$N93</f>
        <v>0.80826988434280889</v>
      </c>
      <c r="AL93" s="68">
        <f t="shared" ref="AL93:AL119" si="76">SUM(B93:I93)/$N93</f>
        <v>0.80826988434280889</v>
      </c>
      <c r="AM93" s="68">
        <f t="shared" ref="AM93:AM119" si="77">SUM(B93:J93)/$N93</f>
        <v>0.80826988434280889</v>
      </c>
      <c r="AN93" s="68">
        <f t="shared" ref="AN93:AN119" si="78">SUM(B93:K93)/$N93</f>
        <v>0.9386213346681771</v>
      </c>
      <c r="AO93" s="68">
        <f t="shared" ref="AO93:AO119" si="79">SUM(B93:L93)/$N93</f>
        <v>1</v>
      </c>
      <c r="AP93" s="68">
        <f t="shared" ref="AP93:AP119" si="80">SUM(B93:M93)/$N93</f>
        <v>1</v>
      </c>
      <c r="AQ93" s="92"/>
      <c r="AT93" s="68">
        <f t="shared" si="57"/>
        <v>2.4973416188772683E-2</v>
      </c>
      <c r="AU93" s="68">
        <f t="shared" si="58"/>
        <v>0.19589656592477864</v>
      </c>
      <c r="AV93" s="68">
        <f t="shared" si="59"/>
        <v>0.35480321833145861</v>
      </c>
      <c r="AW93" s="68">
        <f t="shared" si="60"/>
        <v>0.45673138979550443</v>
      </c>
      <c r="AX93" s="68">
        <f t="shared" si="61"/>
        <v>0.51370987073813879</v>
      </c>
      <c r="AY93" s="68">
        <f t="shared" si="62"/>
        <v>0.86515092843576558</v>
      </c>
      <c r="AZ93" s="68">
        <f t="shared" si="63"/>
        <v>0.86515092843576558</v>
      </c>
      <c r="BA93" s="68">
        <f t="shared" si="64"/>
        <v>0.86515092843576558</v>
      </c>
      <c r="BB93" s="68">
        <f t="shared" si="65"/>
        <v>0.86515092843576558</v>
      </c>
      <c r="BC93" s="68">
        <f t="shared" si="66"/>
        <v>0.86515092843576558</v>
      </c>
      <c r="BD93" s="68">
        <f t="shared" si="67"/>
        <v>0.86515092843576558</v>
      </c>
      <c r="BE93" s="68">
        <f t="shared" si="68"/>
        <v>1</v>
      </c>
      <c r="BG93" s="68">
        <f t="shared" si="55"/>
        <v>1.2486708094386342E-2</v>
      </c>
      <c r="BH93" s="68">
        <f t="shared" si="55"/>
        <v>0.15291014770407069</v>
      </c>
      <c r="BI93" s="68">
        <f t="shared" si="55"/>
        <v>0.4166493105119895</v>
      </c>
      <c r="BJ93" s="68">
        <f t="shared" si="53"/>
        <v>0.56568325160665967</v>
      </c>
      <c r="BK93" s="68">
        <f t="shared" si="53"/>
        <v>0.60602636619869232</v>
      </c>
      <c r="BL93" s="68">
        <f t="shared" si="53"/>
        <v>0.83671040638928718</v>
      </c>
      <c r="BM93" s="68">
        <f t="shared" si="53"/>
        <v>0.83671040638928718</v>
      </c>
      <c r="BN93" s="68">
        <f t="shared" si="53"/>
        <v>0.83671040638928718</v>
      </c>
      <c r="BO93" s="68">
        <f t="shared" si="53"/>
        <v>0.83671040638928718</v>
      </c>
      <c r="BP93" s="68">
        <f t="shared" si="53"/>
        <v>0.90188613155197128</v>
      </c>
      <c r="BQ93" s="68">
        <f t="shared" si="53"/>
        <v>0.93257546421788273</v>
      </c>
      <c r="BR93" s="68">
        <f t="shared" si="53"/>
        <v>1</v>
      </c>
    </row>
    <row r="94" spans="1:70">
      <c r="A94" s="131" t="s">
        <v>120</v>
      </c>
      <c r="B94" s="62">
        <v>703.84999999999991</v>
      </c>
      <c r="C94" s="62">
        <v>759.21999999999935</v>
      </c>
      <c r="D94" s="62">
        <v>523.59999999999991</v>
      </c>
      <c r="E94" s="62">
        <v>1396.27</v>
      </c>
      <c r="F94" s="62">
        <v>523.59999999999991</v>
      </c>
      <c r="G94" s="62">
        <v>1256.6500000000001</v>
      </c>
      <c r="H94" s="62">
        <v>0</v>
      </c>
      <c r="I94" s="62">
        <v>0</v>
      </c>
      <c r="J94" s="62">
        <v>1001.53</v>
      </c>
      <c r="K94" s="62">
        <v>0</v>
      </c>
      <c r="L94" s="62">
        <v>0</v>
      </c>
      <c r="M94" s="62">
        <v>0</v>
      </c>
      <c r="N94" s="100">
        <f t="shared" si="54"/>
        <v>6164.7199999999984</v>
      </c>
      <c r="P94" s="131" t="s">
        <v>120</v>
      </c>
      <c r="Q94" s="62">
        <v>568.83999999999992</v>
      </c>
      <c r="R94" s="62">
        <v>406.32000000000039</v>
      </c>
      <c r="S94" s="62">
        <v>376.80999999999995</v>
      </c>
      <c r="T94" s="62">
        <v>279.3</v>
      </c>
      <c r="U94" s="62">
        <v>121.88999999999999</v>
      </c>
      <c r="V94" s="62">
        <v>0</v>
      </c>
      <c r="W94" s="62">
        <v>163.41999999999996</v>
      </c>
      <c r="X94" s="62">
        <v>0</v>
      </c>
      <c r="Y94" s="62">
        <v>0</v>
      </c>
      <c r="Z94" s="62">
        <v>0</v>
      </c>
      <c r="AA94" s="62">
        <v>0</v>
      </c>
      <c r="AB94" s="62">
        <v>0</v>
      </c>
      <c r="AC94" s="100">
        <f t="shared" si="56"/>
        <v>1916.5800000000004</v>
      </c>
      <c r="AE94" s="68">
        <f t="shared" si="69"/>
        <v>0.11417387975447386</v>
      </c>
      <c r="AF94" s="68">
        <f t="shared" si="70"/>
        <v>0.23732951374920511</v>
      </c>
      <c r="AG94" s="68">
        <f t="shared" si="71"/>
        <v>0.32226443374557151</v>
      </c>
      <c r="AH94" s="68">
        <f t="shared" si="72"/>
        <v>0.54875809444711199</v>
      </c>
      <c r="AI94" s="68">
        <f t="shared" si="73"/>
        <v>0.63369301444347836</v>
      </c>
      <c r="AJ94" s="68">
        <f t="shared" si="74"/>
        <v>0.8375384445684475</v>
      </c>
      <c r="AK94" s="68">
        <f t="shared" si="75"/>
        <v>0.8375384445684475</v>
      </c>
      <c r="AL94" s="68">
        <f t="shared" si="76"/>
        <v>0.8375384445684475</v>
      </c>
      <c r="AM94" s="68">
        <f t="shared" si="77"/>
        <v>1</v>
      </c>
      <c r="AN94" s="68">
        <f t="shared" si="78"/>
        <v>1</v>
      </c>
      <c r="AO94" s="68">
        <f t="shared" si="79"/>
        <v>1</v>
      </c>
      <c r="AP94" s="68">
        <f t="shared" si="80"/>
        <v>1</v>
      </c>
      <c r="AQ94" s="92"/>
      <c r="AT94" s="68">
        <f t="shared" si="57"/>
        <v>0.29679950745598921</v>
      </c>
      <c r="AU94" s="68">
        <f t="shared" si="58"/>
        <v>0.50880213714011424</v>
      </c>
      <c r="AV94" s="68">
        <f t="shared" si="59"/>
        <v>0.70540754886307899</v>
      </c>
      <c r="AW94" s="68">
        <f t="shared" si="60"/>
        <v>0.85113587744837149</v>
      </c>
      <c r="AX94" s="68">
        <f t="shared" si="61"/>
        <v>0.9147335357772699</v>
      </c>
      <c r="AY94" s="68">
        <f t="shared" si="62"/>
        <v>0.9147335357772699</v>
      </c>
      <c r="AZ94" s="68">
        <f t="shared" si="63"/>
        <v>1</v>
      </c>
      <c r="BA94" s="68">
        <f t="shared" si="64"/>
        <v>1</v>
      </c>
      <c r="BB94" s="68">
        <f t="shared" si="65"/>
        <v>1</v>
      </c>
      <c r="BC94" s="68">
        <f t="shared" si="66"/>
        <v>1</v>
      </c>
      <c r="BD94" s="68">
        <f t="shared" si="67"/>
        <v>1</v>
      </c>
      <c r="BE94" s="68">
        <f t="shared" si="68"/>
        <v>1</v>
      </c>
      <c r="BG94" s="68">
        <f t="shared" si="55"/>
        <v>0.20548669360523153</v>
      </c>
      <c r="BH94" s="68">
        <f t="shared" si="55"/>
        <v>0.37306582544465966</v>
      </c>
      <c r="BI94" s="68">
        <f t="shared" si="55"/>
        <v>0.51383599130432522</v>
      </c>
      <c r="BJ94" s="68">
        <f t="shared" si="53"/>
        <v>0.69994698594774174</v>
      </c>
      <c r="BK94" s="68">
        <f t="shared" si="53"/>
        <v>0.77421327511037408</v>
      </c>
      <c r="BL94" s="68">
        <f t="shared" si="53"/>
        <v>0.8761359901728587</v>
      </c>
      <c r="BM94" s="68">
        <f t="shared" si="53"/>
        <v>0.91876922228422375</v>
      </c>
      <c r="BN94" s="68">
        <f t="shared" si="53"/>
        <v>0.91876922228422375</v>
      </c>
      <c r="BO94" s="68">
        <f t="shared" si="53"/>
        <v>1</v>
      </c>
      <c r="BP94" s="68">
        <f t="shared" si="53"/>
        <v>1</v>
      </c>
      <c r="BQ94" s="68">
        <f t="shared" si="53"/>
        <v>1</v>
      </c>
      <c r="BR94" s="68">
        <f t="shared" si="53"/>
        <v>1</v>
      </c>
    </row>
    <row r="95" spans="1:70">
      <c r="A95" s="131" t="s">
        <v>121</v>
      </c>
      <c r="B95" s="62">
        <v>1151.9100000000001</v>
      </c>
      <c r="C95" s="62">
        <v>523.60000000000036</v>
      </c>
      <c r="D95" s="62">
        <v>759.22</v>
      </c>
      <c r="E95" s="62">
        <v>733.15999999999985</v>
      </c>
      <c r="F95" s="62">
        <v>894.69</v>
      </c>
      <c r="G95" s="62">
        <v>272.54000000000002</v>
      </c>
      <c r="H95" s="62">
        <v>0</v>
      </c>
      <c r="I95" s="62">
        <v>0</v>
      </c>
      <c r="J95" s="62">
        <v>0</v>
      </c>
      <c r="K95" s="62">
        <v>540</v>
      </c>
      <c r="L95" s="62">
        <v>603.36</v>
      </c>
      <c r="M95" s="62">
        <v>262.02</v>
      </c>
      <c r="N95" s="100">
        <f t="shared" si="54"/>
        <v>5740.5</v>
      </c>
      <c r="P95" s="131" t="s">
        <v>121</v>
      </c>
      <c r="Q95" s="62">
        <v>495.85000000000008</v>
      </c>
      <c r="R95" s="62">
        <v>231.74999999999983</v>
      </c>
      <c r="S95" s="62">
        <v>73.139999999999986</v>
      </c>
      <c r="T95" s="62">
        <v>357.5499999999999</v>
      </c>
      <c r="U95" s="62">
        <v>73.129999999999768</v>
      </c>
      <c r="V95" s="62">
        <v>658.22</v>
      </c>
      <c r="W95" s="62">
        <v>251.92000000000019</v>
      </c>
      <c r="X95" s="62">
        <v>162.5300000000002</v>
      </c>
      <c r="Y95" s="62">
        <v>481.12999999999994</v>
      </c>
      <c r="Z95" s="62">
        <v>65.009999999999991</v>
      </c>
      <c r="AA95" s="62">
        <v>137.12999999999994</v>
      </c>
      <c r="AB95" s="62">
        <v>156.08999999999992</v>
      </c>
      <c r="AC95" s="100">
        <f t="shared" si="56"/>
        <v>3143.4500000000007</v>
      </c>
      <c r="AE95" s="68">
        <f t="shared" si="69"/>
        <v>0.20066370525215574</v>
      </c>
      <c r="AF95" s="68">
        <f t="shared" si="70"/>
        <v>0.2918752721888338</v>
      </c>
      <c r="AG95" s="68">
        <f t="shared" si="71"/>
        <v>0.42413204424701689</v>
      </c>
      <c r="AH95" s="68">
        <f t="shared" si="72"/>
        <v>0.55184914206079616</v>
      </c>
      <c r="AI95" s="68">
        <f t="shared" si="73"/>
        <v>0.7077049037540285</v>
      </c>
      <c r="AJ95" s="68">
        <f t="shared" si="74"/>
        <v>0.7551816043898617</v>
      </c>
      <c r="AK95" s="68">
        <f t="shared" si="75"/>
        <v>0.7551816043898617</v>
      </c>
      <c r="AL95" s="68">
        <f t="shared" si="76"/>
        <v>0.7551816043898617</v>
      </c>
      <c r="AM95" s="68">
        <f t="shared" si="77"/>
        <v>0.7551816043898617</v>
      </c>
      <c r="AN95" s="68">
        <f t="shared" si="78"/>
        <v>0.84925006532532021</v>
      </c>
      <c r="AO95" s="68">
        <f t="shared" si="79"/>
        <v>0.95435589234387252</v>
      </c>
      <c r="AP95" s="68">
        <f t="shared" si="80"/>
        <v>1</v>
      </c>
      <c r="AQ95" s="92"/>
      <c r="AT95" s="68">
        <f t="shared" si="57"/>
        <v>0.157740698913614</v>
      </c>
      <c r="AU95" s="68">
        <f t="shared" si="58"/>
        <v>0.23146542811242415</v>
      </c>
      <c r="AV95" s="68">
        <f t="shared" si="59"/>
        <v>0.25473285721102601</v>
      </c>
      <c r="AW95" s="68">
        <f t="shared" si="60"/>
        <v>0.3684773099619843</v>
      </c>
      <c r="AX95" s="68">
        <f t="shared" si="61"/>
        <v>0.3917415578424977</v>
      </c>
      <c r="AY95" s="68">
        <f t="shared" si="62"/>
        <v>0.60113569485756069</v>
      </c>
      <c r="AZ95" s="68">
        <f t="shared" si="63"/>
        <v>0.68127694094068603</v>
      </c>
      <c r="BA95" s="68">
        <f t="shared" si="64"/>
        <v>0.7329812785315496</v>
      </c>
      <c r="BB95" s="68">
        <f t="shared" si="65"/>
        <v>0.88603922441902994</v>
      </c>
      <c r="BC95" s="68">
        <f t="shared" si="66"/>
        <v>0.90672032321175777</v>
      </c>
      <c r="BD95" s="68">
        <f t="shared" si="67"/>
        <v>0.95034436685806989</v>
      </c>
      <c r="BE95" s="68">
        <f t="shared" si="68"/>
        <v>1</v>
      </c>
      <c r="BG95" s="68">
        <f t="shared" si="55"/>
        <v>0.17920220208288487</v>
      </c>
      <c r="BH95" s="68">
        <f t="shared" si="55"/>
        <v>0.26167035015062901</v>
      </c>
      <c r="BI95" s="68">
        <f t="shared" si="55"/>
        <v>0.33943245072902145</v>
      </c>
      <c r="BJ95" s="68">
        <f t="shared" si="53"/>
        <v>0.46016322601139026</v>
      </c>
      <c r="BK95" s="68">
        <f t="shared" si="53"/>
        <v>0.54972323079826313</v>
      </c>
      <c r="BL95" s="68">
        <f t="shared" si="53"/>
        <v>0.6781586496237112</v>
      </c>
      <c r="BM95" s="68">
        <f t="shared" si="53"/>
        <v>0.71822927266527392</v>
      </c>
      <c r="BN95" s="68">
        <f t="shared" si="53"/>
        <v>0.74408144146070565</v>
      </c>
      <c r="BO95" s="68">
        <f t="shared" si="53"/>
        <v>0.82061041440444582</v>
      </c>
      <c r="BP95" s="68">
        <f t="shared" si="53"/>
        <v>0.87798519426853905</v>
      </c>
      <c r="BQ95" s="68">
        <f t="shared" si="53"/>
        <v>0.95235012960097121</v>
      </c>
      <c r="BR95" s="68">
        <f t="shared" si="53"/>
        <v>1</v>
      </c>
    </row>
    <row r="96" spans="1:70">
      <c r="A96" s="131" t="s">
        <v>122</v>
      </c>
      <c r="B96" s="62">
        <v>2573.0200000000004</v>
      </c>
      <c r="C96" s="62">
        <v>2121.4700000000003</v>
      </c>
      <c r="D96" s="62">
        <v>3382.59</v>
      </c>
      <c r="E96" s="62">
        <v>1613.3499999999995</v>
      </c>
      <c r="F96" s="62">
        <v>1551.88</v>
      </c>
      <c r="G96" s="62">
        <v>2929.96</v>
      </c>
      <c r="H96" s="62">
        <v>1288.98</v>
      </c>
      <c r="I96" s="62">
        <v>936.78</v>
      </c>
      <c r="J96" s="62">
        <v>810.02</v>
      </c>
      <c r="K96" s="62">
        <v>725.83</v>
      </c>
      <c r="L96" s="62">
        <v>374.03</v>
      </c>
      <c r="M96" s="62">
        <v>3668.49</v>
      </c>
      <c r="N96" s="100">
        <f t="shared" si="54"/>
        <v>21976.400000000001</v>
      </c>
      <c r="P96" s="131" t="s">
        <v>122</v>
      </c>
      <c r="Q96" s="62">
        <v>3263.19</v>
      </c>
      <c r="R96" s="62">
        <v>2585.71</v>
      </c>
      <c r="S96" s="62">
        <v>3208.86</v>
      </c>
      <c r="T96" s="62">
        <v>3547.8700000000003</v>
      </c>
      <c r="U96" s="62">
        <v>3504.45</v>
      </c>
      <c r="V96" s="62">
        <v>2647.3300000000004</v>
      </c>
      <c r="W96" s="62">
        <v>597.29999999999995</v>
      </c>
      <c r="X96" s="62">
        <v>3665.1499999999996</v>
      </c>
      <c r="Y96" s="62">
        <v>461.40999999999997</v>
      </c>
      <c r="Z96" s="62">
        <v>286.33000000000004</v>
      </c>
      <c r="AA96" s="62">
        <v>2014.5</v>
      </c>
      <c r="AB96" s="62">
        <v>779.2399999999999</v>
      </c>
      <c r="AC96" s="100">
        <f t="shared" si="56"/>
        <v>26561.340000000004</v>
      </c>
      <c r="AE96" s="68">
        <f t="shared" si="69"/>
        <v>0.11708105058153292</v>
      </c>
      <c r="AF96" s="68">
        <f t="shared" si="70"/>
        <v>0.21361505979141263</v>
      </c>
      <c r="AG96" s="68">
        <f t="shared" si="71"/>
        <v>0.36753426402868533</v>
      </c>
      <c r="AH96" s="68">
        <f t="shared" si="72"/>
        <v>0.44094710689648897</v>
      </c>
      <c r="AI96" s="68">
        <f t="shared" si="73"/>
        <v>0.51156285833894544</v>
      </c>
      <c r="AJ96" s="68">
        <f t="shared" si="74"/>
        <v>0.64488587757776517</v>
      </c>
      <c r="AK96" s="68">
        <f t="shared" si="75"/>
        <v>0.70353879616315684</v>
      </c>
      <c r="AL96" s="68">
        <f t="shared" si="76"/>
        <v>0.74616543200888219</v>
      </c>
      <c r="AM96" s="68">
        <f t="shared" si="77"/>
        <v>0.78302406217578846</v>
      </c>
      <c r="AN96" s="68">
        <f t="shared" si="78"/>
        <v>0.81605176462022899</v>
      </c>
      <c r="AO96" s="68">
        <f t="shared" si="79"/>
        <v>0.83307138566826222</v>
      </c>
      <c r="AP96" s="68">
        <f t="shared" si="80"/>
        <v>1</v>
      </c>
      <c r="AQ96" s="92"/>
      <c r="AT96" s="68">
        <f t="shared" si="57"/>
        <v>0.12285487102683824</v>
      </c>
      <c r="AU96" s="68">
        <f t="shared" si="58"/>
        <v>0.22020349876926384</v>
      </c>
      <c r="AV96" s="68">
        <f t="shared" si="59"/>
        <v>0.34101291576403897</v>
      </c>
      <c r="AW96" s="68">
        <f t="shared" si="60"/>
        <v>0.47458561955082085</v>
      </c>
      <c r="AX96" s="68">
        <f t="shared" si="61"/>
        <v>0.60652361665488264</v>
      </c>
      <c r="AY96" s="68">
        <f t="shared" si="62"/>
        <v>0.7061921574739829</v>
      </c>
      <c r="AZ96" s="68">
        <f t="shared" si="63"/>
        <v>0.72867972775469914</v>
      </c>
      <c r="BA96" s="68">
        <f t="shared" si="64"/>
        <v>0.86666787142516144</v>
      </c>
      <c r="BB96" s="68">
        <f t="shared" si="65"/>
        <v>0.8840393594600271</v>
      </c>
      <c r="BC96" s="68">
        <f t="shared" si="66"/>
        <v>0.89481931257986225</v>
      </c>
      <c r="BD96" s="68">
        <f t="shared" si="67"/>
        <v>0.97066262470191633</v>
      </c>
      <c r="BE96" s="68">
        <f t="shared" si="68"/>
        <v>1</v>
      </c>
      <c r="BG96" s="68">
        <f t="shared" si="55"/>
        <v>0.11996796080418559</v>
      </c>
      <c r="BH96" s="68">
        <f t="shared" si="55"/>
        <v>0.21690927928033824</v>
      </c>
      <c r="BI96" s="68">
        <f t="shared" si="55"/>
        <v>0.35427358989636215</v>
      </c>
      <c r="BJ96" s="68">
        <f t="shared" si="53"/>
        <v>0.45776636322365494</v>
      </c>
      <c r="BK96" s="68">
        <f t="shared" si="53"/>
        <v>0.55904323749691409</v>
      </c>
      <c r="BL96" s="68">
        <f t="shared" si="53"/>
        <v>0.67553901752587397</v>
      </c>
      <c r="BM96" s="68">
        <f t="shared" si="53"/>
        <v>0.71610926195892799</v>
      </c>
      <c r="BN96" s="68">
        <f t="shared" si="53"/>
        <v>0.80641665171702182</v>
      </c>
      <c r="BO96" s="68">
        <f t="shared" si="53"/>
        <v>0.83353171081790778</v>
      </c>
      <c r="BP96" s="68">
        <f t="shared" si="53"/>
        <v>0.85543553860004562</v>
      </c>
      <c r="BQ96" s="68">
        <f t="shared" si="53"/>
        <v>0.90186700518508922</v>
      </c>
      <c r="BR96" s="68">
        <f t="shared" si="53"/>
        <v>1</v>
      </c>
    </row>
    <row r="97" spans="1:70">
      <c r="A97" s="131" t="s">
        <v>123</v>
      </c>
      <c r="B97" s="62">
        <v>4167.29</v>
      </c>
      <c r="C97" s="62">
        <v>6240.630000000001</v>
      </c>
      <c r="D97" s="62">
        <v>3113.48</v>
      </c>
      <c r="E97" s="62">
        <v>2672.57</v>
      </c>
      <c r="F97" s="62">
        <v>7408.0700000000006</v>
      </c>
      <c r="G97" s="62">
        <v>8761.0400000000009</v>
      </c>
      <c r="H97" s="62">
        <v>3660.4299999999994</v>
      </c>
      <c r="I97" s="62">
        <v>4804.63</v>
      </c>
      <c r="J97" s="62">
        <v>2169.67</v>
      </c>
      <c r="K97" s="62">
        <v>1607.29</v>
      </c>
      <c r="L97" s="62">
        <v>1257.58</v>
      </c>
      <c r="M97" s="62">
        <v>1653.88</v>
      </c>
      <c r="N97" s="100">
        <f t="shared" si="54"/>
        <v>47516.56</v>
      </c>
      <c r="P97" s="131" t="s">
        <v>123</v>
      </c>
      <c r="Q97" s="62">
        <v>6527.3700000000017</v>
      </c>
      <c r="R97" s="62">
        <v>7348.0700000000033</v>
      </c>
      <c r="S97" s="62">
        <v>3359.1799999999989</v>
      </c>
      <c r="T97" s="62">
        <v>1616.1300000000006</v>
      </c>
      <c r="U97" s="62">
        <v>3418.76</v>
      </c>
      <c r="V97" s="62">
        <v>1135.0999999999985</v>
      </c>
      <c r="W97" s="62">
        <v>3106.3299999999995</v>
      </c>
      <c r="X97" s="62">
        <v>2240.5300000000002</v>
      </c>
      <c r="Y97" s="62">
        <v>2718.09</v>
      </c>
      <c r="Z97" s="62">
        <v>2200.12</v>
      </c>
      <c r="AA97" s="62">
        <v>1419.3799999999999</v>
      </c>
      <c r="AB97" s="62">
        <v>913.04000000000019</v>
      </c>
      <c r="AC97" s="100">
        <f t="shared" si="56"/>
        <v>36002.100000000006</v>
      </c>
      <c r="AE97" s="68">
        <f t="shared" si="69"/>
        <v>8.770184541978629E-2</v>
      </c>
      <c r="AF97" s="68">
        <f t="shared" si="70"/>
        <v>0.21903774178938884</v>
      </c>
      <c r="AG97" s="68">
        <f t="shared" si="71"/>
        <v>0.28456184538611384</v>
      </c>
      <c r="AH97" s="68">
        <f t="shared" si="72"/>
        <v>0.34080686817395878</v>
      </c>
      <c r="AI97" s="68">
        <f t="shared" si="73"/>
        <v>0.49671188318346282</v>
      </c>
      <c r="AJ97" s="68">
        <f t="shared" si="74"/>
        <v>0.68109055032603383</v>
      </c>
      <c r="AK97" s="68">
        <f t="shared" si="75"/>
        <v>0.75812537776303679</v>
      </c>
      <c r="AL97" s="68">
        <f t="shared" si="76"/>
        <v>0.85924023119518755</v>
      </c>
      <c r="AM97" s="68">
        <f t="shared" si="77"/>
        <v>0.9049015753665669</v>
      </c>
      <c r="AN97" s="68">
        <f t="shared" si="78"/>
        <v>0.93872746680315244</v>
      </c>
      <c r="AO97" s="68">
        <f t="shared" si="79"/>
        <v>0.96519360829150935</v>
      </c>
      <c r="AP97" s="68">
        <f t="shared" si="80"/>
        <v>1</v>
      </c>
      <c r="AQ97" s="92"/>
      <c r="AT97" s="68">
        <f t="shared" si="57"/>
        <v>0.1813052571933304</v>
      </c>
      <c r="AU97" s="68">
        <f t="shared" si="58"/>
        <v>0.38540640684848948</v>
      </c>
      <c r="AV97" s="68">
        <f t="shared" si="59"/>
        <v>0.47871151960580088</v>
      </c>
      <c r="AW97" s="68">
        <f t="shared" si="60"/>
        <v>0.52360140102938446</v>
      </c>
      <c r="AX97" s="68">
        <f t="shared" si="61"/>
        <v>0.61856141725066049</v>
      </c>
      <c r="AY97" s="68">
        <f t="shared" si="62"/>
        <v>0.6500901336310938</v>
      </c>
      <c r="AZ97" s="68">
        <f t="shared" si="63"/>
        <v>0.73637204496404385</v>
      </c>
      <c r="BA97" s="68">
        <f t="shared" si="64"/>
        <v>0.7986053591318284</v>
      </c>
      <c r="BB97" s="68">
        <f t="shared" si="65"/>
        <v>0.87410345507623166</v>
      </c>
      <c r="BC97" s="68">
        <f t="shared" si="66"/>
        <v>0.93521433471936366</v>
      </c>
      <c r="BD97" s="68">
        <f t="shared" si="67"/>
        <v>0.97463925715444377</v>
      </c>
      <c r="BE97" s="68">
        <f t="shared" si="68"/>
        <v>1</v>
      </c>
      <c r="BG97" s="68">
        <f t="shared" si="55"/>
        <v>0.13450355130655833</v>
      </c>
      <c r="BH97" s="68">
        <f t="shared" si="55"/>
        <v>0.30222207431893916</v>
      </c>
      <c r="BI97" s="68">
        <f t="shared" si="55"/>
        <v>0.38163668249595739</v>
      </c>
      <c r="BJ97" s="68">
        <f t="shared" si="53"/>
        <v>0.43220413460167162</v>
      </c>
      <c r="BK97" s="68">
        <f t="shared" si="53"/>
        <v>0.55763665021706166</v>
      </c>
      <c r="BL97" s="68">
        <f t="shared" si="53"/>
        <v>0.66559034197856382</v>
      </c>
      <c r="BM97" s="68">
        <f t="shared" ref="BM97:BR142" si="81">(AK97+AZ97)/2</f>
        <v>0.74724871136354032</v>
      </c>
      <c r="BN97" s="68">
        <f t="shared" si="81"/>
        <v>0.82892279516350797</v>
      </c>
      <c r="BO97" s="68">
        <f t="shared" si="81"/>
        <v>0.88950251522139934</v>
      </c>
      <c r="BP97" s="68">
        <f t="shared" si="81"/>
        <v>0.93697090076125811</v>
      </c>
      <c r="BQ97" s="68">
        <f t="shared" si="81"/>
        <v>0.96991643272297656</v>
      </c>
      <c r="BR97" s="68">
        <f t="shared" si="81"/>
        <v>1</v>
      </c>
    </row>
    <row r="98" spans="1:70">
      <c r="A98" s="131" t="s">
        <v>124</v>
      </c>
      <c r="B98" s="62">
        <v>1585.4399999999989</v>
      </c>
      <c r="C98" s="62">
        <v>1605.3800000000024</v>
      </c>
      <c r="D98" s="62">
        <v>2290.2800000000016</v>
      </c>
      <c r="E98" s="62">
        <v>2880.97</v>
      </c>
      <c r="F98" s="62">
        <v>1891.3899999999994</v>
      </c>
      <c r="G98" s="62">
        <v>854.69</v>
      </c>
      <c r="H98" s="62">
        <v>1277.1599999999999</v>
      </c>
      <c r="I98" s="62">
        <v>1378.77</v>
      </c>
      <c r="J98" s="62">
        <v>1957.81</v>
      </c>
      <c r="K98" s="62">
        <v>2670.7</v>
      </c>
      <c r="L98" s="62">
        <v>2554.86</v>
      </c>
      <c r="M98" s="62">
        <v>794.91</v>
      </c>
      <c r="N98" s="100">
        <f t="shared" si="54"/>
        <v>21742.360000000004</v>
      </c>
      <c r="P98" s="131" t="s">
        <v>124</v>
      </c>
      <c r="Q98" s="62">
        <v>688.06999999999925</v>
      </c>
      <c r="R98" s="62">
        <v>1710.4300000000021</v>
      </c>
      <c r="S98" s="62">
        <v>5471.48</v>
      </c>
      <c r="T98" s="62">
        <v>2612.1299999999992</v>
      </c>
      <c r="U98" s="62">
        <v>1824.3899999999999</v>
      </c>
      <c r="V98" s="62">
        <v>2320.2700000000009</v>
      </c>
      <c r="W98" s="62">
        <v>923.94999999999982</v>
      </c>
      <c r="X98" s="62">
        <v>1130.9099999999999</v>
      </c>
      <c r="Y98" s="62">
        <v>164.76000000000002</v>
      </c>
      <c r="Z98" s="62">
        <v>301.41999999999996</v>
      </c>
      <c r="AA98" s="62">
        <v>359.79999999999995</v>
      </c>
      <c r="AB98" s="62">
        <v>1302.1699999999996</v>
      </c>
      <c r="AC98" s="100">
        <f t="shared" si="56"/>
        <v>18809.779999999995</v>
      </c>
      <c r="AE98" s="68">
        <f t="shared" si="69"/>
        <v>7.2919407092882221E-2</v>
      </c>
      <c r="AF98" s="68">
        <f t="shared" si="70"/>
        <v>0.14675591794083076</v>
      </c>
      <c r="AG98" s="68">
        <f t="shared" si="71"/>
        <v>0.25209314904177843</v>
      </c>
      <c r="AH98" s="68">
        <f t="shared" si="72"/>
        <v>0.38459808410862489</v>
      </c>
      <c r="AI98" s="68">
        <f t="shared" si="73"/>
        <v>0.4715891007231966</v>
      </c>
      <c r="AJ98" s="68">
        <f t="shared" si="74"/>
        <v>0.51089900084443463</v>
      </c>
      <c r="AK98" s="68">
        <f t="shared" si="75"/>
        <v>0.56963963433592313</v>
      </c>
      <c r="AL98" s="68">
        <f t="shared" si="76"/>
        <v>0.63305363355219957</v>
      </c>
      <c r="AM98" s="68">
        <f t="shared" si="77"/>
        <v>0.72309951633585312</v>
      </c>
      <c r="AN98" s="68">
        <f t="shared" si="78"/>
        <v>0.84593346812397552</v>
      </c>
      <c r="AO98" s="68">
        <f t="shared" si="79"/>
        <v>0.96343957141727021</v>
      </c>
      <c r="AP98" s="68">
        <f t="shared" si="80"/>
        <v>1</v>
      </c>
      <c r="AQ98" s="92"/>
      <c r="AT98" s="68">
        <f t="shared" si="57"/>
        <v>3.6580438474027845E-2</v>
      </c>
      <c r="AU98" s="68">
        <f t="shared" si="58"/>
        <v>0.1275134531079046</v>
      </c>
      <c r="AV98" s="68">
        <f t="shared" si="59"/>
        <v>0.41839830130921274</v>
      </c>
      <c r="AW98" s="68">
        <f t="shared" si="60"/>
        <v>0.55726914403039285</v>
      </c>
      <c r="AX98" s="68">
        <f t="shared" si="61"/>
        <v>0.65426070905667177</v>
      </c>
      <c r="AY98" s="68">
        <f t="shared" si="62"/>
        <v>0.77761515552016047</v>
      </c>
      <c r="AZ98" s="68">
        <f t="shared" si="63"/>
        <v>0.82673587888853595</v>
      </c>
      <c r="BA98" s="68">
        <f t="shared" si="64"/>
        <v>0.88685938910502971</v>
      </c>
      <c r="BB98" s="68">
        <f t="shared" si="65"/>
        <v>0.89561866220657571</v>
      </c>
      <c r="BC98" s="68">
        <f t="shared" si="66"/>
        <v>0.91164330470638155</v>
      </c>
      <c r="BD98" s="68">
        <f t="shared" si="67"/>
        <v>0.93077165176838861</v>
      </c>
      <c r="BE98" s="68">
        <f t="shared" si="68"/>
        <v>1</v>
      </c>
      <c r="BG98" s="68">
        <f t="shared" si="55"/>
        <v>5.4749922783455029E-2</v>
      </c>
      <c r="BH98" s="68">
        <f t="shared" si="55"/>
        <v>0.13713468552436769</v>
      </c>
      <c r="BI98" s="68">
        <f t="shared" si="55"/>
        <v>0.33524572517549556</v>
      </c>
      <c r="BJ98" s="68">
        <f t="shared" si="55"/>
        <v>0.47093361406950884</v>
      </c>
      <c r="BK98" s="68">
        <f t="shared" si="55"/>
        <v>0.56292490488993419</v>
      </c>
      <c r="BL98" s="68">
        <f t="shared" si="55"/>
        <v>0.6442570781822976</v>
      </c>
      <c r="BM98" s="68">
        <f t="shared" si="81"/>
        <v>0.69818775661222954</v>
      </c>
      <c r="BN98" s="68">
        <f t="shared" si="81"/>
        <v>0.75995651132861464</v>
      </c>
      <c r="BO98" s="68">
        <f t="shared" si="81"/>
        <v>0.80935908927121436</v>
      </c>
      <c r="BP98" s="68">
        <f t="shared" si="81"/>
        <v>0.87878838641517854</v>
      </c>
      <c r="BQ98" s="68">
        <f t="shared" si="81"/>
        <v>0.94710561159282936</v>
      </c>
      <c r="BR98" s="68">
        <f t="shared" si="81"/>
        <v>1</v>
      </c>
    </row>
    <row r="99" spans="1:70">
      <c r="A99" s="131" t="s">
        <v>125</v>
      </c>
      <c r="B99" s="62">
        <v>7338.9299999999994</v>
      </c>
      <c r="C99" s="62">
        <v>2279.0900000000038</v>
      </c>
      <c r="D99" s="62">
        <v>3110.119999999999</v>
      </c>
      <c r="E99" s="62">
        <v>3230.8899999999985</v>
      </c>
      <c r="F99" s="62">
        <v>3119.5200000000013</v>
      </c>
      <c r="G99" s="62">
        <v>4198.95</v>
      </c>
      <c r="H99" s="62">
        <v>3405.2500000000005</v>
      </c>
      <c r="I99" s="62">
        <v>428.40000000000003</v>
      </c>
      <c r="J99" s="62">
        <v>1534.78</v>
      </c>
      <c r="K99" s="62">
        <v>1913.46</v>
      </c>
      <c r="L99" s="62">
        <v>2613.8000000000002</v>
      </c>
      <c r="M99" s="62">
        <v>732.16</v>
      </c>
      <c r="N99" s="100">
        <f t="shared" si="54"/>
        <v>33905.350000000006</v>
      </c>
      <c r="P99" s="131" t="s">
        <v>125</v>
      </c>
      <c r="Q99" s="62">
        <v>1554.85</v>
      </c>
      <c r="R99" s="62">
        <v>1360.2899999999991</v>
      </c>
      <c r="S99" s="62">
        <v>870.56999999999971</v>
      </c>
      <c r="T99" s="62">
        <v>2848.1200000000003</v>
      </c>
      <c r="U99" s="62">
        <v>2872.7</v>
      </c>
      <c r="V99" s="62">
        <v>859.95999999999958</v>
      </c>
      <c r="W99" s="62">
        <v>2176.6999999999994</v>
      </c>
      <c r="X99" s="62">
        <v>2153.14</v>
      </c>
      <c r="Y99" s="62">
        <v>2744.5</v>
      </c>
      <c r="Z99" s="62">
        <v>3174.21</v>
      </c>
      <c r="AA99" s="62">
        <v>593.86999999999989</v>
      </c>
      <c r="AB99" s="62">
        <v>1531.49</v>
      </c>
      <c r="AC99" s="100">
        <f t="shared" si="56"/>
        <v>22740.399999999994</v>
      </c>
      <c r="AE99" s="68">
        <f t="shared" si="69"/>
        <v>0.21645345056163698</v>
      </c>
      <c r="AF99" s="68">
        <f t="shared" si="70"/>
        <v>0.28367263573447854</v>
      </c>
      <c r="AG99" s="68">
        <f t="shared" si="71"/>
        <v>0.375402112056062</v>
      </c>
      <c r="AH99" s="68">
        <f t="shared" si="72"/>
        <v>0.47069356311024663</v>
      </c>
      <c r="AI99" s="68">
        <f t="shared" si="73"/>
        <v>0.56270028181393206</v>
      </c>
      <c r="AJ99" s="68">
        <f t="shared" si="74"/>
        <v>0.68654356908275538</v>
      </c>
      <c r="AK99" s="68">
        <f t="shared" si="75"/>
        <v>0.78697757138622659</v>
      </c>
      <c r="AL99" s="68">
        <f t="shared" si="76"/>
        <v>0.79961274548117034</v>
      </c>
      <c r="AM99" s="68">
        <f t="shared" si="77"/>
        <v>0.84487934794951236</v>
      </c>
      <c r="AN99" s="68">
        <f t="shared" si="78"/>
        <v>0.90131468927470137</v>
      </c>
      <c r="AO99" s="68">
        <f t="shared" si="79"/>
        <v>0.9784057678213024</v>
      </c>
      <c r="AP99" s="68">
        <f t="shared" si="80"/>
        <v>1</v>
      </c>
      <c r="AQ99" s="92"/>
      <c r="AT99" s="68">
        <f t="shared" si="57"/>
        <v>6.8373907231183279E-2</v>
      </c>
      <c r="AU99" s="68">
        <f t="shared" si="58"/>
        <v>0.12819211623366342</v>
      </c>
      <c r="AV99" s="68">
        <f t="shared" si="59"/>
        <v>0.1664750839914865</v>
      </c>
      <c r="AW99" s="68">
        <f t="shared" si="60"/>
        <v>0.29172002251499535</v>
      </c>
      <c r="AX99" s="68">
        <f t="shared" si="61"/>
        <v>0.41804585671316252</v>
      </c>
      <c r="AY99" s="68">
        <f t="shared" si="62"/>
        <v>0.4558622539621115</v>
      </c>
      <c r="AZ99" s="68">
        <f t="shared" si="63"/>
        <v>0.55158176637174372</v>
      </c>
      <c r="BA99" s="68">
        <f t="shared" si="64"/>
        <v>0.64626523719899387</v>
      </c>
      <c r="BB99" s="68">
        <f t="shared" si="65"/>
        <v>0.76695352764243363</v>
      </c>
      <c r="BC99" s="68">
        <f t="shared" si="66"/>
        <v>0.90653814356827489</v>
      </c>
      <c r="BD99" s="68">
        <f t="shared" si="67"/>
        <v>0.93265333943114448</v>
      </c>
      <c r="BE99" s="68">
        <f t="shared" si="68"/>
        <v>1</v>
      </c>
      <c r="BG99" s="68">
        <f t="shared" si="55"/>
        <v>0.14241367889641013</v>
      </c>
      <c r="BH99" s="68">
        <f t="shared" si="55"/>
        <v>0.20593237598407099</v>
      </c>
      <c r="BI99" s="68">
        <f t="shared" si="55"/>
        <v>0.27093859802377424</v>
      </c>
      <c r="BJ99" s="68">
        <f t="shared" si="55"/>
        <v>0.38120679281262099</v>
      </c>
      <c r="BK99" s="68">
        <f t="shared" si="55"/>
        <v>0.49037306926354729</v>
      </c>
      <c r="BL99" s="68">
        <f t="shared" si="55"/>
        <v>0.57120291152243341</v>
      </c>
      <c r="BM99" s="68">
        <f t="shared" si="81"/>
        <v>0.66927966887898516</v>
      </c>
      <c r="BN99" s="68">
        <f t="shared" si="81"/>
        <v>0.7229389913400821</v>
      </c>
      <c r="BO99" s="68">
        <f t="shared" si="81"/>
        <v>0.805916437795973</v>
      </c>
      <c r="BP99" s="68">
        <f t="shared" si="81"/>
        <v>0.90392641642148819</v>
      </c>
      <c r="BQ99" s="68">
        <f t="shared" si="81"/>
        <v>0.95552955362622338</v>
      </c>
      <c r="BR99" s="68">
        <f t="shared" si="81"/>
        <v>1</v>
      </c>
    </row>
    <row r="100" spans="1:70">
      <c r="A100" s="131" t="s">
        <v>126</v>
      </c>
      <c r="B100" s="62">
        <v>4108.2800000000007</v>
      </c>
      <c r="C100" s="62">
        <v>2879.7800000000025</v>
      </c>
      <c r="D100" s="62">
        <v>1172.1100000000006</v>
      </c>
      <c r="E100" s="62">
        <v>1979.4600000000009</v>
      </c>
      <c r="F100" s="62">
        <v>654.5</v>
      </c>
      <c r="G100" s="62">
        <v>1802.89</v>
      </c>
      <c r="H100" s="62">
        <v>1570.8099999999995</v>
      </c>
      <c r="I100" s="62">
        <v>3645.75</v>
      </c>
      <c r="J100" s="62">
        <v>2673.8799999999997</v>
      </c>
      <c r="K100" s="62">
        <v>3042.6</v>
      </c>
      <c r="L100" s="62">
        <v>3406.92</v>
      </c>
      <c r="M100" s="62">
        <v>4779.04</v>
      </c>
      <c r="N100" s="100">
        <f t="shared" si="54"/>
        <v>31716.020000000004</v>
      </c>
      <c r="P100" s="131" t="s">
        <v>126</v>
      </c>
      <c r="Q100" s="62">
        <v>3074.4199999999996</v>
      </c>
      <c r="R100" s="62">
        <v>560.70000000000346</v>
      </c>
      <c r="S100" s="62">
        <v>1213.5800000000004</v>
      </c>
      <c r="T100" s="62">
        <v>390.05000000000018</v>
      </c>
      <c r="U100" s="62">
        <v>753.8299999999997</v>
      </c>
      <c r="V100" s="62">
        <v>1297.6999999999994</v>
      </c>
      <c r="W100" s="62">
        <v>2375.4499999999998</v>
      </c>
      <c r="X100" s="62">
        <v>1973.4400000000005</v>
      </c>
      <c r="Y100" s="62">
        <v>4634.7899999999991</v>
      </c>
      <c r="Z100" s="62">
        <v>4471.2999999999993</v>
      </c>
      <c r="AA100" s="62">
        <v>5392.57</v>
      </c>
      <c r="AB100" s="62">
        <v>2999.94</v>
      </c>
      <c r="AC100" s="100">
        <f t="shared" si="56"/>
        <v>29137.77</v>
      </c>
      <c r="AE100" s="68">
        <f t="shared" si="69"/>
        <v>0.12953327687395833</v>
      </c>
      <c r="AF100" s="68">
        <f t="shared" si="70"/>
        <v>0.22033218543814773</v>
      </c>
      <c r="AG100" s="68">
        <f t="shared" si="71"/>
        <v>0.25728858791235476</v>
      </c>
      <c r="AH100" s="68">
        <f t="shared" si="72"/>
        <v>0.31970058033763388</v>
      </c>
      <c r="AI100" s="68">
        <f t="shared" si="73"/>
        <v>0.34033683923771024</v>
      </c>
      <c r="AJ100" s="68">
        <f t="shared" si="74"/>
        <v>0.39718161358203213</v>
      </c>
      <c r="AK100" s="68">
        <f t="shared" si="75"/>
        <v>0.44670895024028873</v>
      </c>
      <c r="AL100" s="68">
        <f t="shared" si="76"/>
        <v>0.56165874532807081</v>
      </c>
      <c r="AM100" s="68">
        <f t="shared" si="77"/>
        <v>0.64596566656219789</v>
      </c>
      <c r="AN100" s="68">
        <f t="shared" si="78"/>
        <v>0.74189825835650247</v>
      </c>
      <c r="AO100" s="68">
        <f t="shared" si="79"/>
        <v>0.84931778955871506</v>
      </c>
      <c r="AP100" s="68">
        <f t="shared" si="80"/>
        <v>1</v>
      </c>
      <c r="AQ100" s="92"/>
      <c r="AT100" s="68">
        <f t="shared" si="57"/>
        <v>0.10551322218550011</v>
      </c>
      <c r="AU100" s="68">
        <f t="shared" si="58"/>
        <v>0.1247562871146283</v>
      </c>
      <c r="AV100" s="68">
        <f t="shared" si="59"/>
        <v>0.1664060084213721</v>
      </c>
      <c r="AW100" s="68">
        <f t="shared" si="60"/>
        <v>0.17979241376399099</v>
      </c>
      <c r="AX100" s="68">
        <f t="shared" si="61"/>
        <v>0.20566364550204094</v>
      </c>
      <c r="AY100" s="68">
        <f t="shared" si="62"/>
        <v>0.2502003413438984</v>
      </c>
      <c r="AZ100" s="68">
        <f t="shared" si="63"/>
        <v>0.33172511142753902</v>
      </c>
      <c r="BA100" s="68">
        <f t="shared" si="64"/>
        <v>0.39945301236161873</v>
      </c>
      <c r="BB100" s="68">
        <f t="shared" si="65"/>
        <v>0.55851769026936526</v>
      </c>
      <c r="BC100" s="68">
        <f t="shared" si="66"/>
        <v>0.71197143775930694</v>
      </c>
      <c r="BD100" s="68">
        <f t="shared" si="67"/>
        <v>0.89704291028448646</v>
      </c>
      <c r="BE100" s="68">
        <f t="shared" si="68"/>
        <v>1</v>
      </c>
      <c r="BG100" s="68">
        <f t="shared" si="55"/>
        <v>0.11752324952972922</v>
      </c>
      <c r="BH100" s="68">
        <f t="shared" si="55"/>
        <v>0.17254423627638801</v>
      </c>
      <c r="BI100" s="68">
        <f t="shared" si="55"/>
        <v>0.21184729816686343</v>
      </c>
      <c r="BJ100" s="68">
        <f t="shared" si="55"/>
        <v>0.24974649705081242</v>
      </c>
      <c r="BK100" s="68">
        <f t="shared" si="55"/>
        <v>0.27300024236987558</v>
      </c>
      <c r="BL100" s="68">
        <f t="shared" si="55"/>
        <v>0.32369097746296527</v>
      </c>
      <c r="BM100" s="68">
        <f t="shared" si="81"/>
        <v>0.3892170308339139</v>
      </c>
      <c r="BN100" s="68">
        <f t="shared" si="81"/>
        <v>0.48055587884484474</v>
      </c>
      <c r="BO100" s="68">
        <f t="shared" si="81"/>
        <v>0.60224167841578158</v>
      </c>
      <c r="BP100" s="68">
        <f t="shared" si="81"/>
        <v>0.72693484805790476</v>
      </c>
      <c r="BQ100" s="68">
        <f t="shared" si="81"/>
        <v>0.87318034992160076</v>
      </c>
      <c r="BR100" s="68">
        <f t="shared" si="81"/>
        <v>1</v>
      </c>
    </row>
    <row r="101" spans="1:70">
      <c r="A101" s="131" t="s">
        <v>127</v>
      </c>
      <c r="B101" s="62">
        <v>3484.2299999999996</v>
      </c>
      <c r="C101" s="62">
        <v>5436.24</v>
      </c>
      <c r="D101" s="62">
        <v>2276.8599999999992</v>
      </c>
      <c r="E101" s="62">
        <v>2453.0400000000013</v>
      </c>
      <c r="F101" s="62">
        <v>2159.7999999999993</v>
      </c>
      <c r="G101" s="62">
        <v>1638.53</v>
      </c>
      <c r="H101" s="62">
        <v>1398.4600000000009</v>
      </c>
      <c r="I101" s="62">
        <v>3622.1</v>
      </c>
      <c r="J101" s="62">
        <v>1719.55</v>
      </c>
      <c r="K101" s="62">
        <v>1385.92</v>
      </c>
      <c r="L101" s="62">
        <v>1346.63</v>
      </c>
      <c r="M101" s="62">
        <v>5432.07</v>
      </c>
      <c r="N101" s="100">
        <f t="shared" si="54"/>
        <v>32353.429999999997</v>
      </c>
      <c r="P101" s="131" t="s">
        <v>127</v>
      </c>
      <c r="Q101" s="62">
        <v>2030.5300000000007</v>
      </c>
      <c r="R101" s="62">
        <v>2860.4000000000033</v>
      </c>
      <c r="S101" s="62">
        <v>1802.29</v>
      </c>
      <c r="T101" s="62">
        <v>2079.4800000000005</v>
      </c>
      <c r="U101" s="62">
        <v>1715.7099999999996</v>
      </c>
      <c r="V101" s="62">
        <v>2698.0599999999995</v>
      </c>
      <c r="W101" s="62">
        <v>2636.7799999999997</v>
      </c>
      <c r="X101" s="62">
        <v>2369.4300000000007</v>
      </c>
      <c r="Y101" s="62">
        <v>1715.16</v>
      </c>
      <c r="Z101" s="62">
        <v>1867.76</v>
      </c>
      <c r="AA101" s="62">
        <v>1013.38</v>
      </c>
      <c r="AB101" s="62">
        <v>693.19</v>
      </c>
      <c r="AC101" s="100">
        <f t="shared" si="56"/>
        <v>23482.170000000002</v>
      </c>
      <c r="AE101" s="68">
        <f t="shared" si="69"/>
        <v>0.10769275467856113</v>
      </c>
      <c r="AF101" s="68">
        <f t="shared" si="70"/>
        <v>0.27571945231154782</v>
      </c>
      <c r="AG101" s="68">
        <f t="shared" si="71"/>
        <v>0.34609406174244894</v>
      </c>
      <c r="AH101" s="68">
        <f t="shared" si="72"/>
        <v>0.42191415253344083</v>
      </c>
      <c r="AI101" s="68">
        <f t="shared" si="73"/>
        <v>0.48867059844968525</v>
      </c>
      <c r="AJ101" s="68">
        <f t="shared" si="74"/>
        <v>0.53931530598146782</v>
      </c>
      <c r="AK101" s="68">
        <f t="shared" si="75"/>
        <v>0.58253978017168495</v>
      </c>
      <c r="AL101" s="68">
        <f t="shared" si="76"/>
        <v>0.69449390682842582</v>
      </c>
      <c r="AM101" s="68">
        <f t="shared" si="77"/>
        <v>0.74764283106922502</v>
      </c>
      <c r="AN101" s="68">
        <f t="shared" si="78"/>
        <v>0.79047971111563742</v>
      </c>
      <c r="AO101" s="68">
        <f t="shared" si="79"/>
        <v>0.83210219132870922</v>
      </c>
      <c r="AP101" s="68">
        <f t="shared" si="80"/>
        <v>1</v>
      </c>
      <c r="AQ101" s="92"/>
      <c r="AT101" s="68">
        <f t="shared" si="57"/>
        <v>8.6471139592294938E-2</v>
      </c>
      <c r="AU101" s="68">
        <f t="shared" si="58"/>
        <v>0.20828270981770439</v>
      </c>
      <c r="AV101" s="68">
        <f t="shared" si="59"/>
        <v>0.2850341344092136</v>
      </c>
      <c r="AW101" s="68">
        <f t="shared" si="60"/>
        <v>0.37358983432962128</v>
      </c>
      <c r="AX101" s="68">
        <f t="shared" si="61"/>
        <v>0.4466542061487504</v>
      </c>
      <c r="AY101" s="68">
        <f t="shared" si="62"/>
        <v>0.56155244596219178</v>
      </c>
      <c r="AZ101" s="68">
        <f t="shared" si="63"/>
        <v>0.6738410462065475</v>
      </c>
      <c r="BA101" s="68">
        <f t="shared" si="64"/>
        <v>0.77474441246273251</v>
      </c>
      <c r="BB101" s="68">
        <f t="shared" si="65"/>
        <v>0.847785362255703</v>
      </c>
      <c r="BC101" s="68">
        <f t="shared" si="66"/>
        <v>0.92732485967012424</v>
      </c>
      <c r="BD101" s="68">
        <f t="shared" si="67"/>
        <v>0.97048015579480096</v>
      </c>
      <c r="BE101" s="68">
        <f t="shared" si="68"/>
        <v>1</v>
      </c>
      <c r="BG101" s="68">
        <f t="shared" si="55"/>
        <v>9.7081947135428032E-2</v>
      </c>
      <c r="BH101" s="68">
        <f t="shared" si="55"/>
        <v>0.24200108106462609</v>
      </c>
      <c r="BI101" s="68">
        <f t="shared" si="55"/>
        <v>0.3155640980758313</v>
      </c>
      <c r="BJ101" s="68">
        <f t="shared" si="55"/>
        <v>0.39775199343153106</v>
      </c>
      <c r="BK101" s="68">
        <f t="shared" si="55"/>
        <v>0.46766240229921785</v>
      </c>
      <c r="BL101" s="68">
        <f t="shared" si="55"/>
        <v>0.5504338759718298</v>
      </c>
      <c r="BM101" s="68">
        <f t="shared" si="81"/>
        <v>0.62819041318911628</v>
      </c>
      <c r="BN101" s="68">
        <f t="shared" si="81"/>
        <v>0.73461915964557911</v>
      </c>
      <c r="BO101" s="68">
        <f t="shared" si="81"/>
        <v>0.79771409666246407</v>
      </c>
      <c r="BP101" s="68">
        <f t="shared" si="81"/>
        <v>0.85890228539288083</v>
      </c>
      <c r="BQ101" s="68">
        <f t="shared" si="81"/>
        <v>0.90129117356175503</v>
      </c>
      <c r="BR101" s="68">
        <f t="shared" si="81"/>
        <v>1</v>
      </c>
    </row>
    <row r="102" spans="1:70">
      <c r="A102" s="131" t="s">
        <v>128</v>
      </c>
      <c r="B102" s="62">
        <v>628.31999999999971</v>
      </c>
      <c r="C102" s="62">
        <v>681.05000000000018</v>
      </c>
      <c r="D102" s="62">
        <v>358.17999999999938</v>
      </c>
      <c r="E102" s="62">
        <v>881.76999999999953</v>
      </c>
      <c r="F102" s="62">
        <v>148.64999999999964</v>
      </c>
      <c r="G102" s="62">
        <v>253.37</v>
      </c>
      <c r="H102" s="62">
        <v>716.7199999999998</v>
      </c>
      <c r="I102" s="62">
        <v>542.17999999999995</v>
      </c>
      <c r="J102" s="62">
        <v>782.62</v>
      </c>
      <c r="K102" s="62">
        <v>1329.43</v>
      </c>
      <c r="L102" s="62">
        <v>202.24</v>
      </c>
      <c r="M102" s="62">
        <v>1404.51</v>
      </c>
      <c r="N102" s="100">
        <f t="shared" si="54"/>
        <v>7929.0399999999981</v>
      </c>
      <c r="P102" s="131" t="s">
        <v>128</v>
      </c>
      <c r="Q102" s="62">
        <v>1949.2800000000004</v>
      </c>
      <c r="R102" s="62">
        <v>1621.5700000000008</v>
      </c>
      <c r="S102" s="62">
        <v>659.13999999999987</v>
      </c>
      <c r="T102" s="62">
        <v>629.93000000000006</v>
      </c>
      <c r="U102" s="62">
        <v>1061.4399999999996</v>
      </c>
      <c r="V102" s="62">
        <v>453.48000000000025</v>
      </c>
      <c r="W102" s="62">
        <v>281.80000000000007</v>
      </c>
      <c r="X102" s="62">
        <v>106.73999999999998</v>
      </c>
      <c r="Y102" s="62">
        <v>0</v>
      </c>
      <c r="Z102" s="62">
        <v>97.509999999999991</v>
      </c>
      <c r="AA102" s="62">
        <v>0</v>
      </c>
      <c r="AB102" s="62">
        <v>0</v>
      </c>
      <c r="AC102" s="100">
        <f t="shared" si="56"/>
        <v>6860.8900000000021</v>
      </c>
      <c r="AE102" s="68">
        <f t="shared" si="69"/>
        <v>7.9242884384490411E-2</v>
      </c>
      <c r="AF102" s="68">
        <f t="shared" si="70"/>
        <v>0.16513600637656012</v>
      </c>
      <c r="AG102" s="68">
        <f t="shared" si="71"/>
        <v>0.21030919253781033</v>
      </c>
      <c r="AH102" s="68">
        <f t="shared" si="72"/>
        <v>0.3215168544994097</v>
      </c>
      <c r="AI102" s="68">
        <f t="shared" si="73"/>
        <v>0.34026439518529344</v>
      </c>
      <c r="AJ102" s="68">
        <f t="shared" si="74"/>
        <v>0.37221908326859227</v>
      </c>
      <c r="AK102" s="68">
        <f t="shared" si="75"/>
        <v>0.46261085831323828</v>
      </c>
      <c r="AL102" s="68">
        <f t="shared" si="76"/>
        <v>0.53098988023770832</v>
      </c>
      <c r="AM102" s="68">
        <f t="shared" si="77"/>
        <v>0.62969287580842059</v>
      </c>
      <c r="AN102" s="68">
        <f t="shared" si="78"/>
        <v>0.79735882275786218</v>
      </c>
      <c r="AO102" s="68">
        <f t="shared" si="79"/>
        <v>0.82286506310978369</v>
      </c>
      <c r="AP102" s="68">
        <f t="shared" si="80"/>
        <v>1</v>
      </c>
      <c r="AQ102" s="92"/>
      <c r="AT102" s="68">
        <f t="shared" si="57"/>
        <v>0.28411474313099316</v>
      </c>
      <c r="AU102" s="68">
        <f t="shared" si="58"/>
        <v>0.52046454614488791</v>
      </c>
      <c r="AV102" s="68">
        <f t="shared" si="59"/>
        <v>0.61653663008735027</v>
      </c>
      <c r="AW102" s="68">
        <f t="shared" si="60"/>
        <v>0.70835124889045009</v>
      </c>
      <c r="AX102" s="68">
        <f t="shared" si="61"/>
        <v>0.86306004031546923</v>
      </c>
      <c r="AY102" s="68">
        <f t="shared" si="62"/>
        <v>0.92915642139722399</v>
      </c>
      <c r="AZ102" s="68">
        <f t="shared" si="63"/>
        <v>0.97022980983516716</v>
      </c>
      <c r="BA102" s="68">
        <f t="shared" si="64"/>
        <v>0.98578755817393948</v>
      </c>
      <c r="BB102" s="68">
        <f t="shared" si="65"/>
        <v>0.98578755817393948</v>
      </c>
      <c r="BC102" s="68">
        <f t="shared" si="66"/>
        <v>1</v>
      </c>
      <c r="BD102" s="68">
        <f t="shared" si="67"/>
        <v>1</v>
      </c>
      <c r="BE102" s="68">
        <f t="shared" si="68"/>
        <v>1</v>
      </c>
      <c r="BG102" s="68">
        <f t="shared" si="55"/>
        <v>0.18167881375774178</v>
      </c>
      <c r="BH102" s="68">
        <f t="shared" si="55"/>
        <v>0.34280027626072401</v>
      </c>
      <c r="BI102" s="68">
        <f t="shared" si="55"/>
        <v>0.4134229113125803</v>
      </c>
      <c r="BJ102" s="68">
        <f t="shared" si="55"/>
        <v>0.5149340516949299</v>
      </c>
      <c r="BK102" s="68">
        <f t="shared" si="55"/>
        <v>0.60166221775038131</v>
      </c>
      <c r="BL102" s="68">
        <f t="shared" si="55"/>
        <v>0.6506877523329081</v>
      </c>
      <c r="BM102" s="68">
        <f t="shared" si="81"/>
        <v>0.71642033407420269</v>
      </c>
      <c r="BN102" s="68">
        <f t="shared" si="81"/>
        <v>0.75838871920582385</v>
      </c>
      <c r="BO102" s="68">
        <f t="shared" si="81"/>
        <v>0.80774021699118004</v>
      </c>
      <c r="BP102" s="68">
        <f t="shared" si="81"/>
        <v>0.89867941137893115</v>
      </c>
      <c r="BQ102" s="68">
        <f t="shared" si="81"/>
        <v>0.9114325315548919</v>
      </c>
      <c r="BR102" s="68">
        <f t="shared" si="81"/>
        <v>1</v>
      </c>
    </row>
    <row r="103" spans="1:70">
      <c r="A103" s="131" t="s">
        <v>129</v>
      </c>
      <c r="B103" s="62">
        <v>1204.9099999999999</v>
      </c>
      <c r="C103" s="62">
        <v>2091.7100000000009</v>
      </c>
      <c r="D103" s="62">
        <v>4171.3999999999996</v>
      </c>
      <c r="E103" s="62">
        <v>2119.5699999999997</v>
      </c>
      <c r="F103" s="62">
        <v>1797.8500000000006</v>
      </c>
      <c r="G103" s="62">
        <v>677.01</v>
      </c>
      <c r="H103" s="62">
        <v>1702.6500000000008</v>
      </c>
      <c r="I103" s="62">
        <v>259.12</v>
      </c>
      <c r="J103" s="62">
        <v>1166.98</v>
      </c>
      <c r="K103" s="62">
        <v>1055.2</v>
      </c>
      <c r="L103" s="62">
        <v>650.48</v>
      </c>
      <c r="M103" s="62">
        <v>1829.23</v>
      </c>
      <c r="N103" s="100">
        <f t="shared" si="54"/>
        <v>18726.110000000004</v>
      </c>
      <c r="P103" s="131" t="s">
        <v>129</v>
      </c>
      <c r="Q103" s="62">
        <v>808.54999999999973</v>
      </c>
      <c r="R103" s="62">
        <v>1909.9299999999994</v>
      </c>
      <c r="S103" s="62">
        <v>913.60999999999967</v>
      </c>
      <c r="T103" s="62">
        <v>2473.25</v>
      </c>
      <c r="U103" s="62">
        <v>1383.7100000000014</v>
      </c>
      <c r="V103" s="62">
        <v>1329.1799999999996</v>
      </c>
      <c r="W103" s="62">
        <v>593.77999999999986</v>
      </c>
      <c r="X103" s="62">
        <v>1202.6100000000001</v>
      </c>
      <c r="Y103" s="62">
        <v>768.80000000000018</v>
      </c>
      <c r="Z103" s="62">
        <v>624.73</v>
      </c>
      <c r="AA103" s="62">
        <v>780.9</v>
      </c>
      <c r="AB103" s="62">
        <v>1270.44</v>
      </c>
      <c r="AC103" s="100">
        <f t="shared" si="56"/>
        <v>14059.490000000002</v>
      </c>
      <c r="AE103" s="68">
        <f t="shared" si="69"/>
        <v>6.4343849309867321E-2</v>
      </c>
      <c r="AF103" s="68">
        <f t="shared" si="70"/>
        <v>0.17604403690889353</v>
      </c>
      <c r="AG103" s="68">
        <f t="shared" si="71"/>
        <v>0.39880252759382478</v>
      </c>
      <c r="AH103" s="68">
        <f t="shared" si="72"/>
        <v>0.5119904774670232</v>
      </c>
      <c r="AI103" s="68">
        <f t="shared" si="73"/>
        <v>0.60799813736008157</v>
      </c>
      <c r="AJ103" s="68">
        <f t="shared" si="74"/>
        <v>0.64415140143895333</v>
      </c>
      <c r="AK103" s="68">
        <f t="shared" si="75"/>
        <v>0.73507525054589551</v>
      </c>
      <c r="AL103" s="68">
        <f t="shared" si="76"/>
        <v>0.74891261452592128</v>
      </c>
      <c r="AM103" s="68">
        <f t="shared" si="77"/>
        <v>0.81123094972741261</v>
      </c>
      <c r="AN103" s="68">
        <f t="shared" si="78"/>
        <v>0.86758007936512171</v>
      </c>
      <c r="AO103" s="68">
        <f t="shared" si="79"/>
        <v>0.90231660499698019</v>
      </c>
      <c r="AP103" s="68">
        <f t="shared" si="80"/>
        <v>1</v>
      </c>
      <c r="AQ103" s="92"/>
      <c r="AT103" s="68">
        <f t="shared" si="57"/>
        <v>5.7509198413313686E-2</v>
      </c>
      <c r="AU103" s="68">
        <f t="shared" si="58"/>
        <v>0.19335552000819367</v>
      </c>
      <c r="AV103" s="68">
        <f t="shared" si="59"/>
        <v>0.25833725120896978</v>
      </c>
      <c r="AW103" s="68">
        <f t="shared" si="60"/>
        <v>0.43425046000957346</v>
      </c>
      <c r="AX103" s="68">
        <f t="shared" si="61"/>
        <v>0.53266868143865809</v>
      </c>
      <c r="AY103" s="68">
        <f t="shared" si="62"/>
        <v>0.62720838380339528</v>
      </c>
      <c r="AZ103" s="68">
        <f t="shared" si="63"/>
        <v>0.66944177918260184</v>
      </c>
      <c r="BA103" s="68">
        <f t="shared" si="64"/>
        <v>0.75497902128740091</v>
      </c>
      <c r="BB103" s="68">
        <f t="shared" si="65"/>
        <v>0.8096609478722202</v>
      </c>
      <c r="BC103" s="68">
        <f t="shared" si="66"/>
        <v>0.85409570332921037</v>
      </c>
      <c r="BD103" s="68">
        <f t="shared" si="67"/>
        <v>0.9096382585712568</v>
      </c>
      <c r="BE103" s="68">
        <f t="shared" si="68"/>
        <v>1</v>
      </c>
      <c r="BG103" s="68">
        <f t="shared" si="55"/>
        <v>6.0926523861590504E-2</v>
      </c>
      <c r="BH103" s="68">
        <f t="shared" si="55"/>
        <v>0.1846997784585436</v>
      </c>
      <c r="BI103" s="68">
        <f t="shared" si="55"/>
        <v>0.32856988940139731</v>
      </c>
      <c r="BJ103" s="68">
        <f t="shared" si="55"/>
        <v>0.47312046873829833</v>
      </c>
      <c r="BK103" s="68">
        <f t="shared" si="55"/>
        <v>0.57033340939936983</v>
      </c>
      <c r="BL103" s="68">
        <f t="shared" si="55"/>
        <v>0.6356798926211743</v>
      </c>
      <c r="BM103" s="68">
        <f t="shared" si="81"/>
        <v>0.70225851486424862</v>
      </c>
      <c r="BN103" s="68">
        <f t="shared" si="81"/>
        <v>0.75194581790666115</v>
      </c>
      <c r="BO103" s="68">
        <f t="shared" si="81"/>
        <v>0.81044594879981635</v>
      </c>
      <c r="BP103" s="68">
        <f t="shared" si="81"/>
        <v>0.86083789134716604</v>
      </c>
      <c r="BQ103" s="68">
        <f t="shared" si="81"/>
        <v>0.90597743178411849</v>
      </c>
      <c r="BR103" s="68">
        <f t="shared" si="81"/>
        <v>1</v>
      </c>
    </row>
    <row r="104" spans="1:70">
      <c r="A104" s="131" t="s">
        <v>130</v>
      </c>
      <c r="B104" s="62">
        <v>1911.0900000000001</v>
      </c>
      <c r="C104" s="62">
        <v>1700.5600000000013</v>
      </c>
      <c r="D104" s="62">
        <v>2983.4700000000012</v>
      </c>
      <c r="E104" s="62">
        <v>3152.8100000000013</v>
      </c>
      <c r="F104" s="62">
        <v>813.70000000000073</v>
      </c>
      <c r="G104" s="62">
        <v>713.13</v>
      </c>
      <c r="H104" s="62">
        <v>1672.3500000000004</v>
      </c>
      <c r="I104" s="62">
        <v>3871.7</v>
      </c>
      <c r="J104" s="62">
        <v>1171.5999999999999</v>
      </c>
      <c r="K104" s="62">
        <v>926.8</v>
      </c>
      <c r="L104" s="62">
        <v>438.65999999999997</v>
      </c>
      <c r="M104" s="62">
        <v>741.59999999999991</v>
      </c>
      <c r="N104" s="100">
        <f t="shared" si="54"/>
        <v>20097.47</v>
      </c>
      <c r="P104" s="131" t="s">
        <v>130</v>
      </c>
      <c r="Q104" s="62">
        <v>3147.400000000001</v>
      </c>
      <c r="R104" s="62">
        <v>3880.3300000000027</v>
      </c>
      <c r="S104" s="62">
        <v>2664.03</v>
      </c>
      <c r="T104" s="62">
        <v>1957.5800000000002</v>
      </c>
      <c r="U104" s="62">
        <v>2390.2399999999998</v>
      </c>
      <c r="V104" s="62">
        <v>1651.7299999999991</v>
      </c>
      <c r="W104" s="62">
        <v>800.23</v>
      </c>
      <c r="X104" s="62">
        <v>1429.7100000000005</v>
      </c>
      <c r="Y104" s="62">
        <v>1497.51</v>
      </c>
      <c r="Z104" s="62">
        <v>1486.0899999999997</v>
      </c>
      <c r="AA104" s="62">
        <v>625.61000000000013</v>
      </c>
      <c r="AB104" s="62">
        <v>3322.78</v>
      </c>
      <c r="AC104" s="100">
        <f t="shared" si="56"/>
        <v>24853.24</v>
      </c>
      <c r="AE104" s="68">
        <f t="shared" si="69"/>
        <v>9.5091073652554273E-2</v>
      </c>
      <c r="AF104" s="68">
        <f t="shared" si="70"/>
        <v>0.17970669940047188</v>
      </c>
      <c r="AG104" s="68">
        <f t="shared" si="71"/>
        <v>0.32815672818518959</v>
      </c>
      <c r="AH104" s="68">
        <f t="shared" si="72"/>
        <v>0.48503269316983699</v>
      </c>
      <c r="AI104" s="68">
        <f t="shared" si="73"/>
        <v>0.52552037644539362</v>
      </c>
      <c r="AJ104" s="68">
        <f t="shared" si="74"/>
        <v>0.56100394726301384</v>
      </c>
      <c r="AK104" s="68">
        <f t="shared" si="75"/>
        <v>0.64421591374436704</v>
      </c>
      <c r="AL104" s="68">
        <f t="shared" si="76"/>
        <v>0.83686205278574888</v>
      </c>
      <c r="AM104" s="68">
        <f t="shared" si="77"/>
        <v>0.895157947741681</v>
      </c>
      <c r="AN104" s="68">
        <f t="shared" si="78"/>
        <v>0.94127320503526068</v>
      </c>
      <c r="AO104" s="68">
        <f t="shared" si="79"/>
        <v>0.96309983296404977</v>
      </c>
      <c r="AP104" s="68">
        <f t="shared" si="80"/>
        <v>1</v>
      </c>
      <c r="AQ104" s="92"/>
      <c r="AT104" s="68">
        <f t="shared" si="57"/>
        <v>0.12663942407509043</v>
      </c>
      <c r="AU104" s="68">
        <f t="shared" si="58"/>
        <v>0.28276916812455855</v>
      </c>
      <c r="AV104" s="68">
        <f t="shared" si="59"/>
        <v>0.38995961894706699</v>
      </c>
      <c r="AW104" s="68">
        <f t="shared" si="60"/>
        <v>0.46872520444014554</v>
      </c>
      <c r="AX104" s="68">
        <f t="shared" si="61"/>
        <v>0.56489938535176909</v>
      </c>
      <c r="AY104" s="68">
        <f t="shared" si="62"/>
        <v>0.63135872827848616</v>
      </c>
      <c r="AZ104" s="68">
        <f t="shared" si="63"/>
        <v>0.66355694468809712</v>
      </c>
      <c r="BA104" s="68">
        <f t="shared" si="64"/>
        <v>0.72108304591272621</v>
      </c>
      <c r="BB104" s="68">
        <f t="shared" si="65"/>
        <v>0.78133716167389045</v>
      </c>
      <c r="BC104" s="68">
        <f t="shared" si="66"/>
        <v>0.84113178000131983</v>
      </c>
      <c r="BD104" s="68">
        <f t="shared" si="67"/>
        <v>0.86630395071226129</v>
      </c>
      <c r="BE104" s="68">
        <f t="shared" si="68"/>
        <v>1</v>
      </c>
      <c r="BG104" s="68">
        <f t="shared" si="55"/>
        <v>0.11086524886382235</v>
      </c>
      <c r="BH104" s="68">
        <f t="shared" si="55"/>
        <v>0.23123793376251522</v>
      </c>
      <c r="BI104" s="68">
        <f t="shared" si="55"/>
        <v>0.35905817356612829</v>
      </c>
      <c r="BJ104" s="68">
        <f t="shared" si="55"/>
        <v>0.47687894880499127</v>
      </c>
      <c r="BK104" s="68">
        <f t="shared" si="55"/>
        <v>0.54520988089858136</v>
      </c>
      <c r="BL104" s="68">
        <f t="shared" si="55"/>
        <v>0.59618133777075</v>
      </c>
      <c r="BM104" s="68">
        <f t="shared" si="81"/>
        <v>0.65388642921623208</v>
      </c>
      <c r="BN104" s="68">
        <f t="shared" si="81"/>
        <v>0.77897254934923754</v>
      </c>
      <c r="BO104" s="68">
        <f t="shared" si="81"/>
        <v>0.83824755470778567</v>
      </c>
      <c r="BP104" s="68">
        <f t="shared" si="81"/>
        <v>0.8912024925182902</v>
      </c>
      <c r="BQ104" s="68">
        <f t="shared" si="81"/>
        <v>0.91470189183815553</v>
      </c>
      <c r="BR104" s="68">
        <f t="shared" si="81"/>
        <v>1</v>
      </c>
    </row>
    <row r="105" spans="1:70">
      <c r="A105" s="131" t="s">
        <v>131</v>
      </c>
      <c r="B105" s="62">
        <v>11238.419999999998</v>
      </c>
      <c r="C105" s="62">
        <v>10943.809999999994</v>
      </c>
      <c r="D105" s="62">
        <v>3917.7200000000016</v>
      </c>
      <c r="E105" s="62">
        <v>6128.2900000000027</v>
      </c>
      <c r="F105" s="62">
        <v>7519.6499999999969</v>
      </c>
      <c r="G105" s="62">
        <v>10373.92</v>
      </c>
      <c r="H105" s="62">
        <v>6544.9099999999989</v>
      </c>
      <c r="I105" s="62">
        <v>7358.27</v>
      </c>
      <c r="J105" s="62">
        <v>8912.07</v>
      </c>
      <c r="K105" s="62">
        <v>20386.91</v>
      </c>
      <c r="L105" s="62">
        <v>15135.95</v>
      </c>
      <c r="M105" s="62">
        <v>8739.1200000000008</v>
      </c>
      <c r="N105" s="100">
        <f t="shared" si="54"/>
        <v>117199.03999999999</v>
      </c>
      <c r="P105" s="131" t="s">
        <v>131</v>
      </c>
      <c r="Q105" s="62">
        <v>20641.869999999984</v>
      </c>
      <c r="R105" s="62">
        <v>4700.1400000000031</v>
      </c>
      <c r="S105" s="62">
        <v>8630.2800000000007</v>
      </c>
      <c r="T105" s="62">
        <v>4741.43</v>
      </c>
      <c r="U105" s="62">
        <v>8576.4599999999937</v>
      </c>
      <c r="V105" s="62">
        <v>4080.6400000000031</v>
      </c>
      <c r="W105" s="62">
        <v>1460.5299999999997</v>
      </c>
      <c r="X105" s="62">
        <v>6508.17</v>
      </c>
      <c r="Y105" s="62">
        <v>2392.2600000000002</v>
      </c>
      <c r="Z105" s="62">
        <v>3852</v>
      </c>
      <c r="AA105" s="62">
        <v>2900.59</v>
      </c>
      <c r="AB105" s="62">
        <v>6160.3</v>
      </c>
      <c r="AC105" s="100">
        <f t="shared" si="56"/>
        <v>74644.669999999969</v>
      </c>
      <c r="AE105" s="68">
        <f t="shared" si="69"/>
        <v>9.5891741092759789E-2</v>
      </c>
      <c r="AF105" s="68">
        <f t="shared" si="70"/>
        <v>0.18926972439364687</v>
      </c>
      <c r="AG105" s="68">
        <f t="shared" si="71"/>
        <v>0.22269764325714608</v>
      </c>
      <c r="AH105" s="68">
        <f t="shared" si="72"/>
        <v>0.27498723539032399</v>
      </c>
      <c r="AI105" s="68">
        <f t="shared" si="73"/>
        <v>0.3391485971216146</v>
      </c>
      <c r="AJ105" s="68">
        <f t="shared" si="74"/>
        <v>0.42766399793035842</v>
      </c>
      <c r="AK105" s="68">
        <f t="shared" si="75"/>
        <v>0.48350839733840817</v>
      </c>
      <c r="AL105" s="68">
        <f t="shared" si="76"/>
        <v>0.5462927853333952</v>
      </c>
      <c r="AM105" s="68">
        <f t="shared" si="77"/>
        <v>0.62233496110548348</v>
      </c>
      <c r="AN105" s="68">
        <f t="shared" si="78"/>
        <v>0.79628612998877812</v>
      </c>
      <c r="AO105" s="68">
        <f t="shared" si="79"/>
        <v>0.92543351890936998</v>
      </c>
      <c r="AP105" s="68">
        <f t="shared" si="80"/>
        <v>1</v>
      </c>
      <c r="AQ105" s="92"/>
      <c r="AT105" s="68">
        <f t="shared" si="57"/>
        <v>0.27653508281301253</v>
      </c>
      <c r="AU105" s="68">
        <f t="shared" si="58"/>
        <v>0.33950193630703973</v>
      </c>
      <c r="AV105" s="68">
        <f t="shared" si="59"/>
        <v>0.45512010435574302</v>
      </c>
      <c r="AW105" s="68">
        <f t="shared" si="60"/>
        <v>0.51864011187938808</v>
      </c>
      <c r="AX105" s="68">
        <f t="shared" si="61"/>
        <v>0.63353726394664212</v>
      </c>
      <c r="AY105" s="68">
        <f t="shared" si="62"/>
        <v>0.68820479747582775</v>
      </c>
      <c r="AZ105" s="68">
        <f t="shared" si="63"/>
        <v>0.70777123135516573</v>
      </c>
      <c r="BA105" s="68">
        <f t="shared" si="64"/>
        <v>0.79495990805505601</v>
      </c>
      <c r="BB105" s="68">
        <f t="shared" si="65"/>
        <v>0.82700854595512319</v>
      </c>
      <c r="BC105" s="68">
        <f t="shared" si="66"/>
        <v>0.87861303425951243</v>
      </c>
      <c r="BD105" s="68">
        <f t="shared" si="67"/>
        <v>0.91747166944404734</v>
      </c>
      <c r="BE105" s="68">
        <f t="shared" si="68"/>
        <v>1</v>
      </c>
      <c r="BG105" s="68">
        <f t="shared" si="55"/>
        <v>0.18621341195288615</v>
      </c>
      <c r="BH105" s="68">
        <f t="shared" si="55"/>
        <v>0.2643858303503433</v>
      </c>
      <c r="BI105" s="68">
        <f t="shared" si="55"/>
        <v>0.33890887380644452</v>
      </c>
      <c r="BJ105" s="68">
        <f t="shared" si="55"/>
        <v>0.39681367363485603</v>
      </c>
      <c r="BK105" s="68">
        <f t="shared" si="55"/>
        <v>0.48634293053412836</v>
      </c>
      <c r="BL105" s="68">
        <f t="shared" si="55"/>
        <v>0.55793439770309305</v>
      </c>
      <c r="BM105" s="68">
        <f t="shared" si="81"/>
        <v>0.59563981434678692</v>
      </c>
      <c r="BN105" s="68">
        <f t="shared" si="81"/>
        <v>0.67062634669422561</v>
      </c>
      <c r="BO105" s="68">
        <f t="shared" si="81"/>
        <v>0.72467175353030333</v>
      </c>
      <c r="BP105" s="68">
        <f t="shared" si="81"/>
        <v>0.83744958212414522</v>
      </c>
      <c r="BQ105" s="68">
        <f t="shared" si="81"/>
        <v>0.92145259417670866</v>
      </c>
      <c r="BR105" s="68">
        <f t="shared" si="81"/>
        <v>1</v>
      </c>
    </row>
    <row r="106" spans="1:70">
      <c r="A106" s="131" t="s">
        <v>132</v>
      </c>
      <c r="B106" s="62">
        <v>654.49000000000024</v>
      </c>
      <c r="C106" s="62">
        <v>2639.2900000000004</v>
      </c>
      <c r="D106" s="62">
        <v>1735.3999999999996</v>
      </c>
      <c r="E106" s="62">
        <v>371.05000000000018</v>
      </c>
      <c r="F106" s="62">
        <v>421.55999999999949</v>
      </c>
      <c r="G106" s="62">
        <v>469.4</v>
      </c>
      <c r="H106" s="62">
        <v>565.38999999999987</v>
      </c>
      <c r="I106" s="62">
        <v>2697.36</v>
      </c>
      <c r="J106" s="62">
        <v>798.67</v>
      </c>
      <c r="K106" s="62">
        <v>1137.1600000000001</v>
      </c>
      <c r="L106" s="62">
        <v>677.9</v>
      </c>
      <c r="M106" s="62">
        <v>287.02999999999997</v>
      </c>
      <c r="N106" s="100">
        <f t="shared" si="54"/>
        <v>12454.7</v>
      </c>
      <c r="P106" s="131" t="s">
        <v>132</v>
      </c>
      <c r="Q106" s="62">
        <v>1398.0500000000004</v>
      </c>
      <c r="R106" s="62">
        <v>1818.4500000000005</v>
      </c>
      <c r="S106" s="62">
        <v>943.21999999999935</v>
      </c>
      <c r="T106" s="62">
        <v>197.30000000000007</v>
      </c>
      <c r="U106" s="62">
        <v>377.05000000000018</v>
      </c>
      <c r="V106" s="62">
        <v>673.69</v>
      </c>
      <c r="W106" s="62">
        <v>1194.8599999999997</v>
      </c>
      <c r="X106" s="62">
        <v>271.74000000000024</v>
      </c>
      <c r="Y106" s="62">
        <v>415.10999999999967</v>
      </c>
      <c r="Z106" s="62">
        <v>1281.9099999999999</v>
      </c>
      <c r="AA106" s="62">
        <v>837.31</v>
      </c>
      <c r="AB106" s="62">
        <v>185.38</v>
      </c>
      <c r="AC106" s="100">
        <f t="shared" si="56"/>
        <v>9594.07</v>
      </c>
      <c r="AE106" s="68">
        <f t="shared" si="69"/>
        <v>5.2549639894979419E-2</v>
      </c>
      <c r="AF106" s="68">
        <f t="shared" si="70"/>
        <v>0.26446080596080196</v>
      </c>
      <c r="AG106" s="68">
        <f t="shared" si="71"/>
        <v>0.40379776309345067</v>
      </c>
      <c r="AH106" s="68">
        <f t="shared" si="72"/>
        <v>0.43358972917854305</v>
      </c>
      <c r="AI106" s="68">
        <f t="shared" si="73"/>
        <v>0.46743719238520393</v>
      </c>
      <c r="AJ106" s="68">
        <f t="shared" si="74"/>
        <v>0.50512577581154094</v>
      </c>
      <c r="AK106" s="68">
        <f t="shared" si="75"/>
        <v>0.55052148987932259</v>
      </c>
      <c r="AL106" s="68">
        <f t="shared" si="76"/>
        <v>0.76709515283386998</v>
      </c>
      <c r="AM106" s="68">
        <f t="shared" si="77"/>
        <v>0.83122114543104209</v>
      </c>
      <c r="AN106" s="68">
        <f t="shared" si="78"/>
        <v>0.92252482998386154</v>
      </c>
      <c r="AO106" s="68">
        <f t="shared" si="79"/>
        <v>0.97695408159168817</v>
      </c>
      <c r="AP106" s="68">
        <f t="shared" si="80"/>
        <v>1</v>
      </c>
      <c r="AQ106" s="92"/>
      <c r="AT106" s="68">
        <f t="shared" si="57"/>
        <v>0.14572022092813586</v>
      </c>
      <c r="AU106" s="68">
        <f t="shared" si="58"/>
        <v>0.33525917572000213</v>
      </c>
      <c r="AV106" s="68">
        <f t="shared" si="59"/>
        <v>0.4335719876965668</v>
      </c>
      <c r="AW106" s="68">
        <f t="shared" si="60"/>
        <v>0.45413677406981612</v>
      </c>
      <c r="AX106" s="68">
        <f t="shared" si="61"/>
        <v>0.49343709187029078</v>
      </c>
      <c r="AY106" s="68">
        <f t="shared" si="62"/>
        <v>0.56365650865586769</v>
      </c>
      <c r="AZ106" s="68">
        <f t="shared" si="63"/>
        <v>0.68819802232003724</v>
      </c>
      <c r="BA106" s="68">
        <f t="shared" si="64"/>
        <v>0.71652176813385782</v>
      </c>
      <c r="BB106" s="68">
        <f t="shared" si="65"/>
        <v>0.75978911973750463</v>
      </c>
      <c r="BC106" s="68">
        <f t="shared" si="66"/>
        <v>0.89340394639605525</v>
      </c>
      <c r="BD106" s="68">
        <f t="shared" si="67"/>
        <v>0.98067764775533228</v>
      </c>
      <c r="BE106" s="68">
        <f t="shared" si="68"/>
        <v>1</v>
      </c>
      <c r="BG106" s="68">
        <f t="shared" si="55"/>
        <v>9.9134930411557631E-2</v>
      </c>
      <c r="BH106" s="68">
        <f t="shared" si="55"/>
        <v>0.29985999084040205</v>
      </c>
      <c r="BI106" s="68">
        <f t="shared" si="55"/>
        <v>0.41868487539500876</v>
      </c>
      <c r="BJ106" s="68">
        <f t="shared" si="55"/>
        <v>0.44386325162417961</v>
      </c>
      <c r="BK106" s="68">
        <f t="shared" si="55"/>
        <v>0.48043714212774735</v>
      </c>
      <c r="BL106" s="68">
        <f t="shared" si="55"/>
        <v>0.53439114223370432</v>
      </c>
      <c r="BM106" s="68">
        <f t="shared" si="81"/>
        <v>0.61935975609967997</v>
      </c>
      <c r="BN106" s="68">
        <f t="shared" si="81"/>
        <v>0.74180846048386395</v>
      </c>
      <c r="BO106" s="68">
        <f t="shared" si="81"/>
        <v>0.79550513258427336</v>
      </c>
      <c r="BP106" s="68">
        <f t="shared" si="81"/>
        <v>0.90796438818995839</v>
      </c>
      <c r="BQ106" s="68">
        <f t="shared" si="81"/>
        <v>0.97881586467351023</v>
      </c>
      <c r="BR106" s="68">
        <f t="shared" si="81"/>
        <v>1</v>
      </c>
    </row>
    <row r="107" spans="1:70">
      <c r="A107" s="131" t="s">
        <v>133</v>
      </c>
      <c r="B107" s="62">
        <v>4175.01</v>
      </c>
      <c r="C107" s="62">
        <v>2560.0800000000017</v>
      </c>
      <c r="D107" s="62">
        <v>5648.0199999999995</v>
      </c>
      <c r="E107" s="62">
        <v>1397.79</v>
      </c>
      <c r="F107" s="62">
        <v>2736.5900000000011</v>
      </c>
      <c r="G107" s="62">
        <v>1161.18</v>
      </c>
      <c r="H107" s="62">
        <v>3231.9300000000003</v>
      </c>
      <c r="I107" s="62">
        <v>2043.09</v>
      </c>
      <c r="J107" s="62">
        <v>1423.33</v>
      </c>
      <c r="K107" s="62">
        <v>3013.39</v>
      </c>
      <c r="L107" s="62">
        <v>2029.28</v>
      </c>
      <c r="M107" s="62">
        <v>4256.68</v>
      </c>
      <c r="N107" s="100">
        <f t="shared" si="54"/>
        <v>33676.370000000003</v>
      </c>
      <c r="P107" s="131" t="s">
        <v>133</v>
      </c>
      <c r="Q107" s="62">
        <v>1162.5900000000001</v>
      </c>
      <c r="R107" s="62">
        <v>779.69000000000051</v>
      </c>
      <c r="S107" s="62">
        <v>2575.91</v>
      </c>
      <c r="T107" s="62">
        <v>441.59000000000015</v>
      </c>
      <c r="U107" s="62">
        <v>1764.62</v>
      </c>
      <c r="V107" s="62">
        <v>2908.9199999999992</v>
      </c>
      <c r="W107" s="62">
        <v>2942.5499999999997</v>
      </c>
      <c r="X107" s="62">
        <v>1818.6499999999996</v>
      </c>
      <c r="Y107" s="62">
        <v>1308.23</v>
      </c>
      <c r="Z107" s="62">
        <v>1942.5300000000002</v>
      </c>
      <c r="AA107" s="62">
        <v>3209.8999999999996</v>
      </c>
      <c r="AB107" s="62">
        <v>363.34999999999968</v>
      </c>
      <c r="AC107" s="100">
        <f t="shared" si="56"/>
        <v>21218.53</v>
      </c>
      <c r="AE107" s="68">
        <f t="shared" si="69"/>
        <v>0.12397446636914845</v>
      </c>
      <c r="AF107" s="68">
        <f t="shared" si="70"/>
        <v>0.1999945362282218</v>
      </c>
      <c r="AG107" s="68">
        <f t="shared" si="71"/>
        <v>0.36770916817934951</v>
      </c>
      <c r="AH107" s="68">
        <f t="shared" si="72"/>
        <v>0.40921572010284957</v>
      </c>
      <c r="AI107" s="68">
        <f t="shared" si="73"/>
        <v>0.49047715059550662</v>
      </c>
      <c r="AJ107" s="68">
        <f t="shared" si="74"/>
        <v>0.52495770773393924</v>
      </c>
      <c r="AK107" s="68">
        <f t="shared" si="75"/>
        <v>0.6209279681865949</v>
      </c>
      <c r="AL107" s="68">
        <f t="shared" si="76"/>
        <v>0.68159632406936976</v>
      </c>
      <c r="AM107" s="68">
        <f t="shared" si="77"/>
        <v>0.7238612712712208</v>
      </c>
      <c r="AN107" s="68">
        <f t="shared" si="78"/>
        <v>0.81334211496072772</v>
      </c>
      <c r="AO107" s="68">
        <f t="shared" si="79"/>
        <v>0.87360039101601505</v>
      </c>
      <c r="AP107" s="68">
        <f t="shared" si="80"/>
        <v>1</v>
      </c>
      <c r="AQ107" s="92"/>
      <c r="AT107" s="68">
        <f t="shared" si="57"/>
        <v>5.4791260280518971E-2</v>
      </c>
      <c r="AU107" s="68">
        <f t="shared" si="58"/>
        <v>9.1536972636653002E-2</v>
      </c>
      <c r="AV107" s="68">
        <f t="shared" si="59"/>
        <v>0.21293605164919535</v>
      </c>
      <c r="AW107" s="68">
        <f t="shared" si="60"/>
        <v>0.23374757817813019</v>
      </c>
      <c r="AX107" s="68">
        <f t="shared" si="61"/>
        <v>0.31691168049813068</v>
      </c>
      <c r="AY107" s="68">
        <f t="shared" si="62"/>
        <v>0.45400506067102669</v>
      </c>
      <c r="AZ107" s="68">
        <f t="shared" si="63"/>
        <v>0.59268337627535927</v>
      </c>
      <c r="BA107" s="68">
        <f t="shared" si="64"/>
        <v>0.67839383783890772</v>
      </c>
      <c r="BB107" s="68">
        <f t="shared" si="65"/>
        <v>0.74004891008001017</v>
      </c>
      <c r="BC107" s="68">
        <f t="shared" si="66"/>
        <v>0.83159766487122344</v>
      </c>
      <c r="BD107" s="68">
        <f t="shared" si="67"/>
        <v>0.98287581656222189</v>
      </c>
      <c r="BE107" s="68">
        <f t="shared" si="68"/>
        <v>1</v>
      </c>
      <c r="BG107" s="68">
        <f t="shared" si="55"/>
        <v>8.9382863324833708E-2</v>
      </c>
      <c r="BH107" s="68">
        <f t="shared" si="55"/>
        <v>0.14576575443243739</v>
      </c>
      <c r="BI107" s="68">
        <f t="shared" si="55"/>
        <v>0.29032260991427244</v>
      </c>
      <c r="BJ107" s="68">
        <f t="shared" si="55"/>
        <v>0.32148164914048988</v>
      </c>
      <c r="BK107" s="68">
        <f t="shared" si="55"/>
        <v>0.40369441554681862</v>
      </c>
      <c r="BL107" s="68">
        <f t="shared" si="55"/>
        <v>0.48948138420248299</v>
      </c>
      <c r="BM107" s="68">
        <f t="shared" si="81"/>
        <v>0.60680567223097714</v>
      </c>
      <c r="BN107" s="68">
        <f t="shared" si="81"/>
        <v>0.67999508095413874</v>
      </c>
      <c r="BO107" s="68">
        <f t="shared" si="81"/>
        <v>0.73195509067561548</v>
      </c>
      <c r="BP107" s="68">
        <f t="shared" si="81"/>
        <v>0.82246988991597558</v>
      </c>
      <c r="BQ107" s="68">
        <f t="shared" si="81"/>
        <v>0.92823810378911853</v>
      </c>
      <c r="BR107" s="68">
        <f t="shared" si="81"/>
        <v>1</v>
      </c>
    </row>
    <row r="108" spans="1:70">
      <c r="A108" s="131" t="s">
        <v>134</v>
      </c>
      <c r="B108" s="62">
        <v>22366.500000000004</v>
      </c>
      <c r="C108" s="62">
        <v>16733.409999999993</v>
      </c>
      <c r="D108" s="62">
        <v>10133.200000000006</v>
      </c>
      <c r="E108" s="62">
        <v>13399.550000000005</v>
      </c>
      <c r="F108" s="62">
        <v>11648.550000000012</v>
      </c>
      <c r="G108" s="62">
        <v>11835.5</v>
      </c>
      <c r="H108" s="62">
        <v>11179.489999999996</v>
      </c>
      <c r="I108" s="62">
        <v>7201.43</v>
      </c>
      <c r="J108" s="62">
        <v>6752.28</v>
      </c>
      <c r="K108" s="62">
        <v>6533.66</v>
      </c>
      <c r="L108" s="62">
        <v>7635.32</v>
      </c>
      <c r="M108" s="62">
        <v>12257.55</v>
      </c>
      <c r="N108" s="100">
        <f t="shared" si="54"/>
        <v>137676.44</v>
      </c>
      <c r="P108" s="131" t="s">
        <v>134</v>
      </c>
      <c r="Q108" s="62">
        <v>12719.08</v>
      </c>
      <c r="R108" s="62">
        <v>9953.09</v>
      </c>
      <c r="S108" s="62">
        <v>11727.56</v>
      </c>
      <c r="T108" s="62">
        <v>5938.340000000002</v>
      </c>
      <c r="U108" s="62">
        <v>7960.2700000000023</v>
      </c>
      <c r="V108" s="62">
        <v>8482.3599999999988</v>
      </c>
      <c r="W108" s="62">
        <v>6685.43</v>
      </c>
      <c r="X108" s="62">
        <v>6524.4300000000021</v>
      </c>
      <c r="Y108" s="62">
        <v>9387.68</v>
      </c>
      <c r="Z108" s="62">
        <v>7332.37</v>
      </c>
      <c r="AA108" s="62">
        <v>6150.27</v>
      </c>
      <c r="AB108" s="62">
        <v>8934.5800000000017</v>
      </c>
      <c r="AC108" s="100">
        <f t="shared" si="56"/>
        <v>101795.46000000002</v>
      </c>
      <c r="AE108" s="68">
        <f t="shared" si="69"/>
        <v>0.16245698973622505</v>
      </c>
      <c r="AF108" s="68">
        <f t="shared" si="70"/>
        <v>0.28399855487256931</v>
      </c>
      <c r="AG108" s="68">
        <f t="shared" si="71"/>
        <v>0.3576001093578538</v>
      </c>
      <c r="AH108" s="68">
        <f t="shared" si="72"/>
        <v>0.45492649286980402</v>
      </c>
      <c r="AI108" s="68">
        <f t="shared" si="73"/>
        <v>0.53953465095407771</v>
      </c>
      <c r="AJ108" s="68">
        <f t="shared" si="74"/>
        <v>0.62550070295251692</v>
      </c>
      <c r="AK108" s="68">
        <f t="shared" si="75"/>
        <v>0.70670188741080175</v>
      </c>
      <c r="AL108" s="68">
        <f t="shared" si="76"/>
        <v>0.7590088035396616</v>
      </c>
      <c r="AM108" s="68">
        <f t="shared" si="77"/>
        <v>0.80805336047329523</v>
      </c>
      <c r="AN108" s="68">
        <f t="shared" si="78"/>
        <v>0.85550999139722095</v>
      </c>
      <c r="AO108" s="68">
        <f t="shared" si="79"/>
        <v>0.91096842713248549</v>
      </c>
      <c r="AP108" s="68">
        <f t="shared" si="80"/>
        <v>1</v>
      </c>
      <c r="AQ108" s="92"/>
      <c r="AT108" s="68">
        <f t="shared" si="57"/>
        <v>0.12494741906957341</v>
      </c>
      <c r="AU108" s="68">
        <f t="shared" si="58"/>
        <v>0.22272280119368776</v>
      </c>
      <c r="AV108" s="68">
        <f t="shared" si="59"/>
        <v>0.33792990375012782</v>
      </c>
      <c r="AW108" s="68">
        <f t="shared" si="60"/>
        <v>0.3962659041965132</v>
      </c>
      <c r="AX108" s="68">
        <f t="shared" si="61"/>
        <v>0.47446457828276423</v>
      </c>
      <c r="AY108" s="68">
        <f t="shared" si="62"/>
        <v>0.55779206656171099</v>
      </c>
      <c r="AZ108" s="68">
        <f t="shared" si="63"/>
        <v>0.62346719588476729</v>
      </c>
      <c r="BA108" s="68">
        <f t="shared" si="64"/>
        <v>0.68756072225617915</v>
      </c>
      <c r="BB108" s="68">
        <f t="shared" si="65"/>
        <v>0.77978173093377645</v>
      </c>
      <c r="BC108" s="68">
        <f t="shared" si="66"/>
        <v>0.85181215350861417</v>
      </c>
      <c r="BD108" s="68">
        <f t="shared" si="67"/>
        <v>0.91223007391488775</v>
      </c>
      <c r="BE108" s="68">
        <f t="shared" si="68"/>
        <v>1</v>
      </c>
      <c r="BG108" s="68">
        <f t="shared" si="55"/>
        <v>0.14370220440289921</v>
      </c>
      <c r="BH108" s="68">
        <f t="shared" si="55"/>
        <v>0.25336067803312856</v>
      </c>
      <c r="BI108" s="68">
        <f t="shared" si="55"/>
        <v>0.34776500655399079</v>
      </c>
      <c r="BJ108" s="68">
        <f t="shared" si="55"/>
        <v>0.42559619853315861</v>
      </c>
      <c r="BK108" s="68">
        <f t="shared" si="55"/>
        <v>0.50699961461842102</v>
      </c>
      <c r="BL108" s="68">
        <f t="shared" si="55"/>
        <v>0.59164638475711395</v>
      </c>
      <c r="BM108" s="68">
        <f t="shared" si="81"/>
        <v>0.66508454164778452</v>
      </c>
      <c r="BN108" s="68">
        <f t="shared" si="81"/>
        <v>0.72328476289792043</v>
      </c>
      <c r="BO108" s="68">
        <f t="shared" si="81"/>
        <v>0.7939175457035359</v>
      </c>
      <c r="BP108" s="68">
        <f t="shared" si="81"/>
        <v>0.85366107245291756</v>
      </c>
      <c r="BQ108" s="68">
        <f t="shared" si="81"/>
        <v>0.91159925052368662</v>
      </c>
      <c r="BR108" s="68">
        <f t="shared" si="81"/>
        <v>1</v>
      </c>
    </row>
    <row r="109" spans="1:70">
      <c r="A109" s="131" t="s">
        <v>135</v>
      </c>
      <c r="B109" s="62">
        <v>2397.7900000000009</v>
      </c>
      <c r="C109" s="62">
        <v>1752.4400000000026</v>
      </c>
      <c r="D109" s="62">
        <v>1621</v>
      </c>
      <c r="E109" s="62">
        <v>2022.4199999999992</v>
      </c>
      <c r="F109" s="62">
        <v>2923.7100000000005</v>
      </c>
      <c r="G109" s="62">
        <v>856.58</v>
      </c>
      <c r="H109" s="62">
        <v>3663.78</v>
      </c>
      <c r="I109" s="62">
        <v>1918.49</v>
      </c>
      <c r="J109" s="62">
        <v>1736.1499999999999</v>
      </c>
      <c r="K109" s="62">
        <v>337.83</v>
      </c>
      <c r="L109" s="62">
        <v>2901.57</v>
      </c>
      <c r="M109" s="62">
        <v>1316.75</v>
      </c>
      <c r="N109" s="100">
        <f t="shared" si="54"/>
        <v>23448.510000000006</v>
      </c>
      <c r="P109" s="131" t="s">
        <v>135</v>
      </c>
      <c r="Q109" s="62">
        <v>4757.28</v>
      </c>
      <c r="R109" s="62">
        <v>3462.6899999999996</v>
      </c>
      <c r="S109" s="62">
        <v>6104.3200000000015</v>
      </c>
      <c r="T109" s="62">
        <v>4091.4599999999996</v>
      </c>
      <c r="U109" s="62">
        <v>3283.4100000000012</v>
      </c>
      <c r="V109" s="62">
        <v>4588.9900000000007</v>
      </c>
      <c r="W109" s="62">
        <v>2570.48</v>
      </c>
      <c r="X109" s="62">
        <v>1780.9499999999996</v>
      </c>
      <c r="Y109" s="62">
        <v>1168.7300000000002</v>
      </c>
      <c r="Z109" s="62">
        <v>1192.6500000000003</v>
      </c>
      <c r="AA109" s="62">
        <v>836.58</v>
      </c>
      <c r="AB109" s="62">
        <v>628.19000000000017</v>
      </c>
      <c r="AC109" s="100">
        <f t="shared" si="56"/>
        <v>34465.730000000003</v>
      </c>
      <c r="AE109" s="68">
        <f t="shared" si="69"/>
        <v>0.10225767010355884</v>
      </c>
      <c r="AF109" s="68">
        <f t="shared" si="70"/>
        <v>0.17699333561066363</v>
      </c>
      <c r="AG109" s="68">
        <f t="shared" si="71"/>
        <v>0.24612352767830459</v>
      </c>
      <c r="AH109" s="68">
        <f t="shared" si="72"/>
        <v>0.33237293115852568</v>
      </c>
      <c r="AI109" s="68">
        <f t="shared" si="73"/>
        <v>0.45705931848121695</v>
      </c>
      <c r="AJ109" s="68">
        <f t="shared" si="74"/>
        <v>0.4935895713629565</v>
      </c>
      <c r="AK109" s="68">
        <f t="shared" si="75"/>
        <v>0.64983745235838009</v>
      </c>
      <c r="AL109" s="68">
        <f t="shared" si="76"/>
        <v>0.73165459127253707</v>
      </c>
      <c r="AM109" s="68">
        <f t="shared" si="77"/>
        <v>0.8056955431283267</v>
      </c>
      <c r="AN109" s="68">
        <f t="shared" si="78"/>
        <v>0.82010285514943171</v>
      </c>
      <c r="AO109" s="68">
        <f t="shared" si="79"/>
        <v>0.94384504601784935</v>
      </c>
      <c r="AP109" s="68">
        <f t="shared" si="80"/>
        <v>1</v>
      </c>
      <c r="AQ109" s="92"/>
      <c r="AT109" s="68">
        <f t="shared" si="57"/>
        <v>0.13802928300082429</v>
      </c>
      <c r="AU109" s="68">
        <f t="shared" si="58"/>
        <v>0.23849690692754799</v>
      </c>
      <c r="AV109" s="68">
        <f t="shared" si="59"/>
        <v>0.41560965051371318</v>
      </c>
      <c r="AW109" s="68">
        <f t="shared" si="60"/>
        <v>0.53432061354858862</v>
      </c>
      <c r="AX109" s="68">
        <f t="shared" si="61"/>
        <v>0.62958654872535702</v>
      </c>
      <c r="AY109" s="68">
        <f t="shared" si="62"/>
        <v>0.76273301044254682</v>
      </c>
      <c r="AZ109" s="68">
        <f t="shared" si="63"/>
        <v>0.83731376065442398</v>
      </c>
      <c r="BA109" s="68">
        <f t="shared" si="64"/>
        <v>0.88898682836545173</v>
      </c>
      <c r="BB109" s="68">
        <f t="shared" si="65"/>
        <v>0.92289674409913847</v>
      </c>
      <c r="BC109" s="68">
        <f t="shared" si="66"/>
        <v>0.95750068256206955</v>
      </c>
      <c r="BD109" s="68">
        <f t="shared" si="67"/>
        <v>0.98177348920217267</v>
      </c>
      <c r="BE109" s="68">
        <f t="shared" si="68"/>
        <v>1</v>
      </c>
      <c r="BG109" s="68">
        <f t="shared" si="55"/>
        <v>0.12014347655219157</v>
      </c>
      <c r="BH109" s="68">
        <f t="shared" si="55"/>
        <v>0.20774512126910583</v>
      </c>
      <c r="BI109" s="68">
        <f t="shared" si="55"/>
        <v>0.33086658909600886</v>
      </c>
      <c r="BJ109" s="68">
        <f t="shared" si="55"/>
        <v>0.43334677235355712</v>
      </c>
      <c r="BK109" s="68">
        <f t="shared" si="55"/>
        <v>0.54332293360328698</v>
      </c>
      <c r="BL109" s="68">
        <f t="shared" si="55"/>
        <v>0.62816129090275163</v>
      </c>
      <c r="BM109" s="68">
        <f t="shared" si="81"/>
        <v>0.74357560650640209</v>
      </c>
      <c r="BN109" s="68">
        <f t="shared" si="81"/>
        <v>0.8103207098189944</v>
      </c>
      <c r="BO109" s="68">
        <f t="shared" si="81"/>
        <v>0.86429614361373264</v>
      </c>
      <c r="BP109" s="68">
        <f t="shared" si="81"/>
        <v>0.88880176885575057</v>
      </c>
      <c r="BQ109" s="68">
        <f t="shared" si="81"/>
        <v>0.96280926761001107</v>
      </c>
      <c r="BR109" s="68">
        <f t="shared" si="81"/>
        <v>1</v>
      </c>
    </row>
    <row r="110" spans="1:70">
      <c r="A110" s="131" t="s">
        <v>136</v>
      </c>
      <c r="B110" s="62">
        <v>671.94999999999982</v>
      </c>
      <c r="C110" s="62">
        <v>993.20000000000073</v>
      </c>
      <c r="D110" s="62">
        <v>854.64000000000033</v>
      </c>
      <c r="E110" s="62">
        <v>1848.9099999999999</v>
      </c>
      <c r="F110" s="62">
        <v>306.94999999999982</v>
      </c>
      <c r="G110" s="62">
        <v>1050.18</v>
      </c>
      <c r="H110" s="62">
        <v>628.32000000000016</v>
      </c>
      <c r="I110" s="62">
        <v>680.68</v>
      </c>
      <c r="J110" s="62">
        <v>411.68</v>
      </c>
      <c r="K110" s="62">
        <v>985.39</v>
      </c>
      <c r="L110" s="62">
        <v>494.42</v>
      </c>
      <c r="M110" s="62">
        <v>233.66</v>
      </c>
      <c r="N110" s="100">
        <f t="shared" si="54"/>
        <v>9159.9800000000014</v>
      </c>
      <c r="P110" s="131" t="s">
        <v>136</v>
      </c>
      <c r="Q110" s="62">
        <v>1445.6200000000003</v>
      </c>
      <c r="R110" s="62">
        <v>649.54999999999995</v>
      </c>
      <c r="S110" s="62">
        <v>197.37999999999988</v>
      </c>
      <c r="T110" s="62">
        <v>466.89000000000021</v>
      </c>
      <c r="U110" s="62">
        <v>571.0599999999996</v>
      </c>
      <c r="V110" s="62">
        <v>92.049999999999955</v>
      </c>
      <c r="W110" s="62">
        <v>310.84000000000009</v>
      </c>
      <c r="X110" s="62">
        <v>0</v>
      </c>
      <c r="Y110" s="62">
        <v>357.73</v>
      </c>
      <c r="Z110" s="62">
        <v>308.96999999999991</v>
      </c>
      <c r="AA110" s="62">
        <v>357.74</v>
      </c>
      <c r="AB110" s="62">
        <v>0</v>
      </c>
      <c r="AC110" s="100">
        <f t="shared" si="56"/>
        <v>4757.83</v>
      </c>
      <c r="AE110" s="68">
        <f t="shared" si="69"/>
        <v>7.3357147068006667E-2</v>
      </c>
      <c r="AF110" s="68">
        <f t="shared" si="70"/>
        <v>0.18178533140902059</v>
      </c>
      <c r="AG110" s="68">
        <f t="shared" si="71"/>
        <v>0.27508684516778426</v>
      </c>
      <c r="AH110" s="68">
        <f t="shared" si="72"/>
        <v>0.47693335574968504</v>
      </c>
      <c r="AI110" s="68">
        <f t="shared" si="73"/>
        <v>0.51044325424291315</v>
      </c>
      <c r="AJ110" s="68">
        <f t="shared" si="74"/>
        <v>0.6250919761833541</v>
      </c>
      <c r="AK110" s="68">
        <f t="shared" si="75"/>
        <v>0.69368601241487438</v>
      </c>
      <c r="AL110" s="68">
        <f t="shared" si="76"/>
        <v>0.76799621833235454</v>
      </c>
      <c r="AM110" s="68">
        <f t="shared" si="77"/>
        <v>0.81293954790294309</v>
      </c>
      <c r="AN110" s="68">
        <f t="shared" si="78"/>
        <v>0.92051511029500066</v>
      </c>
      <c r="AO110" s="68">
        <f t="shared" si="79"/>
        <v>0.97449121067949929</v>
      </c>
      <c r="AP110" s="68">
        <f t="shared" si="80"/>
        <v>1</v>
      </c>
      <c r="AQ110" s="92"/>
      <c r="AT110" s="68">
        <f t="shared" si="57"/>
        <v>0.30384019605576501</v>
      </c>
      <c r="AU110" s="68">
        <f t="shared" si="58"/>
        <v>0.44036251820682959</v>
      </c>
      <c r="AV110" s="68">
        <f t="shared" si="59"/>
        <v>0.48184781717715852</v>
      </c>
      <c r="AW110" s="68">
        <f t="shared" si="60"/>
        <v>0.57997868776311901</v>
      </c>
      <c r="AX110" s="68">
        <f t="shared" si="61"/>
        <v>0.70000399341716713</v>
      </c>
      <c r="AY110" s="68">
        <f t="shared" si="62"/>
        <v>0.7193510486923661</v>
      </c>
      <c r="AZ110" s="68">
        <f t="shared" si="63"/>
        <v>0.78468335354562913</v>
      </c>
      <c r="BA110" s="68">
        <f t="shared" si="64"/>
        <v>0.78468335354562913</v>
      </c>
      <c r="BB110" s="68">
        <f t="shared" si="65"/>
        <v>0.85987099160751868</v>
      </c>
      <c r="BC110" s="68">
        <f t="shared" si="66"/>
        <v>0.92481026013960155</v>
      </c>
      <c r="BD110" s="68">
        <f t="shared" si="67"/>
        <v>1</v>
      </c>
      <c r="BE110" s="68">
        <f t="shared" si="68"/>
        <v>1</v>
      </c>
      <c r="BG110" s="68">
        <f t="shared" si="55"/>
        <v>0.18859867156188584</v>
      </c>
      <c r="BH110" s="68">
        <f t="shared" si="55"/>
        <v>0.31107392480792506</v>
      </c>
      <c r="BI110" s="68">
        <f t="shared" si="55"/>
        <v>0.37846733117247139</v>
      </c>
      <c r="BJ110" s="68">
        <f t="shared" si="55"/>
        <v>0.52845602175640205</v>
      </c>
      <c r="BK110" s="68">
        <f t="shared" si="55"/>
        <v>0.60522362383004014</v>
      </c>
      <c r="BL110" s="68">
        <f t="shared" si="55"/>
        <v>0.6722215124378601</v>
      </c>
      <c r="BM110" s="68">
        <f t="shared" si="81"/>
        <v>0.73918468298025175</v>
      </c>
      <c r="BN110" s="68">
        <f t="shared" si="81"/>
        <v>0.77633978593899178</v>
      </c>
      <c r="BO110" s="68">
        <f t="shared" si="81"/>
        <v>0.83640526975523088</v>
      </c>
      <c r="BP110" s="68">
        <f t="shared" si="81"/>
        <v>0.9226626852173011</v>
      </c>
      <c r="BQ110" s="68">
        <f t="shared" si="81"/>
        <v>0.98724560533974959</v>
      </c>
      <c r="BR110" s="68">
        <f t="shared" si="81"/>
        <v>1</v>
      </c>
    </row>
    <row r="111" spans="1:70">
      <c r="A111" s="131" t="s">
        <v>137</v>
      </c>
      <c r="B111" s="62">
        <v>29500.19</v>
      </c>
      <c r="C111" s="62">
        <v>22511.47</v>
      </c>
      <c r="D111" s="62">
        <v>16513.239999999991</v>
      </c>
      <c r="E111" s="62">
        <v>12906.880000000003</v>
      </c>
      <c r="F111" s="62">
        <v>13672.160000000002</v>
      </c>
      <c r="G111" s="62">
        <v>6618.6</v>
      </c>
      <c r="H111" s="62">
        <v>8775.2200000000012</v>
      </c>
      <c r="I111" s="62">
        <v>11864.24</v>
      </c>
      <c r="J111" s="62">
        <v>6028.1</v>
      </c>
      <c r="K111" s="62">
        <v>10408.480000000001</v>
      </c>
      <c r="L111" s="62">
        <v>6150.7800000000007</v>
      </c>
      <c r="M111" s="62">
        <v>8234.880000000001</v>
      </c>
      <c r="N111" s="100">
        <f t="shared" si="54"/>
        <v>153184.24000000002</v>
      </c>
      <c r="P111" s="131" t="s">
        <v>137</v>
      </c>
      <c r="Q111" s="62">
        <v>13207.139999999996</v>
      </c>
      <c r="R111" s="62">
        <v>11923.710000000017</v>
      </c>
      <c r="S111" s="62">
        <v>9534.7400000000052</v>
      </c>
      <c r="T111" s="62">
        <v>18162.390000000007</v>
      </c>
      <c r="U111" s="62">
        <v>13957.430000000002</v>
      </c>
      <c r="V111" s="62">
        <v>37185.240000000005</v>
      </c>
      <c r="W111" s="62">
        <v>16613.89</v>
      </c>
      <c r="X111" s="62">
        <v>18569.64</v>
      </c>
      <c r="Y111" s="62">
        <v>20804.529999999995</v>
      </c>
      <c r="Z111" s="62">
        <v>21544.690000000002</v>
      </c>
      <c r="AA111" s="62">
        <v>19148.45</v>
      </c>
      <c r="AB111" s="62">
        <v>23740.260000000002</v>
      </c>
      <c r="AC111" s="100">
        <f t="shared" si="56"/>
        <v>224392.11000000007</v>
      </c>
      <c r="AE111" s="68">
        <f t="shared" si="69"/>
        <v>0.19257979802621988</v>
      </c>
      <c r="AF111" s="68">
        <f t="shared" si="70"/>
        <v>0.33953662596099965</v>
      </c>
      <c r="AG111" s="68">
        <f t="shared" si="71"/>
        <v>0.44733648840115658</v>
      </c>
      <c r="AH111" s="68">
        <f t="shared" si="72"/>
        <v>0.53159372008504258</v>
      </c>
      <c r="AI111" s="68">
        <f t="shared" si="73"/>
        <v>0.62084676595973576</v>
      </c>
      <c r="AJ111" s="68">
        <f t="shared" si="74"/>
        <v>0.6640535606012733</v>
      </c>
      <c r="AK111" s="68">
        <f t="shared" si="75"/>
        <v>0.72133895758467059</v>
      </c>
      <c r="AL111" s="68">
        <f t="shared" si="76"/>
        <v>0.79878974495026378</v>
      </c>
      <c r="AM111" s="68">
        <f t="shared" si="77"/>
        <v>0.83814170439465574</v>
      </c>
      <c r="AN111" s="68">
        <f t="shared" si="78"/>
        <v>0.90608916426389552</v>
      </c>
      <c r="AO111" s="68">
        <f t="shared" si="79"/>
        <v>0.94624198938480875</v>
      </c>
      <c r="AP111" s="68">
        <f t="shared" si="80"/>
        <v>1</v>
      </c>
      <c r="AQ111" s="92"/>
      <c r="AT111" s="68">
        <f t="shared" si="57"/>
        <v>5.8857417045545812E-2</v>
      </c>
      <c r="AU111" s="68">
        <f t="shared" si="58"/>
        <v>0.11199524796125855</v>
      </c>
      <c r="AV111" s="68">
        <f t="shared" si="59"/>
        <v>0.15448667067661162</v>
      </c>
      <c r="AW111" s="68">
        <f t="shared" si="60"/>
        <v>0.23542708342107041</v>
      </c>
      <c r="AX111" s="68">
        <f t="shared" si="61"/>
        <v>0.29762815635540846</v>
      </c>
      <c r="AY111" s="68">
        <f t="shared" si="62"/>
        <v>0.46334360865005458</v>
      </c>
      <c r="AZ111" s="68">
        <f t="shared" si="63"/>
        <v>0.53738315487117616</v>
      </c>
      <c r="BA111" s="68">
        <f t="shared" si="64"/>
        <v>0.62013847100060693</v>
      </c>
      <c r="BB111" s="68">
        <f t="shared" si="65"/>
        <v>0.71285354017126534</v>
      </c>
      <c r="BC111" s="68">
        <f t="shared" si="66"/>
        <v>0.80886712104093139</v>
      </c>
      <c r="BD111" s="68">
        <f t="shared" si="67"/>
        <v>0.89420189506663139</v>
      </c>
      <c r="BE111" s="68">
        <f t="shared" si="68"/>
        <v>1</v>
      </c>
      <c r="BG111" s="68">
        <f t="shared" si="55"/>
        <v>0.12571860753588285</v>
      </c>
      <c r="BH111" s="68">
        <f t="shared" si="55"/>
        <v>0.22576593696112909</v>
      </c>
      <c r="BI111" s="68">
        <f t="shared" si="55"/>
        <v>0.30091157953888409</v>
      </c>
      <c r="BJ111" s="68">
        <f t="shared" si="55"/>
        <v>0.38351040175305651</v>
      </c>
      <c r="BK111" s="68">
        <f t="shared" si="55"/>
        <v>0.45923746115757214</v>
      </c>
      <c r="BL111" s="68">
        <f t="shared" si="55"/>
        <v>0.56369858462566391</v>
      </c>
      <c r="BM111" s="68">
        <f t="shared" si="81"/>
        <v>0.62936105622792338</v>
      </c>
      <c r="BN111" s="68">
        <f t="shared" si="81"/>
        <v>0.70946410797543535</v>
      </c>
      <c r="BO111" s="68">
        <f t="shared" si="81"/>
        <v>0.7754976222829606</v>
      </c>
      <c r="BP111" s="68">
        <f t="shared" si="81"/>
        <v>0.8574781426524134</v>
      </c>
      <c r="BQ111" s="68">
        <f t="shared" si="81"/>
        <v>0.92022194222572007</v>
      </c>
      <c r="BR111" s="68">
        <f t="shared" si="81"/>
        <v>1</v>
      </c>
    </row>
    <row r="112" spans="1:70">
      <c r="A112" s="131" t="s">
        <v>138</v>
      </c>
      <c r="B112" s="62">
        <v>1140.4300000000003</v>
      </c>
      <c r="C112" s="62">
        <v>1437.12</v>
      </c>
      <c r="D112" s="62">
        <v>837.7599999999984</v>
      </c>
      <c r="E112" s="62">
        <v>0</v>
      </c>
      <c r="F112" s="62">
        <v>959.92999999999938</v>
      </c>
      <c r="G112" s="62">
        <v>1139.9000000000001</v>
      </c>
      <c r="H112" s="62">
        <v>1324.8399999999997</v>
      </c>
      <c r="I112" s="62">
        <v>2456.2800000000002</v>
      </c>
      <c r="J112" s="62">
        <v>745.49</v>
      </c>
      <c r="K112" s="62">
        <v>1754.07</v>
      </c>
      <c r="L112" s="62">
        <v>1391.1</v>
      </c>
      <c r="M112" s="62">
        <v>253.25</v>
      </c>
      <c r="N112" s="100">
        <f t="shared" si="54"/>
        <v>13440.169999999998</v>
      </c>
      <c r="P112" s="131" t="s">
        <v>138</v>
      </c>
      <c r="Q112" s="62">
        <v>1387.7899999999997</v>
      </c>
      <c r="R112" s="62">
        <v>1756.9199999999996</v>
      </c>
      <c r="S112" s="62">
        <v>1698.2199999999993</v>
      </c>
      <c r="T112" s="62">
        <v>1032.0899999999997</v>
      </c>
      <c r="U112" s="62">
        <v>1576.9599999999994</v>
      </c>
      <c r="V112" s="62">
        <v>1522.4299999999994</v>
      </c>
      <c r="W112" s="62">
        <v>1595.84</v>
      </c>
      <c r="X112" s="62">
        <v>1103.67</v>
      </c>
      <c r="Y112" s="62">
        <v>1338.6899999999998</v>
      </c>
      <c r="Z112" s="62">
        <v>18.539999999999992</v>
      </c>
      <c r="AA112" s="62">
        <v>1093.81</v>
      </c>
      <c r="AB112" s="62">
        <v>0</v>
      </c>
      <c r="AC112" s="100">
        <f t="shared" si="56"/>
        <v>14124.959999999997</v>
      </c>
      <c r="AE112" s="68">
        <f t="shared" si="69"/>
        <v>8.4852349337843233E-2</v>
      </c>
      <c r="AF112" s="68">
        <f t="shared" si="70"/>
        <v>0.19177956826438955</v>
      </c>
      <c r="AG112" s="68">
        <f t="shared" si="71"/>
        <v>0.25411211316523519</v>
      </c>
      <c r="AH112" s="68">
        <f t="shared" si="72"/>
        <v>0.25411211316523519</v>
      </c>
      <c r="AI112" s="68">
        <f t="shared" si="73"/>
        <v>0.32553457285138493</v>
      </c>
      <c r="AJ112" s="68">
        <f t="shared" si="74"/>
        <v>0.41034748816421207</v>
      </c>
      <c r="AK112" s="68">
        <f t="shared" si="75"/>
        <v>0.50892064609301801</v>
      </c>
      <c r="AL112" s="68">
        <f t="shared" si="76"/>
        <v>0.69167726301081012</v>
      </c>
      <c r="AM112" s="68">
        <f t="shared" si="77"/>
        <v>0.74714456736782342</v>
      </c>
      <c r="AN112" s="68">
        <f t="shared" si="78"/>
        <v>0.87765407729217704</v>
      </c>
      <c r="AO112" s="68">
        <f t="shared" si="79"/>
        <v>0.98115723238619745</v>
      </c>
      <c r="AP112" s="68">
        <f t="shared" si="80"/>
        <v>1</v>
      </c>
      <c r="AQ112" s="92"/>
      <c r="AT112" s="68">
        <f t="shared" si="57"/>
        <v>9.8250897701657208E-2</v>
      </c>
      <c r="AU112" s="68">
        <f t="shared" si="58"/>
        <v>0.22263496675388814</v>
      </c>
      <c r="AV112" s="68">
        <f t="shared" si="59"/>
        <v>0.34286327182519449</v>
      </c>
      <c r="AW112" s="68">
        <f t="shared" si="60"/>
        <v>0.41593179732898355</v>
      </c>
      <c r="AX112" s="68">
        <f t="shared" si="61"/>
        <v>0.52757529932828118</v>
      </c>
      <c r="AY112" s="68">
        <f t="shared" si="62"/>
        <v>0.6353582594216195</v>
      </c>
      <c r="AZ112" s="68">
        <f t="shared" si="63"/>
        <v>0.74833840237423666</v>
      </c>
      <c r="BA112" s="68">
        <f t="shared" si="64"/>
        <v>0.82647455284829119</v>
      </c>
      <c r="BB112" s="68">
        <f t="shared" si="65"/>
        <v>0.92124933451138968</v>
      </c>
      <c r="BC112" s="68">
        <f t="shared" si="66"/>
        <v>0.9225619046000838</v>
      </c>
      <c r="BD112" s="68">
        <f t="shared" si="67"/>
        <v>1</v>
      </c>
      <c r="BE112" s="68">
        <f t="shared" si="68"/>
        <v>1</v>
      </c>
      <c r="BG112" s="68">
        <f t="shared" si="55"/>
        <v>9.1551623519750214E-2</v>
      </c>
      <c r="BH112" s="68">
        <f t="shared" si="55"/>
        <v>0.20720726750913884</v>
      </c>
      <c r="BI112" s="68">
        <f t="shared" si="55"/>
        <v>0.29848769249521484</v>
      </c>
      <c r="BJ112" s="68">
        <f t="shared" si="55"/>
        <v>0.33502195524710937</v>
      </c>
      <c r="BK112" s="68">
        <f t="shared" si="55"/>
        <v>0.42655493608983308</v>
      </c>
      <c r="BL112" s="68">
        <f t="shared" si="55"/>
        <v>0.52285287379291578</v>
      </c>
      <c r="BM112" s="68">
        <f t="shared" si="81"/>
        <v>0.62862952423362728</v>
      </c>
      <c r="BN112" s="68">
        <f t="shared" si="81"/>
        <v>0.7590759079295506</v>
      </c>
      <c r="BO112" s="68">
        <f t="shared" si="81"/>
        <v>0.83419695093960655</v>
      </c>
      <c r="BP112" s="68">
        <f t="shared" si="81"/>
        <v>0.90010799094613048</v>
      </c>
      <c r="BQ112" s="68">
        <f t="shared" si="81"/>
        <v>0.99057861619309873</v>
      </c>
      <c r="BR112" s="68">
        <f t="shared" si="81"/>
        <v>1</v>
      </c>
    </row>
    <row r="113" spans="1:70">
      <c r="A113" s="131" t="s">
        <v>139</v>
      </c>
      <c r="B113" s="62">
        <v>21506.789999999997</v>
      </c>
      <c r="C113" s="62">
        <v>19907.72</v>
      </c>
      <c r="D113" s="62">
        <v>19253.960000000003</v>
      </c>
      <c r="E113" s="62">
        <v>19337.470000000005</v>
      </c>
      <c r="F113" s="62">
        <v>16480.709999999992</v>
      </c>
      <c r="G113" s="62">
        <v>12641.189999999999</v>
      </c>
      <c r="H113" s="62">
        <v>18088.059999999998</v>
      </c>
      <c r="I113" s="62">
        <v>9612.380000000001</v>
      </c>
      <c r="J113" s="62">
        <v>9664.52</v>
      </c>
      <c r="K113" s="62">
        <v>13122.19</v>
      </c>
      <c r="L113" s="62">
        <v>14842.050000000001</v>
      </c>
      <c r="M113" s="62">
        <v>20365.62</v>
      </c>
      <c r="N113" s="100">
        <f t="shared" si="54"/>
        <v>194822.65999999997</v>
      </c>
      <c r="P113" s="131" t="s">
        <v>139</v>
      </c>
      <c r="Q113" s="62">
        <v>10640.759999999995</v>
      </c>
      <c r="R113" s="62">
        <v>10200.679999999993</v>
      </c>
      <c r="S113" s="62">
        <v>12644.900000000005</v>
      </c>
      <c r="T113" s="62">
        <v>6118.6200000000008</v>
      </c>
      <c r="U113" s="62">
        <v>5362.1999999999953</v>
      </c>
      <c r="V113" s="62">
        <v>9345.2300000000032</v>
      </c>
      <c r="W113" s="62">
        <v>7603.8900000000021</v>
      </c>
      <c r="X113" s="62">
        <v>10944.82</v>
      </c>
      <c r="Y113" s="62">
        <v>7014.83</v>
      </c>
      <c r="Z113" s="62">
        <v>5822.619999999999</v>
      </c>
      <c r="AA113" s="62">
        <v>3975.62</v>
      </c>
      <c r="AB113" s="62">
        <v>10678.38</v>
      </c>
      <c r="AC113" s="100">
        <f t="shared" si="56"/>
        <v>100352.55</v>
      </c>
      <c r="AE113" s="68">
        <f t="shared" si="69"/>
        <v>0.11039162487566898</v>
      </c>
      <c r="AF113" s="68">
        <f t="shared" si="70"/>
        <v>0.21257542628768131</v>
      </c>
      <c r="AG113" s="68">
        <f t="shared" si="71"/>
        <v>0.31140356055091339</v>
      </c>
      <c r="AH113" s="68">
        <f t="shared" si="72"/>
        <v>0.41066034105067661</v>
      </c>
      <c r="AI113" s="68">
        <f t="shared" si="73"/>
        <v>0.49525373485815255</v>
      </c>
      <c r="AJ113" s="68">
        <f t="shared" si="74"/>
        <v>0.56013935955909855</v>
      </c>
      <c r="AK113" s="68">
        <f t="shared" si="75"/>
        <v>0.65298307701989089</v>
      </c>
      <c r="AL113" s="68">
        <f t="shared" si="76"/>
        <v>0.70232220420355629</v>
      </c>
      <c r="AM113" s="68">
        <f t="shared" si="77"/>
        <v>0.75192895939312199</v>
      </c>
      <c r="AN113" s="68">
        <f t="shared" si="78"/>
        <v>0.81928349607792039</v>
      </c>
      <c r="AO113" s="68">
        <f t="shared" si="79"/>
        <v>0.89546585597383799</v>
      </c>
      <c r="AP113" s="68">
        <f t="shared" si="80"/>
        <v>1</v>
      </c>
      <c r="AQ113" s="92"/>
      <c r="AT113" s="68">
        <f t="shared" si="57"/>
        <v>0.10603377791595724</v>
      </c>
      <c r="AU113" s="68">
        <f t="shared" si="58"/>
        <v>0.2076822163462711</v>
      </c>
      <c r="AV113" s="68">
        <f t="shared" si="59"/>
        <v>0.33368698652899198</v>
      </c>
      <c r="AW113" s="68">
        <f t="shared" si="60"/>
        <v>0.39465823240166792</v>
      </c>
      <c r="AX113" s="68">
        <f t="shared" si="61"/>
        <v>0.44809185217515646</v>
      </c>
      <c r="AY113" s="68">
        <f t="shared" si="62"/>
        <v>0.54121584354358709</v>
      </c>
      <c r="AZ113" s="68">
        <f t="shared" si="63"/>
        <v>0.61698761018030934</v>
      </c>
      <c r="BA113" s="68">
        <f t="shared" si="64"/>
        <v>0.72605130612027302</v>
      </c>
      <c r="BB113" s="68">
        <f t="shared" si="65"/>
        <v>0.79595316710935604</v>
      </c>
      <c r="BC113" s="68">
        <f t="shared" si="66"/>
        <v>0.85397481180099555</v>
      </c>
      <c r="BD113" s="68">
        <f t="shared" si="67"/>
        <v>0.89359134371772309</v>
      </c>
      <c r="BE113" s="68">
        <f t="shared" si="68"/>
        <v>1</v>
      </c>
      <c r="BG113" s="68">
        <f t="shared" si="55"/>
        <v>0.1082127013958131</v>
      </c>
      <c r="BH113" s="68">
        <f t="shared" si="55"/>
        <v>0.21012882131697619</v>
      </c>
      <c r="BI113" s="68">
        <f t="shared" si="55"/>
        <v>0.32254527353995266</v>
      </c>
      <c r="BJ113" s="68">
        <f t="shared" si="55"/>
        <v>0.40265928672617224</v>
      </c>
      <c r="BK113" s="68">
        <f t="shared" si="55"/>
        <v>0.47167279351665448</v>
      </c>
      <c r="BL113" s="68">
        <f t="shared" si="55"/>
        <v>0.55067760155134282</v>
      </c>
      <c r="BM113" s="68">
        <f t="shared" si="81"/>
        <v>0.63498534360010006</v>
      </c>
      <c r="BN113" s="68">
        <f t="shared" si="81"/>
        <v>0.71418675516191465</v>
      </c>
      <c r="BO113" s="68">
        <f t="shared" si="81"/>
        <v>0.77394106325123901</v>
      </c>
      <c r="BP113" s="68">
        <f t="shared" si="81"/>
        <v>0.83662915393945791</v>
      </c>
      <c r="BQ113" s="68">
        <f t="shared" si="81"/>
        <v>0.89452859984578059</v>
      </c>
      <c r="BR113" s="68">
        <f t="shared" si="81"/>
        <v>1</v>
      </c>
    </row>
    <row r="114" spans="1:70">
      <c r="A114" s="131" t="s">
        <v>140</v>
      </c>
      <c r="B114" s="62">
        <v>785.40000000000009</v>
      </c>
      <c r="C114" s="62">
        <v>465.40999999999985</v>
      </c>
      <c r="D114" s="62">
        <v>0</v>
      </c>
      <c r="E114" s="62">
        <v>0</v>
      </c>
      <c r="F114" s="62">
        <v>1011.18</v>
      </c>
      <c r="G114" s="62">
        <v>43.64</v>
      </c>
      <c r="H114" s="62">
        <v>551.29</v>
      </c>
      <c r="I114" s="62">
        <v>494.68</v>
      </c>
      <c r="J114" s="62">
        <v>90.19</v>
      </c>
      <c r="K114" s="62">
        <v>215.76</v>
      </c>
      <c r="L114" s="62">
        <v>202.23</v>
      </c>
      <c r="M114" s="62">
        <v>559.35</v>
      </c>
      <c r="N114" s="100">
        <f t="shared" si="54"/>
        <v>4419.1299999999992</v>
      </c>
      <c r="P114" s="131" t="s">
        <v>140</v>
      </c>
      <c r="Q114" s="62">
        <v>243.77999999999975</v>
      </c>
      <c r="R114" s="62">
        <v>295.7800000000002</v>
      </c>
      <c r="S114" s="62">
        <v>0</v>
      </c>
      <c r="T114" s="62">
        <v>191.70999999999987</v>
      </c>
      <c r="U114" s="62">
        <v>433.1</v>
      </c>
      <c r="V114" s="62">
        <v>710.67</v>
      </c>
      <c r="W114" s="62">
        <v>446.15000000000003</v>
      </c>
      <c r="X114" s="62">
        <v>253.52999999999997</v>
      </c>
      <c r="Y114" s="62">
        <v>341.29999999999995</v>
      </c>
      <c r="Z114" s="62">
        <v>360.78999999999996</v>
      </c>
      <c r="AA114" s="62">
        <v>524.95000000000005</v>
      </c>
      <c r="AB114" s="62">
        <v>0</v>
      </c>
      <c r="AC114" s="100">
        <f t="shared" si="56"/>
        <v>3801.76</v>
      </c>
      <c r="AE114" s="68">
        <f t="shared" si="69"/>
        <v>0.17772729021323208</v>
      </c>
      <c r="AF114" s="68">
        <f t="shared" si="70"/>
        <v>0.28304440014210946</v>
      </c>
      <c r="AG114" s="68">
        <f t="shared" si="71"/>
        <v>0.28304440014210946</v>
      </c>
      <c r="AH114" s="68">
        <f t="shared" si="72"/>
        <v>0.28304440014210946</v>
      </c>
      <c r="AI114" s="68">
        <f t="shared" si="73"/>
        <v>0.51186319479173503</v>
      </c>
      <c r="AJ114" s="68">
        <f t="shared" si="74"/>
        <v>0.5217384417294807</v>
      </c>
      <c r="AK114" s="68">
        <f t="shared" si="75"/>
        <v>0.64648924109496664</v>
      </c>
      <c r="AL114" s="68">
        <f t="shared" si="76"/>
        <v>0.75842982668534309</v>
      </c>
      <c r="AM114" s="68">
        <f t="shared" si="77"/>
        <v>0.77883882121594072</v>
      </c>
      <c r="AN114" s="68">
        <f t="shared" si="78"/>
        <v>0.82766291102547329</v>
      </c>
      <c r="AO114" s="68">
        <f t="shared" si="79"/>
        <v>0.87342531222208897</v>
      </c>
      <c r="AP114" s="68">
        <f t="shared" si="80"/>
        <v>1</v>
      </c>
      <c r="AQ114" s="92"/>
      <c r="AT114" s="68">
        <f t="shared" si="57"/>
        <v>6.4122932536509331E-2</v>
      </c>
      <c r="AU114" s="68">
        <f t="shared" si="58"/>
        <v>0.14192374058330876</v>
      </c>
      <c r="AV114" s="68">
        <f t="shared" si="59"/>
        <v>0.14192374058330876</v>
      </c>
      <c r="AW114" s="68">
        <f t="shared" si="60"/>
        <v>0.19235038508480276</v>
      </c>
      <c r="AX114" s="68">
        <f t="shared" si="61"/>
        <v>0.3062713059214679</v>
      </c>
      <c r="AY114" s="68">
        <f t="shared" si="62"/>
        <v>0.49320314801565585</v>
      </c>
      <c r="AZ114" s="68">
        <f t="shared" si="63"/>
        <v>0.6105566895332688</v>
      </c>
      <c r="BA114" s="68">
        <f t="shared" si="64"/>
        <v>0.67724422372795756</v>
      </c>
      <c r="BB114" s="68">
        <f t="shared" si="65"/>
        <v>0.7670184335676109</v>
      </c>
      <c r="BC114" s="68">
        <f t="shared" si="66"/>
        <v>0.86191921636294777</v>
      </c>
      <c r="BD114" s="68">
        <f t="shared" si="67"/>
        <v>1</v>
      </c>
      <c r="BE114" s="68">
        <f t="shared" si="68"/>
        <v>1</v>
      </c>
      <c r="BG114" s="68">
        <f t="shared" si="55"/>
        <v>0.12092511137487071</v>
      </c>
      <c r="BH114" s="68">
        <f t="shared" si="55"/>
        <v>0.21248407036270911</v>
      </c>
      <c r="BI114" s="68">
        <f t="shared" si="55"/>
        <v>0.21248407036270911</v>
      </c>
      <c r="BJ114" s="68">
        <f t="shared" si="55"/>
        <v>0.23769739261345613</v>
      </c>
      <c r="BK114" s="68">
        <f t="shared" si="55"/>
        <v>0.40906725035660146</v>
      </c>
      <c r="BL114" s="68">
        <f t="shared" si="55"/>
        <v>0.5074707948725683</v>
      </c>
      <c r="BM114" s="68">
        <f t="shared" si="81"/>
        <v>0.62852296531411778</v>
      </c>
      <c r="BN114" s="68">
        <f t="shared" si="81"/>
        <v>0.71783702520665038</v>
      </c>
      <c r="BO114" s="68">
        <f t="shared" si="81"/>
        <v>0.77292862739177581</v>
      </c>
      <c r="BP114" s="68">
        <f t="shared" si="81"/>
        <v>0.84479106369421053</v>
      </c>
      <c r="BQ114" s="68">
        <f t="shared" si="81"/>
        <v>0.93671265611104448</v>
      </c>
      <c r="BR114" s="68">
        <f t="shared" si="81"/>
        <v>1</v>
      </c>
    </row>
    <row r="115" spans="1:70">
      <c r="A115" s="131" t="s">
        <v>141</v>
      </c>
      <c r="B115" s="62">
        <v>0</v>
      </c>
      <c r="C115" s="62">
        <v>0</v>
      </c>
      <c r="D115" s="62">
        <v>0</v>
      </c>
      <c r="E115" s="62">
        <v>0</v>
      </c>
      <c r="F115" s="62">
        <v>290.12</v>
      </c>
      <c r="G115" s="62">
        <v>0</v>
      </c>
      <c r="H115" s="62">
        <v>0</v>
      </c>
      <c r="I115" s="62">
        <v>0</v>
      </c>
      <c r="J115" s="62">
        <v>0</v>
      </c>
      <c r="K115" s="62">
        <v>0</v>
      </c>
      <c r="L115" s="62">
        <v>0</v>
      </c>
      <c r="M115" s="62">
        <v>0</v>
      </c>
      <c r="N115" s="100">
        <f t="shared" si="54"/>
        <v>290.12</v>
      </c>
      <c r="P115" s="131" t="s">
        <v>141</v>
      </c>
      <c r="Q115" s="62">
        <v>548.43000000000006</v>
      </c>
      <c r="R115" s="62">
        <v>0</v>
      </c>
      <c r="S115" s="62">
        <v>0</v>
      </c>
      <c r="T115" s="62">
        <v>215.80999999999997</v>
      </c>
      <c r="U115" s="62">
        <v>0</v>
      </c>
      <c r="V115" s="62">
        <v>0</v>
      </c>
      <c r="W115" s="62">
        <v>351.82</v>
      </c>
      <c r="X115" s="62">
        <v>0</v>
      </c>
      <c r="Y115" s="62">
        <v>147.69999999999999</v>
      </c>
      <c r="Z115" s="62">
        <v>0</v>
      </c>
      <c r="AA115" s="62">
        <v>0</v>
      </c>
      <c r="AB115" s="62">
        <v>0</v>
      </c>
      <c r="AC115" s="100">
        <f t="shared" si="56"/>
        <v>1263.76</v>
      </c>
      <c r="AE115" s="68">
        <f t="shared" si="69"/>
        <v>0</v>
      </c>
      <c r="AF115" s="68">
        <f t="shared" si="70"/>
        <v>0</v>
      </c>
      <c r="AG115" s="68">
        <f t="shared" si="71"/>
        <v>0</v>
      </c>
      <c r="AH115" s="68">
        <f t="shared" si="72"/>
        <v>0</v>
      </c>
      <c r="AI115" s="68">
        <f t="shared" si="73"/>
        <v>1</v>
      </c>
      <c r="AJ115" s="68">
        <f t="shared" si="74"/>
        <v>1</v>
      </c>
      <c r="AK115" s="68">
        <f t="shared" si="75"/>
        <v>1</v>
      </c>
      <c r="AL115" s="68">
        <f t="shared" si="76"/>
        <v>1</v>
      </c>
      <c r="AM115" s="68">
        <f t="shared" si="77"/>
        <v>1</v>
      </c>
      <c r="AN115" s="68">
        <f t="shared" si="78"/>
        <v>1</v>
      </c>
      <c r="AO115" s="68">
        <f t="shared" si="79"/>
        <v>1</v>
      </c>
      <c r="AP115" s="68">
        <f t="shared" si="80"/>
        <v>1</v>
      </c>
      <c r="AQ115" s="92"/>
      <c r="AT115" s="68">
        <f t="shared" si="57"/>
        <v>0.43396689244793318</v>
      </c>
      <c r="AU115" s="68">
        <f t="shared" si="58"/>
        <v>0.43396689244793318</v>
      </c>
      <c r="AV115" s="68">
        <f t="shared" si="59"/>
        <v>0.43396689244793318</v>
      </c>
      <c r="AW115" s="68">
        <f t="shared" si="60"/>
        <v>0.60473507628030643</v>
      </c>
      <c r="AX115" s="68">
        <f t="shared" si="61"/>
        <v>0.60473507628030643</v>
      </c>
      <c r="AY115" s="68">
        <f t="shared" si="62"/>
        <v>0.60473507628030643</v>
      </c>
      <c r="AZ115" s="68">
        <f t="shared" si="63"/>
        <v>0.88312654301449633</v>
      </c>
      <c r="BA115" s="68">
        <f t="shared" si="64"/>
        <v>0.88312654301449633</v>
      </c>
      <c r="BB115" s="68">
        <f t="shared" si="65"/>
        <v>1</v>
      </c>
      <c r="BC115" s="68">
        <f t="shared" si="66"/>
        <v>1</v>
      </c>
      <c r="BD115" s="68">
        <f t="shared" si="67"/>
        <v>1</v>
      </c>
      <c r="BE115" s="68">
        <f t="shared" si="68"/>
        <v>1</v>
      </c>
      <c r="BG115" s="68">
        <f t="shared" si="55"/>
        <v>0.21698344622396659</v>
      </c>
      <c r="BH115" s="68">
        <f t="shared" si="55"/>
        <v>0.21698344622396659</v>
      </c>
      <c r="BI115" s="68">
        <f t="shared" si="55"/>
        <v>0.21698344622396659</v>
      </c>
      <c r="BJ115" s="68">
        <f t="shared" si="55"/>
        <v>0.30236753814015321</v>
      </c>
      <c r="BK115" s="68">
        <f t="shared" si="55"/>
        <v>0.80236753814015316</v>
      </c>
      <c r="BL115" s="68">
        <f t="shared" si="55"/>
        <v>0.80236753814015316</v>
      </c>
      <c r="BM115" s="68">
        <f t="shared" si="81"/>
        <v>0.94156327150724817</v>
      </c>
      <c r="BN115" s="68">
        <f t="shared" si="81"/>
        <v>0.94156327150724817</v>
      </c>
      <c r="BO115" s="68">
        <f t="shared" si="81"/>
        <v>1</v>
      </c>
      <c r="BP115" s="68">
        <f t="shared" si="81"/>
        <v>1</v>
      </c>
      <c r="BQ115" s="68">
        <f t="shared" si="81"/>
        <v>1</v>
      </c>
      <c r="BR115" s="68">
        <f t="shared" si="81"/>
        <v>1</v>
      </c>
    </row>
    <row r="116" spans="1:70">
      <c r="A116" s="131" t="s">
        <v>142</v>
      </c>
      <c r="B116" s="62">
        <v>5412.74</v>
      </c>
      <c r="C116" s="62">
        <v>7274.9100000000062</v>
      </c>
      <c r="D116" s="62">
        <v>4434.5399999999972</v>
      </c>
      <c r="E116" s="62">
        <v>7124.9599999999955</v>
      </c>
      <c r="F116" s="62">
        <v>4121.0300000000007</v>
      </c>
      <c r="G116" s="62">
        <v>5849.08</v>
      </c>
      <c r="H116" s="62">
        <v>5207.51</v>
      </c>
      <c r="I116" s="62">
        <v>5353.8099999999995</v>
      </c>
      <c r="J116" s="62">
        <v>5814.3399999999992</v>
      </c>
      <c r="K116" s="62">
        <v>2178.15</v>
      </c>
      <c r="L116" s="62">
        <v>4030.3</v>
      </c>
      <c r="M116" s="62">
        <v>2989.03</v>
      </c>
      <c r="N116" s="100">
        <f t="shared" si="54"/>
        <v>59790.400000000001</v>
      </c>
      <c r="P116" s="131" t="s">
        <v>142</v>
      </c>
      <c r="Q116" s="62">
        <v>6204.0599999999959</v>
      </c>
      <c r="R116" s="62">
        <v>5823.1099999999969</v>
      </c>
      <c r="S116" s="62">
        <v>7923.9800000000014</v>
      </c>
      <c r="T116" s="62">
        <v>13102.970000000001</v>
      </c>
      <c r="U116" s="62">
        <v>5918.5099999999929</v>
      </c>
      <c r="V116" s="62">
        <v>6903.2200000000012</v>
      </c>
      <c r="W116" s="62">
        <v>4597.12</v>
      </c>
      <c r="X116" s="62">
        <v>3774.76</v>
      </c>
      <c r="Y116" s="62">
        <v>1774.0700000000002</v>
      </c>
      <c r="Z116" s="62">
        <v>2220.3700000000003</v>
      </c>
      <c r="AA116" s="62">
        <v>2222.48</v>
      </c>
      <c r="AB116" s="62">
        <v>1954.06</v>
      </c>
      <c r="AC116" s="100">
        <f t="shared" si="56"/>
        <v>62418.71</v>
      </c>
      <c r="AE116" s="68">
        <f t="shared" si="69"/>
        <v>9.0528579838903903E-2</v>
      </c>
      <c r="AF116" s="68">
        <f t="shared" si="70"/>
        <v>0.21220212609382116</v>
      </c>
      <c r="AG116" s="68">
        <f t="shared" si="71"/>
        <v>0.28637021996842305</v>
      </c>
      <c r="AH116" s="68">
        <f t="shared" si="72"/>
        <v>0.40553583852926217</v>
      </c>
      <c r="AI116" s="68">
        <f t="shared" si="73"/>
        <v>0.47446044850009367</v>
      </c>
      <c r="AJ116" s="68">
        <f t="shared" si="74"/>
        <v>0.57228685541491608</v>
      </c>
      <c r="AK116" s="68">
        <f t="shared" si="75"/>
        <v>0.659382944419171</v>
      </c>
      <c r="AL116" s="68">
        <f t="shared" si="76"/>
        <v>0.74892591452808477</v>
      </c>
      <c r="AM116" s="68">
        <f t="shared" si="77"/>
        <v>0.84617129171238192</v>
      </c>
      <c r="AN116" s="68">
        <f t="shared" si="78"/>
        <v>0.88260105301185476</v>
      </c>
      <c r="AO116" s="68">
        <f t="shared" si="79"/>
        <v>0.9500081952955659</v>
      </c>
      <c r="AP116" s="68">
        <f t="shared" si="80"/>
        <v>1</v>
      </c>
      <c r="AQ116" s="92"/>
      <c r="AT116" s="68">
        <f t="shared" si="57"/>
        <v>9.9394236119266094E-2</v>
      </c>
      <c r="AU116" s="68">
        <f t="shared" si="58"/>
        <v>0.19268533425314288</v>
      </c>
      <c r="AV116" s="68">
        <f t="shared" si="59"/>
        <v>0.31963412893345594</v>
      </c>
      <c r="AW116" s="68">
        <f t="shared" si="60"/>
        <v>0.52955467999899386</v>
      </c>
      <c r="AX116" s="68">
        <f t="shared" si="61"/>
        <v>0.62437416601528595</v>
      </c>
      <c r="AY116" s="68">
        <f t="shared" si="62"/>
        <v>0.7349695307705012</v>
      </c>
      <c r="AZ116" s="68">
        <f t="shared" si="63"/>
        <v>0.80861924253160622</v>
      </c>
      <c r="BA116" s="68">
        <f t="shared" si="64"/>
        <v>0.86909405849624255</v>
      </c>
      <c r="BB116" s="68">
        <f t="shared" si="65"/>
        <v>0.89751614539935221</v>
      </c>
      <c r="BC116" s="68">
        <f t="shared" si="66"/>
        <v>0.93308833200814301</v>
      </c>
      <c r="BD116" s="68">
        <f t="shared" si="67"/>
        <v>0.96869432258372534</v>
      </c>
      <c r="BE116" s="68">
        <f t="shared" si="68"/>
        <v>1</v>
      </c>
      <c r="BG116" s="68">
        <f t="shared" si="55"/>
        <v>9.4961407979085005E-2</v>
      </c>
      <c r="BH116" s="68">
        <f t="shared" si="55"/>
        <v>0.20244373017348202</v>
      </c>
      <c r="BI116" s="68">
        <f t="shared" si="55"/>
        <v>0.30300217445093947</v>
      </c>
      <c r="BJ116" s="68">
        <f t="shared" si="55"/>
        <v>0.46754525926412804</v>
      </c>
      <c r="BK116" s="68">
        <f t="shared" si="55"/>
        <v>0.54941730725768978</v>
      </c>
      <c r="BL116" s="68">
        <f t="shared" si="55"/>
        <v>0.65362819309270859</v>
      </c>
      <c r="BM116" s="68">
        <f t="shared" si="81"/>
        <v>0.73400109347538867</v>
      </c>
      <c r="BN116" s="68">
        <f t="shared" si="81"/>
        <v>0.8090099865121636</v>
      </c>
      <c r="BO116" s="68">
        <f t="shared" si="81"/>
        <v>0.87184371855586706</v>
      </c>
      <c r="BP116" s="68">
        <f t="shared" si="81"/>
        <v>0.90784469250999889</v>
      </c>
      <c r="BQ116" s="68">
        <f t="shared" si="81"/>
        <v>0.95935125893964557</v>
      </c>
      <c r="BR116" s="68">
        <f t="shared" si="81"/>
        <v>1</v>
      </c>
    </row>
    <row r="117" spans="1:70">
      <c r="A117" s="131" t="s">
        <v>143</v>
      </c>
      <c r="B117" s="62">
        <v>75184.530000000028</v>
      </c>
      <c r="C117" s="62">
        <v>49514.25999999998</v>
      </c>
      <c r="D117" s="62">
        <v>17098.22</v>
      </c>
      <c r="E117" s="62">
        <v>38583.119999999966</v>
      </c>
      <c r="F117" s="62">
        <v>22504.799999999985</v>
      </c>
      <c r="G117" s="62">
        <v>22109.11</v>
      </c>
      <c r="H117" s="62">
        <v>23716.43</v>
      </c>
      <c r="I117" s="62">
        <v>25776.57</v>
      </c>
      <c r="J117" s="62">
        <v>24703.95</v>
      </c>
      <c r="K117" s="62">
        <v>25138.46</v>
      </c>
      <c r="L117" s="62">
        <v>26113.68</v>
      </c>
      <c r="M117" s="62">
        <v>27447.439999999999</v>
      </c>
      <c r="N117" s="100">
        <f t="shared" si="54"/>
        <v>377890.57</v>
      </c>
      <c r="P117" s="131" t="s">
        <v>143</v>
      </c>
      <c r="Q117" s="62">
        <v>91900.59</v>
      </c>
      <c r="R117" s="62">
        <v>40915.409999999989</v>
      </c>
      <c r="S117" s="62">
        <v>65265.820000000007</v>
      </c>
      <c r="T117" s="62">
        <v>22472.079999999998</v>
      </c>
      <c r="U117" s="62">
        <v>51852.909999999974</v>
      </c>
      <c r="V117" s="62">
        <v>30825.260000000009</v>
      </c>
      <c r="W117" s="62">
        <v>33929.259999999995</v>
      </c>
      <c r="X117" s="62">
        <v>38859.440000000002</v>
      </c>
      <c r="Y117" s="62">
        <v>14783.78</v>
      </c>
      <c r="Z117" s="62">
        <v>39525.26</v>
      </c>
      <c r="AA117" s="62">
        <v>29090.5</v>
      </c>
      <c r="AB117" s="62">
        <v>12681.739999999998</v>
      </c>
      <c r="AC117" s="100">
        <f t="shared" si="56"/>
        <v>472102.05</v>
      </c>
      <c r="AE117" s="68">
        <f t="shared" si="69"/>
        <v>0.19895847096687283</v>
      </c>
      <c r="AF117" s="68">
        <f t="shared" si="70"/>
        <v>0.32998650905737076</v>
      </c>
      <c r="AG117" s="68">
        <f t="shared" si="71"/>
        <v>0.37523299403845933</v>
      </c>
      <c r="AH117" s="68">
        <f t="shared" si="72"/>
        <v>0.47733429812762984</v>
      </c>
      <c r="AI117" s="68">
        <f t="shared" si="73"/>
        <v>0.53688804671680468</v>
      </c>
      <c r="AJ117" s="68">
        <f t="shared" si="74"/>
        <v>0.59539469323090011</v>
      </c>
      <c r="AK117" s="68">
        <f t="shared" si="75"/>
        <v>0.65815474040540356</v>
      </c>
      <c r="AL117" s="68">
        <f t="shared" si="76"/>
        <v>0.72636647164812806</v>
      </c>
      <c r="AM117" s="68">
        <f t="shared" si="77"/>
        <v>0.79173976212214026</v>
      </c>
      <c r="AN117" s="68">
        <f t="shared" si="78"/>
        <v>0.85826288282345864</v>
      </c>
      <c r="AO117" s="68">
        <f t="shared" si="79"/>
        <v>0.92736669771886604</v>
      </c>
      <c r="AP117" s="68">
        <f t="shared" si="80"/>
        <v>1</v>
      </c>
      <c r="AQ117" s="92"/>
      <c r="AT117" s="68">
        <f t="shared" si="57"/>
        <v>0.1946625523019864</v>
      </c>
      <c r="AU117" s="68">
        <f t="shared" si="58"/>
        <v>0.28132900503185698</v>
      </c>
      <c r="AV117" s="68">
        <f t="shared" si="59"/>
        <v>0.41957415774830892</v>
      </c>
      <c r="AW117" s="68">
        <f t="shared" si="60"/>
        <v>0.46717420523804121</v>
      </c>
      <c r="AX117" s="68">
        <f t="shared" si="61"/>
        <v>0.5770083184345417</v>
      </c>
      <c r="AY117" s="68">
        <f t="shared" si="62"/>
        <v>0.64230195568945303</v>
      </c>
      <c r="AZ117" s="68">
        <f t="shared" si="63"/>
        <v>0.71417044259816276</v>
      </c>
      <c r="BA117" s="68">
        <f t="shared" si="64"/>
        <v>0.79648196825241491</v>
      </c>
      <c r="BB117" s="68">
        <f t="shared" si="65"/>
        <v>0.82779676555100745</v>
      </c>
      <c r="BC117" s="68">
        <f t="shared" si="66"/>
        <v>0.91151862187423249</v>
      </c>
      <c r="BD117" s="68">
        <f t="shared" si="67"/>
        <v>0.97313771461064402</v>
      </c>
      <c r="BE117" s="68">
        <f t="shared" si="68"/>
        <v>1</v>
      </c>
      <c r="BG117" s="68">
        <f t="shared" si="55"/>
        <v>0.19681051163442961</v>
      </c>
      <c r="BH117" s="68">
        <f t="shared" si="55"/>
        <v>0.30565775704461384</v>
      </c>
      <c r="BI117" s="68">
        <f t="shared" si="55"/>
        <v>0.39740357589338415</v>
      </c>
      <c r="BJ117" s="68">
        <f t="shared" si="55"/>
        <v>0.47225425168283552</v>
      </c>
      <c r="BK117" s="68">
        <f t="shared" si="55"/>
        <v>0.55694818257567325</v>
      </c>
      <c r="BL117" s="68">
        <f t="shared" si="55"/>
        <v>0.61884832446017657</v>
      </c>
      <c r="BM117" s="68">
        <f t="shared" si="81"/>
        <v>0.68616259150178316</v>
      </c>
      <c r="BN117" s="68">
        <f t="shared" si="81"/>
        <v>0.76142421995027143</v>
      </c>
      <c r="BO117" s="68">
        <f t="shared" si="81"/>
        <v>0.80976826383657385</v>
      </c>
      <c r="BP117" s="68">
        <f t="shared" si="81"/>
        <v>0.88489075234884562</v>
      </c>
      <c r="BQ117" s="68">
        <f t="shared" si="81"/>
        <v>0.95025220616475503</v>
      </c>
      <c r="BR117" s="68">
        <f t="shared" si="81"/>
        <v>1</v>
      </c>
    </row>
    <row r="118" spans="1:70">
      <c r="A118" s="131" t="s">
        <v>144</v>
      </c>
      <c r="B118" s="62">
        <v>2223.2799999999997</v>
      </c>
      <c r="C118" s="62">
        <v>934.39999999999964</v>
      </c>
      <c r="D118" s="62">
        <v>1713.3100000000004</v>
      </c>
      <c r="E118" s="62">
        <v>1124.58</v>
      </c>
      <c r="F118" s="62">
        <v>338.5300000000002</v>
      </c>
      <c r="G118" s="62">
        <v>306.95</v>
      </c>
      <c r="H118" s="62">
        <v>104.72000000000003</v>
      </c>
      <c r="I118" s="62">
        <v>306.95</v>
      </c>
      <c r="J118" s="62">
        <v>306.95999999999998</v>
      </c>
      <c r="K118" s="62">
        <v>621.12</v>
      </c>
      <c r="L118" s="62">
        <v>628.36</v>
      </c>
      <c r="M118" s="62">
        <v>104.72</v>
      </c>
      <c r="N118" s="100">
        <f t="shared" si="54"/>
        <v>8713.8799999999992</v>
      </c>
      <c r="P118" s="131" t="s">
        <v>144</v>
      </c>
      <c r="Q118" s="62">
        <v>1360.7400000000002</v>
      </c>
      <c r="R118" s="62">
        <v>525.24</v>
      </c>
      <c r="S118" s="62">
        <v>1723.6099999999997</v>
      </c>
      <c r="T118" s="62">
        <v>687.46000000000015</v>
      </c>
      <c r="U118" s="62">
        <v>263.28000000000003</v>
      </c>
      <c r="V118" s="62">
        <v>188.53999999999996</v>
      </c>
      <c r="W118" s="62">
        <v>182.02999999999997</v>
      </c>
      <c r="X118" s="62">
        <v>0</v>
      </c>
      <c r="Y118" s="62">
        <v>16.25</v>
      </c>
      <c r="Z118" s="62">
        <v>16.25</v>
      </c>
      <c r="AA118" s="62">
        <v>533.52</v>
      </c>
      <c r="AB118" s="62">
        <v>598.95000000000005</v>
      </c>
      <c r="AC118" s="100">
        <f t="shared" si="56"/>
        <v>6095.87</v>
      </c>
      <c r="AE118" s="68">
        <f t="shared" si="69"/>
        <v>0.25514237056282618</v>
      </c>
      <c r="AF118" s="68">
        <f t="shared" si="70"/>
        <v>0.36237359247545292</v>
      </c>
      <c r="AG118" s="68">
        <f t="shared" si="71"/>
        <v>0.55899209077930845</v>
      </c>
      <c r="AH118" s="68">
        <f t="shared" si="72"/>
        <v>0.68804826323061596</v>
      </c>
      <c r="AI118" s="68">
        <f t="shared" si="73"/>
        <v>0.72689777688010404</v>
      </c>
      <c r="AJ118" s="68">
        <f t="shared" si="74"/>
        <v>0.76212318737462537</v>
      </c>
      <c r="AK118" s="68">
        <f t="shared" si="75"/>
        <v>0.77414079606329222</v>
      </c>
      <c r="AL118" s="68">
        <f t="shared" si="76"/>
        <v>0.80936620655781366</v>
      </c>
      <c r="AM118" s="68">
        <f t="shared" si="77"/>
        <v>0.8445927646467476</v>
      </c>
      <c r="AN118" s="68">
        <f t="shared" si="78"/>
        <v>0.915872148801682</v>
      </c>
      <c r="AO118" s="68">
        <f t="shared" si="79"/>
        <v>0.98798239131133325</v>
      </c>
      <c r="AP118" s="68">
        <f t="shared" si="80"/>
        <v>1</v>
      </c>
      <c r="AQ118" s="92"/>
      <c r="AT118" s="68">
        <f t="shared" si="57"/>
        <v>0.22322326427564895</v>
      </c>
      <c r="AU118" s="68">
        <f t="shared" si="58"/>
        <v>0.3093865190694684</v>
      </c>
      <c r="AV118" s="68">
        <f t="shared" si="59"/>
        <v>0.59213697142491561</v>
      </c>
      <c r="AW118" s="68">
        <f t="shared" si="60"/>
        <v>0.70491168610879174</v>
      </c>
      <c r="AX118" s="68">
        <f t="shared" si="61"/>
        <v>0.74810158353114486</v>
      </c>
      <c r="AY118" s="68">
        <f t="shared" si="62"/>
        <v>0.77903072079949209</v>
      </c>
      <c r="AZ118" s="68">
        <f t="shared" si="63"/>
        <v>0.80889192190778347</v>
      </c>
      <c r="BA118" s="68">
        <f t="shared" si="64"/>
        <v>0.80889192190778347</v>
      </c>
      <c r="BB118" s="68">
        <f t="shared" si="65"/>
        <v>0.8115576611705958</v>
      </c>
      <c r="BC118" s="68">
        <f t="shared" si="66"/>
        <v>0.81422340043340813</v>
      </c>
      <c r="BD118" s="68">
        <f t="shared" si="67"/>
        <v>0.90174495191006376</v>
      </c>
      <c r="BE118" s="68">
        <f t="shared" si="68"/>
        <v>1</v>
      </c>
      <c r="BG118" s="68">
        <f t="shared" si="55"/>
        <v>0.23918281741923758</v>
      </c>
      <c r="BH118" s="68">
        <f t="shared" si="55"/>
        <v>0.33588005577246066</v>
      </c>
      <c r="BI118" s="68">
        <f t="shared" si="55"/>
        <v>0.57556453110211203</v>
      </c>
      <c r="BJ118" s="68">
        <f t="shared" si="55"/>
        <v>0.69647997466970391</v>
      </c>
      <c r="BK118" s="68">
        <f t="shared" si="55"/>
        <v>0.7374996802056244</v>
      </c>
      <c r="BL118" s="68">
        <f t="shared" si="55"/>
        <v>0.77057695408705873</v>
      </c>
      <c r="BM118" s="68">
        <f t="shared" si="81"/>
        <v>0.79151635898553785</v>
      </c>
      <c r="BN118" s="68">
        <f t="shared" si="81"/>
        <v>0.80912906423279862</v>
      </c>
      <c r="BO118" s="68">
        <f t="shared" si="81"/>
        <v>0.8280752129086717</v>
      </c>
      <c r="BP118" s="68">
        <f t="shared" si="81"/>
        <v>0.86504777461754512</v>
      </c>
      <c r="BQ118" s="68">
        <f t="shared" si="81"/>
        <v>0.94486367161069851</v>
      </c>
      <c r="BR118" s="68">
        <f t="shared" si="81"/>
        <v>1</v>
      </c>
    </row>
    <row r="119" spans="1:70">
      <c r="A119" s="131" t="s">
        <v>145</v>
      </c>
      <c r="B119" s="62">
        <v>837.74999999999977</v>
      </c>
      <c r="C119" s="62">
        <v>1772.5800000000004</v>
      </c>
      <c r="D119" s="62">
        <v>909.07999999999993</v>
      </c>
      <c r="E119" s="62">
        <v>824.31999999999994</v>
      </c>
      <c r="F119" s="62">
        <v>209.44000000000005</v>
      </c>
      <c r="G119" s="62">
        <v>1474.32</v>
      </c>
      <c r="H119" s="62">
        <v>761.1</v>
      </c>
      <c r="I119" s="62">
        <v>2539.0100000000002</v>
      </c>
      <c r="J119" s="62">
        <v>173.24</v>
      </c>
      <c r="K119" s="62">
        <v>1019.27</v>
      </c>
      <c r="L119" s="62">
        <v>1910.1100000000001</v>
      </c>
      <c r="M119" s="62">
        <v>503.93999999999994</v>
      </c>
      <c r="N119" s="100">
        <f t="shared" si="54"/>
        <v>12934.160000000002</v>
      </c>
      <c r="P119" s="131" t="s">
        <v>145</v>
      </c>
      <c r="Q119" s="62">
        <v>1670.12</v>
      </c>
      <c r="R119" s="62">
        <v>439.38</v>
      </c>
      <c r="S119" s="62">
        <v>621.50999999999976</v>
      </c>
      <c r="T119" s="62">
        <v>114.67000000000002</v>
      </c>
      <c r="U119" s="62">
        <v>567.13</v>
      </c>
      <c r="V119" s="62">
        <v>370.76</v>
      </c>
      <c r="W119" s="62">
        <v>1649.2000000000003</v>
      </c>
      <c r="X119" s="62">
        <v>671.94</v>
      </c>
      <c r="Y119" s="62">
        <v>436.11999999999989</v>
      </c>
      <c r="Z119" s="62">
        <v>97.509999999999991</v>
      </c>
      <c r="AA119" s="62">
        <v>371.76</v>
      </c>
      <c r="AB119" s="62">
        <v>422.54999999999995</v>
      </c>
      <c r="AC119" s="100">
        <f t="shared" si="56"/>
        <v>7432.6500000000015</v>
      </c>
      <c r="AE119" s="68">
        <f t="shared" si="69"/>
        <v>6.4770344575913685E-2</v>
      </c>
      <c r="AF119" s="68">
        <f t="shared" si="70"/>
        <v>0.20181673954860613</v>
      </c>
      <c r="AG119" s="68">
        <f t="shared" si="71"/>
        <v>0.27210193781428399</v>
      </c>
      <c r="AH119" s="68">
        <f t="shared" si="72"/>
        <v>0.33583394669619049</v>
      </c>
      <c r="AI119" s="68">
        <f t="shared" si="73"/>
        <v>0.3520267261267836</v>
      </c>
      <c r="AJ119" s="68">
        <f t="shared" si="74"/>
        <v>0.46601325482288752</v>
      </c>
      <c r="AK119" s="68">
        <f t="shared" si="75"/>
        <v>0.52485743179301936</v>
      </c>
      <c r="AL119" s="68">
        <f t="shared" si="76"/>
        <v>0.72116009079832</v>
      </c>
      <c r="AM119" s="68">
        <f t="shared" si="77"/>
        <v>0.73455408004849165</v>
      </c>
      <c r="AN119" s="68">
        <f t="shared" si="78"/>
        <v>0.81335857914236409</v>
      </c>
      <c r="AO119" s="68">
        <f t="shared" si="79"/>
        <v>0.96103805736128201</v>
      </c>
      <c r="AP119" s="68">
        <f t="shared" si="80"/>
        <v>1</v>
      </c>
      <c r="AQ119" s="92"/>
      <c r="AT119" s="68">
        <f t="shared" si="57"/>
        <v>0.22470047694967468</v>
      </c>
      <c r="AU119" s="68">
        <f t="shared" si="58"/>
        <v>0.28381532831493472</v>
      </c>
      <c r="AV119" s="68">
        <f t="shared" si="59"/>
        <v>0.36743422601629289</v>
      </c>
      <c r="AW119" s="68">
        <f t="shared" si="60"/>
        <v>0.38286210167302365</v>
      </c>
      <c r="AX119" s="68">
        <f t="shared" si="61"/>
        <v>0.45916463172623484</v>
      </c>
      <c r="AY119" s="68">
        <f t="shared" si="62"/>
        <v>0.50904724425339531</v>
      </c>
      <c r="AZ119" s="68">
        <f t="shared" si="63"/>
        <v>0.73093311268524674</v>
      </c>
      <c r="BA119" s="68">
        <f t="shared" si="64"/>
        <v>0.82133693904596605</v>
      </c>
      <c r="BB119" s="68">
        <f t="shared" si="65"/>
        <v>0.8800131850685825</v>
      </c>
      <c r="BC119" s="68">
        <f t="shared" si="66"/>
        <v>0.89313232830820766</v>
      </c>
      <c r="BD119" s="68">
        <f t="shared" si="67"/>
        <v>0.94314948235151663</v>
      </c>
      <c r="BE119" s="68">
        <f t="shared" si="68"/>
        <v>1</v>
      </c>
      <c r="BG119" s="68">
        <f t="shared" si="55"/>
        <v>0.14473541076279417</v>
      </c>
      <c r="BH119" s="68">
        <f t="shared" si="55"/>
        <v>0.24281603393177043</v>
      </c>
      <c r="BI119" s="68">
        <f t="shared" si="55"/>
        <v>0.31976808191528844</v>
      </c>
      <c r="BJ119" s="68">
        <f t="shared" si="55"/>
        <v>0.3593480241846071</v>
      </c>
      <c r="BK119" s="68">
        <f t="shared" si="55"/>
        <v>0.40559567892650922</v>
      </c>
      <c r="BL119" s="68">
        <f t="shared" si="55"/>
        <v>0.48753024953814139</v>
      </c>
      <c r="BM119" s="68">
        <f t="shared" si="81"/>
        <v>0.62789527223913311</v>
      </c>
      <c r="BN119" s="68">
        <f t="shared" si="81"/>
        <v>0.77124851492214308</v>
      </c>
      <c r="BO119" s="68">
        <f t="shared" si="81"/>
        <v>0.80728363255853708</v>
      </c>
      <c r="BP119" s="68">
        <f t="shared" si="81"/>
        <v>0.85324545372528582</v>
      </c>
      <c r="BQ119" s="68">
        <f t="shared" si="81"/>
        <v>0.95209376985639937</v>
      </c>
      <c r="BR119" s="68">
        <f t="shared" si="81"/>
        <v>1</v>
      </c>
    </row>
    <row r="120" spans="1:70">
      <c r="N120" s="94">
        <f t="shared" si="54"/>
        <v>0</v>
      </c>
      <c r="AC120" s="94">
        <f t="shared" si="56"/>
        <v>0</v>
      </c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</row>
    <row r="121" spans="1:70">
      <c r="B121" s="317" t="s">
        <v>205</v>
      </c>
      <c r="C121" s="317"/>
      <c r="D121" s="317"/>
      <c r="E121" s="317"/>
      <c r="F121" s="317"/>
      <c r="G121" s="317"/>
      <c r="H121" s="317"/>
      <c r="I121" s="317"/>
      <c r="J121" s="317"/>
      <c r="K121" s="317"/>
      <c r="L121" s="317"/>
      <c r="M121" s="317"/>
      <c r="N121" s="317">
        <f t="shared" si="54"/>
        <v>0</v>
      </c>
      <c r="Q121" s="317" t="s">
        <v>206</v>
      </c>
      <c r="R121" s="317"/>
      <c r="S121" s="317"/>
      <c r="T121" s="317"/>
      <c r="U121" s="317"/>
      <c r="V121" s="317"/>
      <c r="W121" s="317"/>
      <c r="X121" s="317"/>
      <c r="Y121" s="317"/>
      <c r="Z121" s="317"/>
      <c r="AA121" s="317"/>
      <c r="AB121" s="317"/>
      <c r="AC121" s="317">
        <f t="shared" si="56"/>
        <v>0</v>
      </c>
      <c r="AE121" s="316" t="s">
        <v>177</v>
      </c>
      <c r="AF121" s="316"/>
      <c r="AG121" s="316"/>
      <c r="AH121" s="316"/>
      <c r="AI121" s="316"/>
      <c r="AJ121" s="316"/>
      <c r="AK121" s="316"/>
      <c r="AL121" s="316"/>
      <c r="AM121" s="316"/>
      <c r="AN121" s="316"/>
      <c r="AO121" s="316"/>
      <c r="AP121" s="316"/>
      <c r="AQ121" s="92"/>
      <c r="AT121" s="316" t="s">
        <v>178</v>
      </c>
      <c r="AU121" s="316"/>
      <c r="AV121" s="316"/>
      <c r="AW121" s="316"/>
      <c r="AX121" s="316"/>
      <c r="AY121" s="316"/>
      <c r="AZ121" s="316"/>
      <c r="BA121" s="316"/>
      <c r="BB121" s="316"/>
      <c r="BC121" s="316"/>
      <c r="BD121" s="316"/>
      <c r="BE121" s="316"/>
      <c r="BG121" s="316" t="s">
        <v>245</v>
      </c>
      <c r="BH121" s="316"/>
      <c r="BI121" s="316"/>
      <c r="BJ121" s="316"/>
      <c r="BK121" s="316"/>
      <c r="BL121" s="316"/>
      <c r="BM121" s="316"/>
      <c r="BN121" s="316"/>
      <c r="BO121" s="316"/>
      <c r="BP121" s="316"/>
      <c r="BQ121" s="316"/>
      <c r="BR121" s="316"/>
    </row>
    <row r="122" spans="1:70">
      <c r="B122" s="131" t="s">
        <v>163</v>
      </c>
      <c r="C122" s="131" t="s">
        <v>179</v>
      </c>
      <c r="D122" s="131" t="s">
        <v>180</v>
      </c>
      <c r="E122" s="131" t="s">
        <v>181</v>
      </c>
      <c r="F122" s="131" t="s">
        <v>182</v>
      </c>
      <c r="G122" s="131" t="s">
        <v>183</v>
      </c>
      <c r="H122" s="131" t="s">
        <v>184</v>
      </c>
      <c r="I122" s="131" t="s">
        <v>185</v>
      </c>
      <c r="J122" s="131" t="s">
        <v>186</v>
      </c>
      <c r="K122" s="131" t="s">
        <v>187</v>
      </c>
      <c r="L122" s="131" t="s">
        <v>188</v>
      </c>
      <c r="M122" s="131" t="s">
        <v>189</v>
      </c>
      <c r="N122" s="131" t="s">
        <v>160</v>
      </c>
      <c r="Q122" s="131" t="s">
        <v>163</v>
      </c>
      <c r="R122" s="131" t="s">
        <v>179</v>
      </c>
      <c r="S122" s="131" t="s">
        <v>180</v>
      </c>
      <c r="T122" s="131" t="s">
        <v>181</v>
      </c>
      <c r="U122" s="131" t="s">
        <v>182</v>
      </c>
      <c r="V122" s="131" t="s">
        <v>183</v>
      </c>
      <c r="W122" s="131" t="s">
        <v>184</v>
      </c>
      <c r="X122" s="131" t="s">
        <v>185</v>
      </c>
      <c r="Y122" s="131" t="s">
        <v>186</v>
      </c>
      <c r="Z122" s="131" t="s">
        <v>187</v>
      </c>
      <c r="AA122" s="131" t="s">
        <v>188</v>
      </c>
      <c r="AB122" s="131" t="s">
        <v>189</v>
      </c>
      <c r="AC122" s="131">
        <f t="shared" si="56"/>
        <v>0</v>
      </c>
      <c r="AE122" s="131" t="s">
        <v>190</v>
      </c>
      <c r="AF122" s="131" t="s">
        <v>191</v>
      </c>
      <c r="AG122" s="131" t="s">
        <v>192</v>
      </c>
      <c r="AH122" s="131" t="s">
        <v>193</v>
      </c>
      <c r="AI122" s="131" t="s">
        <v>194</v>
      </c>
      <c r="AJ122" s="131" t="s">
        <v>195</v>
      </c>
      <c r="AK122" s="131" t="s">
        <v>196</v>
      </c>
      <c r="AL122" s="131" t="s">
        <v>197</v>
      </c>
      <c r="AM122" s="131" t="s">
        <v>198</v>
      </c>
      <c r="AN122" s="131" t="s">
        <v>199</v>
      </c>
      <c r="AO122" s="131" t="s">
        <v>200</v>
      </c>
      <c r="AP122" s="131" t="s">
        <v>201</v>
      </c>
      <c r="AQ122" s="92"/>
      <c r="AT122" s="131" t="s">
        <v>190</v>
      </c>
      <c r="AU122" s="131" t="s">
        <v>191</v>
      </c>
      <c r="AV122" s="131" t="s">
        <v>238</v>
      </c>
      <c r="AW122" s="131" t="s">
        <v>239</v>
      </c>
      <c r="AX122" s="131" t="s">
        <v>240</v>
      </c>
      <c r="AY122" s="131" t="s">
        <v>195</v>
      </c>
      <c r="AZ122" s="131" t="s">
        <v>196</v>
      </c>
      <c r="BA122" s="131" t="s">
        <v>197</v>
      </c>
      <c r="BB122" s="131" t="s">
        <v>198</v>
      </c>
      <c r="BC122" s="131" t="s">
        <v>199</v>
      </c>
      <c r="BD122" s="131" t="s">
        <v>200</v>
      </c>
      <c r="BE122" s="131" t="s">
        <v>201</v>
      </c>
      <c r="BG122" s="131" t="s">
        <v>190</v>
      </c>
      <c r="BH122" s="131" t="s">
        <v>191</v>
      </c>
      <c r="BI122" s="131" t="s">
        <v>238</v>
      </c>
      <c r="BJ122" s="131" t="s">
        <v>239</v>
      </c>
      <c r="BK122" s="131" t="s">
        <v>240</v>
      </c>
      <c r="BL122" s="131" t="s">
        <v>195</v>
      </c>
      <c r="BM122" s="131" t="s">
        <v>196</v>
      </c>
      <c r="BN122" s="131" t="s">
        <v>197</v>
      </c>
      <c r="BO122" s="131" t="s">
        <v>198</v>
      </c>
      <c r="BP122" s="131" t="s">
        <v>199</v>
      </c>
      <c r="BQ122" s="131" t="s">
        <v>200</v>
      </c>
      <c r="BR122" s="131" t="s">
        <v>201</v>
      </c>
    </row>
    <row r="123" spans="1:70">
      <c r="A123" s="131" t="s">
        <v>119</v>
      </c>
      <c r="B123" s="62">
        <v>12588.5</v>
      </c>
      <c r="C123" s="62">
        <v>9607.5</v>
      </c>
      <c r="D123" s="62">
        <v>15555</v>
      </c>
      <c r="E123" s="62">
        <v>18574.5</v>
      </c>
      <c r="F123" s="62">
        <v>24522.000000000004</v>
      </c>
      <c r="G123" s="62">
        <v>18666</v>
      </c>
      <c r="H123" s="62">
        <v>23332.5</v>
      </c>
      <c r="I123" s="62">
        <v>18666</v>
      </c>
      <c r="J123" s="62">
        <v>15372</v>
      </c>
      <c r="K123" s="62">
        <v>19672.5</v>
      </c>
      <c r="L123" s="62">
        <v>14731.5</v>
      </c>
      <c r="M123" s="62">
        <v>9241.5</v>
      </c>
      <c r="N123" s="100">
        <f t="shared" si="54"/>
        <v>200529.5</v>
      </c>
      <c r="P123" s="131" t="s">
        <v>119</v>
      </c>
      <c r="Q123" s="62">
        <v>8693.2900000000009</v>
      </c>
      <c r="R123" s="62">
        <v>10909.6</v>
      </c>
      <c r="S123" s="62">
        <v>11539.630000000001</v>
      </c>
      <c r="T123" s="62">
        <v>12619.33</v>
      </c>
      <c r="U123" s="62">
        <v>13164.51</v>
      </c>
      <c r="V123" s="62">
        <v>17560.28</v>
      </c>
      <c r="W123" s="62">
        <v>15402.58</v>
      </c>
      <c r="X123" s="62">
        <v>18757.75</v>
      </c>
      <c r="Y123" s="62">
        <v>15706.25</v>
      </c>
      <c r="Z123" s="62">
        <v>19206.5</v>
      </c>
      <c r="AA123" s="62">
        <v>15616.5</v>
      </c>
      <c r="AB123" s="62">
        <v>16065.25</v>
      </c>
      <c r="AC123" s="100">
        <f t="shared" si="56"/>
        <v>175241.47</v>
      </c>
      <c r="AE123" s="68">
        <f t="shared" ref="AE123:AE149" si="82">B123/N123</f>
        <v>6.2776299746421349E-2</v>
      </c>
      <c r="AF123" s="68">
        <f t="shared" ref="AF123:AF149" si="83">SUM(B123:C123)/$N123</f>
        <v>0.11068695628324011</v>
      </c>
      <c r="AG123" s="68">
        <f t="shared" ref="AG123:AG149" si="84">SUM(B123:D123)/$N123</f>
        <v>0.1882565906761848</v>
      </c>
      <c r="AH123" s="68">
        <f t="shared" ref="AH123:AH149" si="85">SUM(B123:E123)/$N123</f>
        <v>0.28088385998070109</v>
      </c>
      <c r="AI123" s="68">
        <f t="shared" ref="AI123:AI149" si="86">SUM(B123:F123)/$N123</f>
        <v>0.40317010714134327</v>
      </c>
      <c r="AJ123" s="68">
        <f t="shared" ref="AJ123:AJ149" si="87">SUM(B123:G123)/$N123</f>
        <v>0.49625366841287694</v>
      </c>
      <c r="AK123" s="68">
        <f t="shared" ref="AK123:AK149" si="88">SUM(B123:H123)/$N123</f>
        <v>0.61260812000229392</v>
      </c>
      <c r="AL123" s="68">
        <f t="shared" ref="AL123:AL149" si="89">SUM(B123:I123)/$N123</f>
        <v>0.70569168127382753</v>
      </c>
      <c r="AM123" s="68">
        <f t="shared" ref="AM123:AM149" si="90">SUM(B123:J123)/$N123</f>
        <v>0.78234873173273756</v>
      </c>
      <c r="AN123" s="68">
        <f t="shared" ref="AN123:AN149" si="91">SUM(B123:K123)/$N123</f>
        <v>0.88045150464146171</v>
      </c>
      <c r="AO123" s="68">
        <f t="shared" ref="AO123:AO149" si="92">SUM(B123:L123)/$N123</f>
        <v>0.95391451133125049</v>
      </c>
      <c r="AP123" s="68">
        <f t="shared" ref="AP123:AP149" si="93">SUM(B123:M123)/$N123</f>
        <v>1</v>
      </c>
      <c r="AQ123" s="92"/>
      <c r="AT123" s="68">
        <f t="shared" si="57"/>
        <v>4.9607493020915661E-2</v>
      </c>
      <c r="AU123" s="68">
        <f t="shared" si="58"/>
        <v>0.11186216367621203</v>
      </c>
      <c r="AV123" s="68">
        <f t="shared" si="59"/>
        <v>0.17771204498569887</v>
      </c>
      <c r="AW123" s="68">
        <f t="shared" si="60"/>
        <v>0.24972313916334984</v>
      </c>
      <c r="AX123" s="68">
        <f t="shared" si="61"/>
        <v>0.32484525495021244</v>
      </c>
      <c r="AY123" s="68">
        <f t="shared" si="62"/>
        <v>0.42505144472937828</v>
      </c>
      <c r="AZ123" s="68">
        <f t="shared" si="63"/>
        <v>0.51294490967235096</v>
      </c>
      <c r="BA123" s="68">
        <f t="shared" si="64"/>
        <v>0.61998435644257033</v>
      </c>
      <c r="BB123" s="68">
        <f t="shared" si="65"/>
        <v>0.70961068747026601</v>
      </c>
      <c r="BC123" s="68">
        <f t="shared" si="66"/>
        <v>0.8192108865555624</v>
      </c>
      <c r="BD123" s="68">
        <f t="shared" si="67"/>
        <v>0.90832506712024275</v>
      </c>
      <c r="BE123" s="68">
        <f t="shared" si="68"/>
        <v>1</v>
      </c>
      <c r="BG123" s="68">
        <f t="shared" si="55"/>
        <v>5.6191896383668505E-2</v>
      </c>
      <c r="BH123" s="68">
        <f t="shared" si="55"/>
        <v>0.11127455997972607</v>
      </c>
      <c r="BI123" s="68">
        <f t="shared" si="55"/>
        <v>0.18298431783094182</v>
      </c>
      <c r="BJ123" s="68">
        <f t="shared" si="55"/>
        <v>0.26530349957202548</v>
      </c>
      <c r="BK123" s="68">
        <f t="shared" si="55"/>
        <v>0.36400768104577785</v>
      </c>
      <c r="BL123" s="68">
        <f t="shared" si="55"/>
        <v>0.46065255657112758</v>
      </c>
      <c r="BM123" s="68">
        <f t="shared" si="81"/>
        <v>0.56277651483732249</v>
      </c>
      <c r="BN123" s="68">
        <f t="shared" si="81"/>
        <v>0.66283801885819893</v>
      </c>
      <c r="BO123" s="68">
        <f t="shared" si="81"/>
        <v>0.74597970960150173</v>
      </c>
      <c r="BP123" s="68">
        <f t="shared" si="81"/>
        <v>0.84983119559851206</v>
      </c>
      <c r="BQ123" s="68">
        <f t="shared" si="81"/>
        <v>0.93111978922574656</v>
      </c>
      <c r="BR123" s="68">
        <f t="shared" si="81"/>
        <v>1</v>
      </c>
    </row>
    <row r="124" spans="1:70">
      <c r="A124" s="131" t="s">
        <v>120</v>
      </c>
      <c r="B124" s="62">
        <v>47209.25</v>
      </c>
      <c r="C124" s="62">
        <v>39802.5</v>
      </c>
      <c r="D124" s="62">
        <v>52887</v>
      </c>
      <c r="E124" s="62">
        <v>56638.5</v>
      </c>
      <c r="F124" s="62">
        <v>57736.500000000007</v>
      </c>
      <c r="G124" s="62">
        <v>52795.5</v>
      </c>
      <c r="H124" s="62">
        <v>55266</v>
      </c>
      <c r="I124" s="62">
        <v>61396.5</v>
      </c>
      <c r="J124" s="62">
        <v>49776</v>
      </c>
      <c r="K124" s="62">
        <v>71187</v>
      </c>
      <c r="L124" s="62">
        <v>46390.5</v>
      </c>
      <c r="M124" s="62">
        <v>46573.5</v>
      </c>
      <c r="N124" s="100">
        <f t="shared" si="54"/>
        <v>637658.75</v>
      </c>
      <c r="P124" s="131" t="s">
        <v>120</v>
      </c>
      <c r="Q124" s="62">
        <v>38495.9</v>
      </c>
      <c r="R124" s="62">
        <v>46272.68</v>
      </c>
      <c r="S124" s="62">
        <v>51109.34</v>
      </c>
      <c r="T124" s="62">
        <v>42696.67</v>
      </c>
      <c r="U124" s="62">
        <v>58122.1</v>
      </c>
      <c r="V124" s="62">
        <v>49866.41</v>
      </c>
      <c r="W124" s="62">
        <v>43959.55</v>
      </c>
      <c r="X124" s="62">
        <v>58247.73</v>
      </c>
      <c r="Y124" s="62">
        <v>51516.5</v>
      </c>
      <c r="Z124" s="62">
        <v>56318.52</v>
      </c>
      <c r="AA124" s="62">
        <v>45952.3</v>
      </c>
      <c r="AB124" s="62">
        <v>43349.25</v>
      </c>
      <c r="AC124" s="100">
        <f t="shared" si="56"/>
        <v>585906.94999999995</v>
      </c>
      <c r="AE124" s="68">
        <f t="shared" si="82"/>
        <v>7.4035289251500117E-2</v>
      </c>
      <c r="AF124" s="68">
        <f t="shared" si="83"/>
        <v>0.13645503962738689</v>
      </c>
      <c r="AG124" s="68">
        <f t="shared" si="84"/>
        <v>0.21939438610385256</v>
      </c>
      <c r="AH124" s="68">
        <f t="shared" si="85"/>
        <v>0.30821697342034432</v>
      </c>
      <c r="AI124" s="68">
        <f t="shared" si="86"/>
        <v>0.39876148488513646</v>
      </c>
      <c r="AJ124" s="68">
        <f t="shared" si="87"/>
        <v>0.48155733768257708</v>
      </c>
      <c r="AK124" s="68">
        <f t="shared" si="88"/>
        <v>0.56822751981369346</v>
      </c>
      <c r="AL124" s="68">
        <f t="shared" si="89"/>
        <v>0.66451177843948661</v>
      </c>
      <c r="AM124" s="68">
        <f t="shared" si="90"/>
        <v>0.74257233982910142</v>
      </c>
      <c r="AN124" s="68">
        <f t="shared" si="91"/>
        <v>0.85421042211057252</v>
      </c>
      <c r="AO124" s="68">
        <f t="shared" si="92"/>
        <v>0.92696171737626121</v>
      </c>
      <c r="AP124" s="68">
        <f t="shared" si="93"/>
        <v>1</v>
      </c>
      <c r="AQ124" s="92"/>
      <c r="AT124" s="68">
        <f t="shared" si="57"/>
        <v>6.5703095005102782E-2</v>
      </c>
      <c r="AU124" s="68">
        <f t="shared" si="58"/>
        <v>0.14467925325002548</v>
      </c>
      <c r="AV124" s="68">
        <f t="shared" si="59"/>
        <v>0.23191040829947485</v>
      </c>
      <c r="AW124" s="68">
        <f t="shared" si="60"/>
        <v>0.3047831912558811</v>
      </c>
      <c r="AX124" s="68">
        <f t="shared" si="61"/>
        <v>0.40398341408989941</v>
      </c>
      <c r="AY124" s="68">
        <f t="shared" si="62"/>
        <v>0.48909319133353857</v>
      </c>
      <c r="AZ124" s="68">
        <f t="shared" si="63"/>
        <v>0.56412140187106496</v>
      </c>
      <c r="BA124" s="68">
        <f t="shared" si="64"/>
        <v>0.66353604441797454</v>
      </c>
      <c r="BB124" s="68">
        <f t="shared" si="65"/>
        <v>0.75146212209976337</v>
      </c>
      <c r="BC124" s="68">
        <f t="shared" si="66"/>
        <v>0.84758407457020268</v>
      </c>
      <c r="BD124" s="68">
        <f t="shared" si="67"/>
        <v>0.92601342243849472</v>
      </c>
      <c r="BE124" s="68">
        <f t="shared" si="68"/>
        <v>1</v>
      </c>
      <c r="BG124" s="68">
        <f t="shared" si="55"/>
        <v>6.9869192128301449E-2</v>
      </c>
      <c r="BH124" s="68">
        <f t="shared" si="55"/>
        <v>0.14056714643870619</v>
      </c>
      <c r="BI124" s="68">
        <f t="shared" si="55"/>
        <v>0.22565239720166369</v>
      </c>
      <c r="BJ124" s="68">
        <f t="shared" si="55"/>
        <v>0.30650008233811271</v>
      </c>
      <c r="BK124" s="68">
        <f t="shared" si="55"/>
        <v>0.40137244948751793</v>
      </c>
      <c r="BL124" s="68">
        <f t="shared" si="55"/>
        <v>0.4853252645080578</v>
      </c>
      <c r="BM124" s="68">
        <f t="shared" si="81"/>
        <v>0.56617446084237921</v>
      </c>
      <c r="BN124" s="68">
        <f t="shared" si="81"/>
        <v>0.66402391142873052</v>
      </c>
      <c r="BO124" s="68">
        <f t="shared" si="81"/>
        <v>0.7470172309644324</v>
      </c>
      <c r="BP124" s="68">
        <f t="shared" si="81"/>
        <v>0.8508972483403876</v>
      </c>
      <c r="BQ124" s="68">
        <f t="shared" si="81"/>
        <v>0.92648756990737802</v>
      </c>
      <c r="BR124" s="68">
        <f t="shared" si="81"/>
        <v>1</v>
      </c>
    </row>
    <row r="125" spans="1:70">
      <c r="A125" s="131" t="s">
        <v>121</v>
      </c>
      <c r="B125" s="62">
        <v>19171.25</v>
      </c>
      <c r="C125" s="62">
        <v>17209.509999999998</v>
      </c>
      <c r="D125" s="62">
        <v>16838.38</v>
      </c>
      <c r="E125" s="62">
        <v>16521.5</v>
      </c>
      <c r="F125" s="62">
        <v>19947</v>
      </c>
      <c r="G125" s="62">
        <v>24430.5</v>
      </c>
      <c r="H125" s="62">
        <v>19215</v>
      </c>
      <c r="I125" s="62">
        <v>21136.5</v>
      </c>
      <c r="J125" s="62">
        <v>20679</v>
      </c>
      <c r="K125" s="62">
        <v>22600.5</v>
      </c>
      <c r="L125" s="62">
        <v>29463</v>
      </c>
      <c r="M125" s="62">
        <v>21777</v>
      </c>
      <c r="N125" s="100">
        <f t="shared" si="54"/>
        <v>248989.14</v>
      </c>
      <c r="P125" s="131" t="s">
        <v>121</v>
      </c>
      <c r="Q125" s="62">
        <v>16227.84</v>
      </c>
      <c r="R125" s="62">
        <v>15636.26</v>
      </c>
      <c r="S125" s="62">
        <v>19947.84</v>
      </c>
      <c r="T125" s="62">
        <v>15686.01</v>
      </c>
      <c r="U125" s="62">
        <v>16588.59</v>
      </c>
      <c r="V125" s="62">
        <v>18293.93</v>
      </c>
      <c r="W125" s="62">
        <v>16298.599999999999</v>
      </c>
      <c r="X125" s="62">
        <v>23694</v>
      </c>
      <c r="Y125" s="62">
        <v>17375.599999999999</v>
      </c>
      <c r="Z125" s="62">
        <v>27777.9</v>
      </c>
      <c r="AA125" s="62">
        <v>19306.68</v>
      </c>
      <c r="AB125" s="62">
        <v>18505.650000000001</v>
      </c>
      <c r="AC125" s="100">
        <f t="shared" si="56"/>
        <v>225338.9</v>
      </c>
      <c r="AE125" s="68">
        <f t="shared" si="82"/>
        <v>7.6996330040739927E-2</v>
      </c>
      <c r="AF125" s="68">
        <f t="shared" si="83"/>
        <v>0.14611384255554274</v>
      </c>
      <c r="AG125" s="68">
        <f t="shared" si="84"/>
        <v>0.21374080813323826</v>
      </c>
      <c r="AH125" s="68">
        <f t="shared" si="85"/>
        <v>0.28009510776253133</v>
      </c>
      <c r="AI125" s="68">
        <f t="shared" si="86"/>
        <v>0.36020703553576672</v>
      </c>
      <c r="AJ125" s="68">
        <f t="shared" si="87"/>
        <v>0.45832577276261927</v>
      </c>
      <c r="AK125" s="68">
        <f t="shared" si="88"/>
        <v>0.53549781327812129</v>
      </c>
      <c r="AL125" s="68">
        <f t="shared" si="89"/>
        <v>0.62038705784517356</v>
      </c>
      <c r="AM125" s="68">
        <f t="shared" si="90"/>
        <v>0.70343887287614237</v>
      </c>
      <c r="AN125" s="68">
        <f t="shared" si="91"/>
        <v>0.79420789195866137</v>
      </c>
      <c r="AO125" s="68">
        <f t="shared" si="92"/>
        <v>0.91253835408243111</v>
      </c>
      <c r="AP125" s="68">
        <f t="shared" si="93"/>
        <v>1</v>
      </c>
      <c r="AQ125" s="92"/>
      <c r="AT125" s="68">
        <f t="shared" si="57"/>
        <v>7.2015262344850353E-2</v>
      </c>
      <c r="AU125" s="68">
        <f t="shared" si="58"/>
        <v>0.1414052345156562</v>
      </c>
      <c r="AV125" s="68">
        <f t="shared" si="59"/>
        <v>0.22992896477261585</v>
      </c>
      <c r="AW125" s="68">
        <f t="shared" si="60"/>
        <v>0.29953971551294517</v>
      </c>
      <c r="AX125" s="68">
        <f t="shared" si="61"/>
        <v>0.37315589984685288</v>
      </c>
      <c r="AY125" s="68">
        <f t="shared" si="62"/>
        <v>0.45433997414560912</v>
      </c>
      <c r="AZ125" s="68">
        <f t="shared" si="63"/>
        <v>0.52666925240160489</v>
      </c>
      <c r="BA125" s="68">
        <f t="shared" si="64"/>
        <v>0.6318175423772816</v>
      </c>
      <c r="BB125" s="68">
        <f t="shared" si="65"/>
        <v>0.70892628835944449</v>
      </c>
      <c r="BC125" s="68">
        <f t="shared" si="66"/>
        <v>0.83219794718089068</v>
      </c>
      <c r="BD125" s="68">
        <f t="shared" si="67"/>
        <v>0.91787636311351484</v>
      </c>
      <c r="BE125" s="68">
        <f t="shared" si="68"/>
        <v>1</v>
      </c>
      <c r="BG125" s="68">
        <f t="shared" si="55"/>
        <v>7.450579619279514E-2</v>
      </c>
      <c r="BH125" s="68">
        <f t="shared" si="55"/>
        <v>0.14375953853559947</v>
      </c>
      <c r="BI125" s="68">
        <f t="shared" si="55"/>
        <v>0.22183488645292704</v>
      </c>
      <c r="BJ125" s="68">
        <f t="shared" si="55"/>
        <v>0.28981741163773822</v>
      </c>
      <c r="BK125" s="68">
        <f t="shared" si="55"/>
        <v>0.36668146769130983</v>
      </c>
      <c r="BL125" s="68">
        <f t="shared" si="55"/>
        <v>0.45633287345411422</v>
      </c>
      <c r="BM125" s="68">
        <f t="shared" si="81"/>
        <v>0.53108353283986309</v>
      </c>
      <c r="BN125" s="68">
        <f t="shared" si="81"/>
        <v>0.62610230011122758</v>
      </c>
      <c r="BO125" s="68">
        <f t="shared" si="81"/>
        <v>0.70618258061779349</v>
      </c>
      <c r="BP125" s="68">
        <f t="shared" si="81"/>
        <v>0.81320291956977608</v>
      </c>
      <c r="BQ125" s="68">
        <f t="shared" si="81"/>
        <v>0.91520735859797298</v>
      </c>
      <c r="BR125" s="68">
        <f t="shared" si="81"/>
        <v>1</v>
      </c>
    </row>
    <row r="126" spans="1:70">
      <c r="A126" s="131" t="s">
        <v>122</v>
      </c>
      <c r="B126" s="62">
        <v>35069.5</v>
      </c>
      <c r="C126" s="62">
        <v>32574</v>
      </c>
      <c r="D126" s="62">
        <v>36142.5</v>
      </c>
      <c r="E126" s="62">
        <v>43096.5</v>
      </c>
      <c r="F126" s="62">
        <v>42547.5</v>
      </c>
      <c r="G126" s="62">
        <v>38064</v>
      </c>
      <c r="H126" s="62">
        <v>43279.5</v>
      </c>
      <c r="I126" s="62">
        <v>50965.5</v>
      </c>
      <c r="J126" s="62">
        <v>35227.5</v>
      </c>
      <c r="K126" s="62">
        <v>47122.5</v>
      </c>
      <c r="L126" s="62">
        <v>40534.5</v>
      </c>
      <c r="M126" s="62">
        <v>36325.5</v>
      </c>
      <c r="N126" s="100">
        <f t="shared" si="54"/>
        <v>480949</v>
      </c>
      <c r="P126" s="131" t="s">
        <v>122</v>
      </c>
      <c r="Q126" s="62">
        <v>29246.720000000001</v>
      </c>
      <c r="R126" s="62">
        <v>26786.45</v>
      </c>
      <c r="S126" s="62">
        <v>37755.15</v>
      </c>
      <c r="T126" s="62">
        <v>28109.7</v>
      </c>
      <c r="U126" s="62">
        <v>32536.57</v>
      </c>
      <c r="V126" s="62">
        <v>35882.050000000003</v>
      </c>
      <c r="W126" s="62">
        <v>31807.4</v>
      </c>
      <c r="X126" s="62">
        <v>41428.6</v>
      </c>
      <c r="Y126" s="62">
        <v>36348.75</v>
      </c>
      <c r="Z126" s="62">
        <v>36707.75</v>
      </c>
      <c r="AA126" s="62">
        <v>37515.5</v>
      </c>
      <c r="AB126" s="62">
        <v>29079</v>
      </c>
      <c r="AC126" s="100">
        <f t="shared" si="56"/>
        <v>403203.64</v>
      </c>
      <c r="AE126" s="68">
        <f t="shared" si="82"/>
        <v>7.2917294765141416E-2</v>
      </c>
      <c r="AF126" s="68">
        <f t="shared" si="83"/>
        <v>0.14064588968892752</v>
      </c>
      <c r="AG126" s="68">
        <f t="shared" si="84"/>
        <v>0.21579419023638682</v>
      </c>
      <c r="AH126" s="68">
        <f t="shared" si="85"/>
        <v>0.30540140430690155</v>
      </c>
      <c r="AI126" s="68">
        <f t="shared" si="86"/>
        <v>0.39386712520454353</v>
      </c>
      <c r="AJ126" s="68">
        <f t="shared" si="87"/>
        <v>0.4730106518570576</v>
      </c>
      <c r="AK126" s="68">
        <f t="shared" si="88"/>
        <v>0.56299836365186329</v>
      </c>
      <c r="AL126" s="68">
        <f t="shared" si="89"/>
        <v>0.66896697986688813</v>
      </c>
      <c r="AM126" s="68">
        <f t="shared" si="90"/>
        <v>0.74221279179289279</v>
      </c>
      <c r="AN126" s="68">
        <f t="shared" si="91"/>
        <v>0.84019095579780811</v>
      </c>
      <c r="AO126" s="68">
        <f t="shared" si="92"/>
        <v>0.92447120172824981</v>
      </c>
      <c r="AP126" s="68">
        <f t="shared" si="93"/>
        <v>1</v>
      </c>
      <c r="AQ126" s="92"/>
      <c r="AT126" s="68">
        <f t="shared" si="57"/>
        <v>7.2535853098945238E-2</v>
      </c>
      <c r="AU126" s="68">
        <f t="shared" si="58"/>
        <v>0.13896990116458274</v>
      </c>
      <c r="AV126" s="68">
        <f t="shared" si="59"/>
        <v>0.23260782070320596</v>
      </c>
      <c r="AW126" s="68">
        <f t="shared" si="60"/>
        <v>0.30232370918080004</v>
      </c>
      <c r="AX126" s="68">
        <f t="shared" si="61"/>
        <v>0.38301883881802257</v>
      </c>
      <c r="AY126" s="68">
        <f t="shared" si="62"/>
        <v>0.47201121497811876</v>
      </c>
      <c r="AZ126" s="68">
        <f t="shared" si="63"/>
        <v>0.55089790360027502</v>
      </c>
      <c r="BA126" s="68">
        <f t="shared" si="64"/>
        <v>0.65364647997721448</v>
      </c>
      <c r="BB126" s="68">
        <f t="shared" si="65"/>
        <v>0.74379633576720683</v>
      </c>
      <c r="BC126" s="68">
        <f t="shared" si="66"/>
        <v>0.83483656050327326</v>
      </c>
      <c r="BD126" s="68">
        <f t="shared" si="67"/>
        <v>0.92788011536800608</v>
      </c>
      <c r="BE126" s="68">
        <f t="shared" si="68"/>
        <v>1</v>
      </c>
      <c r="BG126" s="68">
        <f t="shared" si="55"/>
        <v>7.272657393204332E-2</v>
      </c>
      <c r="BH126" s="68">
        <f t="shared" si="55"/>
        <v>0.13980789542675515</v>
      </c>
      <c r="BI126" s="68">
        <f t="shared" si="55"/>
        <v>0.22420100546979638</v>
      </c>
      <c r="BJ126" s="68">
        <f t="shared" si="55"/>
        <v>0.30386255674385076</v>
      </c>
      <c r="BK126" s="68">
        <f t="shared" si="55"/>
        <v>0.38844298201128302</v>
      </c>
      <c r="BL126" s="68">
        <f t="shared" si="55"/>
        <v>0.47251093341758821</v>
      </c>
      <c r="BM126" s="68">
        <f t="shared" si="81"/>
        <v>0.5569481336260691</v>
      </c>
      <c r="BN126" s="68">
        <f t="shared" si="81"/>
        <v>0.66130672992205131</v>
      </c>
      <c r="BO126" s="68">
        <f t="shared" si="81"/>
        <v>0.74300456378004975</v>
      </c>
      <c r="BP126" s="68">
        <f t="shared" si="81"/>
        <v>0.83751375815054074</v>
      </c>
      <c r="BQ126" s="68">
        <f t="shared" si="81"/>
        <v>0.926175658548128</v>
      </c>
      <c r="BR126" s="68">
        <f t="shared" si="81"/>
        <v>1</v>
      </c>
    </row>
    <row r="127" spans="1:70">
      <c r="A127" s="131" t="s">
        <v>123</v>
      </c>
      <c r="B127" s="62">
        <v>105857.75</v>
      </c>
      <c r="C127" s="62">
        <v>106045</v>
      </c>
      <c r="D127" s="62">
        <v>132034.5</v>
      </c>
      <c r="E127" s="62">
        <v>147315</v>
      </c>
      <c r="F127" s="62">
        <v>150155.29999999999</v>
      </c>
      <c r="G127" s="62">
        <v>130662</v>
      </c>
      <c r="H127" s="62">
        <v>139995</v>
      </c>
      <c r="I127" s="62">
        <v>160857</v>
      </c>
      <c r="J127" s="62">
        <v>146949</v>
      </c>
      <c r="K127" s="62">
        <v>157929</v>
      </c>
      <c r="L127" s="62">
        <v>141276</v>
      </c>
      <c r="M127" s="62">
        <v>125721</v>
      </c>
      <c r="N127" s="100">
        <f t="shared" si="54"/>
        <v>1644796.55</v>
      </c>
      <c r="P127" s="131" t="s">
        <v>123</v>
      </c>
      <c r="Q127" s="62">
        <v>101428.78</v>
      </c>
      <c r="R127" s="62">
        <v>116303.67000000001</v>
      </c>
      <c r="S127" s="62">
        <v>129991.91</v>
      </c>
      <c r="T127" s="62">
        <v>104688.05</v>
      </c>
      <c r="U127" s="62">
        <v>138637.52000000002</v>
      </c>
      <c r="V127" s="62">
        <v>130104.03</v>
      </c>
      <c r="W127" s="62">
        <v>115464.73</v>
      </c>
      <c r="X127" s="62">
        <v>142612.75</v>
      </c>
      <c r="Y127" s="62">
        <v>130760.33</v>
      </c>
      <c r="Z127" s="62">
        <v>133368.5</v>
      </c>
      <c r="AA127" s="62">
        <v>122149.75</v>
      </c>
      <c r="AB127" s="62">
        <v>121252.25</v>
      </c>
      <c r="AC127" s="100">
        <f t="shared" si="56"/>
        <v>1486762.27</v>
      </c>
      <c r="AE127" s="68">
        <f t="shared" si="82"/>
        <v>6.4359175607463431E-2</v>
      </c>
      <c r="AF127" s="68">
        <f t="shared" si="83"/>
        <v>0.12883219508212124</v>
      </c>
      <c r="AG127" s="68">
        <f t="shared" si="84"/>
        <v>0.20910625694101803</v>
      </c>
      <c r="AH127" s="68">
        <f t="shared" si="85"/>
        <v>0.29867052554311352</v>
      </c>
      <c r="AI127" s="68">
        <f t="shared" si="86"/>
        <v>0.38996163385678312</v>
      </c>
      <c r="AJ127" s="68">
        <f t="shared" si="87"/>
        <v>0.46940124600820693</v>
      </c>
      <c r="AK127" s="68">
        <f t="shared" si="88"/>
        <v>0.5545151161704468</v>
      </c>
      <c r="AL127" s="68">
        <f t="shared" si="89"/>
        <v>0.65231262188627526</v>
      </c>
      <c r="AM127" s="68">
        <f t="shared" si="90"/>
        <v>0.74165437056637795</v>
      </c>
      <c r="AN127" s="68">
        <f t="shared" si="91"/>
        <v>0.83767171690626419</v>
      </c>
      <c r="AO127" s="68">
        <f t="shared" si="92"/>
        <v>0.9235644067954788</v>
      </c>
      <c r="AP127" s="68">
        <f t="shared" si="93"/>
        <v>1</v>
      </c>
      <c r="AQ127" s="92"/>
      <c r="AT127" s="68">
        <f t="shared" si="57"/>
        <v>6.8221249655467789E-2</v>
      </c>
      <c r="AU127" s="68">
        <f t="shared" si="58"/>
        <v>0.14644738731498749</v>
      </c>
      <c r="AV127" s="68">
        <f t="shared" si="59"/>
        <v>0.23388026923766364</v>
      </c>
      <c r="AW127" s="68">
        <f t="shared" si="60"/>
        <v>0.30429371200010341</v>
      </c>
      <c r="AX127" s="68">
        <f t="shared" si="61"/>
        <v>0.39754165270820324</v>
      </c>
      <c r="AY127" s="68">
        <f t="shared" si="62"/>
        <v>0.48504994682169328</v>
      </c>
      <c r="AZ127" s="68">
        <f t="shared" si="63"/>
        <v>0.56271181135098347</v>
      </c>
      <c r="BA127" s="68">
        <f t="shared" si="64"/>
        <v>0.65863350164246492</v>
      </c>
      <c r="BB127" s="68">
        <f t="shared" si="65"/>
        <v>0.74658322476800543</v>
      </c>
      <c r="BC127" s="68">
        <f t="shared" si="66"/>
        <v>0.83628720952139846</v>
      </c>
      <c r="BD127" s="68">
        <f t="shared" si="67"/>
        <v>0.91844543512662591</v>
      </c>
      <c r="BE127" s="68">
        <f t="shared" si="68"/>
        <v>1</v>
      </c>
      <c r="BG127" s="68">
        <f t="shared" si="55"/>
        <v>6.6290212631465617E-2</v>
      </c>
      <c r="BH127" s="68">
        <f t="shared" si="55"/>
        <v>0.13763979119855435</v>
      </c>
      <c r="BI127" s="68">
        <f t="shared" si="55"/>
        <v>0.22149326308934084</v>
      </c>
      <c r="BJ127" s="68">
        <f t="shared" si="55"/>
        <v>0.30148211877160846</v>
      </c>
      <c r="BK127" s="68">
        <f t="shared" si="55"/>
        <v>0.39375164328249318</v>
      </c>
      <c r="BL127" s="68">
        <f t="shared" si="55"/>
        <v>0.4772255964149501</v>
      </c>
      <c r="BM127" s="68">
        <f t="shared" si="81"/>
        <v>0.55861346376071519</v>
      </c>
      <c r="BN127" s="68">
        <f t="shared" si="81"/>
        <v>0.65547306176437004</v>
      </c>
      <c r="BO127" s="68">
        <f t="shared" si="81"/>
        <v>0.74411879766719169</v>
      </c>
      <c r="BP127" s="68">
        <f t="shared" si="81"/>
        <v>0.83697946321383132</v>
      </c>
      <c r="BQ127" s="68">
        <f t="shared" si="81"/>
        <v>0.92100492096105235</v>
      </c>
      <c r="BR127" s="68">
        <f t="shared" si="81"/>
        <v>1</v>
      </c>
    </row>
    <row r="128" spans="1:70">
      <c r="A128" s="131" t="s">
        <v>124</v>
      </c>
      <c r="B128" s="62">
        <v>67165</v>
      </c>
      <c r="C128" s="62">
        <v>65605.5</v>
      </c>
      <c r="D128" s="62">
        <v>76493.899999999994</v>
      </c>
      <c r="E128" s="62">
        <v>73200</v>
      </c>
      <c r="F128" s="62">
        <v>78964.5</v>
      </c>
      <c r="G128" s="62">
        <v>88572</v>
      </c>
      <c r="H128" s="62">
        <v>82899</v>
      </c>
      <c r="I128" s="62">
        <v>89670</v>
      </c>
      <c r="J128" s="62">
        <v>76311</v>
      </c>
      <c r="K128" s="62">
        <v>88663.5</v>
      </c>
      <c r="L128" s="62">
        <v>82716</v>
      </c>
      <c r="M128" s="62">
        <v>79788</v>
      </c>
      <c r="N128" s="100">
        <f t="shared" si="54"/>
        <v>950048.4</v>
      </c>
      <c r="P128" s="131" t="s">
        <v>124</v>
      </c>
      <c r="Q128" s="62">
        <v>52899.47</v>
      </c>
      <c r="R128" s="62">
        <v>52106.43</v>
      </c>
      <c r="S128" s="62">
        <v>71317.149999999994</v>
      </c>
      <c r="T128" s="62">
        <v>58014.400000000001</v>
      </c>
      <c r="U128" s="62">
        <v>74859.289999999994</v>
      </c>
      <c r="V128" s="62">
        <v>94399.049999999988</v>
      </c>
      <c r="W128" s="62">
        <v>71117.899999999994</v>
      </c>
      <c r="X128" s="62">
        <v>70992.25</v>
      </c>
      <c r="Y128" s="62">
        <v>69556.25</v>
      </c>
      <c r="Z128" s="62">
        <v>77722.5</v>
      </c>
      <c r="AA128" s="62">
        <v>77633.75</v>
      </c>
      <c r="AB128" s="62">
        <v>74581.649999999994</v>
      </c>
      <c r="AC128" s="100">
        <f t="shared" si="56"/>
        <v>845200.09</v>
      </c>
      <c r="AE128" s="68">
        <f t="shared" si="82"/>
        <v>7.0696398204554631E-2</v>
      </c>
      <c r="AF128" s="68">
        <f t="shared" si="83"/>
        <v>0.13975130109160755</v>
      </c>
      <c r="AG128" s="68">
        <f t="shared" si="84"/>
        <v>0.22026709376069681</v>
      </c>
      <c r="AH128" s="68">
        <f t="shared" si="85"/>
        <v>0.29731579991082563</v>
      </c>
      <c r="AI128" s="68">
        <f t="shared" si="86"/>
        <v>0.38043209167027703</v>
      </c>
      <c r="AJ128" s="68">
        <f t="shared" si="87"/>
        <v>0.47366102611193284</v>
      </c>
      <c r="AK128" s="68">
        <f t="shared" si="88"/>
        <v>0.5609186858269537</v>
      </c>
      <c r="AL128" s="68">
        <f t="shared" si="89"/>
        <v>0.65530335086086144</v>
      </c>
      <c r="AM128" s="68">
        <f t="shared" si="90"/>
        <v>0.73562662702237069</v>
      </c>
      <c r="AN128" s="68">
        <f t="shared" si="91"/>
        <v>0.82895187234671408</v>
      </c>
      <c r="AO128" s="68">
        <f t="shared" si="92"/>
        <v>0.91601691029635968</v>
      </c>
      <c r="AP128" s="68">
        <f t="shared" si="93"/>
        <v>1</v>
      </c>
      <c r="AQ128" s="92"/>
      <c r="AT128" s="68">
        <f t="shared" si="57"/>
        <v>6.2588102658626077E-2</v>
      </c>
      <c r="AU128" s="68">
        <f t="shared" si="58"/>
        <v>0.12423791862113975</v>
      </c>
      <c r="AV128" s="68">
        <f t="shared" si="59"/>
        <v>0.20861693235266929</v>
      </c>
      <c r="AW128" s="68">
        <f t="shared" si="60"/>
        <v>0.27725677360020157</v>
      </c>
      <c r="AX128" s="68">
        <f t="shared" si="61"/>
        <v>0.36582667661571122</v>
      </c>
      <c r="AY128" s="68">
        <f t="shared" si="62"/>
        <v>0.47751508166545509</v>
      </c>
      <c r="AZ128" s="68">
        <f t="shared" si="63"/>
        <v>0.56165835240268369</v>
      </c>
      <c r="BA128" s="68">
        <f t="shared" si="64"/>
        <v>0.64565296011740836</v>
      </c>
      <c r="BB128" s="68">
        <f t="shared" si="65"/>
        <v>0.72794856186065948</v>
      </c>
      <c r="BC128" s="68">
        <f t="shared" si="66"/>
        <v>0.81990607691487583</v>
      </c>
      <c r="BD128" s="68">
        <f t="shared" si="67"/>
        <v>0.91175858724766579</v>
      </c>
      <c r="BE128" s="68">
        <f t="shared" si="68"/>
        <v>1</v>
      </c>
      <c r="BG128" s="68">
        <f t="shared" si="55"/>
        <v>6.6642250431590361E-2</v>
      </c>
      <c r="BH128" s="68">
        <f t="shared" si="55"/>
        <v>0.13199460985637365</v>
      </c>
      <c r="BI128" s="68">
        <f t="shared" si="55"/>
        <v>0.21444201305668303</v>
      </c>
      <c r="BJ128" s="68">
        <f t="shared" si="55"/>
        <v>0.2872862867555136</v>
      </c>
      <c r="BK128" s="68">
        <f t="shared" si="55"/>
        <v>0.37312938414299412</v>
      </c>
      <c r="BL128" s="68">
        <f t="shared" si="55"/>
        <v>0.47558805388869396</v>
      </c>
      <c r="BM128" s="68">
        <f t="shared" si="81"/>
        <v>0.5612885191148187</v>
      </c>
      <c r="BN128" s="68">
        <f t="shared" si="81"/>
        <v>0.6504781554891349</v>
      </c>
      <c r="BO128" s="68">
        <f t="shared" si="81"/>
        <v>0.73178759444151509</v>
      </c>
      <c r="BP128" s="68">
        <f t="shared" si="81"/>
        <v>0.8244289746307949</v>
      </c>
      <c r="BQ128" s="68">
        <f t="shared" si="81"/>
        <v>0.91388774877201273</v>
      </c>
      <c r="BR128" s="68">
        <f t="shared" si="81"/>
        <v>1</v>
      </c>
    </row>
    <row r="129" spans="1:70">
      <c r="A129" s="131" t="s">
        <v>125</v>
      </c>
      <c r="B129" s="62">
        <v>91962</v>
      </c>
      <c r="C129" s="62">
        <v>89388.5</v>
      </c>
      <c r="D129" s="62">
        <v>116022</v>
      </c>
      <c r="E129" s="62">
        <v>131028</v>
      </c>
      <c r="F129" s="62">
        <v>133407</v>
      </c>
      <c r="G129" s="62">
        <v>120963</v>
      </c>
      <c r="H129" s="62">
        <v>121054.5</v>
      </c>
      <c r="I129" s="62">
        <v>132492</v>
      </c>
      <c r="J129" s="62">
        <v>109983</v>
      </c>
      <c r="K129" s="62">
        <v>135694.5</v>
      </c>
      <c r="L129" s="62">
        <v>114924</v>
      </c>
      <c r="M129" s="62">
        <v>106323</v>
      </c>
      <c r="N129" s="100">
        <f t="shared" si="54"/>
        <v>1403241.5</v>
      </c>
      <c r="P129" s="131" t="s">
        <v>125</v>
      </c>
      <c r="Q129" s="62">
        <v>72821.33</v>
      </c>
      <c r="R129" s="62">
        <v>88469.88</v>
      </c>
      <c r="S129" s="62">
        <v>115780.03</v>
      </c>
      <c r="T129" s="62">
        <v>94172.4</v>
      </c>
      <c r="U129" s="62">
        <v>123998.54999999999</v>
      </c>
      <c r="V129" s="62">
        <v>116209.60000000001</v>
      </c>
      <c r="W129" s="62">
        <v>108974.45</v>
      </c>
      <c r="X129" s="62">
        <v>131028.82</v>
      </c>
      <c r="Y129" s="62">
        <v>112348.08</v>
      </c>
      <c r="Z129" s="62">
        <v>111732.58</v>
      </c>
      <c r="AA129" s="62">
        <v>126797.83</v>
      </c>
      <c r="AB129" s="62">
        <v>100789.25</v>
      </c>
      <c r="AC129" s="100">
        <f t="shared" si="56"/>
        <v>1303122.8</v>
      </c>
      <c r="AE129" s="68">
        <f t="shared" si="82"/>
        <v>6.5535404989091328E-2</v>
      </c>
      <c r="AF129" s="68">
        <f t="shared" si="83"/>
        <v>0.12923684198336494</v>
      </c>
      <c r="AG129" s="68">
        <f t="shared" si="84"/>
        <v>0.21191826210955134</v>
      </c>
      <c r="AH129" s="68">
        <f t="shared" si="85"/>
        <v>0.30529349367161673</v>
      </c>
      <c r="AI129" s="68">
        <f t="shared" si="86"/>
        <v>0.40036408558327274</v>
      </c>
      <c r="AJ129" s="68">
        <f t="shared" si="87"/>
        <v>0.48656663874322414</v>
      </c>
      <c r="AK129" s="68">
        <f t="shared" si="88"/>
        <v>0.57283439807046754</v>
      </c>
      <c r="AL129" s="68">
        <f t="shared" si="89"/>
        <v>0.66725292830920413</v>
      </c>
      <c r="AM129" s="68">
        <f t="shared" si="90"/>
        <v>0.74563074139412211</v>
      </c>
      <c r="AN129" s="68">
        <f t="shared" si="91"/>
        <v>0.84233148748807674</v>
      </c>
      <c r="AO129" s="68">
        <f t="shared" si="92"/>
        <v>0.92423043360675983</v>
      </c>
      <c r="AP129" s="68">
        <f t="shared" si="93"/>
        <v>1</v>
      </c>
      <c r="AQ129" s="92"/>
      <c r="AT129" s="68">
        <f t="shared" si="57"/>
        <v>5.5882170122416704E-2</v>
      </c>
      <c r="AU129" s="68">
        <f t="shared" si="58"/>
        <v>0.12377284013448311</v>
      </c>
      <c r="AV129" s="68">
        <f t="shared" si="59"/>
        <v>0.21262097478457131</v>
      </c>
      <c r="AW129" s="68">
        <f t="shared" si="60"/>
        <v>0.28488768671686199</v>
      </c>
      <c r="AX129" s="68">
        <f t="shared" si="61"/>
        <v>0.38004260995203215</v>
      </c>
      <c r="AY129" s="68">
        <f t="shared" si="62"/>
        <v>0.46922039120181153</v>
      </c>
      <c r="AZ129" s="68">
        <f t="shared" si="63"/>
        <v>0.55284600960093699</v>
      </c>
      <c r="BA129" s="68">
        <f t="shared" si="64"/>
        <v>0.65339587335898042</v>
      </c>
      <c r="BB129" s="68">
        <f t="shared" si="65"/>
        <v>0.73961037286739206</v>
      </c>
      <c r="BC129" s="68">
        <f t="shared" si="66"/>
        <v>0.82535254543930925</v>
      </c>
      <c r="BD129" s="68">
        <f t="shared" si="67"/>
        <v>0.92265560083823261</v>
      </c>
      <c r="BE129" s="68">
        <f t="shared" si="68"/>
        <v>1</v>
      </c>
      <c r="BG129" s="68">
        <f t="shared" si="55"/>
        <v>6.0708787555754012E-2</v>
      </c>
      <c r="BH129" s="68">
        <f t="shared" si="55"/>
        <v>0.12650484105892401</v>
      </c>
      <c r="BI129" s="68">
        <f t="shared" si="55"/>
        <v>0.21226961844706133</v>
      </c>
      <c r="BJ129" s="68">
        <f t="shared" ref="BJ129:BO179" si="94">(AH129+AW129)/2</f>
        <v>0.29509059019423933</v>
      </c>
      <c r="BK129" s="68">
        <f t="shared" si="94"/>
        <v>0.39020334776765242</v>
      </c>
      <c r="BL129" s="68">
        <f t="shared" si="94"/>
        <v>0.47789351497251786</v>
      </c>
      <c r="BM129" s="68">
        <f t="shared" si="81"/>
        <v>0.56284020383570232</v>
      </c>
      <c r="BN129" s="68">
        <f t="shared" si="81"/>
        <v>0.66032440083409227</v>
      </c>
      <c r="BO129" s="68">
        <f t="shared" si="81"/>
        <v>0.74262055713075714</v>
      </c>
      <c r="BP129" s="68">
        <f t="shared" si="81"/>
        <v>0.83384201646369305</v>
      </c>
      <c r="BQ129" s="68">
        <f t="shared" si="81"/>
        <v>0.92344301722249622</v>
      </c>
      <c r="BR129" s="68">
        <f t="shared" si="81"/>
        <v>1</v>
      </c>
    </row>
    <row r="130" spans="1:70">
      <c r="A130" s="131" t="s">
        <v>126</v>
      </c>
      <c r="B130" s="62">
        <v>89843.5</v>
      </c>
      <c r="C130" s="62">
        <v>79696.5</v>
      </c>
      <c r="D130" s="62">
        <v>111447</v>
      </c>
      <c r="E130" s="62">
        <v>106048.5</v>
      </c>
      <c r="F130" s="62">
        <v>115839.00000000001</v>
      </c>
      <c r="G130" s="62">
        <v>110074.5</v>
      </c>
      <c r="H130" s="62">
        <v>110806.50000000001</v>
      </c>
      <c r="I130" s="62">
        <v>132858</v>
      </c>
      <c r="J130" s="62">
        <v>105865.5</v>
      </c>
      <c r="K130" s="62">
        <v>135603</v>
      </c>
      <c r="L130" s="62">
        <v>105042</v>
      </c>
      <c r="M130" s="62">
        <v>100924.5</v>
      </c>
      <c r="N130" s="100">
        <f t="shared" si="54"/>
        <v>1304048.5</v>
      </c>
      <c r="P130" s="131" t="s">
        <v>126</v>
      </c>
      <c r="Q130" s="62">
        <v>76477.17</v>
      </c>
      <c r="R130" s="62">
        <v>71996.92</v>
      </c>
      <c r="S130" s="62">
        <v>104239.04000000001</v>
      </c>
      <c r="T130" s="62">
        <v>86538.29</v>
      </c>
      <c r="U130" s="62">
        <v>125112.88</v>
      </c>
      <c r="V130" s="62">
        <v>112170.16</v>
      </c>
      <c r="W130" s="62">
        <v>108034.88</v>
      </c>
      <c r="X130" s="62">
        <v>125165.35</v>
      </c>
      <c r="Y130" s="62">
        <v>102290.88</v>
      </c>
      <c r="Z130" s="62">
        <v>106802.5</v>
      </c>
      <c r="AA130" s="62">
        <v>100968.75</v>
      </c>
      <c r="AB130" s="62">
        <v>97468.5</v>
      </c>
      <c r="AC130" s="100">
        <f t="shared" si="56"/>
        <v>1217265.3199999998</v>
      </c>
      <c r="AE130" s="68">
        <f t="shared" si="82"/>
        <v>6.8895827110724797E-2</v>
      </c>
      <c r="AF130" s="68">
        <f t="shared" si="83"/>
        <v>0.13001050191001332</v>
      </c>
      <c r="AG130" s="68">
        <f t="shared" si="84"/>
        <v>0.21547281408628591</v>
      </c>
      <c r="AH130" s="68">
        <f t="shared" si="85"/>
        <v>0.2967953262474517</v>
      </c>
      <c r="AI130" s="68">
        <f t="shared" si="86"/>
        <v>0.3856256113173705</v>
      </c>
      <c r="AJ130" s="68">
        <f t="shared" si="87"/>
        <v>0.47003543196437864</v>
      </c>
      <c r="AK130" s="68">
        <f t="shared" si="88"/>
        <v>0.55500658142699444</v>
      </c>
      <c r="AL130" s="68">
        <f t="shared" si="89"/>
        <v>0.65688776145979233</v>
      </c>
      <c r="AM130" s="68">
        <f t="shared" si="90"/>
        <v>0.73806994141705617</v>
      </c>
      <c r="AN130" s="68">
        <f t="shared" si="91"/>
        <v>0.84205610450838297</v>
      </c>
      <c r="AO130" s="68">
        <f t="shared" si="92"/>
        <v>0.92260678954808817</v>
      </c>
      <c r="AP130" s="68">
        <f t="shared" si="93"/>
        <v>1</v>
      </c>
      <c r="AQ130" s="92"/>
      <c r="AT130" s="68">
        <f t="shared" si="57"/>
        <v>6.2827034290272893E-2</v>
      </c>
      <c r="AU130" s="68">
        <f t="shared" si="58"/>
        <v>0.12197348233004783</v>
      </c>
      <c r="AV130" s="68">
        <f t="shared" si="59"/>
        <v>0.20760727004035573</v>
      </c>
      <c r="AW130" s="68">
        <f t="shared" si="60"/>
        <v>0.27869965111632361</v>
      </c>
      <c r="AX130" s="68">
        <f t="shared" si="61"/>
        <v>0.3814815820104035</v>
      </c>
      <c r="AY130" s="68">
        <f t="shared" si="62"/>
        <v>0.47363089256498331</v>
      </c>
      <c r="AZ130" s="68">
        <f t="shared" si="63"/>
        <v>0.56238301441135286</v>
      </c>
      <c r="BA130" s="68">
        <f t="shared" si="64"/>
        <v>0.66520805012337003</v>
      </c>
      <c r="BB130" s="68">
        <f t="shared" si="65"/>
        <v>0.74924139792300992</v>
      </c>
      <c r="BC130" s="68">
        <f t="shared" si="66"/>
        <v>0.83698110285438843</v>
      </c>
      <c r="BD130" s="68">
        <f t="shared" si="67"/>
        <v>0.91992830289455707</v>
      </c>
      <c r="BE130" s="68">
        <f t="shared" si="68"/>
        <v>1</v>
      </c>
      <c r="BG130" s="68">
        <f t="shared" ref="BG130:BI179" si="95">(AE130+AT130)/2</f>
        <v>6.5861430700498852E-2</v>
      </c>
      <c r="BH130" s="68">
        <f t="shared" si="95"/>
        <v>0.12599199212003057</v>
      </c>
      <c r="BI130" s="68">
        <f t="shared" si="95"/>
        <v>0.21154004206332083</v>
      </c>
      <c r="BJ130" s="68">
        <f t="shared" si="94"/>
        <v>0.28774748868188765</v>
      </c>
      <c r="BK130" s="68">
        <f t="shared" si="94"/>
        <v>0.383553596663887</v>
      </c>
      <c r="BL130" s="68">
        <f t="shared" si="94"/>
        <v>0.47183316226468097</v>
      </c>
      <c r="BM130" s="68">
        <f t="shared" si="81"/>
        <v>0.55869479791917365</v>
      </c>
      <c r="BN130" s="68">
        <f t="shared" si="81"/>
        <v>0.66104790579158124</v>
      </c>
      <c r="BO130" s="68">
        <f t="shared" si="81"/>
        <v>0.74365566967003305</v>
      </c>
      <c r="BP130" s="68">
        <f t="shared" si="81"/>
        <v>0.83951860368138576</v>
      </c>
      <c r="BQ130" s="68">
        <f t="shared" si="81"/>
        <v>0.92126754622132268</v>
      </c>
      <c r="BR130" s="68">
        <f t="shared" si="81"/>
        <v>1</v>
      </c>
    </row>
    <row r="131" spans="1:70">
      <c r="A131" s="131" t="s">
        <v>127</v>
      </c>
      <c r="B131" s="62">
        <v>155402.25</v>
      </c>
      <c r="C131" s="62">
        <v>148687.20000000001</v>
      </c>
      <c r="D131" s="62">
        <v>209901</v>
      </c>
      <c r="E131" s="62">
        <v>219325.5</v>
      </c>
      <c r="F131" s="62">
        <v>200476.5</v>
      </c>
      <c r="G131" s="62">
        <v>207705</v>
      </c>
      <c r="H131" s="62">
        <v>203496.00000000003</v>
      </c>
      <c r="I131" s="62">
        <v>222619.5</v>
      </c>
      <c r="J131" s="62">
        <v>196450.5</v>
      </c>
      <c r="K131" s="62">
        <v>220881</v>
      </c>
      <c r="L131" s="62">
        <v>169915.5</v>
      </c>
      <c r="M131" s="62">
        <v>159393</v>
      </c>
      <c r="N131" s="100">
        <f t="shared" ref="N131:N179" si="96">SUM(B131:M131)</f>
        <v>2314252.9500000002</v>
      </c>
      <c r="P131" s="131" t="s">
        <v>127</v>
      </c>
      <c r="Q131" s="62">
        <v>122511.58</v>
      </c>
      <c r="R131" s="62">
        <v>146276.46</v>
      </c>
      <c r="S131" s="62">
        <v>214864.58000000002</v>
      </c>
      <c r="T131" s="62">
        <v>174047.38</v>
      </c>
      <c r="U131" s="62">
        <v>251524.32</v>
      </c>
      <c r="V131" s="62">
        <v>264662.75</v>
      </c>
      <c r="W131" s="62">
        <v>179410.25</v>
      </c>
      <c r="X131" s="62">
        <v>211594.59999999998</v>
      </c>
      <c r="Y131" s="62">
        <v>184920.9</v>
      </c>
      <c r="Z131" s="62">
        <v>172212.3</v>
      </c>
      <c r="AA131" s="62">
        <v>158785.70000000001</v>
      </c>
      <c r="AB131" s="62">
        <v>144479.53</v>
      </c>
      <c r="AC131" s="100">
        <f t="shared" si="56"/>
        <v>2225290.3499999996</v>
      </c>
      <c r="AE131" s="68">
        <f t="shared" si="82"/>
        <v>6.7150071041283538E-2</v>
      </c>
      <c r="AF131" s="68">
        <f t="shared" si="83"/>
        <v>0.13139853618853548</v>
      </c>
      <c r="AG131" s="68">
        <f t="shared" si="84"/>
        <v>0.22209778321769016</v>
      </c>
      <c r="AH131" s="68">
        <f t="shared" si="85"/>
        <v>0.31686940271589581</v>
      </c>
      <c r="AI131" s="68">
        <f t="shared" si="86"/>
        <v>0.40349627727599952</v>
      </c>
      <c r="AJ131" s="68">
        <f t="shared" si="87"/>
        <v>0.49324662198226854</v>
      </c>
      <c r="AK131" s="68">
        <f t="shared" si="88"/>
        <v>0.5811782372363401</v>
      </c>
      <c r="AL131" s="68">
        <f t="shared" si="89"/>
        <v>0.6773732102188742</v>
      </c>
      <c r="AM131" s="68">
        <f t="shared" si="90"/>
        <v>0.76226043052035419</v>
      </c>
      <c r="AN131" s="68">
        <f t="shared" si="91"/>
        <v>0.8577041891639372</v>
      </c>
      <c r="AO131" s="68">
        <f t="shared" si="92"/>
        <v>0.93112550639721559</v>
      </c>
      <c r="AP131" s="68">
        <f t="shared" si="93"/>
        <v>1</v>
      </c>
      <c r="AQ131" s="92"/>
      <c r="AT131" s="68">
        <f t="shared" si="57"/>
        <v>5.5054200005855425E-2</v>
      </c>
      <c r="AU131" s="68">
        <f t="shared" si="58"/>
        <v>0.12078785134712872</v>
      </c>
      <c r="AV131" s="68">
        <f t="shared" si="59"/>
        <v>0.217343601925924</v>
      </c>
      <c r="AW131" s="68">
        <f t="shared" si="60"/>
        <v>0.29555693709811848</v>
      </c>
      <c r="AX131" s="68">
        <f t="shared" si="61"/>
        <v>0.40858682553492409</v>
      </c>
      <c r="AY131" s="68">
        <f t="shared" si="62"/>
        <v>0.52752085587393138</v>
      </c>
      <c r="AZ131" s="68">
        <f t="shared" si="63"/>
        <v>0.60814415521102683</v>
      </c>
      <c r="BA131" s="68">
        <f t="shared" si="64"/>
        <v>0.70323044361379639</v>
      </c>
      <c r="BB131" s="68">
        <f t="shared" si="65"/>
        <v>0.7863301164272789</v>
      </c>
      <c r="BC131" s="68">
        <f t="shared" si="66"/>
        <v>0.86371880415515223</v>
      </c>
      <c r="BD131" s="68">
        <f t="shared" si="67"/>
        <v>0.93507385227280571</v>
      </c>
      <c r="BE131" s="68">
        <f t="shared" si="68"/>
        <v>1</v>
      </c>
      <c r="BG131" s="68">
        <f t="shared" si="95"/>
        <v>6.1102135523569481E-2</v>
      </c>
      <c r="BH131" s="68">
        <f t="shared" si="95"/>
        <v>0.1260931937678321</v>
      </c>
      <c r="BI131" s="68">
        <f t="shared" si="95"/>
        <v>0.2197206925718071</v>
      </c>
      <c r="BJ131" s="68">
        <f t="shared" si="94"/>
        <v>0.30621316990700714</v>
      </c>
      <c r="BK131" s="68">
        <f t="shared" si="94"/>
        <v>0.40604155140546183</v>
      </c>
      <c r="BL131" s="68">
        <f t="shared" si="94"/>
        <v>0.51038373892809996</v>
      </c>
      <c r="BM131" s="68">
        <f t="shared" si="81"/>
        <v>0.59466119622368341</v>
      </c>
      <c r="BN131" s="68">
        <f t="shared" si="81"/>
        <v>0.69030182691633524</v>
      </c>
      <c r="BO131" s="68">
        <f t="shared" si="81"/>
        <v>0.77429527347381655</v>
      </c>
      <c r="BP131" s="68">
        <f t="shared" si="81"/>
        <v>0.86071149665954472</v>
      </c>
      <c r="BQ131" s="68">
        <f t="shared" si="81"/>
        <v>0.93309967933501059</v>
      </c>
      <c r="BR131" s="68">
        <f t="shared" si="81"/>
        <v>1</v>
      </c>
    </row>
    <row r="132" spans="1:70">
      <c r="A132" s="131" t="s">
        <v>128</v>
      </c>
      <c r="B132" s="62">
        <v>29320.75</v>
      </c>
      <c r="C132" s="62">
        <v>25894.5</v>
      </c>
      <c r="D132" s="62">
        <v>37606.5</v>
      </c>
      <c r="E132" s="62">
        <v>35593.5</v>
      </c>
      <c r="F132" s="62">
        <v>32665.5</v>
      </c>
      <c r="G132" s="62">
        <v>35868</v>
      </c>
      <c r="H132" s="62">
        <v>32940</v>
      </c>
      <c r="I132" s="62">
        <v>41907</v>
      </c>
      <c r="J132" s="62">
        <v>36874.5</v>
      </c>
      <c r="K132" s="62">
        <v>40260</v>
      </c>
      <c r="L132" s="62">
        <v>45750</v>
      </c>
      <c r="M132" s="62">
        <v>36142.5</v>
      </c>
      <c r="N132" s="100">
        <f t="shared" si="96"/>
        <v>430822.75</v>
      </c>
      <c r="P132" s="131" t="s">
        <v>128</v>
      </c>
      <c r="Q132" s="62">
        <v>24985.449999999997</v>
      </c>
      <c r="R132" s="62">
        <v>24209.059999999998</v>
      </c>
      <c r="S132" s="62">
        <v>31303.03</v>
      </c>
      <c r="T132" s="62">
        <v>29228.039999999997</v>
      </c>
      <c r="U132" s="62">
        <v>36784.35</v>
      </c>
      <c r="V132" s="62">
        <v>36058.090000000004</v>
      </c>
      <c r="W132" s="62">
        <v>34194.75</v>
      </c>
      <c r="X132" s="62">
        <v>35720.5</v>
      </c>
      <c r="Y132" s="62">
        <v>38861.75</v>
      </c>
      <c r="Z132" s="62">
        <v>36707.75</v>
      </c>
      <c r="AA132" s="62">
        <v>38772</v>
      </c>
      <c r="AB132" s="62">
        <v>35002.5</v>
      </c>
      <c r="AC132" s="100">
        <f t="shared" ref="AC132:AC179" si="97">SUM(Q132:AB132)</f>
        <v>401827.27</v>
      </c>
      <c r="AE132" s="68">
        <f t="shared" si="82"/>
        <v>6.8057571240144582E-2</v>
      </c>
      <c r="AF132" s="68">
        <f t="shared" si="83"/>
        <v>0.12816233590264209</v>
      </c>
      <c r="AG132" s="68">
        <f t="shared" si="84"/>
        <v>0.21545229447609254</v>
      </c>
      <c r="AH132" s="68">
        <f t="shared" si="85"/>
        <v>0.29806979784609794</v>
      </c>
      <c r="AI132" s="68">
        <f t="shared" si="86"/>
        <v>0.37389100273836512</v>
      </c>
      <c r="AJ132" s="68">
        <f t="shared" si="87"/>
        <v>0.45714565909065852</v>
      </c>
      <c r="AK132" s="68">
        <f t="shared" si="88"/>
        <v>0.53360401696521365</v>
      </c>
      <c r="AL132" s="68">
        <f t="shared" si="89"/>
        <v>0.63087603892784216</v>
      </c>
      <c r="AM132" s="68">
        <f t="shared" si="90"/>
        <v>0.71646692288185798</v>
      </c>
      <c r="AN132" s="68">
        <f t="shared" si="91"/>
        <v>0.80991602695075871</v>
      </c>
      <c r="AO132" s="68">
        <f t="shared" si="92"/>
        <v>0.91610819066541871</v>
      </c>
      <c r="AP132" s="68">
        <f t="shared" si="93"/>
        <v>1</v>
      </c>
      <c r="AQ132" s="92"/>
      <c r="AT132" s="68">
        <f t="shared" ref="AT132:AT179" si="98">Q132/AC132</f>
        <v>6.2179577807150811E-2</v>
      </c>
      <c r="AU132" s="68">
        <f t="shared" ref="AU132:AU179" si="99">SUM(Q132:R132)/$AC132</f>
        <v>0.12242700700726457</v>
      </c>
      <c r="AV132" s="68">
        <f t="shared" ref="AV132:AV179" si="100">SUM(Q132:S132)/$AC132</f>
        <v>0.20032871337975641</v>
      </c>
      <c r="AW132" s="68">
        <f t="shared" ref="AW132:AW179" si="101">SUM(Q132:T132)/$AC132</f>
        <v>0.27306653428474376</v>
      </c>
      <c r="AX132" s="68">
        <f t="shared" ref="AX132:AX179" si="102">SUM(Q132:U132)/$AC132</f>
        <v>0.36460922624788505</v>
      </c>
      <c r="AY132" s="68">
        <f t="shared" ref="AY132:AY179" si="103">SUM(Q132:V132)/$AC132</f>
        <v>0.45434452470087455</v>
      </c>
      <c r="AZ132" s="68">
        <f t="shared" ref="AZ132:AZ179" si="104">SUM(Q132:W132)/$AC132</f>
        <v>0.53944265654244916</v>
      </c>
      <c r="BA132" s="68">
        <f t="shared" ref="BA132:BA179" si="105">SUM(Q132:X132)/$AC132</f>
        <v>0.62833781788876597</v>
      </c>
      <c r="BB132" s="68">
        <f t="shared" ref="BB132:BB179" si="106">SUM(Q132:Y132)/$AC132</f>
        <v>0.72505039292131668</v>
      </c>
      <c r="BC132" s="68">
        <f t="shared" ref="BC132:BC179" si="107">SUM(Q132:Z132)/$AC132</f>
        <v>0.81640245571187842</v>
      </c>
      <c r="BD132" s="68">
        <f t="shared" ref="BD132:BD179" si="108">SUM(Q132:AA132)/$AC132</f>
        <v>0.91289167606767951</v>
      </c>
      <c r="BE132" s="68">
        <f t="shared" ref="BE132:BE179" si="109">SUM(Q132:AB132)/$AC132</f>
        <v>1</v>
      </c>
      <c r="BG132" s="68">
        <f t="shared" si="95"/>
        <v>6.5118574523647693E-2</v>
      </c>
      <c r="BH132" s="68">
        <f t="shared" si="95"/>
        <v>0.12529467145495332</v>
      </c>
      <c r="BI132" s="68">
        <f t="shared" si="95"/>
        <v>0.20789050392792446</v>
      </c>
      <c r="BJ132" s="68">
        <f t="shared" si="94"/>
        <v>0.28556816606542085</v>
      </c>
      <c r="BK132" s="68">
        <f t="shared" si="94"/>
        <v>0.36925011449312506</v>
      </c>
      <c r="BL132" s="68">
        <f t="shared" si="94"/>
        <v>0.45574509189576651</v>
      </c>
      <c r="BM132" s="68">
        <f t="shared" si="81"/>
        <v>0.53652333675383135</v>
      </c>
      <c r="BN132" s="68">
        <f t="shared" si="81"/>
        <v>0.62960692840830412</v>
      </c>
      <c r="BO132" s="68">
        <f t="shared" si="81"/>
        <v>0.72075865790158733</v>
      </c>
      <c r="BP132" s="68">
        <f t="shared" si="81"/>
        <v>0.81315924133131856</v>
      </c>
      <c r="BQ132" s="68">
        <f t="shared" si="81"/>
        <v>0.91449993336654911</v>
      </c>
      <c r="BR132" s="68">
        <f t="shared" si="81"/>
        <v>1</v>
      </c>
    </row>
    <row r="133" spans="1:70">
      <c r="A133" s="131" t="s">
        <v>129</v>
      </c>
      <c r="B133" s="62">
        <v>110394.03</v>
      </c>
      <c r="C133" s="62">
        <v>143153.74</v>
      </c>
      <c r="D133" s="62">
        <v>203977.39</v>
      </c>
      <c r="E133" s="62">
        <v>197640</v>
      </c>
      <c r="F133" s="62">
        <v>216397.5</v>
      </c>
      <c r="G133" s="62">
        <v>217312.5</v>
      </c>
      <c r="H133" s="62">
        <v>219325.50000000003</v>
      </c>
      <c r="I133" s="62">
        <v>236710.5</v>
      </c>
      <c r="J133" s="62">
        <v>188581.5</v>
      </c>
      <c r="K133" s="62">
        <v>214294.86</v>
      </c>
      <c r="L133" s="62">
        <v>173398.26</v>
      </c>
      <c r="M133" s="62">
        <v>172477.5</v>
      </c>
      <c r="N133" s="100">
        <f t="shared" si="96"/>
        <v>2293663.2800000003</v>
      </c>
      <c r="P133" s="131" t="s">
        <v>129</v>
      </c>
      <c r="Q133" s="62">
        <v>99432.57</v>
      </c>
      <c r="R133" s="62">
        <v>137333.68</v>
      </c>
      <c r="S133" s="62">
        <v>203090.32</v>
      </c>
      <c r="T133" s="62">
        <v>148308.44999999998</v>
      </c>
      <c r="U133" s="62">
        <v>198201.39</v>
      </c>
      <c r="V133" s="62">
        <v>204017.57</v>
      </c>
      <c r="W133" s="62">
        <v>189050.87</v>
      </c>
      <c r="X133" s="62">
        <v>205294.52999999997</v>
      </c>
      <c r="Y133" s="62">
        <v>177418.91</v>
      </c>
      <c r="Z133" s="62">
        <v>170983.28</v>
      </c>
      <c r="AA133" s="62">
        <v>153869.78</v>
      </c>
      <c r="AB133" s="62">
        <v>154144.22</v>
      </c>
      <c r="AC133" s="100">
        <f t="shared" si="97"/>
        <v>2041145.57</v>
      </c>
      <c r="AE133" s="68">
        <f t="shared" si="82"/>
        <v>4.8130007121184759E-2</v>
      </c>
      <c r="AF133" s="68">
        <f t="shared" si="83"/>
        <v>0.11054271662752518</v>
      </c>
      <c r="AG133" s="68">
        <f t="shared" si="84"/>
        <v>0.19947355132266842</v>
      </c>
      <c r="AH133" s="68">
        <f t="shared" si="85"/>
        <v>0.28564138673397604</v>
      </c>
      <c r="AI133" s="68">
        <f t="shared" si="86"/>
        <v>0.37998718800607906</v>
      </c>
      <c r="AJ133" s="68">
        <f t="shared" si="87"/>
        <v>0.47473191444212337</v>
      </c>
      <c r="AK133" s="68">
        <f t="shared" si="88"/>
        <v>0.57035427623883839</v>
      </c>
      <c r="AL133" s="68">
        <f t="shared" si="89"/>
        <v>0.67355621615043682</v>
      </c>
      <c r="AM133" s="68">
        <f t="shared" si="90"/>
        <v>0.75577469243872619</v>
      </c>
      <c r="AN133" s="68">
        <f t="shared" si="91"/>
        <v>0.84920377676360581</v>
      </c>
      <c r="AO133" s="68">
        <f t="shared" si="92"/>
        <v>0.92480260659707647</v>
      </c>
      <c r="AP133" s="68">
        <f t="shared" si="93"/>
        <v>1</v>
      </c>
      <c r="AQ133" s="92"/>
      <c r="AT133" s="68">
        <f t="shared" si="98"/>
        <v>4.8714100288300359E-2</v>
      </c>
      <c r="AU133" s="68">
        <f t="shared" si="99"/>
        <v>0.11599674882570966</v>
      </c>
      <c r="AV133" s="68">
        <f t="shared" si="100"/>
        <v>0.21549495364997412</v>
      </c>
      <c r="AW133" s="68">
        <f t="shared" si="101"/>
        <v>0.28815437205686412</v>
      </c>
      <c r="AX133" s="68">
        <f t="shared" si="102"/>
        <v>0.3852573875953394</v>
      </c>
      <c r="AY133" s="68">
        <f t="shared" si="103"/>
        <v>0.48520987163105667</v>
      </c>
      <c r="AZ133" s="68">
        <f t="shared" si="104"/>
        <v>0.57782985561387479</v>
      </c>
      <c r="BA133" s="68">
        <f t="shared" si="105"/>
        <v>0.67840794912045399</v>
      </c>
      <c r="BB133" s="68">
        <f t="shared" si="106"/>
        <v>0.76532919207717265</v>
      </c>
      <c r="BC133" s="68">
        <f t="shared" si="107"/>
        <v>0.84909748499711368</v>
      </c>
      <c r="BD133" s="68">
        <f t="shared" si="108"/>
        <v>0.9244815155442343</v>
      </c>
      <c r="BE133" s="68">
        <f t="shared" si="109"/>
        <v>1</v>
      </c>
      <c r="BG133" s="68">
        <f t="shared" si="95"/>
        <v>4.8422053704742563E-2</v>
      </c>
      <c r="BH133" s="68">
        <f t="shared" si="95"/>
        <v>0.11326973272661742</v>
      </c>
      <c r="BI133" s="68">
        <f t="shared" si="95"/>
        <v>0.20748425248632127</v>
      </c>
      <c r="BJ133" s="68">
        <f t="shared" si="94"/>
        <v>0.28689787939542011</v>
      </c>
      <c r="BK133" s="68">
        <f t="shared" si="94"/>
        <v>0.38262228780070923</v>
      </c>
      <c r="BL133" s="68">
        <f t="shared" si="94"/>
        <v>0.47997089303659002</v>
      </c>
      <c r="BM133" s="68">
        <f t="shared" si="81"/>
        <v>0.57409206592635664</v>
      </c>
      <c r="BN133" s="68">
        <f t="shared" si="81"/>
        <v>0.67598208263544546</v>
      </c>
      <c r="BO133" s="68">
        <f t="shared" si="81"/>
        <v>0.76055194225794942</v>
      </c>
      <c r="BP133" s="68">
        <f t="shared" si="81"/>
        <v>0.8491506308803598</v>
      </c>
      <c r="BQ133" s="68">
        <f t="shared" si="81"/>
        <v>0.92464206107065539</v>
      </c>
      <c r="BR133" s="68">
        <f t="shared" si="81"/>
        <v>1</v>
      </c>
    </row>
    <row r="134" spans="1:70">
      <c r="A134" s="131" t="s">
        <v>130</v>
      </c>
      <c r="B134" s="62">
        <v>116847.75</v>
      </c>
      <c r="C134" s="62">
        <v>131943</v>
      </c>
      <c r="D134" s="62">
        <v>175039.5</v>
      </c>
      <c r="E134" s="62">
        <v>172660.5</v>
      </c>
      <c r="F134" s="62">
        <v>174765</v>
      </c>
      <c r="G134" s="62">
        <v>156373.5</v>
      </c>
      <c r="H134" s="62">
        <v>171105</v>
      </c>
      <c r="I134" s="62">
        <v>177510</v>
      </c>
      <c r="J134" s="62">
        <v>157288.5</v>
      </c>
      <c r="K134" s="62">
        <v>162778.5</v>
      </c>
      <c r="L134" s="62">
        <v>150609</v>
      </c>
      <c r="M134" s="62">
        <v>142374</v>
      </c>
      <c r="N134" s="100">
        <f t="shared" si="96"/>
        <v>1889294.25</v>
      </c>
      <c r="P134" s="131" t="s">
        <v>130</v>
      </c>
      <c r="Q134" s="62">
        <v>103901.22</v>
      </c>
      <c r="R134" s="62">
        <v>126896.70999999999</v>
      </c>
      <c r="S134" s="62">
        <v>178313.47</v>
      </c>
      <c r="T134" s="62">
        <v>133753.91</v>
      </c>
      <c r="U134" s="62">
        <v>184095.08</v>
      </c>
      <c r="V134" s="62">
        <v>168197.24</v>
      </c>
      <c r="W134" s="62">
        <v>157062.5</v>
      </c>
      <c r="X134" s="62">
        <v>184076.36</v>
      </c>
      <c r="Y134" s="62">
        <v>147363.29999999999</v>
      </c>
      <c r="Z134" s="62">
        <v>137577</v>
      </c>
      <c r="AA134" s="62">
        <v>143398.5</v>
      </c>
      <c r="AB134" s="62">
        <v>125739.75</v>
      </c>
      <c r="AC134" s="100">
        <f t="shared" si="97"/>
        <v>1790375.0399999998</v>
      </c>
      <c r="AE134" s="68">
        <f t="shared" si="82"/>
        <v>6.1847300916731206E-2</v>
      </c>
      <c r="AF134" s="68">
        <f t="shared" si="83"/>
        <v>0.13168449012111269</v>
      </c>
      <c r="AG134" s="68">
        <f t="shared" si="84"/>
        <v>0.22433257815716107</v>
      </c>
      <c r="AH134" s="68">
        <f t="shared" si="85"/>
        <v>0.31572146583307498</v>
      </c>
      <c r="AI134" s="68">
        <f t="shared" si="86"/>
        <v>0.40822426151987706</v>
      </c>
      <c r="AJ134" s="68">
        <f t="shared" si="87"/>
        <v>0.49099246980717798</v>
      </c>
      <c r="AK134" s="68">
        <f t="shared" si="88"/>
        <v>0.58155803417069629</v>
      </c>
      <c r="AL134" s="68">
        <f t="shared" si="89"/>
        <v>0.67551375334996122</v>
      </c>
      <c r="AM134" s="68">
        <f t="shared" si="90"/>
        <v>0.75876626946808312</v>
      </c>
      <c r="AN134" s="68">
        <f t="shared" si="91"/>
        <v>0.84492463257113071</v>
      </c>
      <c r="AO134" s="68">
        <f t="shared" si="92"/>
        <v>0.92464170152425962</v>
      </c>
      <c r="AP134" s="68">
        <f t="shared" si="93"/>
        <v>1</v>
      </c>
      <c r="AQ134" s="92"/>
      <c r="AT134" s="68">
        <f t="shared" si="98"/>
        <v>5.803321520836216E-2</v>
      </c>
      <c r="AU134" s="68">
        <f t="shared" si="99"/>
        <v>0.12891038181586803</v>
      </c>
      <c r="AV134" s="68">
        <f t="shared" si="100"/>
        <v>0.22850597827816013</v>
      </c>
      <c r="AW134" s="68">
        <f t="shared" si="101"/>
        <v>0.30321318040716211</v>
      </c>
      <c r="AX134" s="68">
        <f t="shared" si="102"/>
        <v>0.40603804999426268</v>
      </c>
      <c r="AY134" s="68">
        <f t="shared" si="103"/>
        <v>0.49998330517387024</v>
      </c>
      <c r="AZ134" s="68">
        <f t="shared" si="104"/>
        <v>0.58770933826244587</v>
      </c>
      <c r="BA134" s="68">
        <f t="shared" si="105"/>
        <v>0.69052375193970528</v>
      </c>
      <c r="BB134" s="68">
        <f t="shared" si="106"/>
        <v>0.77283237259607906</v>
      </c>
      <c r="BC134" s="68">
        <f t="shared" si="107"/>
        <v>0.84967493179529574</v>
      </c>
      <c r="BD134" s="68">
        <f t="shared" si="108"/>
        <v>0.92976904436737451</v>
      </c>
      <c r="BE134" s="68">
        <f t="shared" si="109"/>
        <v>1</v>
      </c>
      <c r="BG134" s="68">
        <f t="shared" si="95"/>
        <v>5.9940258062546686E-2</v>
      </c>
      <c r="BH134" s="68">
        <f t="shared" si="95"/>
        <v>0.13029743596849036</v>
      </c>
      <c r="BI134" s="68">
        <f t="shared" si="95"/>
        <v>0.22641927821766061</v>
      </c>
      <c r="BJ134" s="68">
        <f t="shared" si="94"/>
        <v>0.30946732312011854</v>
      </c>
      <c r="BK134" s="68">
        <f t="shared" si="94"/>
        <v>0.40713115575706987</v>
      </c>
      <c r="BL134" s="68">
        <f t="shared" si="94"/>
        <v>0.49548788749052408</v>
      </c>
      <c r="BM134" s="68">
        <f t="shared" si="81"/>
        <v>0.58463368621657108</v>
      </c>
      <c r="BN134" s="68">
        <f t="shared" si="81"/>
        <v>0.68301875264483325</v>
      </c>
      <c r="BO134" s="68">
        <f t="shared" si="81"/>
        <v>0.76579932103208104</v>
      </c>
      <c r="BP134" s="68">
        <f t="shared" si="81"/>
        <v>0.84729978218321322</v>
      </c>
      <c r="BQ134" s="68">
        <f t="shared" si="81"/>
        <v>0.92720537294581706</v>
      </c>
      <c r="BR134" s="68">
        <f t="shared" si="81"/>
        <v>1</v>
      </c>
    </row>
    <row r="135" spans="1:70">
      <c r="A135" s="131" t="s">
        <v>131</v>
      </c>
      <c r="B135" s="62">
        <v>300816.75</v>
      </c>
      <c r="C135" s="62">
        <v>304329</v>
      </c>
      <c r="D135" s="62">
        <v>401044.5</v>
      </c>
      <c r="E135" s="62">
        <v>399031.5</v>
      </c>
      <c r="F135" s="62">
        <v>416142.00000000006</v>
      </c>
      <c r="G135" s="62">
        <v>401868</v>
      </c>
      <c r="H135" s="62">
        <v>423096.00000000006</v>
      </c>
      <c r="I135" s="62">
        <v>443866.5</v>
      </c>
      <c r="J135" s="62">
        <v>400403.99</v>
      </c>
      <c r="K135" s="62">
        <v>436363.5</v>
      </c>
      <c r="L135" s="62">
        <v>370117.5</v>
      </c>
      <c r="M135" s="62">
        <v>341478</v>
      </c>
      <c r="N135" s="100">
        <f t="shared" si="96"/>
        <v>4638557.24</v>
      </c>
      <c r="P135" s="131" t="s">
        <v>131</v>
      </c>
      <c r="Q135" s="62">
        <v>285332.84000000003</v>
      </c>
      <c r="R135" s="62">
        <v>285507.7</v>
      </c>
      <c r="S135" s="62">
        <v>383715.35</v>
      </c>
      <c r="T135" s="62">
        <v>318487.81</v>
      </c>
      <c r="U135" s="62">
        <v>423994.01</v>
      </c>
      <c r="V135" s="62">
        <v>415648</v>
      </c>
      <c r="W135" s="62">
        <v>364177.08999999997</v>
      </c>
      <c r="X135" s="62">
        <v>427389.5</v>
      </c>
      <c r="Y135" s="62">
        <v>374616.43</v>
      </c>
      <c r="Z135" s="62">
        <v>386540.91</v>
      </c>
      <c r="AA135" s="62">
        <v>350920.25</v>
      </c>
      <c r="AB135" s="62">
        <v>334585.37</v>
      </c>
      <c r="AC135" s="100">
        <f t="shared" si="97"/>
        <v>4350915.26</v>
      </c>
      <c r="AE135" s="68">
        <f t="shared" si="82"/>
        <v>6.4851360980510392E-2</v>
      </c>
      <c r="AF135" s="68">
        <f t="shared" si="83"/>
        <v>0.13045990783116865</v>
      </c>
      <c r="AG135" s="68">
        <f t="shared" si="84"/>
        <v>0.21691879563827479</v>
      </c>
      <c r="AH135" s="68">
        <f t="shared" si="85"/>
        <v>0.30294371229964601</v>
      </c>
      <c r="AI135" s="68">
        <f t="shared" si="86"/>
        <v>0.39265738369976433</v>
      </c>
      <c r="AJ135" s="68">
        <f t="shared" si="87"/>
        <v>0.47929380515739844</v>
      </c>
      <c r="AK135" s="68">
        <f t="shared" si="88"/>
        <v>0.57050664960641939</v>
      </c>
      <c r="AL135" s="68">
        <f t="shared" si="89"/>
        <v>0.66619728724097838</v>
      </c>
      <c r="AM135" s="68">
        <f t="shared" si="90"/>
        <v>0.75251809116405344</v>
      </c>
      <c r="AN135" s="68">
        <f t="shared" si="91"/>
        <v>0.84659119998269117</v>
      </c>
      <c r="AO135" s="68">
        <f t="shared" si="92"/>
        <v>0.92638271291441476</v>
      </c>
      <c r="AP135" s="68">
        <f t="shared" si="93"/>
        <v>1</v>
      </c>
      <c r="AQ135" s="92"/>
      <c r="AT135" s="68">
        <f t="shared" si="98"/>
        <v>6.5579957997159433E-2</v>
      </c>
      <c r="AU135" s="68">
        <f t="shared" si="99"/>
        <v>0.13120010523946635</v>
      </c>
      <c r="AV135" s="68">
        <f t="shared" si="100"/>
        <v>0.21939197455203943</v>
      </c>
      <c r="AW135" s="68">
        <f t="shared" si="101"/>
        <v>0.29259216140192074</v>
      </c>
      <c r="AX135" s="68">
        <f t="shared" si="102"/>
        <v>0.39004154495989884</v>
      </c>
      <c r="AY135" s="68">
        <f t="shared" si="103"/>
        <v>0.48557270913154948</v>
      </c>
      <c r="AZ135" s="68">
        <f t="shared" si="104"/>
        <v>0.56927396926595164</v>
      </c>
      <c r="BA135" s="68">
        <f t="shared" si="105"/>
        <v>0.66750376103624687</v>
      </c>
      <c r="BB135" s="68">
        <f t="shared" si="106"/>
        <v>0.75360436461361924</v>
      </c>
      <c r="BC135" s="68">
        <f t="shared" si="107"/>
        <v>0.8424456513087778</v>
      </c>
      <c r="BD135" s="68">
        <f t="shared" si="108"/>
        <v>0.92310000310141649</v>
      </c>
      <c r="BE135" s="68">
        <f t="shared" si="109"/>
        <v>1</v>
      </c>
      <c r="BG135" s="68">
        <f t="shared" si="95"/>
        <v>6.5215659488834912E-2</v>
      </c>
      <c r="BH135" s="68">
        <f t="shared" si="95"/>
        <v>0.13083000653531751</v>
      </c>
      <c r="BI135" s="68">
        <f t="shared" si="95"/>
        <v>0.21815538509515711</v>
      </c>
      <c r="BJ135" s="68">
        <f t="shared" si="94"/>
        <v>0.2977679368507834</v>
      </c>
      <c r="BK135" s="68">
        <f t="shared" si="94"/>
        <v>0.39134946432983159</v>
      </c>
      <c r="BL135" s="68">
        <f t="shared" si="94"/>
        <v>0.48243325714447394</v>
      </c>
      <c r="BM135" s="68">
        <f t="shared" si="81"/>
        <v>0.56989030943618557</v>
      </c>
      <c r="BN135" s="68">
        <f t="shared" si="81"/>
        <v>0.66685052413861268</v>
      </c>
      <c r="BO135" s="68">
        <f t="shared" si="81"/>
        <v>0.75306122788883634</v>
      </c>
      <c r="BP135" s="68">
        <f t="shared" si="81"/>
        <v>0.84451842564573454</v>
      </c>
      <c r="BQ135" s="68">
        <f t="shared" si="81"/>
        <v>0.92474135800791557</v>
      </c>
      <c r="BR135" s="68">
        <f t="shared" si="81"/>
        <v>1</v>
      </c>
    </row>
    <row r="136" spans="1:70">
      <c r="A136" s="131" t="s">
        <v>132</v>
      </c>
      <c r="B136" s="62">
        <v>37450.25</v>
      </c>
      <c r="C136" s="62">
        <v>40900.15</v>
      </c>
      <c r="D136" s="62">
        <v>57847.64</v>
      </c>
      <c r="E136" s="62">
        <v>58194</v>
      </c>
      <c r="F136" s="62">
        <v>54076.500000000007</v>
      </c>
      <c r="G136" s="62">
        <v>58629</v>
      </c>
      <c r="H136" s="62">
        <v>63409.500000000007</v>
      </c>
      <c r="I136" s="62">
        <v>64233</v>
      </c>
      <c r="J136" s="62">
        <v>61305</v>
      </c>
      <c r="K136" s="62">
        <v>77134.5</v>
      </c>
      <c r="L136" s="62">
        <v>58743</v>
      </c>
      <c r="M136" s="62">
        <v>52521</v>
      </c>
      <c r="N136" s="100">
        <f t="shared" si="96"/>
        <v>684443.54</v>
      </c>
      <c r="P136" s="131" t="s">
        <v>132</v>
      </c>
      <c r="Q136" s="62">
        <v>39918.93</v>
      </c>
      <c r="R136" s="62">
        <v>45383.22</v>
      </c>
      <c r="S136" s="62">
        <v>55268.66</v>
      </c>
      <c r="T136" s="62">
        <v>48135.729999999996</v>
      </c>
      <c r="U136" s="62">
        <v>59172.729999999996</v>
      </c>
      <c r="V136" s="62">
        <v>58391.35</v>
      </c>
      <c r="W136" s="62">
        <v>53377.13</v>
      </c>
      <c r="X136" s="62">
        <v>52467.399999999994</v>
      </c>
      <c r="Y136" s="62">
        <v>62428.3</v>
      </c>
      <c r="Z136" s="62">
        <v>60312</v>
      </c>
      <c r="AA136" s="62">
        <v>56363</v>
      </c>
      <c r="AB136" s="62">
        <v>47028</v>
      </c>
      <c r="AC136" s="100">
        <f t="shared" si="97"/>
        <v>638246.44999999995</v>
      </c>
      <c r="AE136" s="68">
        <f t="shared" si="82"/>
        <v>5.4716346654393143E-2</v>
      </c>
      <c r="AF136" s="68">
        <f t="shared" si="83"/>
        <v>0.11447313828106258</v>
      </c>
      <c r="AG136" s="68">
        <f t="shared" si="84"/>
        <v>0.1989909058094112</v>
      </c>
      <c r="AH136" s="68">
        <f t="shared" si="85"/>
        <v>0.28401471946100909</v>
      </c>
      <c r="AI136" s="68">
        <f t="shared" si="86"/>
        <v>0.3630226972410317</v>
      </c>
      <c r="AJ136" s="68">
        <f t="shared" si="87"/>
        <v>0.44868206368051916</v>
      </c>
      <c r="AK136" s="68">
        <f t="shared" si="88"/>
        <v>0.54132593610277913</v>
      </c>
      <c r="AL136" s="68">
        <f t="shared" si="89"/>
        <v>0.63517297569935416</v>
      </c>
      <c r="AM136" s="68">
        <f t="shared" si="90"/>
        <v>0.72474208756503122</v>
      </c>
      <c r="AN136" s="68">
        <f t="shared" si="91"/>
        <v>0.83743874622587566</v>
      </c>
      <c r="AO136" s="68">
        <f t="shared" si="92"/>
        <v>0.92326467132701695</v>
      </c>
      <c r="AP136" s="68">
        <f t="shared" si="93"/>
        <v>1</v>
      </c>
      <c r="AQ136" s="92"/>
      <c r="AT136" s="68">
        <f t="shared" si="98"/>
        <v>6.2544695704927156E-2</v>
      </c>
      <c r="AU136" s="68">
        <f t="shared" si="99"/>
        <v>0.13365080213137104</v>
      </c>
      <c r="AV136" s="68">
        <f t="shared" si="100"/>
        <v>0.22024534566545573</v>
      </c>
      <c r="AW136" s="68">
        <f t="shared" si="101"/>
        <v>0.2956640651898651</v>
      </c>
      <c r="AX136" s="68">
        <f t="shared" si="102"/>
        <v>0.38837547784245408</v>
      </c>
      <c r="AY136" s="68">
        <f t="shared" si="103"/>
        <v>0.47986262986656636</v>
      </c>
      <c r="AZ136" s="68">
        <f t="shared" si="104"/>
        <v>0.56349353764521526</v>
      </c>
      <c r="BA136" s="68">
        <f t="shared" si="105"/>
        <v>0.64569908692794131</v>
      </c>
      <c r="BB136" s="68">
        <f t="shared" si="106"/>
        <v>0.74351130350979611</v>
      </c>
      <c r="BC136" s="68">
        <f t="shared" si="107"/>
        <v>0.83800771629830451</v>
      </c>
      <c r="BD136" s="68">
        <f t="shared" si="108"/>
        <v>0.92631686396375568</v>
      </c>
      <c r="BE136" s="68">
        <f t="shared" si="109"/>
        <v>1</v>
      </c>
      <c r="BG136" s="68">
        <f t="shared" si="95"/>
        <v>5.8630521179660153E-2</v>
      </c>
      <c r="BH136" s="68">
        <f t="shared" si="95"/>
        <v>0.12406197020621682</v>
      </c>
      <c r="BI136" s="68">
        <f t="shared" si="95"/>
        <v>0.20961812573743346</v>
      </c>
      <c r="BJ136" s="68">
        <f t="shared" si="94"/>
        <v>0.2898393923254371</v>
      </c>
      <c r="BK136" s="68">
        <f t="shared" si="94"/>
        <v>0.37569908754174286</v>
      </c>
      <c r="BL136" s="68">
        <f t="shared" si="94"/>
        <v>0.46427234677354279</v>
      </c>
      <c r="BM136" s="68">
        <f t="shared" si="81"/>
        <v>0.55240973687399719</v>
      </c>
      <c r="BN136" s="68">
        <f t="shared" si="81"/>
        <v>0.64043603131364768</v>
      </c>
      <c r="BO136" s="68">
        <f t="shared" si="81"/>
        <v>0.73412669553741372</v>
      </c>
      <c r="BP136" s="68">
        <f t="shared" si="81"/>
        <v>0.83772323126209014</v>
      </c>
      <c r="BQ136" s="68">
        <f t="shared" si="81"/>
        <v>0.92479076764538637</v>
      </c>
      <c r="BR136" s="68">
        <f t="shared" si="81"/>
        <v>1</v>
      </c>
    </row>
    <row r="137" spans="1:70">
      <c r="A137" s="131" t="s">
        <v>133</v>
      </c>
      <c r="B137" s="62">
        <v>59790.75</v>
      </c>
      <c r="C137" s="62">
        <v>56179.25</v>
      </c>
      <c r="D137" s="62">
        <v>74664</v>
      </c>
      <c r="E137" s="62">
        <v>65422.5</v>
      </c>
      <c r="F137" s="62">
        <v>78598.5</v>
      </c>
      <c r="G137" s="62">
        <v>70089</v>
      </c>
      <c r="H137" s="62">
        <v>78873</v>
      </c>
      <c r="I137" s="62">
        <v>93055.5</v>
      </c>
      <c r="J137" s="62">
        <v>75853.5</v>
      </c>
      <c r="K137" s="62">
        <v>74663.649999999994</v>
      </c>
      <c r="L137" s="62">
        <v>82258.5</v>
      </c>
      <c r="M137" s="62">
        <v>63226.5</v>
      </c>
      <c r="N137" s="100">
        <f t="shared" si="96"/>
        <v>872674.65</v>
      </c>
      <c r="P137" s="131" t="s">
        <v>133</v>
      </c>
      <c r="Q137" s="62">
        <v>57764.37</v>
      </c>
      <c r="R137" s="62">
        <v>60126.44</v>
      </c>
      <c r="S137" s="62">
        <v>69764.44</v>
      </c>
      <c r="T137" s="62">
        <v>50895.35</v>
      </c>
      <c r="U137" s="62">
        <v>76207.86</v>
      </c>
      <c r="V137" s="62">
        <v>80867.33</v>
      </c>
      <c r="W137" s="62">
        <v>66325.25</v>
      </c>
      <c r="X137" s="62">
        <v>84185.5</v>
      </c>
      <c r="Y137" s="62">
        <v>66952.5</v>
      </c>
      <c r="Z137" s="62">
        <v>69466</v>
      </c>
      <c r="AA137" s="62">
        <v>59953</v>
      </c>
      <c r="AB137" s="62">
        <v>64153.3</v>
      </c>
      <c r="AC137" s="100">
        <f t="shared" si="97"/>
        <v>806661.34000000008</v>
      </c>
      <c r="AE137" s="68">
        <f t="shared" si="82"/>
        <v>6.8514365577136901E-2</v>
      </c>
      <c r="AF137" s="68">
        <f t="shared" si="83"/>
        <v>0.13289030453674802</v>
      </c>
      <c r="AG137" s="68">
        <f t="shared" si="84"/>
        <v>0.21844796339620956</v>
      </c>
      <c r="AH137" s="68">
        <f t="shared" si="85"/>
        <v>0.29341576497037009</v>
      </c>
      <c r="AI137" s="68">
        <f t="shared" si="86"/>
        <v>0.38348197693149444</v>
      </c>
      <c r="AJ137" s="68">
        <f t="shared" si="87"/>
        <v>0.46379713218437135</v>
      </c>
      <c r="AK137" s="68">
        <f t="shared" si="88"/>
        <v>0.5541778943618908</v>
      </c>
      <c r="AL137" s="68">
        <f t="shared" si="89"/>
        <v>0.66081041771982263</v>
      </c>
      <c r="AM137" s="68">
        <f t="shared" si="90"/>
        <v>0.74773112751699611</v>
      </c>
      <c r="AN137" s="68">
        <f t="shared" si="91"/>
        <v>0.833288385310608</v>
      </c>
      <c r="AO137" s="68">
        <f t="shared" si="92"/>
        <v>0.92754860015700014</v>
      </c>
      <c r="AP137" s="68">
        <f t="shared" si="93"/>
        <v>1</v>
      </c>
      <c r="AQ137" s="92"/>
      <c r="AT137" s="68">
        <f t="shared" si="98"/>
        <v>7.1609195997914071E-2</v>
      </c>
      <c r="AU137" s="68">
        <f t="shared" si="99"/>
        <v>0.14614659728207624</v>
      </c>
      <c r="AV137" s="68">
        <f t="shared" si="100"/>
        <v>0.23263201134691788</v>
      </c>
      <c r="AW137" s="68">
        <f t="shared" si="101"/>
        <v>0.29572583706565136</v>
      </c>
      <c r="AX137" s="68">
        <f t="shared" si="102"/>
        <v>0.3901990146199395</v>
      </c>
      <c r="AY137" s="68">
        <f t="shared" si="103"/>
        <v>0.4904484327958496</v>
      </c>
      <c r="AZ137" s="68">
        <f t="shared" si="104"/>
        <v>0.57267036002989802</v>
      </c>
      <c r="BA137" s="68">
        <f t="shared" si="105"/>
        <v>0.67703323925254677</v>
      </c>
      <c r="BB137" s="68">
        <f t="shared" si="106"/>
        <v>0.76003275426587313</v>
      </c>
      <c r="BC137" s="68">
        <f t="shared" si="107"/>
        <v>0.84614819894554505</v>
      </c>
      <c r="BD137" s="68">
        <f t="shared" si="108"/>
        <v>0.92047059054546976</v>
      </c>
      <c r="BE137" s="68">
        <f t="shared" si="109"/>
        <v>1</v>
      </c>
      <c r="BG137" s="68">
        <f t="shared" si="95"/>
        <v>7.0061780787525479E-2</v>
      </c>
      <c r="BH137" s="68">
        <f t="shared" si="95"/>
        <v>0.13951845090941212</v>
      </c>
      <c r="BI137" s="68">
        <f t="shared" si="95"/>
        <v>0.22553998737156372</v>
      </c>
      <c r="BJ137" s="68">
        <f t="shared" si="94"/>
        <v>0.2945708010180107</v>
      </c>
      <c r="BK137" s="68">
        <f t="shared" si="94"/>
        <v>0.386840495775717</v>
      </c>
      <c r="BL137" s="68">
        <f t="shared" si="94"/>
        <v>0.47712278249011048</v>
      </c>
      <c r="BM137" s="68">
        <f t="shared" si="81"/>
        <v>0.56342412719589441</v>
      </c>
      <c r="BN137" s="68">
        <f t="shared" si="81"/>
        <v>0.66892182848618464</v>
      </c>
      <c r="BO137" s="68">
        <f t="shared" si="81"/>
        <v>0.75388194089143457</v>
      </c>
      <c r="BP137" s="68">
        <f t="shared" si="81"/>
        <v>0.83971829212807658</v>
      </c>
      <c r="BQ137" s="68">
        <f t="shared" si="81"/>
        <v>0.92400959535123495</v>
      </c>
      <c r="BR137" s="68">
        <f t="shared" si="81"/>
        <v>1</v>
      </c>
    </row>
    <row r="138" spans="1:70">
      <c r="A138" s="131" t="s">
        <v>134</v>
      </c>
      <c r="B138" s="62">
        <v>395130.5</v>
      </c>
      <c r="C138" s="62">
        <v>462344.25</v>
      </c>
      <c r="D138" s="62">
        <v>616893</v>
      </c>
      <c r="E138" s="62">
        <v>627781.5</v>
      </c>
      <c r="F138" s="62">
        <v>593103</v>
      </c>
      <c r="G138" s="62">
        <v>568686.5</v>
      </c>
      <c r="H138" s="62">
        <v>622017</v>
      </c>
      <c r="I138" s="62">
        <v>674538.09</v>
      </c>
      <c r="J138" s="62">
        <v>561800</v>
      </c>
      <c r="K138" s="62">
        <v>612867</v>
      </c>
      <c r="L138" s="62">
        <v>563365.5</v>
      </c>
      <c r="M138" s="62">
        <v>538386</v>
      </c>
      <c r="N138" s="100">
        <f t="shared" si="96"/>
        <v>6836912.3399999999</v>
      </c>
      <c r="P138" s="131" t="s">
        <v>134</v>
      </c>
      <c r="Q138" s="62">
        <v>381205.19</v>
      </c>
      <c r="R138" s="62">
        <v>422998.42000000004</v>
      </c>
      <c r="S138" s="62">
        <v>607085.34</v>
      </c>
      <c r="T138" s="62">
        <v>521608.32</v>
      </c>
      <c r="U138" s="62">
        <v>658412.21</v>
      </c>
      <c r="V138" s="62">
        <v>658321.35000000009</v>
      </c>
      <c r="W138" s="62">
        <v>581920.18999999994</v>
      </c>
      <c r="X138" s="62">
        <v>612899.75</v>
      </c>
      <c r="Y138" s="62">
        <v>554568.07999999996</v>
      </c>
      <c r="Z138" s="62">
        <v>586488.6</v>
      </c>
      <c r="AA138" s="62">
        <v>534999.76</v>
      </c>
      <c r="AB138" s="62">
        <v>502492.85000000003</v>
      </c>
      <c r="AC138" s="100">
        <f t="shared" si="97"/>
        <v>6623000.0599999996</v>
      </c>
      <c r="AE138" s="68">
        <f t="shared" si="82"/>
        <v>5.7793705747586049E-2</v>
      </c>
      <c r="AF138" s="68">
        <f t="shared" si="83"/>
        <v>0.12541842097100808</v>
      </c>
      <c r="AG138" s="68">
        <f t="shared" si="84"/>
        <v>0.21564818688314497</v>
      </c>
      <c r="AH138" s="68">
        <f t="shared" si="85"/>
        <v>0.30747055768159814</v>
      </c>
      <c r="AI138" s="68">
        <f t="shared" si="86"/>
        <v>0.39422068266564902</v>
      </c>
      <c r="AJ138" s="68">
        <f t="shared" si="87"/>
        <v>0.47739953178922873</v>
      </c>
      <c r="AK138" s="68">
        <f t="shared" si="88"/>
        <v>0.56837875882433797</v>
      </c>
      <c r="AL138" s="68">
        <f t="shared" si="89"/>
        <v>0.66703997553375094</v>
      </c>
      <c r="AM138" s="68">
        <f t="shared" si="90"/>
        <v>0.74921157172537334</v>
      </c>
      <c r="AN138" s="68">
        <f t="shared" si="91"/>
        <v>0.83885247532660334</v>
      </c>
      <c r="AO138" s="68">
        <f t="shared" si="92"/>
        <v>0.92125304915054684</v>
      </c>
      <c r="AP138" s="68">
        <f t="shared" si="93"/>
        <v>1</v>
      </c>
      <c r="AQ138" s="92"/>
      <c r="AT138" s="68">
        <f t="shared" si="98"/>
        <v>5.755778145048062E-2</v>
      </c>
      <c r="AU138" s="68">
        <f t="shared" si="99"/>
        <v>0.12142587992064735</v>
      </c>
      <c r="AV138" s="68">
        <f t="shared" si="100"/>
        <v>0.2130890740170098</v>
      </c>
      <c r="AW138" s="68">
        <f t="shared" si="101"/>
        <v>0.29184618035470777</v>
      </c>
      <c r="AX138" s="68">
        <f t="shared" si="102"/>
        <v>0.39125916601607286</v>
      </c>
      <c r="AY138" s="68">
        <f t="shared" si="103"/>
        <v>0.49065843281903893</v>
      </c>
      <c r="AZ138" s="68">
        <f t="shared" si="104"/>
        <v>0.57852196667502387</v>
      </c>
      <c r="BA138" s="68">
        <f t="shared" si="105"/>
        <v>0.67106307258586995</v>
      </c>
      <c r="BB138" s="68">
        <f t="shared" si="106"/>
        <v>0.75479673934956915</v>
      </c>
      <c r="BC138" s="68">
        <f t="shared" si="107"/>
        <v>0.84335005275539743</v>
      </c>
      <c r="BD138" s="68">
        <f t="shared" si="108"/>
        <v>0.92412911891170968</v>
      </c>
      <c r="BE138" s="68">
        <f t="shared" si="109"/>
        <v>1</v>
      </c>
      <c r="BG138" s="68">
        <f t="shared" si="95"/>
        <v>5.7675743599033338E-2</v>
      </c>
      <c r="BH138" s="68">
        <f t="shared" si="95"/>
        <v>0.12342215044582772</v>
      </c>
      <c r="BI138" s="68">
        <f t="shared" si="95"/>
        <v>0.21436863045007737</v>
      </c>
      <c r="BJ138" s="68">
        <f t="shared" si="94"/>
        <v>0.29965836901815296</v>
      </c>
      <c r="BK138" s="68">
        <f t="shared" si="94"/>
        <v>0.39273992434086091</v>
      </c>
      <c r="BL138" s="68">
        <f t="shared" si="94"/>
        <v>0.48402898230413383</v>
      </c>
      <c r="BM138" s="68">
        <f t="shared" si="81"/>
        <v>0.57345036274968098</v>
      </c>
      <c r="BN138" s="68">
        <f t="shared" si="81"/>
        <v>0.6690515240598105</v>
      </c>
      <c r="BO138" s="68">
        <f t="shared" si="81"/>
        <v>0.75200415553747124</v>
      </c>
      <c r="BP138" s="68">
        <f t="shared" si="81"/>
        <v>0.84110126404100038</v>
      </c>
      <c r="BQ138" s="68">
        <f t="shared" si="81"/>
        <v>0.92269108403112821</v>
      </c>
      <c r="BR138" s="68">
        <f t="shared" si="81"/>
        <v>1</v>
      </c>
    </row>
    <row r="139" spans="1:70">
      <c r="A139" s="131" t="s">
        <v>135</v>
      </c>
      <c r="B139" s="62">
        <v>119229.5</v>
      </c>
      <c r="C139" s="62">
        <v>105042</v>
      </c>
      <c r="D139" s="62">
        <v>123799.5</v>
      </c>
      <c r="E139" s="62">
        <v>133773</v>
      </c>
      <c r="F139" s="62">
        <v>131577</v>
      </c>
      <c r="G139" s="62">
        <v>123067.5</v>
      </c>
      <c r="H139" s="62">
        <v>131668.5</v>
      </c>
      <c r="I139" s="62">
        <v>159118.5</v>
      </c>
      <c r="J139" s="62">
        <v>138348</v>
      </c>
      <c r="K139" s="62">
        <v>154543.5</v>
      </c>
      <c r="L139" s="62">
        <v>129015</v>
      </c>
      <c r="M139" s="62">
        <v>132675</v>
      </c>
      <c r="N139" s="100">
        <f t="shared" si="96"/>
        <v>1581857</v>
      </c>
      <c r="P139" s="131" t="s">
        <v>135</v>
      </c>
      <c r="Q139" s="62">
        <v>80768.11</v>
      </c>
      <c r="R139" s="62">
        <v>100231.68000000001</v>
      </c>
      <c r="S139" s="62">
        <v>99227.04</v>
      </c>
      <c r="T139" s="62">
        <v>104301.28</v>
      </c>
      <c r="U139" s="62">
        <v>133763.4</v>
      </c>
      <c r="V139" s="62">
        <v>128546.45</v>
      </c>
      <c r="W139" s="62">
        <v>114251.15000000001</v>
      </c>
      <c r="X139" s="62">
        <v>137332.79999999999</v>
      </c>
      <c r="Y139" s="62">
        <v>133440.29999999999</v>
      </c>
      <c r="Z139" s="62">
        <v>119008.5</v>
      </c>
      <c r="AA139" s="62">
        <v>122951.33</v>
      </c>
      <c r="AB139" s="62">
        <v>116585.25</v>
      </c>
      <c r="AC139" s="100">
        <f t="shared" si="97"/>
        <v>1390407.29</v>
      </c>
      <c r="AE139" s="68">
        <f t="shared" si="82"/>
        <v>7.5373121590636832E-2</v>
      </c>
      <c r="AF139" s="68">
        <f t="shared" si="83"/>
        <v>0.14177735408447162</v>
      </c>
      <c r="AG139" s="68">
        <f t="shared" si="84"/>
        <v>0.22003948523791975</v>
      </c>
      <c r="AH139" s="68">
        <f t="shared" si="85"/>
        <v>0.30460654787379643</v>
      </c>
      <c r="AI139" s="68">
        <f t="shared" si="86"/>
        <v>0.38778536871537694</v>
      </c>
      <c r="AJ139" s="68">
        <f t="shared" si="87"/>
        <v>0.46558475260405968</v>
      </c>
      <c r="AK139" s="68">
        <f t="shared" si="88"/>
        <v>0.54882141685373587</v>
      </c>
      <c r="AL139" s="68">
        <f t="shared" si="89"/>
        <v>0.64941110353211451</v>
      </c>
      <c r="AM139" s="68">
        <f t="shared" si="90"/>
        <v>0.7368703365727749</v>
      </c>
      <c r="AN139" s="68">
        <f t="shared" si="91"/>
        <v>0.83456785284636981</v>
      </c>
      <c r="AO139" s="68">
        <f t="shared" si="92"/>
        <v>0.91612705826127139</v>
      </c>
      <c r="AP139" s="68">
        <f t="shared" si="93"/>
        <v>1</v>
      </c>
      <c r="AQ139" s="92"/>
      <c r="AT139" s="68">
        <f t="shared" si="98"/>
        <v>5.8089532887877764E-2</v>
      </c>
      <c r="AU139" s="68">
        <f t="shared" si="99"/>
        <v>0.13017753236895069</v>
      </c>
      <c r="AV139" s="68">
        <f t="shared" si="100"/>
        <v>0.2015429809778975</v>
      </c>
      <c r="AW139" s="68">
        <f t="shared" si="101"/>
        <v>0.27655789261576724</v>
      </c>
      <c r="AX139" s="68">
        <f t="shared" si="102"/>
        <v>0.37276236519156913</v>
      </c>
      <c r="AY139" s="68">
        <f t="shared" si="103"/>
        <v>0.46521473574840072</v>
      </c>
      <c r="AZ139" s="68">
        <f t="shared" si="104"/>
        <v>0.54738573040709526</v>
      </c>
      <c r="BA139" s="68">
        <f t="shared" si="105"/>
        <v>0.64615736443671834</v>
      </c>
      <c r="BB139" s="68">
        <f t="shared" si="106"/>
        <v>0.74212945905943861</v>
      </c>
      <c r="BC139" s="68">
        <f t="shared" si="107"/>
        <v>0.82772200511117855</v>
      </c>
      <c r="BD139" s="68">
        <f t="shared" si="108"/>
        <v>0.91615028859637238</v>
      </c>
      <c r="BE139" s="68">
        <f t="shared" si="109"/>
        <v>1</v>
      </c>
      <c r="BG139" s="68">
        <f t="shared" si="95"/>
        <v>6.6731327239257301E-2</v>
      </c>
      <c r="BH139" s="68">
        <f t="shared" si="95"/>
        <v>0.13597744322671115</v>
      </c>
      <c r="BI139" s="68">
        <f t="shared" si="95"/>
        <v>0.21079123310790862</v>
      </c>
      <c r="BJ139" s="68">
        <f t="shared" si="94"/>
        <v>0.29058222024478186</v>
      </c>
      <c r="BK139" s="68">
        <f t="shared" si="94"/>
        <v>0.38027386695347304</v>
      </c>
      <c r="BL139" s="68">
        <f t="shared" si="94"/>
        <v>0.4653997441762302</v>
      </c>
      <c r="BM139" s="68">
        <f t="shared" si="81"/>
        <v>0.54810357363041562</v>
      </c>
      <c r="BN139" s="68">
        <f t="shared" si="81"/>
        <v>0.64778423398441642</v>
      </c>
      <c r="BO139" s="68">
        <f t="shared" si="81"/>
        <v>0.7394998978161067</v>
      </c>
      <c r="BP139" s="68">
        <f t="shared" si="81"/>
        <v>0.83114492897877423</v>
      </c>
      <c r="BQ139" s="68">
        <f t="shared" si="81"/>
        <v>0.91613867342882194</v>
      </c>
      <c r="BR139" s="68">
        <f t="shared" si="81"/>
        <v>1</v>
      </c>
    </row>
    <row r="140" spans="1:70">
      <c r="A140" s="131" t="s">
        <v>136</v>
      </c>
      <c r="B140" s="62">
        <v>29799.64</v>
      </c>
      <c r="C140" s="62">
        <v>24615.7</v>
      </c>
      <c r="D140" s="62">
        <v>32401.62</v>
      </c>
      <c r="E140" s="62">
        <v>26901</v>
      </c>
      <c r="F140" s="62">
        <v>35688.699999999997</v>
      </c>
      <c r="G140" s="62">
        <v>42641.01</v>
      </c>
      <c r="H140" s="62">
        <v>36060.5</v>
      </c>
      <c r="I140" s="62">
        <v>43653.36</v>
      </c>
      <c r="J140" s="62">
        <v>32032.13</v>
      </c>
      <c r="K140" s="62">
        <v>40721.699999999997</v>
      </c>
      <c r="L140" s="62">
        <v>35513.15</v>
      </c>
      <c r="M140" s="62">
        <v>36516.54</v>
      </c>
      <c r="N140" s="100">
        <f t="shared" si="96"/>
        <v>416545.05</v>
      </c>
      <c r="P140" s="131" t="s">
        <v>136</v>
      </c>
      <c r="Q140" s="62">
        <v>24953.83</v>
      </c>
      <c r="R140" s="62">
        <v>21441.309999999998</v>
      </c>
      <c r="S140" s="62">
        <v>29579.030000000002</v>
      </c>
      <c r="T140" s="62">
        <v>38592.5</v>
      </c>
      <c r="U140" s="62">
        <v>33302.11</v>
      </c>
      <c r="V140" s="62">
        <v>34087.050000000003</v>
      </c>
      <c r="W140" s="62">
        <v>31897.149999999998</v>
      </c>
      <c r="X140" s="62">
        <v>41626.050000000003</v>
      </c>
      <c r="Y140" s="62">
        <v>33132.870000000003</v>
      </c>
      <c r="Z140" s="62">
        <v>42926.58</v>
      </c>
      <c r="AA140" s="62">
        <v>39053.480000000003</v>
      </c>
      <c r="AB140" s="62">
        <v>26217.79</v>
      </c>
      <c r="AC140" s="100">
        <f t="shared" si="97"/>
        <v>396809.75</v>
      </c>
      <c r="AE140" s="68">
        <f t="shared" si="82"/>
        <v>7.15400171001912E-2</v>
      </c>
      <c r="AF140" s="68">
        <f t="shared" si="83"/>
        <v>0.13063494572795908</v>
      </c>
      <c r="AG140" s="68">
        <f t="shared" si="84"/>
        <v>0.20842153807853434</v>
      </c>
      <c r="AH140" s="68">
        <f t="shared" si="85"/>
        <v>0.27300278805377715</v>
      </c>
      <c r="AI140" s="68">
        <f t="shared" si="86"/>
        <v>0.35868067571562784</v>
      </c>
      <c r="AJ140" s="68">
        <f t="shared" si="87"/>
        <v>0.46104897897598346</v>
      </c>
      <c r="AK140" s="68">
        <f t="shared" si="88"/>
        <v>0.54761944716423827</v>
      </c>
      <c r="AL140" s="68">
        <f t="shared" si="89"/>
        <v>0.65241809979496812</v>
      </c>
      <c r="AM140" s="68">
        <f t="shared" si="90"/>
        <v>0.72931765723779451</v>
      </c>
      <c r="AN140" s="68">
        <f t="shared" si="91"/>
        <v>0.82707827160591629</v>
      </c>
      <c r="AO140" s="68">
        <f t="shared" si="92"/>
        <v>0.91233471625698115</v>
      </c>
      <c r="AP140" s="68">
        <f t="shared" si="93"/>
        <v>1</v>
      </c>
      <c r="AQ140" s="92"/>
      <c r="AT140" s="68">
        <f t="shared" si="98"/>
        <v>6.2886131200153225E-2</v>
      </c>
      <c r="AU140" s="68">
        <f t="shared" si="99"/>
        <v>0.1169203629699119</v>
      </c>
      <c r="AV140" s="68">
        <f t="shared" si="100"/>
        <v>0.19146245776470966</v>
      </c>
      <c r="AW140" s="68">
        <f t="shared" si="101"/>
        <v>0.28871939260565044</v>
      </c>
      <c r="AX140" s="68">
        <f t="shared" si="102"/>
        <v>0.37264401895366733</v>
      </c>
      <c r="AY140" s="68">
        <f t="shared" si="103"/>
        <v>0.4585467720992239</v>
      </c>
      <c r="AZ140" s="68">
        <f t="shared" si="104"/>
        <v>0.5389307596398526</v>
      </c>
      <c r="BA140" s="68">
        <f t="shared" si="105"/>
        <v>0.64383254191712791</v>
      </c>
      <c r="BB140" s="68">
        <f t="shared" si="106"/>
        <v>0.72733066664818602</v>
      </c>
      <c r="BC140" s="68">
        <f t="shared" si="107"/>
        <v>0.83550991375589945</v>
      </c>
      <c r="BD140" s="68">
        <f t="shared" si="108"/>
        <v>0.93392856400327873</v>
      </c>
      <c r="BE140" s="68">
        <f t="shared" si="109"/>
        <v>1</v>
      </c>
      <c r="BG140" s="68">
        <f t="shared" si="95"/>
        <v>6.721307415017222E-2</v>
      </c>
      <c r="BH140" s="68">
        <f t="shared" si="95"/>
        <v>0.12377765434893549</v>
      </c>
      <c r="BI140" s="68">
        <f t="shared" si="95"/>
        <v>0.19994199792162198</v>
      </c>
      <c r="BJ140" s="68">
        <f t="shared" si="94"/>
        <v>0.28086109032971379</v>
      </c>
      <c r="BK140" s="68">
        <f t="shared" si="94"/>
        <v>0.36566234733464759</v>
      </c>
      <c r="BL140" s="68">
        <f t="shared" si="94"/>
        <v>0.45979787553760365</v>
      </c>
      <c r="BM140" s="68">
        <f t="shared" si="81"/>
        <v>0.54327510340204543</v>
      </c>
      <c r="BN140" s="68">
        <f t="shared" si="81"/>
        <v>0.64812532085604802</v>
      </c>
      <c r="BO140" s="68">
        <f t="shared" si="81"/>
        <v>0.72832416194299032</v>
      </c>
      <c r="BP140" s="68">
        <f t="shared" si="81"/>
        <v>0.83129409268090781</v>
      </c>
      <c r="BQ140" s="68">
        <f t="shared" si="81"/>
        <v>0.92313164013012994</v>
      </c>
      <c r="BR140" s="68">
        <f t="shared" si="81"/>
        <v>1</v>
      </c>
    </row>
    <row r="141" spans="1:70">
      <c r="A141" s="131" t="s">
        <v>137</v>
      </c>
      <c r="B141" s="62">
        <v>345036.43</v>
      </c>
      <c r="C141" s="62">
        <v>309893.37</v>
      </c>
      <c r="D141" s="62">
        <v>415776</v>
      </c>
      <c r="E141" s="62">
        <v>415955.5</v>
      </c>
      <c r="F141" s="62">
        <v>429135</v>
      </c>
      <c r="G141" s="62">
        <v>414495</v>
      </c>
      <c r="H141" s="62">
        <v>462075</v>
      </c>
      <c r="I141" s="62">
        <v>543011.5</v>
      </c>
      <c r="J141" s="62">
        <v>462898.51</v>
      </c>
      <c r="K141" s="62">
        <v>542595</v>
      </c>
      <c r="L141" s="62">
        <v>418612.5</v>
      </c>
      <c r="M141" s="62">
        <v>410926.5</v>
      </c>
      <c r="N141" s="100">
        <f t="shared" si="96"/>
        <v>5170410.3099999996</v>
      </c>
      <c r="P141" s="131" t="s">
        <v>137</v>
      </c>
      <c r="Q141" s="62">
        <v>279480.99</v>
      </c>
      <c r="R141" s="62">
        <v>292566.09999999998</v>
      </c>
      <c r="S141" s="62">
        <v>403949.02</v>
      </c>
      <c r="T141" s="62">
        <v>341009.48</v>
      </c>
      <c r="U141" s="62">
        <v>447552.25</v>
      </c>
      <c r="V141" s="62">
        <v>432061.48</v>
      </c>
      <c r="W141" s="62">
        <v>415321.47000000003</v>
      </c>
      <c r="X141" s="62">
        <v>496351.46</v>
      </c>
      <c r="Y141" s="62">
        <v>429086.32</v>
      </c>
      <c r="Z141" s="62">
        <v>436809.25</v>
      </c>
      <c r="AA141" s="62">
        <v>391193.82</v>
      </c>
      <c r="AB141" s="62">
        <v>372538.56</v>
      </c>
      <c r="AC141" s="100">
        <f t="shared" si="97"/>
        <v>4737920.1999999993</v>
      </c>
      <c r="AE141" s="68">
        <f t="shared" si="82"/>
        <v>6.6732891455958745E-2</v>
      </c>
      <c r="AF141" s="68">
        <f t="shared" si="83"/>
        <v>0.12666882524454817</v>
      </c>
      <c r="AG141" s="68">
        <f t="shared" si="84"/>
        <v>0.2070833330053452</v>
      </c>
      <c r="AH141" s="68">
        <f t="shared" si="85"/>
        <v>0.28753255754667567</v>
      </c>
      <c r="AI141" s="68">
        <f t="shared" si="86"/>
        <v>0.37053080609380112</v>
      </c>
      <c r="AJ141" s="68">
        <f t="shared" si="87"/>
        <v>0.45069755788878579</v>
      </c>
      <c r="AK141" s="68">
        <f t="shared" si="88"/>
        <v>0.54006667412822795</v>
      </c>
      <c r="AL141" s="68">
        <f t="shared" si="89"/>
        <v>0.64508957703977654</v>
      </c>
      <c r="AM141" s="68">
        <f t="shared" si="90"/>
        <v>0.7346179669056091</v>
      </c>
      <c r="AN141" s="68">
        <f t="shared" si="91"/>
        <v>0.83956031528182529</v>
      </c>
      <c r="AO141" s="68">
        <f t="shared" si="92"/>
        <v>0.92052342553834954</v>
      </c>
      <c r="AP141" s="68">
        <f t="shared" si="93"/>
        <v>1</v>
      </c>
      <c r="AQ141" s="92"/>
      <c r="AT141" s="68">
        <f t="shared" si="98"/>
        <v>5.8988116769041414E-2</v>
      </c>
      <c r="AU141" s="68">
        <f t="shared" si="99"/>
        <v>0.1207380170733986</v>
      </c>
      <c r="AV141" s="68">
        <f t="shared" si="100"/>
        <v>0.20599673882223685</v>
      </c>
      <c r="AW141" s="68">
        <f t="shared" si="101"/>
        <v>0.27797124780615767</v>
      </c>
      <c r="AX141" s="68">
        <f t="shared" si="102"/>
        <v>0.37243300129875556</v>
      </c>
      <c r="AY141" s="68">
        <f t="shared" si="103"/>
        <v>0.46362522526234196</v>
      </c>
      <c r="AZ141" s="68">
        <f t="shared" si="104"/>
        <v>0.5512842512628221</v>
      </c>
      <c r="BA141" s="68">
        <f t="shared" si="105"/>
        <v>0.6560457160084715</v>
      </c>
      <c r="BB141" s="68">
        <f t="shared" si="106"/>
        <v>0.74660999355793289</v>
      </c>
      <c r="BC141" s="68">
        <f t="shared" si="107"/>
        <v>0.83880429645058197</v>
      </c>
      <c r="BD141" s="68">
        <f t="shared" si="108"/>
        <v>0.92137086648272382</v>
      </c>
      <c r="BE141" s="68">
        <f t="shared" si="109"/>
        <v>1</v>
      </c>
      <c r="BG141" s="68">
        <f t="shared" si="95"/>
        <v>6.2860504112500076E-2</v>
      </c>
      <c r="BH141" s="68">
        <f t="shared" si="95"/>
        <v>0.12370342115897338</v>
      </c>
      <c r="BI141" s="68">
        <f t="shared" si="95"/>
        <v>0.20654003591379103</v>
      </c>
      <c r="BJ141" s="68">
        <f t="shared" si="94"/>
        <v>0.2827519026764167</v>
      </c>
      <c r="BK141" s="68">
        <f t="shared" si="94"/>
        <v>0.37148190369627831</v>
      </c>
      <c r="BL141" s="68">
        <f t="shared" si="94"/>
        <v>0.4571613915755639</v>
      </c>
      <c r="BM141" s="68">
        <f t="shared" si="81"/>
        <v>0.54567546269552503</v>
      </c>
      <c r="BN141" s="68">
        <f t="shared" si="81"/>
        <v>0.65056764652412402</v>
      </c>
      <c r="BO141" s="68">
        <f t="shared" si="81"/>
        <v>0.74061398023177105</v>
      </c>
      <c r="BP141" s="68">
        <f t="shared" si="81"/>
        <v>0.83918230586620357</v>
      </c>
      <c r="BQ141" s="68">
        <f t="shared" si="81"/>
        <v>0.92094714601053673</v>
      </c>
      <c r="BR141" s="68">
        <f t="shared" si="81"/>
        <v>1</v>
      </c>
    </row>
    <row r="142" spans="1:70">
      <c r="A142" s="131" t="s">
        <v>138</v>
      </c>
      <c r="B142" s="62">
        <v>49229.65</v>
      </c>
      <c r="C142" s="62">
        <v>57745.65</v>
      </c>
      <c r="D142" s="62">
        <v>60518.1</v>
      </c>
      <c r="E142" s="62">
        <v>58578.3</v>
      </c>
      <c r="F142" s="62">
        <v>63409.500000000007</v>
      </c>
      <c r="G142" s="62">
        <v>64782</v>
      </c>
      <c r="H142" s="62">
        <v>62805.600000000006</v>
      </c>
      <c r="I142" s="62">
        <v>72303.3</v>
      </c>
      <c r="J142" s="62">
        <v>57086.85</v>
      </c>
      <c r="K142" s="62">
        <v>71077.2</v>
      </c>
      <c r="L142" s="62">
        <v>67618.5</v>
      </c>
      <c r="M142" s="62">
        <v>56089.5</v>
      </c>
      <c r="N142" s="100">
        <f t="shared" si="96"/>
        <v>741244.15</v>
      </c>
      <c r="P142" s="131" t="s">
        <v>138</v>
      </c>
      <c r="Q142" s="62">
        <v>43757.99</v>
      </c>
      <c r="R142" s="62">
        <v>48912.820000000007</v>
      </c>
      <c r="S142" s="62">
        <v>51697.13</v>
      </c>
      <c r="T142" s="62">
        <v>59063.35</v>
      </c>
      <c r="U142" s="62">
        <v>66423.02</v>
      </c>
      <c r="V142" s="62">
        <v>72796.540000000008</v>
      </c>
      <c r="W142" s="62">
        <v>57457.95</v>
      </c>
      <c r="X142" s="62">
        <v>70884.490000000005</v>
      </c>
      <c r="Y142" s="62">
        <v>61056.91</v>
      </c>
      <c r="Z142" s="62">
        <v>54641.15</v>
      </c>
      <c r="AA142" s="62">
        <v>56722</v>
      </c>
      <c r="AB142" s="62">
        <v>51525.47</v>
      </c>
      <c r="AC142" s="100">
        <f t="shared" si="97"/>
        <v>694938.82</v>
      </c>
      <c r="AE142" s="68">
        <f t="shared" si="82"/>
        <v>6.6414891773513493E-2</v>
      </c>
      <c r="AF142" s="68">
        <f t="shared" si="83"/>
        <v>0.14431857573513396</v>
      </c>
      <c r="AG142" s="68">
        <f t="shared" si="84"/>
        <v>0.22596252530289782</v>
      </c>
      <c r="AH142" s="68">
        <f t="shared" si="85"/>
        <v>0.3049895233574525</v>
      </c>
      <c r="AI142" s="68">
        <f t="shared" si="86"/>
        <v>0.39053421197320748</v>
      </c>
      <c r="AJ142" s="68">
        <f t="shared" si="87"/>
        <v>0.47793051722566715</v>
      </c>
      <c r="AK142" s="68">
        <f t="shared" si="88"/>
        <v>0.5626604945212722</v>
      </c>
      <c r="AL142" s="68">
        <f t="shared" si="89"/>
        <v>0.66020365894287325</v>
      </c>
      <c r="AM142" s="68">
        <f t="shared" si="90"/>
        <v>0.73721856691887555</v>
      </c>
      <c r="AN142" s="68">
        <f t="shared" si="91"/>
        <v>0.83310762047835385</v>
      </c>
      <c r="AO142" s="68">
        <f t="shared" si="92"/>
        <v>0.92433060011333645</v>
      </c>
      <c r="AP142" s="68">
        <f t="shared" si="93"/>
        <v>1</v>
      </c>
      <c r="AQ142" s="92"/>
      <c r="AT142" s="68">
        <f t="shared" si="98"/>
        <v>6.2966679570440456E-2</v>
      </c>
      <c r="AU142" s="68">
        <f t="shared" si="99"/>
        <v>0.13335103369243353</v>
      </c>
      <c r="AV142" s="68">
        <f t="shared" si="100"/>
        <v>0.20774194194533557</v>
      </c>
      <c r="AW142" s="68">
        <f t="shared" si="101"/>
        <v>0.29273266098445905</v>
      </c>
      <c r="AX142" s="68">
        <f t="shared" si="102"/>
        <v>0.38831376551967556</v>
      </c>
      <c r="AY142" s="68">
        <f t="shared" si="103"/>
        <v>0.49306620977081117</v>
      </c>
      <c r="AZ142" s="68">
        <f t="shared" si="104"/>
        <v>0.57574679739433754</v>
      </c>
      <c r="BA142" s="68">
        <f t="shared" si="105"/>
        <v>0.67774784836455104</v>
      </c>
      <c r="BB142" s="68">
        <f t="shared" si="106"/>
        <v>0.76560725158511078</v>
      </c>
      <c r="BC142" s="68">
        <f t="shared" si="107"/>
        <v>0.84423453276074001</v>
      </c>
      <c r="BD142" s="68">
        <f t="shared" si="108"/>
        <v>0.92585610629724213</v>
      </c>
      <c r="BE142" s="68">
        <f t="shared" si="109"/>
        <v>1</v>
      </c>
      <c r="BG142" s="68">
        <f t="shared" si="95"/>
        <v>6.4690785671976975E-2</v>
      </c>
      <c r="BH142" s="68">
        <f t="shared" si="95"/>
        <v>0.13883480471378373</v>
      </c>
      <c r="BI142" s="68">
        <f t="shared" si="95"/>
        <v>0.21685223362411671</v>
      </c>
      <c r="BJ142" s="68">
        <f t="shared" si="94"/>
        <v>0.2988610921709558</v>
      </c>
      <c r="BK142" s="68">
        <f t="shared" si="94"/>
        <v>0.38942398874644152</v>
      </c>
      <c r="BL142" s="68">
        <f t="shared" si="94"/>
        <v>0.48549836349823916</v>
      </c>
      <c r="BM142" s="68">
        <f t="shared" si="81"/>
        <v>0.56920364595780493</v>
      </c>
      <c r="BN142" s="68">
        <f t="shared" si="81"/>
        <v>0.6689757536537122</v>
      </c>
      <c r="BO142" s="68">
        <f t="shared" si="81"/>
        <v>0.75141290925199322</v>
      </c>
      <c r="BP142" s="68">
        <f t="shared" ref="BP142:BR179" si="110">(AN142+BC142)/2</f>
        <v>0.83867107661954687</v>
      </c>
      <c r="BQ142" s="68">
        <f t="shared" si="110"/>
        <v>0.92509335320528929</v>
      </c>
      <c r="BR142" s="68">
        <f t="shared" si="110"/>
        <v>1</v>
      </c>
    </row>
    <row r="143" spans="1:70">
      <c r="A143" s="131" t="s">
        <v>139</v>
      </c>
      <c r="B143" s="62">
        <v>635010.15</v>
      </c>
      <c r="C143" s="62">
        <v>617259</v>
      </c>
      <c r="D143" s="62">
        <v>755149.5</v>
      </c>
      <c r="E143" s="62">
        <v>795135</v>
      </c>
      <c r="F143" s="62">
        <v>796782.07999999996</v>
      </c>
      <c r="G143" s="62">
        <v>740418.3</v>
      </c>
      <c r="H143" s="62">
        <v>784505.45</v>
      </c>
      <c r="I143" s="62">
        <v>889735.65</v>
      </c>
      <c r="J143" s="62">
        <v>726235.5</v>
      </c>
      <c r="K143" s="62">
        <v>895693.5</v>
      </c>
      <c r="L143" s="62">
        <v>778848</v>
      </c>
      <c r="M143" s="62">
        <v>727882.5</v>
      </c>
      <c r="N143" s="100">
        <f t="shared" si="96"/>
        <v>9142654.6300000008</v>
      </c>
      <c r="P143" s="131" t="s">
        <v>139</v>
      </c>
      <c r="Q143" s="62">
        <v>571081.51</v>
      </c>
      <c r="R143" s="62">
        <v>596751.05000000005</v>
      </c>
      <c r="S143" s="62">
        <v>775283.98</v>
      </c>
      <c r="T143" s="62">
        <v>653514.98</v>
      </c>
      <c r="U143" s="62">
        <v>812934.99</v>
      </c>
      <c r="V143" s="62">
        <v>744383.92</v>
      </c>
      <c r="W143" s="62">
        <v>766948.15</v>
      </c>
      <c r="X143" s="62">
        <v>894083.33</v>
      </c>
      <c r="Y143" s="62">
        <v>757103.58000000007</v>
      </c>
      <c r="Z143" s="62">
        <v>779178.95</v>
      </c>
      <c r="AA143" s="62">
        <v>764126.3</v>
      </c>
      <c r="AB143" s="62">
        <v>692617.88</v>
      </c>
      <c r="AC143" s="100">
        <f t="shared" si="97"/>
        <v>8808008.620000001</v>
      </c>
      <c r="AE143" s="68">
        <f t="shared" si="82"/>
        <v>6.9455773590782574E-2</v>
      </c>
      <c r="AF143" s="68">
        <f t="shared" si="83"/>
        <v>0.13696997214473142</v>
      </c>
      <c r="AG143" s="68">
        <f t="shared" si="84"/>
        <v>0.21956627820250493</v>
      </c>
      <c r="AH143" s="68">
        <f t="shared" si="85"/>
        <v>0.30653609519536229</v>
      </c>
      <c r="AI143" s="68">
        <f t="shared" si="86"/>
        <v>0.39368606555358854</v>
      </c>
      <c r="AJ143" s="68">
        <f t="shared" si="87"/>
        <v>0.47467111092218955</v>
      </c>
      <c r="AK143" s="68">
        <f t="shared" si="88"/>
        <v>0.56047829513166247</v>
      </c>
      <c r="AL143" s="68">
        <f t="shared" si="89"/>
        <v>0.65779528740658555</v>
      </c>
      <c r="AM143" s="68">
        <f t="shared" si="90"/>
        <v>0.73722905466461885</v>
      </c>
      <c r="AN143" s="68">
        <f t="shared" si="91"/>
        <v>0.83519770121733239</v>
      </c>
      <c r="AO143" s="68">
        <f t="shared" si="92"/>
        <v>0.92038608812679168</v>
      </c>
      <c r="AP143" s="68">
        <f t="shared" si="93"/>
        <v>1</v>
      </c>
      <c r="AQ143" s="92"/>
      <c r="AT143" s="68">
        <f t="shared" si="98"/>
        <v>6.4836620243907073E-2</v>
      </c>
      <c r="AU143" s="68">
        <f t="shared" si="99"/>
        <v>0.13258758141406088</v>
      </c>
      <c r="AV143" s="68">
        <f t="shared" si="100"/>
        <v>0.22060792896907949</v>
      </c>
      <c r="AW143" s="68">
        <f t="shared" si="101"/>
        <v>0.29480347170686577</v>
      </c>
      <c r="AX143" s="68">
        <f t="shared" si="102"/>
        <v>0.38709845290773559</v>
      </c>
      <c r="AY143" s="68">
        <f t="shared" si="103"/>
        <v>0.47161062269714255</v>
      </c>
      <c r="AZ143" s="68">
        <f t="shared" si="104"/>
        <v>0.55868457812658223</v>
      </c>
      <c r="BA143" s="68">
        <f t="shared" si="105"/>
        <v>0.66019257710490287</v>
      </c>
      <c r="BB143" s="68">
        <f t="shared" si="106"/>
        <v>0.74614884856913311</v>
      </c>
      <c r="BC143" s="68">
        <f t="shared" si="107"/>
        <v>0.83461140391118271</v>
      </c>
      <c r="BD143" s="68">
        <f t="shared" si="108"/>
        <v>0.92136498613008844</v>
      </c>
      <c r="BE143" s="68">
        <f t="shared" si="109"/>
        <v>1</v>
      </c>
      <c r="BG143" s="68">
        <f t="shared" si="95"/>
        <v>6.714619691734483E-2</v>
      </c>
      <c r="BH143" s="68">
        <f t="shared" si="95"/>
        <v>0.13477877677939615</v>
      </c>
      <c r="BI143" s="68">
        <f t="shared" si="95"/>
        <v>0.2200871035857922</v>
      </c>
      <c r="BJ143" s="68">
        <f t="shared" si="94"/>
        <v>0.30066978345111406</v>
      </c>
      <c r="BK143" s="68">
        <f t="shared" si="94"/>
        <v>0.39039225923066206</v>
      </c>
      <c r="BL143" s="68">
        <f t="shared" si="94"/>
        <v>0.47314086680966605</v>
      </c>
      <c r="BM143" s="68">
        <f t="shared" si="94"/>
        <v>0.5595814366291223</v>
      </c>
      <c r="BN143" s="68">
        <f t="shared" si="94"/>
        <v>0.65899393225574421</v>
      </c>
      <c r="BO143" s="68">
        <f t="shared" si="94"/>
        <v>0.74168895161687598</v>
      </c>
      <c r="BP143" s="68">
        <f t="shared" si="110"/>
        <v>0.83490455256425755</v>
      </c>
      <c r="BQ143" s="68">
        <f t="shared" si="110"/>
        <v>0.92087553712844006</v>
      </c>
      <c r="BR143" s="68">
        <f t="shared" si="110"/>
        <v>1</v>
      </c>
    </row>
    <row r="144" spans="1:70">
      <c r="A144" s="131" t="s">
        <v>140</v>
      </c>
      <c r="B144" s="62">
        <v>38891.5</v>
      </c>
      <c r="C144" s="62">
        <v>41175</v>
      </c>
      <c r="D144" s="62">
        <v>63409.5</v>
      </c>
      <c r="E144" s="62">
        <v>62961.15</v>
      </c>
      <c r="F144" s="62">
        <v>63135</v>
      </c>
      <c r="G144" s="62">
        <v>64965</v>
      </c>
      <c r="H144" s="62">
        <v>66337.5</v>
      </c>
      <c r="I144" s="62">
        <v>74298</v>
      </c>
      <c r="J144" s="62">
        <v>58743</v>
      </c>
      <c r="K144" s="62">
        <v>63409.5</v>
      </c>
      <c r="L144" s="62">
        <v>61762.5</v>
      </c>
      <c r="M144" s="62">
        <v>60115.5</v>
      </c>
      <c r="N144" s="100">
        <f t="shared" si="96"/>
        <v>719203.15</v>
      </c>
      <c r="P144" s="131" t="s">
        <v>140</v>
      </c>
      <c r="Q144" s="62">
        <v>27600.47</v>
      </c>
      <c r="R144" s="62">
        <v>35104.03</v>
      </c>
      <c r="S144" s="62">
        <v>51201.270000000004</v>
      </c>
      <c r="T144" s="62">
        <v>40745.97</v>
      </c>
      <c r="U144" s="62">
        <v>53845.16</v>
      </c>
      <c r="V144" s="62">
        <v>68676.7</v>
      </c>
      <c r="W144" s="62">
        <v>60994.1</v>
      </c>
      <c r="X144" s="62">
        <v>63812.25</v>
      </c>
      <c r="Y144" s="62">
        <v>54549.08</v>
      </c>
      <c r="Z144" s="62">
        <v>53042.25</v>
      </c>
      <c r="AA144" s="62">
        <v>47567.5</v>
      </c>
      <c r="AB144" s="62">
        <v>44516</v>
      </c>
      <c r="AC144" s="100">
        <f t="shared" si="97"/>
        <v>601654.78</v>
      </c>
      <c r="AE144" s="68">
        <f t="shared" si="82"/>
        <v>5.4075819884826695E-2</v>
      </c>
      <c r="AF144" s="68">
        <f t="shared" si="83"/>
        <v>0.11132668148074712</v>
      </c>
      <c r="AG144" s="68">
        <f t="shared" si="84"/>
        <v>0.19949300833846459</v>
      </c>
      <c r="AH144" s="68">
        <f t="shared" si="85"/>
        <v>0.28703593692547091</v>
      </c>
      <c r="AI144" s="68">
        <f t="shared" si="86"/>
        <v>0.37482059137254892</v>
      </c>
      <c r="AJ144" s="68">
        <f t="shared" si="87"/>
        <v>0.46514972855722336</v>
      </c>
      <c r="AK144" s="68">
        <f t="shared" si="88"/>
        <v>0.5573872277950952</v>
      </c>
      <c r="AL144" s="68">
        <f t="shared" si="89"/>
        <v>0.66069322694151156</v>
      </c>
      <c r="AM144" s="68">
        <f t="shared" si="90"/>
        <v>0.74237112281835804</v>
      </c>
      <c r="AN144" s="68">
        <f t="shared" si="91"/>
        <v>0.83053744967607557</v>
      </c>
      <c r="AO144" s="68">
        <f t="shared" si="92"/>
        <v>0.91641374206995618</v>
      </c>
      <c r="AP144" s="68">
        <f t="shared" si="93"/>
        <v>1</v>
      </c>
      <c r="AQ144" s="92"/>
      <c r="AT144" s="68">
        <f t="shared" si="98"/>
        <v>4.5874263643347103E-2</v>
      </c>
      <c r="AU144" s="68">
        <f t="shared" si="99"/>
        <v>0.10422006453601182</v>
      </c>
      <c r="AV144" s="68">
        <f t="shared" si="100"/>
        <v>0.18932080951804289</v>
      </c>
      <c r="AW144" s="68">
        <f t="shared" si="101"/>
        <v>0.2570439812677961</v>
      </c>
      <c r="AX144" s="68">
        <f t="shared" si="102"/>
        <v>0.34653909007421163</v>
      </c>
      <c r="AY144" s="68">
        <f t="shared" si="103"/>
        <v>0.46068544489914959</v>
      </c>
      <c r="AZ144" s="68">
        <f t="shared" si="104"/>
        <v>0.56206268318852204</v>
      </c>
      <c r="BA144" s="68">
        <f t="shared" si="105"/>
        <v>0.6681239198332305</v>
      </c>
      <c r="BB144" s="68">
        <f t="shared" si="106"/>
        <v>0.75878900189241405</v>
      </c>
      <c r="BC144" s="68">
        <f t="shared" si="107"/>
        <v>0.84694960787978768</v>
      </c>
      <c r="BD144" s="68">
        <f t="shared" si="108"/>
        <v>0.92601072661634964</v>
      </c>
      <c r="BE144" s="68">
        <f t="shared" si="109"/>
        <v>1</v>
      </c>
      <c r="BG144" s="68">
        <f t="shared" si="95"/>
        <v>4.9975041764086903E-2</v>
      </c>
      <c r="BH144" s="68">
        <f t="shared" si="95"/>
        <v>0.10777337300837947</v>
      </c>
      <c r="BI144" s="68">
        <f t="shared" si="95"/>
        <v>0.19440690892825374</v>
      </c>
      <c r="BJ144" s="68">
        <f t="shared" si="94"/>
        <v>0.27203995909663348</v>
      </c>
      <c r="BK144" s="68">
        <f t="shared" si="94"/>
        <v>0.36067984072338027</v>
      </c>
      <c r="BL144" s="68">
        <f t="shared" si="94"/>
        <v>0.4629175867281865</v>
      </c>
      <c r="BM144" s="68">
        <f t="shared" si="94"/>
        <v>0.55972495549180867</v>
      </c>
      <c r="BN144" s="68">
        <f t="shared" si="94"/>
        <v>0.66440857338737103</v>
      </c>
      <c r="BO144" s="68">
        <f t="shared" si="94"/>
        <v>0.75058006235538599</v>
      </c>
      <c r="BP144" s="68">
        <f t="shared" si="110"/>
        <v>0.83874352877793168</v>
      </c>
      <c r="BQ144" s="68">
        <f t="shared" si="110"/>
        <v>0.92121223434315291</v>
      </c>
      <c r="BR144" s="68">
        <f t="shared" si="110"/>
        <v>1</v>
      </c>
    </row>
    <row r="145" spans="1:70">
      <c r="A145" s="131" t="s">
        <v>141</v>
      </c>
      <c r="B145" s="62">
        <v>7378.25</v>
      </c>
      <c r="C145" s="62">
        <v>6771</v>
      </c>
      <c r="D145" s="62">
        <v>11254.5</v>
      </c>
      <c r="E145" s="62">
        <v>8052</v>
      </c>
      <c r="F145" s="62">
        <v>10156.5</v>
      </c>
      <c r="G145" s="62">
        <v>7594.5</v>
      </c>
      <c r="H145" s="62">
        <v>7594.5</v>
      </c>
      <c r="I145" s="62">
        <v>9424.5</v>
      </c>
      <c r="J145" s="62">
        <v>8601</v>
      </c>
      <c r="K145" s="62">
        <v>9607.5</v>
      </c>
      <c r="L145" s="62">
        <v>7137</v>
      </c>
      <c r="M145" s="62">
        <v>8418</v>
      </c>
      <c r="N145" s="100">
        <f t="shared" si="96"/>
        <v>101989.25</v>
      </c>
      <c r="P145" s="131" t="s">
        <v>141</v>
      </c>
      <c r="Q145" s="62">
        <v>10816.25</v>
      </c>
      <c r="R145" s="62">
        <v>5995.2999999999993</v>
      </c>
      <c r="S145" s="62">
        <v>11006.82</v>
      </c>
      <c r="T145" s="62">
        <v>6861.48</v>
      </c>
      <c r="U145" s="62">
        <v>11147.140000000001</v>
      </c>
      <c r="V145" s="62">
        <v>8150.06</v>
      </c>
      <c r="W145" s="62">
        <v>5474.75</v>
      </c>
      <c r="X145" s="62">
        <v>11111.05</v>
      </c>
      <c r="Y145" s="62">
        <v>6192.75</v>
      </c>
      <c r="Z145" s="62">
        <v>6551.75</v>
      </c>
      <c r="AA145" s="62">
        <v>7718.5</v>
      </c>
      <c r="AB145" s="62">
        <v>6372.25</v>
      </c>
      <c r="AC145" s="100">
        <f t="shared" si="97"/>
        <v>97398.099999999991</v>
      </c>
      <c r="AE145" s="68">
        <f t="shared" si="82"/>
        <v>7.2343408741607565E-2</v>
      </c>
      <c r="AF145" s="68">
        <f t="shared" si="83"/>
        <v>0.13873275859955828</v>
      </c>
      <c r="AG145" s="68">
        <f t="shared" si="84"/>
        <v>0.24908262390398989</v>
      </c>
      <c r="AH145" s="68">
        <f t="shared" si="85"/>
        <v>0.32803212103236373</v>
      </c>
      <c r="AI145" s="68">
        <f t="shared" si="86"/>
        <v>0.42761614581928981</v>
      </c>
      <c r="AJ145" s="68">
        <f t="shared" si="87"/>
        <v>0.50207987606536963</v>
      </c>
      <c r="AK145" s="68">
        <f t="shared" si="88"/>
        <v>0.57654360631144952</v>
      </c>
      <c r="AL145" s="68">
        <f t="shared" si="89"/>
        <v>0.66895040408670525</v>
      </c>
      <c r="AM145" s="68">
        <f t="shared" si="90"/>
        <v>0.75328282147383185</v>
      </c>
      <c r="AN145" s="68">
        <f t="shared" si="91"/>
        <v>0.84748392600200506</v>
      </c>
      <c r="AO145" s="68">
        <f t="shared" si="92"/>
        <v>0.91746188936579098</v>
      </c>
      <c r="AP145" s="68">
        <f t="shared" si="93"/>
        <v>1</v>
      </c>
      <c r="AQ145" s="92"/>
      <c r="AT145" s="68">
        <f t="shared" si="98"/>
        <v>0.11105196097254465</v>
      </c>
      <c r="AU145" s="68">
        <f t="shared" si="99"/>
        <v>0.17260654981976034</v>
      </c>
      <c r="AV145" s="68">
        <f t="shared" si="100"/>
        <v>0.28561511980213167</v>
      </c>
      <c r="AW145" s="68">
        <f t="shared" si="101"/>
        <v>0.35606290061099755</v>
      </c>
      <c r="AX145" s="68">
        <f t="shared" si="102"/>
        <v>0.47051215578127298</v>
      </c>
      <c r="AY145" s="68">
        <f t="shared" si="103"/>
        <v>0.55418996879815929</v>
      </c>
      <c r="AZ145" s="68">
        <f t="shared" si="104"/>
        <v>0.61039999753588625</v>
      </c>
      <c r="BA145" s="68">
        <f t="shared" si="105"/>
        <v>0.72447871159704347</v>
      </c>
      <c r="BB145" s="68">
        <f t="shared" si="106"/>
        <v>0.7880605473823411</v>
      </c>
      <c r="BC145" s="68">
        <f t="shared" si="107"/>
        <v>0.85532828669142413</v>
      </c>
      <c r="BD145" s="68">
        <f t="shared" si="108"/>
        <v>0.93457521245280961</v>
      </c>
      <c r="BE145" s="68">
        <f t="shared" si="109"/>
        <v>1</v>
      </c>
      <c r="BG145" s="68">
        <f t="shared" si="95"/>
        <v>9.1697684857076106E-2</v>
      </c>
      <c r="BH145" s="68">
        <f t="shared" si="95"/>
        <v>0.15566965420965931</v>
      </c>
      <c r="BI145" s="68">
        <f t="shared" si="95"/>
        <v>0.26734887185306078</v>
      </c>
      <c r="BJ145" s="68">
        <f t="shared" si="94"/>
        <v>0.34204751082168061</v>
      </c>
      <c r="BK145" s="68">
        <f t="shared" si="94"/>
        <v>0.44906415080028139</v>
      </c>
      <c r="BL145" s="68">
        <f t="shared" si="94"/>
        <v>0.52813492243176441</v>
      </c>
      <c r="BM145" s="68">
        <f t="shared" si="94"/>
        <v>0.59347180192366789</v>
      </c>
      <c r="BN145" s="68">
        <f t="shared" si="94"/>
        <v>0.6967145578418743</v>
      </c>
      <c r="BO145" s="68">
        <f t="shared" si="94"/>
        <v>0.77067168442808653</v>
      </c>
      <c r="BP145" s="68">
        <f t="shared" si="110"/>
        <v>0.85140610634671465</v>
      </c>
      <c r="BQ145" s="68">
        <f t="shared" si="110"/>
        <v>0.9260185509093003</v>
      </c>
      <c r="BR145" s="68">
        <f t="shared" si="110"/>
        <v>1</v>
      </c>
    </row>
    <row r="146" spans="1:70">
      <c r="A146" s="131" t="s">
        <v>142</v>
      </c>
      <c r="B146" s="62">
        <v>234413.55</v>
      </c>
      <c r="C146" s="62">
        <v>339002.26</v>
      </c>
      <c r="D146" s="62">
        <v>419772</v>
      </c>
      <c r="E146" s="62">
        <v>422394</v>
      </c>
      <c r="F146" s="62">
        <v>420166.25</v>
      </c>
      <c r="G146" s="62">
        <v>408364.5</v>
      </c>
      <c r="H146" s="62">
        <v>439840.5</v>
      </c>
      <c r="I146" s="62">
        <v>482662.5</v>
      </c>
      <c r="J146" s="62">
        <v>419881.75</v>
      </c>
      <c r="K146" s="62">
        <v>482754</v>
      </c>
      <c r="L146" s="62">
        <v>411201</v>
      </c>
      <c r="M146" s="62">
        <v>431697</v>
      </c>
      <c r="N146" s="100">
        <f t="shared" si="96"/>
        <v>4912149.3100000005</v>
      </c>
      <c r="P146" s="131" t="s">
        <v>142</v>
      </c>
      <c r="Q146" s="62">
        <v>201763.79</v>
      </c>
      <c r="R146" s="62">
        <v>286403.68</v>
      </c>
      <c r="S146" s="62">
        <v>388925.8</v>
      </c>
      <c r="T146" s="62">
        <v>324289.08</v>
      </c>
      <c r="U146" s="62">
        <v>420692.01</v>
      </c>
      <c r="V146" s="62">
        <v>376264.87</v>
      </c>
      <c r="W146" s="62">
        <v>409194.4</v>
      </c>
      <c r="X146" s="62">
        <v>449192.57999999996</v>
      </c>
      <c r="Y146" s="62">
        <v>411611.45</v>
      </c>
      <c r="Z146" s="62">
        <v>426578.47</v>
      </c>
      <c r="AA146" s="62">
        <v>386355.5</v>
      </c>
      <c r="AB146" s="62">
        <v>378218.53</v>
      </c>
      <c r="AC146" s="100">
        <f t="shared" si="97"/>
        <v>4459490.16</v>
      </c>
      <c r="AE146" s="68">
        <f t="shared" si="82"/>
        <v>4.7721177677312897E-2</v>
      </c>
      <c r="AF146" s="68">
        <f t="shared" si="83"/>
        <v>0.11673419796761023</v>
      </c>
      <c r="AG146" s="68">
        <f t="shared" si="84"/>
        <v>0.20219006942197365</v>
      </c>
      <c r="AH146" s="68">
        <f t="shared" si="85"/>
        <v>0.28817971943935067</v>
      </c>
      <c r="AI146" s="68">
        <f t="shared" si="86"/>
        <v>0.3737158510761962</v>
      </c>
      <c r="AJ146" s="68">
        <f t="shared" si="87"/>
        <v>0.45684941934307771</v>
      </c>
      <c r="AK146" s="68">
        <f t="shared" si="88"/>
        <v>0.54639077328860752</v>
      </c>
      <c r="AL146" s="68">
        <f t="shared" si="89"/>
        <v>0.64464969612253087</v>
      </c>
      <c r="AM146" s="68">
        <f t="shared" si="90"/>
        <v>0.73012791013879008</v>
      </c>
      <c r="AN146" s="68">
        <f t="shared" si="91"/>
        <v>0.82840546025666306</v>
      </c>
      <c r="AO146" s="68">
        <f t="shared" si="92"/>
        <v>0.91211647432598097</v>
      </c>
      <c r="AP146" s="68">
        <f t="shared" si="93"/>
        <v>1</v>
      </c>
      <c r="AQ146" s="92"/>
      <c r="AT146" s="68">
        <f t="shared" si="98"/>
        <v>4.5243689919925736E-2</v>
      </c>
      <c r="AU146" s="68">
        <f t="shared" si="99"/>
        <v>0.10946710329774557</v>
      </c>
      <c r="AV146" s="68">
        <f t="shared" si="100"/>
        <v>0.19668016713372455</v>
      </c>
      <c r="AW146" s="68">
        <f t="shared" si="101"/>
        <v>0.26939903596513376</v>
      </c>
      <c r="AX146" s="68">
        <f t="shared" si="102"/>
        <v>0.3637353827012369</v>
      </c>
      <c r="AY146" s="68">
        <f t="shared" si="103"/>
        <v>0.44810934844623584</v>
      </c>
      <c r="AZ146" s="68">
        <f t="shared" si="104"/>
        <v>0.53986746099244665</v>
      </c>
      <c r="BA146" s="68">
        <f t="shared" si="105"/>
        <v>0.64059480063972152</v>
      </c>
      <c r="BB146" s="68">
        <f t="shared" si="106"/>
        <v>0.73289491460611278</v>
      </c>
      <c r="BC146" s="68">
        <f t="shared" si="107"/>
        <v>0.82855124631556532</v>
      </c>
      <c r="BD146" s="68">
        <f t="shared" si="108"/>
        <v>0.91518794381642943</v>
      </c>
      <c r="BE146" s="68">
        <f t="shared" si="109"/>
        <v>1</v>
      </c>
      <c r="BG146" s="68">
        <f t="shared" si="95"/>
        <v>4.6482433798619313E-2</v>
      </c>
      <c r="BH146" s="68">
        <f t="shared" si="95"/>
        <v>0.11310065063267791</v>
      </c>
      <c r="BI146" s="68">
        <f t="shared" si="95"/>
        <v>0.1994351182778491</v>
      </c>
      <c r="BJ146" s="68">
        <f t="shared" si="94"/>
        <v>0.27878937770224221</v>
      </c>
      <c r="BK146" s="68">
        <f t="shared" si="94"/>
        <v>0.36872561688871652</v>
      </c>
      <c r="BL146" s="68">
        <f t="shared" si="94"/>
        <v>0.45247938389465681</v>
      </c>
      <c r="BM146" s="68">
        <f t="shared" si="94"/>
        <v>0.54312911714052703</v>
      </c>
      <c r="BN146" s="68">
        <f t="shared" si="94"/>
        <v>0.64262224838112614</v>
      </c>
      <c r="BO146" s="68">
        <f t="shared" si="94"/>
        <v>0.73151141237245143</v>
      </c>
      <c r="BP146" s="68">
        <f t="shared" si="110"/>
        <v>0.82847835328611419</v>
      </c>
      <c r="BQ146" s="68">
        <f t="shared" si="110"/>
        <v>0.91365220907120515</v>
      </c>
      <c r="BR146" s="68">
        <f t="shared" si="110"/>
        <v>1</v>
      </c>
    </row>
    <row r="147" spans="1:70">
      <c r="A147" s="131" t="s">
        <v>143</v>
      </c>
      <c r="B147" s="62">
        <v>1930866.92</v>
      </c>
      <c r="C147" s="62">
        <v>1998365.1</v>
      </c>
      <c r="D147" s="62">
        <v>2663298.54</v>
      </c>
      <c r="E147" s="62">
        <v>2648980</v>
      </c>
      <c r="F147" s="62">
        <v>2666967.0499999998</v>
      </c>
      <c r="G147" s="62">
        <v>2390054.5299999998</v>
      </c>
      <c r="H147" s="62">
        <v>2541998.1</v>
      </c>
      <c r="I147" s="62">
        <v>2925547.75</v>
      </c>
      <c r="J147" s="62">
        <v>2402204.27</v>
      </c>
      <c r="K147" s="62">
        <v>2618272.5699999998</v>
      </c>
      <c r="L147" s="62">
        <v>2172118.5</v>
      </c>
      <c r="M147" s="62">
        <v>2068388.87</v>
      </c>
      <c r="N147" s="100">
        <f t="shared" si="96"/>
        <v>29027062.199999999</v>
      </c>
      <c r="P147" s="131" t="s">
        <v>143</v>
      </c>
      <c r="Q147" s="62">
        <v>1613880.02</v>
      </c>
      <c r="R147" s="62">
        <v>1743940.41</v>
      </c>
      <c r="S147" s="62">
        <v>2437264.2599999998</v>
      </c>
      <c r="T147" s="62">
        <v>1980429.49</v>
      </c>
      <c r="U147" s="62">
        <v>2441361.42</v>
      </c>
      <c r="V147" s="62">
        <v>2293984.15</v>
      </c>
      <c r="W147" s="62">
        <v>2306509.81</v>
      </c>
      <c r="X147" s="62">
        <v>2685913.05</v>
      </c>
      <c r="Y147" s="62">
        <v>2293553.2200000002</v>
      </c>
      <c r="Z147" s="62">
        <v>2363350.0100000002</v>
      </c>
      <c r="AA147" s="62">
        <v>2144451.77</v>
      </c>
      <c r="AB147" s="62">
        <v>1913304.0899999999</v>
      </c>
      <c r="AC147" s="100">
        <f t="shared" si="97"/>
        <v>26217941.699999999</v>
      </c>
      <c r="AE147" s="68">
        <f t="shared" si="82"/>
        <v>6.651954326952178E-2</v>
      </c>
      <c r="AF147" s="68">
        <f t="shared" si="83"/>
        <v>0.13536444001556588</v>
      </c>
      <c r="AG147" s="68">
        <f t="shared" si="84"/>
        <v>0.22711669939509072</v>
      </c>
      <c r="AH147" s="68">
        <f t="shared" si="85"/>
        <v>0.31837567633695979</v>
      </c>
      <c r="AI147" s="68">
        <f t="shared" si="86"/>
        <v>0.41025431812386443</v>
      </c>
      <c r="AJ147" s="68">
        <f t="shared" si="87"/>
        <v>0.49259315467343434</v>
      </c>
      <c r="AK147" s="68">
        <f t="shared" si="88"/>
        <v>0.58016653989875688</v>
      </c>
      <c r="AL147" s="68">
        <f t="shared" si="89"/>
        <v>0.68095344454114271</v>
      </c>
      <c r="AM147" s="68">
        <f t="shared" si="90"/>
        <v>0.76371084704534786</v>
      </c>
      <c r="AN147" s="68">
        <f t="shared" si="91"/>
        <v>0.85391193429144197</v>
      </c>
      <c r="AO147" s="68">
        <f t="shared" si="92"/>
        <v>0.92874274166126258</v>
      </c>
      <c r="AP147" s="68">
        <f t="shared" si="93"/>
        <v>1</v>
      </c>
      <c r="AQ147" s="92"/>
      <c r="AT147" s="68">
        <f t="shared" si="98"/>
        <v>6.1556320418547583E-2</v>
      </c>
      <c r="AU147" s="68">
        <f t="shared" si="99"/>
        <v>0.12807338075665947</v>
      </c>
      <c r="AV147" s="68">
        <f t="shared" si="100"/>
        <v>0.22103507423696803</v>
      </c>
      <c r="AW147" s="68">
        <f t="shared" si="101"/>
        <v>0.29657225837831502</v>
      </c>
      <c r="AX147" s="68">
        <f t="shared" si="102"/>
        <v>0.38969022499580885</v>
      </c>
      <c r="AY147" s="68">
        <f t="shared" si="103"/>
        <v>0.477186954382464</v>
      </c>
      <c r="AZ147" s="68">
        <f t="shared" si="104"/>
        <v>0.5651614352319656</v>
      </c>
      <c r="BA147" s="68">
        <f t="shared" si="105"/>
        <v>0.66760704597950948</v>
      </c>
      <c r="BB147" s="68">
        <f t="shared" si="106"/>
        <v>0.75508733891188717</v>
      </c>
      <c r="BC147" s="68">
        <f t="shared" si="107"/>
        <v>0.84522980841016981</v>
      </c>
      <c r="BD147" s="68">
        <f t="shared" si="108"/>
        <v>0.92702310074936201</v>
      </c>
      <c r="BE147" s="68">
        <f t="shared" si="109"/>
        <v>1</v>
      </c>
      <c r="BG147" s="68">
        <f t="shared" si="95"/>
        <v>6.4037931844034682E-2</v>
      </c>
      <c r="BH147" s="68">
        <f t="shared" si="95"/>
        <v>0.13171891038611266</v>
      </c>
      <c r="BI147" s="68">
        <f t="shared" si="95"/>
        <v>0.22407588681602936</v>
      </c>
      <c r="BJ147" s="68">
        <f t="shared" si="94"/>
        <v>0.30747396735763743</v>
      </c>
      <c r="BK147" s="68">
        <f t="shared" si="94"/>
        <v>0.39997227155983661</v>
      </c>
      <c r="BL147" s="68">
        <f t="shared" si="94"/>
        <v>0.4848900545279492</v>
      </c>
      <c r="BM147" s="68">
        <f t="shared" si="94"/>
        <v>0.57266398756536119</v>
      </c>
      <c r="BN147" s="68">
        <f t="shared" si="94"/>
        <v>0.67428024526032604</v>
      </c>
      <c r="BO147" s="68">
        <f t="shared" si="94"/>
        <v>0.75939909297861752</v>
      </c>
      <c r="BP147" s="68">
        <f t="shared" si="110"/>
        <v>0.84957087135080589</v>
      </c>
      <c r="BQ147" s="68">
        <f t="shared" si="110"/>
        <v>0.92788292120531235</v>
      </c>
      <c r="BR147" s="68">
        <f t="shared" si="110"/>
        <v>1</v>
      </c>
    </row>
    <row r="148" spans="1:70">
      <c r="A148" s="131" t="s">
        <v>144</v>
      </c>
      <c r="B148" s="62">
        <v>42386.2</v>
      </c>
      <c r="C148" s="62">
        <v>47214</v>
      </c>
      <c r="D148" s="62">
        <v>56547</v>
      </c>
      <c r="E148" s="62">
        <v>59749.5</v>
      </c>
      <c r="F148" s="62">
        <v>55083</v>
      </c>
      <c r="G148" s="62">
        <v>50233.5</v>
      </c>
      <c r="H148" s="62">
        <v>56547.000000000007</v>
      </c>
      <c r="I148" s="62">
        <v>61122</v>
      </c>
      <c r="J148" s="62">
        <v>53070</v>
      </c>
      <c r="K148" s="62">
        <v>54625.5</v>
      </c>
      <c r="L148" s="62">
        <v>44743.5</v>
      </c>
      <c r="M148" s="62">
        <v>45933</v>
      </c>
      <c r="N148" s="100">
        <f t="shared" si="96"/>
        <v>627254.19999999995</v>
      </c>
      <c r="P148" s="131" t="s">
        <v>144</v>
      </c>
      <c r="Q148" s="62">
        <v>27813.119999999999</v>
      </c>
      <c r="R148" s="62">
        <v>33981.25</v>
      </c>
      <c r="S148" s="62">
        <v>45122.100000000006</v>
      </c>
      <c r="T148" s="62">
        <v>37466.74</v>
      </c>
      <c r="U148" s="62">
        <v>43582.600000000006</v>
      </c>
      <c r="V148" s="62">
        <v>51319.350000000006</v>
      </c>
      <c r="W148" s="62">
        <v>43151.8</v>
      </c>
      <c r="X148" s="62">
        <v>50866.3</v>
      </c>
      <c r="Y148" s="62">
        <v>51875.5</v>
      </c>
      <c r="Z148" s="62">
        <v>54657.75</v>
      </c>
      <c r="AA148" s="62">
        <v>45502.65</v>
      </c>
      <c r="AB148" s="62">
        <v>42451.75</v>
      </c>
      <c r="AC148" s="100">
        <f t="shared" si="97"/>
        <v>527790.91</v>
      </c>
      <c r="AE148" s="68">
        <f t="shared" si="82"/>
        <v>6.7574198785755435E-2</v>
      </c>
      <c r="AF148" s="68">
        <f t="shared" si="83"/>
        <v>0.14284511765724328</v>
      </c>
      <c r="AG148" s="68">
        <f t="shared" si="84"/>
        <v>0.23299517165449035</v>
      </c>
      <c r="AH148" s="68">
        <f t="shared" si="85"/>
        <v>0.32825081123410577</v>
      </c>
      <c r="AI148" s="68">
        <f t="shared" si="86"/>
        <v>0.41606688325084157</v>
      </c>
      <c r="AJ148" s="68">
        <f t="shared" si="87"/>
        <v>0.49615163995713385</v>
      </c>
      <c r="AK148" s="68">
        <f t="shared" si="88"/>
        <v>0.58630169395438092</v>
      </c>
      <c r="AL148" s="68">
        <f t="shared" si="89"/>
        <v>0.68374544164072559</v>
      </c>
      <c r="AM148" s="68">
        <f t="shared" si="90"/>
        <v>0.76835228843425851</v>
      </c>
      <c r="AN148" s="68">
        <f t="shared" si="91"/>
        <v>0.85543899108208443</v>
      </c>
      <c r="AO148" s="68">
        <f t="shared" si="92"/>
        <v>0.92677131536145951</v>
      </c>
      <c r="AP148" s="68">
        <f t="shared" si="93"/>
        <v>1</v>
      </c>
      <c r="AQ148" s="92"/>
      <c r="AT148" s="68">
        <f t="shared" si="98"/>
        <v>5.2697231939822529E-2</v>
      </c>
      <c r="AU148" s="68">
        <f t="shared" si="99"/>
        <v>0.1170811562480301</v>
      </c>
      <c r="AV148" s="68">
        <f t="shared" si="100"/>
        <v>0.2025735342808386</v>
      </c>
      <c r="AW148" s="68">
        <f t="shared" si="101"/>
        <v>0.27356138058535334</v>
      </c>
      <c r="AX148" s="68">
        <f t="shared" si="102"/>
        <v>0.35613688382772635</v>
      </c>
      <c r="AY148" s="68">
        <f t="shared" si="103"/>
        <v>0.45337112759293258</v>
      </c>
      <c r="AZ148" s="68">
        <f t="shared" si="104"/>
        <v>0.53513039851330524</v>
      </c>
      <c r="BA148" s="68">
        <f t="shared" si="105"/>
        <v>0.63150625311072517</v>
      </c>
      <c r="BB148" s="68">
        <f t="shared" si="106"/>
        <v>0.72979422855160581</v>
      </c>
      <c r="BC148" s="68">
        <f t="shared" si="107"/>
        <v>0.83335370440540546</v>
      </c>
      <c r="BD148" s="68">
        <f t="shared" si="108"/>
        <v>0.91956710660287799</v>
      </c>
      <c r="BE148" s="68">
        <f t="shared" si="109"/>
        <v>1</v>
      </c>
      <c r="BG148" s="68">
        <f t="shared" si="95"/>
        <v>6.0135715362788986E-2</v>
      </c>
      <c r="BH148" s="68">
        <f t="shared" si="95"/>
        <v>0.1299631369526367</v>
      </c>
      <c r="BI148" s="68">
        <f t="shared" si="95"/>
        <v>0.21778435296766446</v>
      </c>
      <c r="BJ148" s="68">
        <f t="shared" si="94"/>
        <v>0.30090609590972955</v>
      </c>
      <c r="BK148" s="68">
        <f t="shared" si="94"/>
        <v>0.38610188353928399</v>
      </c>
      <c r="BL148" s="68">
        <f t="shared" si="94"/>
        <v>0.47476138377503319</v>
      </c>
      <c r="BM148" s="68">
        <f t="shared" si="94"/>
        <v>0.56071604623384308</v>
      </c>
      <c r="BN148" s="68">
        <f t="shared" si="94"/>
        <v>0.65762584737572538</v>
      </c>
      <c r="BO148" s="68">
        <f t="shared" si="94"/>
        <v>0.74907325849293216</v>
      </c>
      <c r="BP148" s="68">
        <f t="shared" si="110"/>
        <v>0.84439634774374495</v>
      </c>
      <c r="BQ148" s="68">
        <f t="shared" si="110"/>
        <v>0.92316921098216875</v>
      </c>
      <c r="BR148" s="68">
        <f t="shared" si="110"/>
        <v>1</v>
      </c>
    </row>
    <row r="149" spans="1:70">
      <c r="A149" s="131" t="s">
        <v>145</v>
      </c>
      <c r="B149" s="62">
        <v>29591.75</v>
      </c>
      <c r="C149" s="62">
        <v>32208</v>
      </c>
      <c r="D149" s="62">
        <v>39985.5</v>
      </c>
      <c r="E149" s="62">
        <v>41083.5</v>
      </c>
      <c r="F149" s="62">
        <v>40992</v>
      </c>
      <c r="G149" s="62">
        <v>33397.5</v>
      </c>
      <c r="H149" s="62">
        <v>38430</v>
      </c>
      <c r="I149" s="62">
        <v>38247</v>
      </c>
      <c r="J149" s="62">
        <v>29829</v>
      </c>
      <c r="K149" s="62">
        <v>37057.5</v>
      </c>
      <c r="L149" s="62">
        <v>33306</v>
      </c>
      <c r="M149" s="62">
        <v>31110</v>
      </c>
      <c r="N149" s="100">
        <f t="shared" si="96"/>
        <v>425237.75</v>
      </c>
      <c r="P149" s="131" t="s">
        <v>145</v>
      </c>
      <c r="Q149" s="62">
        <v>23772.85</v>
      </c>
      <c r="R149" s="62">
        <v>27605.199999999997</v>
      </c>
      <c r="S149" s="62">
        <v>30858.199999999997</v>
      </c>
      <c r="T149" s="62">
        <v>27823.260000000002</v>
      </c>
      <c r="U149" s="62">
        <v>48705.619999999995</v>
      </c>
      <c r="V149" s="62">
        <v>49883</v>
      </c>
      <c r="W149" s="62">
        <v>42577.37</v>
      </c>
      <c r="X149" s="62">
        <v>45862.25</v>
      </c>
      <c r="Y149" s="62">
        <v>32489.599999999999</v>
      </c>
      <c r="Z149" s="62">
        <v>40926</v>
      </c>
      <c r="AA149" s="62">
        <v>33566.5</v>
      </c>
      <c r="AB149" s="62">
        <v>35271.75</v>
      </c>
      <c r="AC149" s="100">
        <f t="shared" si="97"/>
        <v>439341.6</v>
      </c>
      <c r="AE149" s="68">
        <f t="shared" si="82"/>
        <v>6.9588718311109493E-2</v>
      </c>
      <c r="AF149" s="68">
        <f t="shared" si="83"/>
        <v>0.1453298772275039</v>
      </c>
      <c r="AG149" s="68">
        <f t="shared" si="84"/>
        <v>0.23936080463223219</v>
      </c>
      <c r="AH149" s="68">
        <f t="shared" si="85"/>
        <v>0.33597381700001938</v>
      </c>
      <c r="AI149" s="68">
        <f t="shared" si="86"/>
        <v>0.43237165562088503</v>
      </c>
      <c r="AJ149" s="68">
        <f t="shared" si="87"/>
        <v>0.5109100732472599</v>
      </c>
      <c r="AK149" s="68">
        <f t="shared" si="88"/>
        <v>0.60128304695432144</v>
      </c>
      <c r="AL149" s="68">
        <f t="shared" si="89"/>
        <v>0.6912256731675398</v>
      </c>
      <c r="AM149" s="68">
        <f t="shared" si="90"/>
        <v>0.76137231466397326</v>
      </c>
      <c r="AN149" s="68">
        <f t="shared" si="91"/>
        <v>0.84851768216721113</v>
      </c>
      <c r="AO149" s="68">
        <f t="shared" si="92"/>
        <v>0.92684092604666446</v>
      </c>
      <c r="AP149" s="68">
        <f t="shared" si="93"/>
        <v>1</v>
      </c>
      <c r="AQ149" s="92"/>
      <c r="AT149" s="68">
        <f t="shared" si="98"/>
        <v>5.4110173040750068E-2</v>
      </c>
      <c r="AU149" s="68">
        <f t="shared" si="99"/>
        <v>0.11694328513393677</v>
      </c>
      <c r="AV149" s="68">
        <f t="shared" si="100"/>
        <v>0.18718065851264712</v>
      </c>
      <c r="AW149" s="68">
        <f t="shared" si="101"/>
        <v>0.25051010421048225</v>
      </c>
      <c r="AX149" s="68">
        <f t="shared" si="102"/>
        <v>0.36137058270830719</v>
      </c>
      <c r="AY149" s="68">
        <f t="shared" si="103"/>
        <v>0.47491093490805336</v>
      </c>
      <c r="AZ149" s="68">
        <f t="shared" si="104"/>
        <v>0.57182270014949643</v>
      </c>
      <c r="BA149" s="68">
        <f t="shared" si="105"/>
        <v>0.67621128980274126</v>
      </c>
      <c r="BB149" s="68">
        <f t="shared" si="106"/>
        <v>0.7501619468768721</v>
      </c>
      <c r="BC149" s="68">
        <f t="shared" si="107"/>
        <v>0.84331497404297706</v>
      </c>
      <c r="BD149" s="68">
        <f t="shared" si="108"/>
        <v>0.91971679895552805</v>
      </c>
      <c r="BE149" s="68">
        <f t="shared" si="109"/>
        <v>1</v>
      </c>
      <c r="BG149" s="68">
        <f t="shared" si="95"/>
        <v>6.184944567592978E-2</v>
      </c>
      <c r="BH149" s="68">
        <f t="shared" si="95"/>
        <v>0.13113658118072033</v>
      </c>
      <c r="BI149" s="68">
        <f t="shared" si="95"/>
        <v>0.21327073157243964</v>
      </c>
      <c r="BJ149" s="68">
        <f t="shared" si="94"/>
        <v>0.29324196060525082</v>
      </c>
      <c r="BK149" s="68">
        <f t="shared" si="94"/>
        <v>0.39687111916459611</v>
      </c>
      <c r="BL149" s="68">
        <f t="shared" si="94"/>
        <v>0.49291050407765663</v>
      </c>
      <c r="BM149" s="68">
        <f t="shared" si="94"/>
        <v>0.58655287355190899</v>
      </c>
      <c r="BN149" s="68">
        <f t="shared" si="94"/>
        <v>0.68371848148514047</v>
      </c>
      <c r="BO149" s="68">
        <f t="shared" si="94"/>
        <v>0.75576713077042268</v>
      </c>
      <c r="BP149" s="68">
        <f t="shared" si="110"/>
        <v>0.8459163281050941</v>
      </c>
      <c r="BQ149" s="68">
        <f t="shared" si="110"/>
        <v>0.92327886250109625</v>
      </c>
      <c r="BR149" s="68">
        <f t="shared" si="110"/>
        <v>1</v>
      </c>
    </row>
    <row r="150" spans="1:70">
      <c r="N150" s="94">
        <f t="shared" si="96"/>
        <v>0</v>
      </c>
      <c r="AC150" s="94">
        <f t="shared" si="97"/>
        <v>0</v>
      </c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</row>
    <row r="151" spans="1:70">
      <c r="B151" s="317" t="s">
        <v>207</v>
      </c>
      <c r="C151" s="317"/>
      <c r="D151" s="317"/>
      <c r="E151" s="317"/>
      <c r="F151" s="317"/>
      <c r="G151" s="317"/>
      <c r="H151" s="317"/>
      <c r="I151" s="317"/>
      <c r="J151" s="317"/>
      <c r="K151" s="317"/>
      <c r="L151" s="317"/>
      <c r="M151" s="317"/>
      <c r="N151" s="317">
        <f t="shared" si="96"/>
        <v>0</v>
      </c>
      <c r="Q151" s="317" t="s">
        <v>208</v>
      </c>
      <c r="R151" s="317"/>
      <c r="S151" s="317"/>
      <c r="T151" s="317"/>
      <c r="U151" s="317"/>
      <c r="V151" s="317"/>
      <c r="W151" s="317"/>
      <c r="X151" s="317"/>
      <c r="Y151" s="317"/>
      <c r="Z151" s="317"/>
      <c r="AA151" s="317"/>
      <c r="AB151" s="317"/>
      <c r="AC151" s="317">
        <f t="shared" si="97"/>
        <v>0</v>
      </c>
      <c r="AE151" s="316" t="s">
        <v>177</v>
      </c>
      <c r="AF151" s="316"/>
      <c r="AG151" s="316"/>
      <c r="AH151" s="316"/>
      <c r="AI151" s="316"/>
      <c r="AJ151" s="316"/>
      <c r="AK151" s="316"/>
      <c r="AL151" s="316"/>
      <c r="AM151" s="316"/>
      <c r="AN151" s="316"/>
      <c r="AO151" s="316"/>
      <c r="AP151" s="316"/>
      <c r="AQ151" s="92"/>
      <c r="AT151" s="316" t="s">
        <v>178</v>
      </c>
      <c r="AU151" s="316"/>
      <c r="AV151" s="316"/>
      <c r="AW151" s="316"/>
      <c r="AX151" s="316"/>
      <c r="AY151" s="316"/>
      <c r="AZ151" s="316"/>
      <c r="BA151" s="316"/>
      <c r="BB151" s="316"/>
      <c r="BC151" s="316"/>
      <c r="BD151" s="316"/>
      <c r="BE151" s="316"/>
      <c r="BG151" s="316" t="s">
        <v>246</v>
      </c>
      <c r="BH151" s="316"/>
      <c r="BI151" s="316"/>
      <c r="BJ151" s="316"/>
      <c r="BK151" s="316"/>
      <c r="BL151" s="316"/>
      <c r="BM151" s="316"/>
      <c r="BN151" s="316"/>
      <c r="BO151" s="316"/>
      <c r="BP151" s="316"/>
      <c r="BQ151" s="316"/>
      <c r="BR151" s="316"/>
    </row>
    <row r="152" spans="1:70">
      <c r="B152" s="131" t="s">
        <v>163</v>
      </c>
      <c r="C152" s="131" t="s">
        <v>179</v>
      </c>
      <c r="D152" s="131" t="s">
        <v>180</v>
      </c>
      <c r="E152" s="131" t="s">
        <v>181</v>
      </c>
      <c r="F152" s="131" t="s">
        <v>182</v>
      </c>
      <c r="G152" s="131" t="s">
        <v>183</v>
      </c>
      <c r="H152" s="131" t="s">
        <v>184</v>
      </c>
      <c r="I152" s="131" t="s">
        <v>185</v>
      </c>
      <c r="J152" s="131" t="s">
        <v>186</v>
      </c>
      <c r="K152" s="131" t="s">
        <v>187</v>
      </c>
      <c r="L152" s="131" t="s">
        <v>188</v>
      </c>
      <c r="M152" s="131" t="s">
        <v>189</v>
      </c>
      <c r="N152" s="131" t="s">
        <v>160</v>
      </c>
      <c r="Q152" s="131" t="s">
        <v>163</v>
      </c>
      <c r="R152" s="131" t="s">
        <v>179</v>
      </c>
      <c r="S152" s="131" t="s">
        <v>180</v>
      </c>
      <c r="T152" s="131" t="s">
        <v>181</v>
      </c>
      <c r="U152" s="131" t="s">
        <v>182</v>
      </c>
      <c r="V152" s="131" t="s">
        <v>183</v>
      </c>
      <c r="W152" s="131" t="s">
        <v>184</v>
      </c>
      <c r="X152" s="131" t="s">
        <v>185</v>
      </c>
      <c r="Y152" s="131" t="s">
        <v>186</v>
      </c>
      <c r="Z152" s="131" t="s">
        <v>187</v>
      </c>
      <c r="AA152" s="131" t="s">
        <v>188</v>
      </c>
      <c r="AB152" s="131" t="s">
        <v>189</v>
      </c>
      <c r="AC152" s="131">
        <f t="shared" si="97"/>
        <v>0</v>
      </c>
      <c r="AE152" s="131" t="s">
        <v>190</v>
      </c>
      <c r="AF152" s="131" t="s">
        <v>191</v>
      </c>
      <c r="AG152" s="131" t="s">
        <v>192</v>
      </c>
      <c r="AH152" s="131" t="s">
        <v>193</v>
      </c>
      <c r="AI152" s="131" t="s">
        <v>194</v>
      </c>
      <c r="AJ152" s="131" t="s">
        <v>195</v>
      </c>
      <c r="AK152" s="131" t="s">
        <v>196</v>
      </c>
      <c r="AL152" s="131" t="s">
        <v>197</v>
      </c>
      <c r="AM152" s="131" t="s">
        <v>198</v>
      </c>
      <c r="AN152" s="131" t="s">
        <v>199</v>
      </c>
      <c r="AO152" s="131" t="s">
        <v>200</v>
      </c>
      <c r="AP152" s="131" t="s">
        <v>201</v>
      </c>
      <c r="AQ152" s="92"/>
      <c r="AT152" s="131" t="s">
        <v>190</v>
      </c>
      <c r="AU152" s="131" t="s">
        <v>191</v>
      </c>
      <c r="AV152" s="131" t="s">
        <v>238</v>
      </c>
      <c r="AW152" s="131" t="s">
        <v>239</v>
      </c>
      <c r="AX152" s="131" t="s">
        <v>240</v>
      </c>
      <c r="AY152" s="131" t="s">
        <v>195</v>
      </c>
      <c r="AZ152" s="131" t="s">
        <v>196</v>
      </c>
      <c r="BA152" s="131" t="s">
        <v>197</v>
      </c>
      <c r="BB152" s="131" t="s">
        <v>198</v>
      </c>
      <c r="BC152" s="131" t="s">
        <v>199</v>
      </c>
      <c r="BD152" s="131" t="s">
        <v>200</v>
      </c>
      <c r="BE152" s="131" t="s">
        <v>201</v>
      </c>
      <c r="BG152" s="131" t="s">
        <v>190</v>
      </c>
      <c r="BH152" s="131" t="s">
        <v>191</v>
      </c>
      <c r="BI152" s="131" t="s">
        <v>238</v>
      </c>
      <c r="BJ152" s="131" t="s">
        <v>239</v>
      </c>
      <c r="BK152" s="131" t="s">
        <v>240</v>
      </c>
      <c r="BL152" s="131" t="s">
        <v>195</v>
      </c>
      <c r="BM152" s="131" t="s">
        <v>196</v>
      </c>
      <c r="BN152" s="131" t="s">
        <v>197</v>
      </c>
      <c r="BO152" s="131" t="s">
        <v>198</v>
      </c>
      <c r="BP152" s="131" t="s">
        <v>199</v>
      </c>
      <c r="BQ152" s="131" t="s">
        <v>200</v>
      </c>
      <c r="BR152" s="131" t="s">
        <v>201</v>
      </c>
    </row>
    <row r="153" spans="1:70">
      <c r="A153" s="131" t="s">
        <v>119</v>
      </c>
      <c r="B153" s="62">
        <v>1273.44</v>
      </c>
      <c r="C153" s="62">
        <v>1240.49</v>
      </c>
      <c r="D153" s="62">
        <v>1025.31</v>
      </c>
      <c r="E153" s="62">
        <v>2818.59</v>
      </c>
      <c r="F153" s="62">
        <v>735.38</v>
      </c>
      <c r="G153" s="62">
        <v>960.93000000000006</v>
      </c>
      <c r="H153" s="62">
        <v>4663.08</v>
      </c>
      <c r="I153" s="62">
        <v>2579.08</v>
      </c>
      <c r="J153" s="62">
        <v>1741.72</v>
      </c>
      <c r="K153" s="62">
        <v>2491.9700000000003</v>
      </c>
      <c r="L153" s="62">
        <v>2780.6600000000003</v>
      </c>
      <c r="M153" s="62">
        <v>1532.67</v>
      </c>
      <c r="N153" s="100">
        <f t="shared" si="96"/>
        <v>23843.32</v>
      </c>
      <c r="P153" s="131" t="s">
        <v>119</v>
      </c>
      <c r="Q153" s="62">
        <v>1082.02</v>
      </c>
      <c r="R153" s="62">
        <v>1470.8899999999999</v>
      </c>
      <c r="S153" s="62">
        <v>1009.06</v>
      </c>
      <c r="T153" s="62">
        <v>1243.28</v>
      </c>
      <c r="U153" s="62">
        <v>2239.42</v>
      </c>
      <c r="V153" s="62">
        <v>887.26</v>
      </c>
      <c r="W153" s="62">
        <v>1331.16</v>
      </c>
      <c r="X153" s="62">
        <v>1392.46</v>
      </c>
      <c r="Y153" s="62">
        <v>1326.9299999999998</v>
      </c>
      <c r="Z153" s="62">
        <v>1626.9299999999998</v>
      </c>
      <c r="AA153" s="62">
        <v>2731.2799999999997</v>
      </c>
      <c r="AB153" s="62">
        <v>3635.59</v>
      </c>
      <c r="AC153" s="100">
        <f t="shared" si="97"/>
        <v>19976.28</v>
      </c>
      <c r="AE153" s="68">
        <f t="shared" ref="AE153:AE179" si="111">B153/N153</f>
        <v>5.3408669598025781E-2</v>
      </c>
      <c r="AF153" s="68">
        <f t="shared" ref="AF153:AF179" si="112">SUM(B153:C153)/$N153</f>
        <v>0.10543540077472434</v>
      </c>
      <c r="AG153" s="68">
        <f t="shared" ref="AG153:AG179" si="113">SUM(B153:D153)/$N153</f>
        <v>0.1484373820424337</v>
      </c>
      <c r="AH153" s="68">
        <f t="shared" ref="AH153:AH179" si="114">SUM(B153:E153)/$N153</f>
        <v>0.26665036580476209</v>
      </c>
      <c r="AI153" s="68">
        <f t="shared" ref="AI153:AI179" si="115">SUM(B153:F153)/$N153</f>
        <v>0.2974925471788325</v>
      </c>
      <c r="AJ153" s="68">
        <f t="shared" ref="AJ153:AJ179" si="116">SUM(B153:G153)/$N153</f>
        <v>0.33779440111528092</v>
      </c>
      <c r="AK153" s="68">
        <f t="shared" ref="AK153:AK179" si="117">SUM(B153:H153)/$N153</f>
        <v>0.53336615873963866</v>
      </c>
      <c r="AL153" s="68">
        <f t="shared" ref="AL153:AL179" si="118">SUM(B153:I153)/$N153</f>
        <v>0.6415339810060009</v>
      </c>
      <c r="AM153" s="68">
        <f t="shared" ref="AM153:AM179" si="119">SUM(B153:J153)/$N153</f>
        <v>0.71458253296940188</v>
      </c>
      <c r="AN153" s="68">
        <f t="shared" ref="AN153:AN179" si="120">SUM(B153:K153)/$N153</f>
        <v>0.81909692106636167</v>
      </c>
      <c r="AO153" s="68">
        <f t="shared" ref="AO153:AO179" si="121">SUM(B153:L153)/$N153</f>
        <v>0.93571910287661286</v>
      </c>
      <c r="AP153" s="68">
        <f t="shared" ref="AP153:AP179" si="122">SUM(B153:M153)/$N153</f>
        <v>1</v>
      </c>
      <c r="AQ153" s="92"/>
      <c r="AT153" s="68">
        <f t="shared" si="98"/>
        <v>5.416523997460989E-2</v>
      </c>
      <c r="AU153" s="68">
        <f t="shared" si="99"/>
        <v>0.1277970673218437</v>
      </c>
      <c r="AV153" s="68">
        <f t="shared" si="100"/>
        <v>0.17830997563109849</v>
      </c>
      <c r="AW153" s="68">
        <f t="shared" si="101"/>
        <v>0.24054778967855878</v>
      </c>
      <c r="AX153" s="68">
        <f t="shared" si="102"/>
        <v>0.35265174496953389</v>
      </c>
      <c r="AY153" s="68">
        <f t="shared" si="103"/>
        <v>0.39706742196244749</v>
      </c>
      <c r="AZ153" s="68">
        <f t="shared" si="104"/>
        <v>0.46370445348182948</v>
      </c>
      <c r="BA153" s="68">
        <f t="shared" si="105"/>
        <v>0.53341012440754731</v>
      </c>
      <c r="BB153" s="68">
        <f t="shared" si="106"/>
        <v>0.59983540479008102</v>
      </c>
      <c r="BC153" s="68">
        <f t="shared" si="107"/>
        <v>0.68127849629660786</v>
      </c>
      <c r="BD153" s="68">
        <f t="shared" si="108"/>
        <v>0.81800465351907359</v>
      </c>
      <c r="BE153" s="68">
        <f t="shared" si="109"/>
        <v>1</v>
      </c>
      <c r="BG153" s="68">
        <f t="shared" si="95"/>
        <v>5.3786954786317835E-2</v>
      </c>
      <c r="BH153" s="68">
        <f t="shared" si="95"/>
        <v>0.11661623404828403</v>
      </c>
      <c r="BI153" s="68">
        <f t="shared" si="95"/>
        <v>0.1633736788367661</v>
      </c>
      <c r="BJ153" s="68">
        <f t="shared" si="94"/>
        <v>0.25359907774166046</v>
      </c>
      <c r="BK153" s="68">
        <f t="shared" si="94"/>
        <v>0.32507214607418322</v>
      </c>
      <c r="BL153" s="68">
        <f t="shared" si="94"/>
        <v>0.3674309115388642</v>
      </c>
      <c r="BM153" s="68">
        <f t="shared" si="94"/>
        <v>0.49853530611073404</v>
      </c>
      <c r="BN153" s="68">
        <f t="shared" si="94"/>
        <v>0.58747205270677405</v>
      </c>
      <c r="BO153" s="68">
        <f t="shared" si="94"/>
        <v>0.65720896887974145</v>
      </c>
      <c r="BP153" s="68">
        <f t="shared" si="110"/>
        <v>0.75018770868148477</v>
      </c>
      <c r="BQ153" s="68">
        <f t="shared" si="110"/>
        <v>0.87686187819784323</v>
      </c>
      <c r="BR153" s="68">
        <f t="shared" si="110"/>
        <v>1</v>
      </c>
    </row>
    <row r="154" spans="1:70">
      <c r="A154" s="131" t="s">
        <v>120</v>
      </c>
      <c r="B154" s="62">
        <v>9853.74</v>
      </c>
      <c r="C154" s="62">
        <v>11162.22</v>
      </c>
      <c r="D154" s="62">
        <v>6164.29</v>
      </c>
      <c r="E154" s="62">
        <v>6508.03</v>
      </c>
      <c r="F154" s="62">
        <v>17131.16</v>
      </c>
      <c r="G154" s="62">
        <v>4340.4699999999993</v>
      </c>
      <c r="H154" s="62">
        <v>7657.7300000000014</v>
      </c>
      <c r="I154" s="62">
        <v>8615.2099999999991</v>
      </c>
      <c r="J154" s="62">
        <v>11074.119999999999</v>
      </c>
      <c r="K154" s="62">
        <v>15281.340000000002</v>
      </c>
      <c r="L154" s="62">
        <v>5008.6399999999994</v>
      </c>
      <c r="M154" s="62">
        <v>7278.93</v>
      </c>
      <c r="N154" s="100">
        <f t="shared" si="96"/>
        <v>110075.88</v>
      </c>
      <c r="P154" s="131" t="s">
        <v>120</v>
      </c>
      <c r="Q154" s="62">
        <v>8801.44</v>
      </c>
      <c r="R154" s="62">
        <v>9580.7800000000007</v>
      </c>
      <c r="S154" s="62">
        <v>7949.1100000000006</v>
      </c>
      <c r="T154" s="62">
        <v>5842.0300000000007</v>
      </c>
      <c r="U154" s="62">
        <v>5850.99</v>
      </c>
      <c r="V154" s="62">
        <v>6504.29</v>
      </c>
      <c r="W154" s="62">
        <v>4643.32</v>
      </c>
      <c r="X154" s="62">
        <v>8094.68</v>
      </c>
      <c r="Y154" s="62">
        <v>7082.38</v>
      </c>
      <c r="Z154" s="62">
        <v>9236.68</v>
      </c>
      <c r="AA154" s="62">
        <v>10768.95</v>
      </c>
      <c r="AB154" s="62">
        <v>6664.7800000000007</v>
      </c>
      <c r="AC154" s="100">
        <f t="shared" si="97"/>
        <v>91019.43</v>
      </c>
      <c r="AE154" s="68">
        <f t="shared" si="111"/>
        <v>8.9517703605912574E-2</v>
      </c>
      <c r="AF154" s="68">
        <f t="shared" si="112"/>
        <v>0.19092248002014608</v>
      </c>
      <c r="AG154" s="68">
        <f t="shared" si="113"/>
        <v>0.24692284994678215</v>
      </c>
      <c r="AH154" s="68">
        <f t="shared" si="114"/>
        <v>0.30604597483118007</v>
      </c>
      <c r="AI154" s="68">
        <f t="shared" si="115"/>
        <v>0.46167643629103849</v>
      </c>
      <c r="AJ154" s="68">
        <f t="shared" si="116"/>
        <v>0.50110805382614254</v>
      </c>
      <c r="AK154" s="68">
        <f t="shared" si="117"/>
        <v>0.57067579200820384</v>
      </c>
      <c r="AL154" s="68">
        <f t="shared" si="118"/>
        <v>0.64894189353743981</v>
      </c>
      <c r="AM154" s="68">
        <f t="shared" si="119"/>
        <v>0.74954631296156793</v>
      </c>
      <c r="AN154" s="68">
        <f t="shared" si="120"/>
        <v>0.88837182132906856</v>
      </c>
      <c r="AO154" s="68">
        <f t="shared" si="121"/>
        <v>0.93387352433612147</v>
      </c>
      <c r="AP154" s="68">
        <f t="shared" si="122"/>
        <v>1</v>
      </c>
      <c r="AQ154" s="92"/>
      <c r="AT154" s="68">
        <f t="shared" si="98"/>
        <v>9.669847416095663E-2</v>
      </c>
      <c r="AU154" s="68">
        <f t="shared" si="99"/>
        <v>0.20195929594373424</v>
      </c>
      <c r="AV154" s="68">
        <f t="shared" si="100"/>
        <v>0.28929350579321367</v>
      </c>
      <c r="AW154" s="68">
        <f t="shared" si="101"/>
        <v>0.35347793322810311</v>
      </c>
      <c r="AX154" s="68">
        <f t="shared" si="102"/>
        <v>0.41776080118278042</v>
      </c>
      <c r="AY154" s="68">
        <f t="shared" si="103"/>
        <v>0.48922125748315498</v>
      </c>
      <c r="AZ154" s="68">
        <f t="shared" si="104"/>
        <v>0.54023585953021247</v>
      </c>
      <c r="BA154" s="68">
        <f t="shared" si="105"/>
        <v>0.62916939822629081</v>
      </c>
      <c r="BB154" s="68">
        <f t="shared" si="106"/>
        <v>0.70698113578606236</v>
      </c>
      <c r="BC154" s="68">
        <f t="shared" si="107"/>
        <v>0.80846144608903836</v>
      </c>
      <c r="BD154" s="68">
        <f t="shared" si="108"/>
        <v>0.92677629380891535</v>
      </c>
      <c r="BE154" s="68">
        <f t="shared" si="109"/>
        <v>1</v>
      </c>
      <c r="BG154" s="68">
        <f t="shared" si="95"/>
        <v>9.3108088883434609E-2</v>
      </c>
      <c r="BH154" s="68">
        <f t="shared" si="95"/>
        <v>0.19644088798194015</v>
      </c>
      <c r="BI154" s="68">
        <f t="shared" si="95"/>
        <v>0.26810817786999791</v>
      </c>
      <c r="BJ154" s="68">
        <f t="shared" si="94"/>
        <v>0.32976195402964159</v>
      </c>
      <c r="BK154" s="68">
        <f t="shared" si="94"/>
        <v>0.43971861873690943</v>
      </c>
      <c r="BL154" s="68">
        <f t="shared" si="94"/>
        <v>0.49516465565464873</v>
      </c>
      <c r="BM154" s="68">
        <f t="shared" si="94"/>
        <v>0.55545582576920816</v>
      </c>
      <c r="BN154" s="68">
        <f t="shared" si="94"/>
        <v>0.63905564588186525</v>
      </c>
      <c r="BO154" s="68">
        <f t="shared" si="94"/>
        <v>0.72826372437381515</v>
      </c>
      <c r="BP154" s="68">
        <f t="shared" si="110"/>
        <v>0.84841663370905351</v>
      </c>
      <c r="BQ154" s="68">
        <f t="shared" si="110"/>
        <v>0.93032490907251841</v>
      </c>
      <c r="BR154" s="68">
        <f t="shared" si="110"/>
        <v>1</v>
      </c>
    </row>
    <row r="155" spans="1:70">
      <c r="A155" s="131" t="s">
        <v>121</v>
      </c>
      <c r="B155" s="62">
        <v>2989.25</v>
      </c>
      <c r="C155" s="62">
        <v>3705.07</v>
      </c>
      <c r="D155" s="62">
        <v>2249.89</v>
      </c>
      <c r="E155" s="62">
        <v>2153.17</v>
      </c>
      <c r="F155" s="62">
        <v>2835.01</v>
      </c>
      <c r="G155" s="62">
        <v>3317.9100000000003</v>
      </c>
      <c r="H155" s="62">
        <v>3818.73</v>
      </c>
      <c r="I155" s="62">
        <v>4083.99</v>
      </c>
      <c r="J155" s="62">
        <v>2705.71</v>
      </c>
      <c r="K155" s="62">
        <v>3956.11</v>
      </c>
      <c r="L155" s="62">
        <v>3840</v>
      </c>
      <c r="M155" s="62">
        <v>4089.4300000000003</v>
      </c>
      <c r="N155" s="100">
        <f t="shared" si="96"/>
        <v>39744.269999999997</v>
      </c>
      <c r="P155" s="131" t="s">
        <v>121</v>
      </c>
      <c r="Q155" s="62">
        <v>1729.69</v>
      </c>
      <c r="R155" s="62">
        <v>2319.66</v>
      </c>
      <c r="S155" s="62">
        <v>4052.56</v>
      </c>
      <c r="T155" s="62">
        <v>1590.53</v>
      </c>
      <c r="U155" s="62">
        <v>2413.8200000000002</v>
      </c>
      <c r="V155" s="62">
        <v>3320.5000000000005</v>
      </c>
      <c r="W155" s="62">
        <v>1261.1100000000001</v>
      </c>
      <c r="X155" s="62">
        <v>7897.8499999999995</v>
      </c>
      <c r="Y155" s="62">
        <v>4350.5600000000004</v>
      </c>
      <c r="Z155" s="62">
        <v>3131.84</v>
      </c>
      <c r="AA155" s="62">
        <v>3013.85</v>
      </c>
      <c r="AB155" s="62">
        <v>3001.3700000000003</v>
      </c>
      <c r="AC155" s="100">
        <f t="shared" si="97"/>
        <v>38083.340000000004</v>
      </c>
      <c r="AE155" s="68">
        <f t="shared" si="111"/>
        <v>7.5212099756769971E-2</v>
      </c>
      <c r="AF155" s="68">
        <f t="shared" si="112"/>
        <v>0.16843484607969905</v>
      </c>
      <c r="AG155" s="68">
        <f t="shared" si="113"/>
        <v>0.22504401263377086</v>
      </c>
      <c r="AH155" s="68">
        <f t="shared" si="114"/>
        <v>0.27921962084094137</v>
      </c>
      <c r="AI155" s="68">
        <f t="shared" si="115"/>
        <v>0.35055090960281821</v>
      </c>
      <c r="AJ155" s="68">
        <f t="shared" si="116"/>
        <v>0.43403237749743551</v>
      </c>
      <c r="AK155" s="68">
        <f t="shared" si="117"/>
        <v>0.53011490713000897</v>
      </c>
      <c r="AL155" s="68">
        <f t="shared" si="118"/>
        <v>0.63287160639760143</v>
      </c>
      <c r="AM155" s="68">
        <f t="shared" si="119"/>
        <v>0.70094959600465667</v>
      </c>
      <c r="AN155" s="68">
        <f t="shared" si="120"/>
        <v>0.80048872453815356</v>
      </c>
      <c r="AO155" s="68">
        <f t="shared" si="121"/>
        <v>0.8971064256558241</v>
      </c>
      <c r="AP155" s="68">
        <f t="shared" si="122"/>
        <v>1</v>
      </c>
      <c r="AQ155" s="92"/>
      <c r="AT155" s="68">
        <f t="shared" si="98"/>
        <v>4.5418547847956611E-2</v>
      </c>
      <c r="AU155" s="68">
        <f t="shared" si="99"/>
        <v>0.10632864659454763</v>
      </c>
      <c r="AV155" s="68">
        <f t="shared" si="100"/>
        <v>0.21274158201460269</v>
      </c>
      <c r="AW155" s="68">
        <f t="shared" si="101"/>
        <v>0.25450603859850529</v>
      </c>
      <c r="AX155" s="68">
        <f t="shared" si="102"/>
        <v>0.31788860955998077</v>
      </c>
      <c r="AY155" s="68">
        <f t="shared" si="103"/>
        <v>0.40507896628814594</v>
      </c>
      <c r="AZ155" s="68">
        <f t="shared" si="104"/>
        <v>0.43819344626810564</v>
      </c>
      <c r="BA155" s="68">
        <f t="shared" si="105"/>
        <v>0.64557677976774086</v>
      </c>
      <c r="BB155" s="68">
        <f t="shared" si="106"/>
        <v>0.75981465911340751</v>
      </c>
      <c r="BC155" s="68">
        <f t="shared" si="107"/>
        <v>0.84205114362343203</v>
      </c>
      <c r="BD155" s="68">
        <f t="shared" si="108"/>
        <v>0.92118942298653417</v>
      </c>
      <c r="BE155" s="68">
        <f t="shared" si="109"/>
        <v>1</v>
      </c>
      <c r="BG155" s="68">
        <f t="shared" si="95"/>
        <v>6.0315323802363291E-2</v>
      </c>
      <c r="BH155" s="68">
        <f t="shared" si="95"/>
        <v>0.13738174633712336</v>
      </c>
      <c r="BI155" s="68">
        <f t="shared" si="95"/>
        <v>0.21889279732418676</v>
      </c>
      <c r="BJ155" s="68">
        <f t="shared" si="94"/>
        <v>0.2668628297197233</v>
      </c>
      <c r="BK155" s="68">
        <f t="shared" si="94"/>
        <v>0.33421975958139949</v>
      </c>
      <c r="BL155" s="68">
        <f t="shared" si="94"/>
        <v>0.41955567189279075</v>
      </c>
      <c r="BM155" s="68">
        <f t="shared" si="94"/>
        <v>0.4841541766990573</v>
      </c>
      <c r="BN155" s="68">
        <f t="shared" si="94"/>
        <v>0.6392241930826712</v>
      </c>
      <c r="BO155" s="68">
        <f t="shared" si="94"/>
        <v>0.73038212755903209</v>
      </c>
      <c r="BP155" s="68">
        <f t="shared" si="110"/>
        <v>0.82126993408079274</v>
      </c>
      <c r="BQ155" s="68">
        <f t="shared" si="110"/>
        <v>0.90914792432117908</v>
      </c>
      <c r="BR155" s="68">
        <f t="shared" si="110"/>
        <v>1</v>
      </c>
    </row>
    <row r="156" spans="1:70">
      <c r="A156" s="131" t="s">
        <v>122</v>
      </c>
      <c r="B156" s="62">
        <v>9302.1900000000023</v>
      </c>
      <c r="C156" s="62">
        <v>7831.63</v>
      </c>
      <c r="D156" s="62">
        <v>6546.15</v>
      </c>
      <c r="E156" s="62">
        <v>6556.0499999999993</v>
      </c>
      <c r="F156" s="62">
        <v>5976.6000000000013</v>
      </c>
      <c r="G156" s="62">
        <v>7164.44</v>
      </c>
      <c r="H156" s="62">
        <v>8088.2300000000005</v>
      </c>
      <c r="I156" s="62">
        <v>8529.27</v>
      </c>
      <c r="J156" s="62">
        <v>4198.0999999999995</v>
      </c>
      <c r="K156" s="62">
        <v>6261.3899999999994</v>
      </c>
      <c r="L156" s="62">
        <v>4909.38</v>
      </c>
      <c r="M156" s="62">
        <v>8668.33</v>
      </c>
      <c r="N156" s="100">
        <f t="shared" si="96"/>
        <v>84031.760000000024</v>
      </c>
      <c r="P156" s="131" t="s">
        <v>122</v>
      </c>
      <c r="Q156" s="62">
        <v>6781.2300000000005</v>
      </c>
      <c r="R156" s="62">
        <v>7840.44</v>
      </c>
      <c r="S156" s="62">
        <v>7364.29</v>
      </c>
      <c r="T156" s="62">
        <v>4615.59</v>
      </c>
      <c r="U156" s="62">
        <v>5760.73</v>
      </c>
      <c r="V156" s="62">
        <v>5107.25</v>
      </c>
      <c r="W156" s="62">
        <v>4538.53</v>
      </c>
      <c r="X156" s="62">
        <v>10957.539999999999</v>
      </c>
      <c r="Y156" s="62">
        <v>11910.23</v>
      </c>
      <c r="Z156" s="62">
        <v>13177.72</v>
      </c>
      <c r="AA156" s="62">
        <v>11741.97</v>
      </c>
      <c r="AB156" s="62">
        <v>9982.09</v>
      </c>
      <c r="AC156" s="100">
        <f t="shared" si="97"/>
        <v>99777.61</v>
      </c>
      <c r="AE156" s="68">
        <f t="shared" si="111"/>
        <v>0.1106985025661726</v>
      </c>
      <c r="AF156" s="68">
        <f t="shared" si="112"/>
        <v>0.20389695515124279</v>
      </c>
      <c r="AG156" s="68">
        <f t="shared" si="113"/>
        <v>0.28179785833356336</v>
      </c>
      <c r="AH156" s="68">
        <f t="shared" si="114"/>
        <v>0.35981657411435858</v>
      </c>
      <c r="AI156" s="68">
        <f t="shared" si="115"/>
        <v>0.43093968280564388</v>
      </c>
      <c r="AJ156" s="68">
        <f t="shared" si="116"/>
        <v>0.51619839927189426</v>
      </c>
      <c r="AK156" s="68">
        <f t="shared" si="117"/>
        <v>0.61245045920732821</v>
      </c>
      <c r="AL156" s="68">
        <f t="shared" si="118"/>
        <v>0.71395101090349644</v>
      </c>
      <c r="AM156" s="68">
        <f t="shared" si="119"/>
        <v>0.76390950278799341</v>
      </c>
      <c r="AN156" s="68">
        <f t="shared" si="120"/>
        <v>0.83842168722873345</v>
      </c>
      <c r="AO156" s="68">
        <f t="shared" si="121"/>
        <v>0.89684459780444914</v>
      </c>
      <c r="AP156" s="68">
        <f t="shared" si="122"/>
        <v>1</v>
      </c>
      <c r="AQ156" s="92"/>
      <c r="AT156" s="68">
        <f t="shared" si="98"/>
        <v>6.7963443902895659E-2</v>
      </c>
      <c r="AU156" s="68">
        <f t="shared" si="99"/>
        <v>0.14654259607942102</v>
      </c>
      <c r="AV156" s="68">
        <f t="shared" si="100"/>
        <v>0.22034963555450968</v>
      </c>
      <c r="AW156" s="68">
        <f t="shared" si="101"/>
        <v>0.26660841044398637</v>
      </c>
      <c r="AX156" s="68">
        <f t="shared" si="102"/>
        <v>0.32434410886370196</v>
      </c>
      <c r="AY156" s="68">
        <f t="shared" si="103"/>
        <v>0.37553044215029802</v>
      </c>
      <c r="AZ156" s="68">
        <f t="shared" si="104"/>
        <v>0.42101689948275967</v>
      </c>
      <c r="BA156" s="68">
        <f t="shared" si="105"/>
        <v>0.53083652735318076</v>
      </c>
      <c r="BB156" s="68">
        <f t="shared" si="106"/>
        <v>0.65020428931901653</v>
      </c>
      <c r="BC156" s="68">
        <f t="shared" si="107"/>
        <v>0.78227520182133048</v>
      </c>
      <c r="BD156" s="68">
        <f t="shared" si="108"/>
        <v>0.8999566135127911</v>
      </c>
      <c r="BE156" s="68">
        <f t="shared" si="109"/>
        <v>1</v>
      </c>
      <c r="BG156" s="68">
        <f t="shared" si="95"/>
        <v>8.9330973234534122E-2</v>
      </c>
      <c r="BH156" s="68">
        <f t="shared" si="95"/>
        <v>0.17521977561533192</v>
      </c>
      <c r="BI156" s="68">
        <f t="shared" si="95"/>
        <v>0.2510737469440365</v>
      </c>
      <c r="BJ156" s="68">
        <f t="shared" si="94"/>
        <v>0.31321249227917247</v>
      </c>
      <c r="BK156" s="68">
        <f t="shared" si="94"/>
        <v>0.37764189583467289</v>
      </c>
      <c r="BL156" s="68">
        <f t="shared" si="94"/>
        <v>0.44586442071109611</v>
      </c>
      <c r="BM156" s="68">
        <f t="shared" si="94"/>
        <v>0.51673367934504388</v>
      </c>
      <c r="BN156" s="68">
        <f t="shared" si="94"/>
        <v>0.62239376912833855</v>
      </c>
      <c r="BO156" s="68">
        <f t="shared" si="94"/>
        <v>0.70705689605350497</v>
      </c>
      <c r="BP156" s="68">
        <f t="shared" si="110"/>
        <v>0.81034844452503196</v>
      </c>
      <c r="BQ156" s="68">
        <f t="shared" si="110"/>
        <v>0.89840060565862012</v>
      </c>
      <c r="BR156" s="68">
        <f t="shared" si="110"/>
        <v>1</v>
      </c>
    </row>
    <row r="157" spans="1:70">
      <c r="A157" s="131" t="s">
        <v>123</v>
      </c>
      <c r="B157" s="62">
        <v>27961.77</v>
      </c>
      <c r="C157" s="62">
        <v>25265.339999999997</v>
      </c>
      <c r="D157" s="62">
        <v>19084.93</v>
      </c>
      <c r="E157" s="62">
        <v>22285.52</v>
      </c>
      <c r="F157" s="62">
        <v>18606.91</v>
      </c>
      <c r="G157" s="62">
        <v>15606.41</v>
      </c>
      <c r="H157" s="62">
        <v>20107.079999999998</v>
      </c>
      <c r="I157" s="62">
        <v>34134.020000000004</v>
      </c>
      <c r="J157" s="62">
        <v>14000.28</v>
      </c>
      <c r="K157" s="62">
        <v>23090.45</v>
      </c>
      <c r="L157" s="62">
        <v>13907.65</v>
      </c>
      <c r="M157" s="62">
        <v>16133.83</v>
      </c>
      <c r="N157" s="100">
        <f t="shared" si="96"/>
        <v>250184.19000000003</v>
      </c>
      <c r="P157" s="131" t="s">
        <v>123</v>
      </c>
      <c r="Q157" s="62">
        <v>19331.07</v>
      </c>
      <c r="R157" s="62">
        <v>16370.189999999997</v>
      </c>
      <c r="S157" s="62">
        <v>13335.870000000003</v>
      </c>
      <c r="T157" s="62">
        <v>9705.06</v>
      </c>
      <c r="U157" s="62">
        <v>11219.66</v>
      </c>
      <c r="V157" s="62">
        <v>11421.490000000002</v>
      </c>
      <c r="W157" s="62">
        <v>14915.300000000001</v>
      </c>
      <c r="X157" s="62">
        <v>13362.310000000001</v>
      </c>
      <c r="Y157" s="62">
        <v>15225.54</v>
      </c>
      <c r="Z157" s="62">
        <v>18345.810000000001</v>
      </c>
      <c r="AA157" s="62">
        <v>23172.03</v>
      </c>
      <c r="AB157" s="62">
        <v>26976.86</v>
      </c>
      <c r="AC157" s="100">
        <f t="shared" si="97"/>
        <v>193381.19</v>
      </c>
      <c r="AE157" s="68">
        <f t="shared" si="111"/>
        <v>0.11176473621294773</v>
      </c>
      <c r="AF157" s="68">
        <f t="shared" si="112"/>
        <v>0.21275169306261915</v>
      </c>
      <c r="AG157" s="68">
        <f t="shared" si="113"/>
        <v>0.28903521041837216</v>
      </c>
      <c r="AH157" s="68">
        <f t="shared" si="114"/>
        <v>0.37811166245157218</v>
      </c>
      <c r="AI157" s="68">
        <f t="shared" si="115"/>
        <v>0.45248450751424379</v>
      </c>
      <c r="AJ157" s="68">
        <f t="shared" si="116"/>
        <v>0.51486418866036265</v>
      </c>
      <c r="AK157" s="68">
        <f t="shared" si="117"/>
        <v>0.59523329591690022</v>
      </c>
      <c r="AL157" s="68">
        <f t="shared" si="118"/>
        <v>0.73166885565390849</v>
      </c>
      <c r="AM157" s="68">
        <f t="shared" si="119"/>
        <v>0.78762874664462212</v>
      </c>
      <c r="AN157" s="68">
        <f t="shared" si="120"/>
        <v>0.8799225482633416</v>
      </c>
      <c r="AO157" s="68">
        <f t="shared" si="121"/>
        <v>0.93551219203739455</v>
      </c>
      <c r="AP157" s="68">
        <f t="shared" si="122"/>
        <v>1</v>
      </c>
      <c r="AQ157" s="92"/>
      <c r="AT157" s="68">
        <f t="shared" si="98"/>
        <v>9.9963548678131522E-2</v>
      </c>
      <c r="AU157" s="68">
        <f t="shared" si="99"/>
        <v>0.18461599083137298</v>
      </c>
      <c r="AV157" s="68">
        <f t="shared" si="100"/>
        <v>0.25357755839645002</v>
      </c>
      <c r="AW157" s="68">
        <f t="shared" si="101"/>
        <v>0.30376372179734745</v>
      </c>
      <c r="AX157" s="68">
        <f t="shared" si="102"/>
        <v>0.36178208438990367</v>
      </c>
      <c r="AY157" s="68">
        <f t="shared" si="103"/>
        <v>0.42084413690907579</v>
      </c>
      <c r="AZ157" s="68">
        <f t="shared" si="104"/>
        <v>0.4979731482674194</v>
      </c>
      <c r="BA157" s="68">
        <f t="shared" si="105"/>
        <v>0.56707144060908921</v>
      </c>
      <c r="BB157" s="68">
        <f t="shared" si="106"/>
        <v>0.64580474450488168</v>
      </c>
      <c r="BC157" s="68">
        <f t="shared" si="107"/>
        <v>0.74067338193544052</v>
      </c>
      <c r="BD157" s="68">
        <f t="shared" si="108"/>
        <v>0.8604990485372439</v>
      </c>
      <c r="BE157" s="68">
        <f t="shared" si="109"/>
        <v>1</v>
      </c>
      <c r="BG157" s="68">
        <f t="shared" si="95"/>
        <v>0.10586414244553963</v>
      </c>
      <c r="BH157" s="68">
        <f t="shared" si="95"/>
        <v>0.19868384194699606</v>
      </c>
      <c r="BI157" s="68">
        <f t="shared" si="95"/>
        <v>0.27130638440741106</v>
      </c>
      <c r="BJ157" s="68">
        <f t="shared" si="94"/>
        <v>0.34093769212445979</v>
      </c>
      <c r="BK157" s="68">
        <f t="shared" si="94"/>
        <v>0.4071332959520737</v>
      </c>
      <c r="BL157" s="68">
        <f t="shared" si="94"/>
        <v>0.46785416278471925</v>
      </c>
      <c r="BM157" s="68">
        <f t="shared" si="94"/>
        <v>0.54660322209215984</v>
      </c>
      <c r="BN157" s="68">
        <f t="shared" si="94"/>
        <v>0.64937014813149885</v>
      </c>
      <c r="BO157" s="68">
        <f t="shared" si="94"/>
        <v>0.71671674557475185</v>
      </c>
      <c r="BP157" s="68">
        <f t="shared" si="110"/>
        <v>0.81029796509939112</v>
      </c>
      <c r="BQ157" s="68">
        <f t="shared" si="110"/>
        <v>0.89800562028731923</v>
      </c>
      <c r="BR157" s="68">
        <f t="shared" si="110"/>
        <v>1</v>
      </c>
    </row>
    <row r="158" spans="1:70">
      <c r="A158" s="131" t="s">
        <v>124</v>
      </c>
      <c r="B158" s="62">
        <v>9417.42</v>
      </c>
      <c r="C158" s="62">
        <v>14041.17</v>
      </c>
      <c r="D158" s="62">
        <v>7728.1799999999994</v>
      </c>
      <c r="E158" s="62">
        <v>5147.79</v>
      </c>
      <c r="F158" s="62">
        <v>4541.5900000000011</v>
      </c>
      <c r="G158" s="62">
        <v>8640.42</v>
      </c>
      <c r="H158" s="62">
        <v>12984.9</v>
      </c>
      <c r="I158" s="62">
        <v>10104.75</v>
      </c>
      <c r="J158" s="62">
        <v>7479.9400000000005</v>
      </c>
      <c r="K158" s="62">
        <v>9881.07</v>
      </c>
      <c r="L158" s="62">
        <v>8065.63</v>
      </c>
      <c r="M158" s="62">
        <v>10980.11</v>
      </c>
      <c r="N158" s="100">
        <f t="shared" si="96"/>
        <v>109012.97000000002</v>
      </c>
      <c r="P158" s="131" t="s">
        <v>124</v>
      </c>
      <c r="Q158" s="62">
        <v>4850.079999999999</v>
      </c>
      <c r="R158" s="62">
        <v>15711.319999999998</v>
      </c>
      <c r="S158" s="62">
        <v>13502.93</v>
      </c>
      <c r="T158" s="62">
        <v>7465.08</v>
      </c>
      <c r="U158" s="62">
        <v>6748.93</v>
      </c>
      <c r="V158" s="62">
        <v>7870.19</v>
      </c>
      <c r="W158" s="62">
        <v>7126.0400000000009</v>
      </c>
      <c r="X158" s="62">
        <v>9020.16</v>
      </c>
      <c r="Y158" s="62">
        <v>6593.14</v>
      </c>
      <c r="Z158" s="62">
        <v>6864.3</v>
      </c>
      <c r="AA158" s="62">
        <v>10435.969999999999</v>
      </c>
      <c r="AB158" s="62">
        <v>9397.5999999999985</v>
      </c>
      <c r="AC158" s="100">
        <f t="shared" si="97"/>
        <v>105585.74000000002</v>
      </c>
      <c r="AE158" s="68">
        <f t="shared" si="111"/>
        <v>8.6388069236165196E-2</v>
      </c>
      <c r="AF158" s="68">
        <f t="shared" si="112"/>
        <v>0.21519081628543829</v>
      </c>
      <c r="AG158" s="68">
        <f t="shared" si="113"/>
        <v>0.28608311469726949</v>
      </c>
      <c r="AH158" s="68">
        <f t="shared" si="114"/>
        <v>0.33330492692750224</v>
      </c>
      <c r="AI158" s="68">
        <f t="shared" si="115"/>
        <v>0.3749659329527486</v>
      </c>
      <c r="AJ158" s="68">
        <f t="shared" si="116"/>
        <v>0.45422640994002816</v>
      </c>
      <c r="AK158" s="68">
        <f t="shared" si="117"/>
        <v>0.57333975947999571</v>
      </c>
      <c r="AL158" s="68">
        <f t="shared" si="118"/>
        <v>0.66603285829199943</v>
      </c>
      <c r="AM158" s="68">
        <f t="shared" si="119"/>
        <v>0.73464799647234624</v>
      </c>
      <c r="AN158" s="68">
        <f t="shared" si="120"/>
        <v>0.82528922934582916</v>
      </c>
      <c r="AO158" s="68">
        <f t="shared" si="121"/>
        <v>0.89927703098080902</v>
      </c>
      <c r="AP158" s="68">
        <f t="shared" si="122"/>
        <v>1</v>
      </c>
      <c r="AQ158" s="92"/>
      <c r="AT158" s="68">
        <f t="shared" si="98"/>
        <v>4.5934990842513373E-2</v>
      </c>
      <c r="AU158" s="68">
        <f t="shared" si="99"/>
        <v>0.19473652407986147</v>
      </c>
      <c r="AV158" s="68">
        <f t="shared" si="100"/>
        <v>0.32262244882689645</v>
      </c>
      <c r="AW158" s="68">
        <f t="shared" si="101"/>
        <v>0.39332404167456697</v>
      </c>
      <c r="AX158" s="68">
        <f t="shared" si="102"/>
        <v>0.45724299512415212</v>
      </c>
      <c r="AY158" s="68">
        <f t="shared" si="103"/>
        <v>0.53178137502280132</v>
      </c>
      <c r="AZ158" s="68">
        <f t="shared" si="104"/>
        <v>0.59927192819787967</v>
      </c>
      <c r="BA158" s="68">
        <f t="shared" si="105"/>
        <v>0.68470164626397467</v>
      </c>
      <c r="BB158" s="68">
        <f t="shared" si="106"/>
        <v>0.7471451163765106</v>
      </c>
      <c r="BC158" s="68">
        <f t="shared" si="107"/>
        <v>0.81215673631685492</v>
      </c>
      <c r="BD158" s="68">
        <f t="shared" si="108"/>
        <v>0.91099555678636146</v>
      </c>
      <c r="BE158" s="68">
        <f t="shared" si="109"/>
        <v>1</v>
      </c>
      <c r="BG158" s="68">
        <f t="shared" si="95"/>
        <v>6.6161530039339278E-2</v>
      </c>
      <c r="BH158" s="68">
        <f t="shared" si="95"/>
        <v>0.20496367018264988</v>
      </c>
      <c r="BI158" s="68">
        <f t="shared" si="95"/>
        <v>0.30435278176208297</v>
      </c>
      <c r="BJ158" s="68">
        <f t="shared" si="94"/>
        <v>0.36331448430103463</v>
      </c>
      <c r="BK158" s="68">
        <f t="shared" si="94"/>
        <v>0.41610446403845036</v>
      </c>
      <c r="BL158" s="68">
        <f t="shared" si="94"/>
        <v>0.49300389248141474</v>
      </c>
      <c r="BM158" s="68">
        <f t="shared" si="94"/>
        <v>0.58630584383893769</v>
      </c>
      <c r="BN158" s="68">
        <f t="shared" si="94"/>
        <v>0.675367252277987</v>
      </c>
      <c r="BO158" s="68">
        <f t="shared" si="94"/>
        <v>0.74089655642442842</v>
      </c>
      <c r="BP158" s="68">
        <f t="shared" si="110"/>
        <v>0.81872298283134204</v>
      </c>
      <c r="BQ158" s="68">
        <f t="shared" si="110"/>
        <v>0.90513629388358519</v>
      </c>
      <c r="BR158" s="68">
        <f t="shared" si="110"/>
        <v>1</v>
      </c>
    </row>
    <row r="159" spans="1:70">
      <c r="A159" s="131" t="s">
        <v>125</v>
      </c>
      <c r="B159" s="62">
        <v>25939.510000000002</v>
      </c>
      <c r="C159" s="62">
        <v>27754.6</v>
      </c>
      <c r="D159" s="62">
        <v>24768.91</v>
      </c>
      <c r="E159" s="62">
        <v>20901.62</v>
      </c>
      <c r="F159" s="62">
        <v>17578.599999999999</v>
      </c>
      <c r="G159" s="62">
        <v>21552.360000000004</v>
      </c>
      <c r="H159" s="62">
        <v>19028.7</v>
      </c>
      <c r="I159" s="62">
        <v>17753.769999999997</v>
      </c>
      <c r="J159" s="62">
        <v>9958.9999999999982</v>
      </c>
      <c r="K159" s="62">
        <v>14695.210000000001</v>
      </c>
      <c r="L159" s="62">
        <v>16332.5</v>
      </c>
      <c r="M159" s="62">
        <v>21317.31</v>
      </c>
      <c r="N159" s="100">
        <f t="shared" si="96"/>
        <v>237582.09</v>
      </c>
      <c r="P159" s="131" t="s">
        <v>125</v>
      </c>
      <c r="Q159" s="62">
        <v>15823.83</v>
      </c>
      <c r="R159" s="62">
        <v>15491.25</v>
      </c>
      <c r="S159" s="62">
        <v>16871.030000000002</v>
      </c>
      <c r="T159" s="62">
        <v>11916.75</v>
      </c>
      <c r="U159" s="62">
        <v>16485.330000000002</v>
      </c>
      <c r="V159" s="62">
        <v>14555.75</v>
      </c>
      <c r="W159" s="62">
        <v>17140.309999999998</v>
      </c>
      <c r="X159" s="62">
        <v>24172.73</v>
      </c>
      <c r="Y159" s="62">
        <v>21123.010000000002</v>
      </c>
      <c r="Z159" s="62">
        <v>30031.02</v>
      </c>
      <c r="AA159" s="62">
        <v>31936.71</v>
      </c>
      <c r="AB159" s="62">
        <v>29046.440000000002</v>
      </c>
      <c r="AC159" s="100">
        <f t="shared" si="97"/>
        <v>244594.16</v>
      </c>
      <c r="AE159" s="68">
        <f t="shared" si="111"/>
        <v>0.10918125183594438</v>
      </c>
      <c r="AF159" s="68">
        <f t="shared" si="112"/>
        <v>0.22600234723080348</v>
      </c>
      <c r="AG159" s="68">
        <f t="shared" si="113"/>
        <v>0.33025645998820874</v>
      </c>
      <c r="AH159" s="68">
        <f t="shared" si="114"/>
        <v>0.41823287268834114</v>
      </c>
      <c r="AI159" s="68">
        <f t="shared" si="115"/>
        <v>0.4922224566675038</v>
      </c>
      <c r="AJ159" s="68">
        <f t="shared" si="116"/>
        <v>0.58293788054478357</v>
      </c>
      <c r="AK159" s="68">
        <f t="shared" si="117"/>
        <v>0.66303103908211269</v>
      </c>
      <c r="AL159" s="68">
        <f t="shared" si="118"/>
        <v>0.73775792611303326</v>
      </c>
      <c r="AM159" s="68">
        <f t="shared" si="119"/>
        <v>0.77967606901681863</v>
      </c>
      <c r="AN159" s="68">
        <f t="shared" si="120"/>
        <v>0.84152925837128545</v>
      </c>
      <c r="AO159" s="68">
        <f t="shared" si="121"/>
        <v>0.91027391837490779</v>
      </c>
      <c r="AP159" s="68">
        <f t="shared" si="122"/>
        <v>1</v>
      </c>
      <c r="AQ159" s="92"/>
      <c r="AT159" s="68">
        <f t="shared" si="98"/>
        <v>6.4694226550625733E-2</v>
      </c>
      <c r="AU159" s="68">
        <f t="shared" si="99"/>
        <v>0.12802873134828729</v>
      </c>
      <c r="AV159" s="68">
        <f t="shared" si="100"/>
        <v>0.19700433567179201</v>
      </c>
      <c r="AW159" s="68">
        <f t="shared" si="101"/>
        <v>0.24572483660280359</v>
      </c>
      <c r="AX159" s="68">
        <f t="shared" si="102"/>
        <v>0.31312354309685891</v>
      </c>
      <c r="AY159" s="68">
        <f t="shared" si="103"/>
        <v>0.37263334496620854</v>
      </c>
      <c r="AZ159" s="68">
        <f t="shared" si="104"/>
        <v>0.44270987500273923</v>
      </c>
      <c r="BA159" s="68">
        <f t="shared" si="105"/>
        <v>0.54153778651133788</v>
      </c>
      <c r="BB159" s="68">
        <f t="shared" si="106"/>
        <v>0.62789720735769006</v>
      </c>
      <c r="BC159" s="68">
        <f t="shared" si="107"/>
        <v>0.75067618131193325</v>
      </c>
      <c r="BD159" s="68">
        <f t="shared" si="108"/>
        <v>0.88124638789413445</v>
      </c>
      <c r="BE159" s="68">
        <f t="shared" si="109"/>
        <v>1</v>
      </c>
      <c r="BG159" s="68">
        <f t="shared" si="95"/>
        <v>8.6937739193285055E-2</v>
      </c>
      <c r="BH159" s="68">
        <f t="shared" si="95"/>
        <v>0.17701553928954539</v>
      </c>
      <c r="BI159" s="68">
        <f t="shared" si="95"/>
        <v>0.26363039783000036</v>
      </c>
      <c r="BJ159" s="68">
        <f t="shared" si="94"/>
        <v>0.33197885464557236</v>
      </c>
      <c r="BK159" s="68">
        <f t="shared" si="94"/>
        <v>0.40267299988218136</v>
      </c>
      <c r="BL159" s="68">
        <f t="shared" si="94"/>
        <v>0.47778561275549603</v>
      </c>
      <c r="BM159" s="68">
        <f t="shared" si="94"/>
        <v>0.55287045704242599</v>
      </c>
      <c r="BN159" s="68">
        <f t="shared" si="94"/>
        <v>0.63964785631218557</v>
      </c>
      <c r="BO159" s="68">
        <f t="shared" si="94"/>
        <v>0.7037866381872544</v>
      </c>
      <c r="BP159" s="68">
        <f t="shared" si="110"/>
        <v>0.7961027198416093</v>
      </c>
      <c r="BQ159" s="68">
        <f t="shared" si="110"/>
        <v>0.89576015313452118</v>
      </c>
      <c r="BR159" s="68">
        <f t="shared" si="110"/>
        <v>1</v>
      </c>
    </row>
    <row r="160" spans="1:70">
      <c r="A160" s="131" t="s">
        <v>126</v>
      </c>
      <c r="B160" s="62">
        <v>11118.359999999999</v>
      </c>
      <c r="C160" s="62">
        <v>10215.890000000001</v>
      </c>
      <c r="D160" s="62">
        <v>11028.06</v>
      </c>
      <c r="E160" s="62">
        <v>9503.8300000000017</v>
      </c>
      <c r="F160" s="62">
        <v>10550.640000000001</v>
      </c>
      <c r="G160" s="62">
        <v>10300.720000000001</v>
      </c>
      <c r="H160" s="62">
        <v>14682.310000000001</v>
      </c>
      <c r="I160" s="62">
        <v>24485.600000000002</v>
      </c>
      <c r="J160" s="62">
        <v>14628.999999999998</v>
      </c>
      <c r="K160" s="62">
        <v>18727.169999999998</v>
      </c>
      <c r="L160" s="62">
        <v>16181.83</v>
      </c>
      <c r="M160" s="62">
        <v>25163.279999999999</v>
      </c>
      <c r="N160" s="100">
        <f t="shared" si="96"/>
        <v>176586.69</v>
      </c>
      <c r="P160" s="131" t="s">
        <v>126</v>
      </c>
      <c r="Q160" s="62">
        <v>7381.77</v>
      </c>
      <c r="R160" s="62">
        <v>5161.55</v>
      </c>
      <c r="S160" s="62">
        <v>6788.15</v>
      </c>
      <c r="T160" s="62">
        <v>3507.5</v>
      </c>
      <c r="U160" s="62">
        <v>5315.9500000000007</v>
      </c>
      <c r="V160" s="62">
        <v>6146.9800000000005</v>
      </c>
      <c r="W160" s="62">
        <v>6317.77</v>
      </c>
      <c r="X160" s="62">
        <v>9367.0500000000011</v>
      </c>
      <c r="Y160" s="62">
        <v>13030.48</v>
      </c>
      <c r="Z160" s="62">
        <v>10399.44</v>
      </c>
      <c r="AA160" s="62">
        <v>17006.240000000002</v>
      </c>
      <c r="AB160" s="62">
        <v>14234.349999999999</v>
      </c>
      <c r="AC160" s="100">
        <f t="shared" si="97"/>
        <v>104657.23000000001</v>
      </c>
      <c r="AE160" s="68">
        <f t="shared" si="111"/>
        <v>6.2962616265132998E-2</v>
      </c>
      <c r="AF160" s="68">
        <f t="shared" si="112"/>
        <v>0.1208145982010309</v>
      </c>
      <c r="AG160" s="68">
        <f t="shared" si="113"/>
        <v>0.18326585089736944</v>
      </c>
      <c r="AH160" s="68">
        <f t="shared" si="114"/>
        <v>0.23708547909245029</v>
      </c>
      <c r="AI160" s="68">
        <f t="shared" si="115"/>
        <v>0.29683313051510279</v>
      </c>
      <c r="AJ160" s="68">
        <f t="shared" si="116"/>
        <v>0.35516549973273748</v>
      </c>
      <c r="AK160" s="68">
        <f t="shared" si="117"/>
        <v>0.43831055443646399</v>
      </c>
      <c r="AL160" s="68">
        <f t="shared" si="118"/>
        <v>0.57697106163550604</v>
      </c>
      <c r="AM160" s="68">
        <f t="shared" si="119"/>
        <v>0.65981422495659214</v>
      </c>
      <c r="AN160" s="68">
        <f t="shared" si="120"/>
        <v>0.76586508303655287</v>
      </c>
      <c r="AO160" s="68">
        <f t="shared" si="121"/>
        <v>0.85750183097038624</v>
      </c>
      <c r="AP160" s="68">
        <f t="shared" si="122"/>
        <v>1</v>
      </c>
      <c r="AQ160" s="92"/>
      <c r="AT160" s="68">
        <f t="shared" si="98"/>
        <v>7.0532824153668114E-2</v>
      </c>
      <c r="AU160" s="68">
        <f t="shared" si="99"/>
        <v>0.11985144265713892</v>
      </c>
      <c r="AV160" s="68">
        <f t="shared" si="100"/>
        <v>0.18471222676159113</v>
      </c>
      <c r="AW160" s="68">
        <f t="shared" si="101"/>
        <v>0.21822639487018716</v>
      </c>
      <c r="AX160" s="68">
        <f t="shared" si="102"/>
        <v>0.26902030562054813</v>
      </c>
      <c r="AY160" s="68">
        <f t="shared" si="103"/>
        <v>0.32775470934975059</v>
      </c>
      <c r="AZ160" s="68">
        <f t="shared" si="104"/>
        <v>0.38812101180205127</v>
      </c>
      <c r="BA160" s="68">
        <f t="shared" si="105"/>
        <v>0.47762318953024074</v>
      </c>
      <c r="BB160" s="68">
        <f t="shared" si="106"/>
        <v>0.60212944676636282</v>
      </c>
      <c r="BC160" s="68">
        <f t="shared" si="107"/>
        <v>0.70149611259537437</v>
      </c>
      <c r="BD160" s="68">
        <f t="shared" si="108"/>
        <v>0.86399076298885413</v>
      </c>
      <c r="BE160" s="68">
        <f t="shared" si="109"/>
        <v>1</v>
      </c>
      <c r="BG160" s="68">
        <f t="shared" si="95"/>
        <v>6.6747720209400563E-2</v>
      </c>
      <c r="BH160" s="68">
        <f t="shared" si="95"/>
        <v>0.12033302042908491</v>
      </c>
      <c r="BI160" s="68">
        <f t="shared" si="95"/>
        <v>0.18398903882948028</v>
      </c>
      <c r="BJ160" s="68">
        <f t="shared" si="94"/>
        <v>0.22765593698131872</v>
      </c>
      <c r="BK160" s="68">
        <f t="shared" si="94"/>
        <v>0.28292671806782543</v>
      </c>
      <c r="BL160" s="68">
        <f t="shared" si="94"/>
        <v>0.34146010454124404</v>
      </c>
      <c r="BM160" s="68">
        <f t="shared" si="94"/>
        <v>0.41321578311925766</v>
      </c>
      <c r="BN160" s="68">
        <f t="shared" si="94"/>
        <v>0.52729712558287334</v>
      </c>
      <c r="BO160" s="68">
        <f t="shared" si="94"/>
        <v>0.63097183586147754</v>
      </c>
      <c r="BP160" s="68">
        <f t="shared" si="110"/>
        <v>0.73368059781596362</v>
      </c>
      <c r="BQ160" s="68">
        <f t="shared" si="110"/>
        <v>0.86074629697962024</v>
      </c>
      <c r="BR160" s="68">
        <f t="shared" si="110"/>
        <v>1</v>
      </c>
    </row>
    <row r="161" spans="1:70">
      <c r="A161" s="131" t="s">
        <v>127</v>
      </c>
      <c r="B161" s="62">
        <v>15542.9</v>
      </c>
      <c r="C161" s="62">
        <v>13642.14</v>
      </c>
      <c r="D161" s="62">
        <v>8557.26</v>
      </c>
      <c r="E161" s="62">
        <v>9302.67</v>
      </c>
      <c r="F161" s="62">
        <v>9409.84</v>
      </c>
      <c r="G161" s="62">
        <v>8139.77</v>
      </c>
      <c r="H161" s="62">
        <v>12897.310000000001</v>
      </c>
      <c r="I161" s="62">
        <v>14319.62</v>
      </c>
      <c r="J161" s="62">
        <v>11529.949999999999</v>
      </c>
      <c r="K161" s="62">
        <v>14895.17</v>
      </c>
      <c r="L161" s="62">
        <v>11437.750000000002</v>
      </c>
      <c r="M161" s="62">
        <v>23598.94</v>
      </c>
      <c r="N161" s="100">
        <f t="shared" si="96"/>
        <v>153273.31999999998</v>
      </c>
      <c r="P161" s="131" t="s">
        <v>127</v>
      </c>
      <c r="Q161" s="62">
        <v>7997.6499999999987</v>
      </c>
      <c r="R161" s="62">
        <v>10394.67</v>
      </c>
      <c r="S161" s="62">
        <v>11408.619999999999</v>
      </c>
      <c r="T161" s="62">
        <v>10706.12</v>
      </c>
      <c r="U161" s="62">
        <v>8100.34</v>
      </c>
      <c r="V161" s="62">
        <v>9564.7499999999982</v>
      </c>
      <c r="W161" s="62">
        <v>15380.27</v>
      </c>
      <c r="X161" s="62">
        <v>16382.68</v>
      </c>
      <c r="Y161" s="62">
        <v>11291.869999999999</v>
      </c>
      <c r="Z161" s="62">
        <v>10928.07</v>
      </c>
      <c r="AA161" s="62">
        <v>15172.57</v>
      </c>
      <c r="AB161" s="62">
        <v>12155.45</v>
      </c>
      <c r="AC161" s="100">
        <f t="shared" si="97"/>
        <v>139483.06000000003</v>
      </c>
      <c r="AE161" s="68">
        <f t="shared" si="111"/>
        <v>0.10140642872484266</v>
      </c>
      <c r="AF161" s="68">
        <f t="shared" si="112"/>
        <v>0.19041174289171792</v>
      </c>
      <c r="AG161" s="68">
        <f t="shared" si="113"/>
        <v>0.24624181168646969</v>
      </c>
      <c r="AH161" s="68">
        <f t="shared" si="114"/>
        <v>0.3069351534892048</v>
      </c>
      <c r="AI161" s="68">
        <f t="shared" si="115"/>
        <v>0.36832770373865464</v>
      </c>
      <c r="AJ161" s="68">
        <f t="shared" si="116"/>
        <v>0.42143394558165775</v>
      </c>
      <c r="AK161" s="68">
        <f t="shared" si="117"/>
        <v>0.50557977083030503</v>
      </c>
      <c r="AL161" s="68">
        <f t="shared" si="118"/>
        <v>0.59900516280328509</v>
      </c>
      <c r="AM161" s="68">
        <f t="shared" si="119"/>
        <v>0.6742299312104677</v>
      </c>
      <c r="AN161" s="68">
        <f t="shared" si="120"/>
        <v>0.77141037983649086</v>
      </c>
      <c r="AO161" s="68">
        <f t="shared" si="121"/>
        <v>0.84603360845840625</v>
      </c>
      <c r="AP161" s="68">
        <f t="shared" si="122"/>
        <v>1</v>
      </c>
      <c r="AQ161" s="92"/>
      <c r="AT161" s="68">
        <f t="shared" si="98"/>
        <v>5.733778711192597E-2</v>
      </c>
      <c r="AU161" s="68">
        <f t="shared" si="99"/>
        <v>0.13186060013309139</v>
      </c>
      <c r="AV161" s="68">
        <f t="shared" si="100"/>
        <v>0.21365275467859676</v>
      </c>
      <c r="AW161" s="68">
        <f t="shared" si="101"/>
        <v>0.2904084553350062</v>
      </c>
      <c r="AX161" s="68">
        <f t="shared" si="102"/>
        <v>0.34848246088091261</v>
      </c>
      <c r="AY161" s="68">
        <f t="shared" si="103"/>
        <v>0.41705530406344671</v>
      </c>
      <c r="AZ161" s="68">
        <f t="shared" si="104"/>
        <v>0.52732152563902734</v>
      </c>
      <c r="BA161" s="68">
        <f t="shared" si="105"/>
        <v>0.64477435467790845</v>
      </c>
      <c r="BB161" s="68">
        <f t="shared" si="106"/>
        <v>0.72572949001835763</v>
      </c>
      <c r="BC161" s="68">
        <f t="shared" si="107"/>
        <v>0.8040764233305463</v>
      </c>
      <c r="BD161" s="68">
        <f t="shared" si="108"/>
        <v>0.91285357519400556</v>
      </c>
      <c r="BE161" s="68">
        <f t="shared" si="109"/>
        <v>1</v>
      </c>
      <c r="BG161" s="68">
        <f t="shared" si="95"/>
        <v>7.937210791838431E-2</v>
      </c>
      <c r="BH161" s="68">
        <f t="shared" si="95"/>
        <v>0.16113617151240467</v>
      </c>
      <c r="BI161" s="68">
        <f t="shared" si="95"/>
        <v>0.22994728318253321</v>
      </c>
      <c r="BJ161" s="68">
        <f t="shared" si="94"/>
        <v>0.2986718044121055</v>
      </c>
      <c r="BK161" s="68">
        <f t="shared" si="94"/>
        <v>0.35840508230978363</v>
      </c>
      <c r="BL161" s="68">
        <f t="shared" si="94"/>
        <v>0.4192446248225522</v>
      </c>
      <c r="BM161" s="68">
        <f t="shared" si="94"/>
        <v>0.51645064823466624</v>
      </c>
      <c r="BN161" s="68">
        <f t="shared" si="94"/>
        <v>0.62188975874059671</v>
      </c>
      <c r="BO161" s="68">
        <f t="shared" si="94"/>
        <v>0.69997971061441266</v>
      </c>
      <c r="BP161" s="68">
        <f t="shared" si="110"/>
        <v>0.78774340158351852</v>
      </c>
      <c r="BQ161" s="68">
        <f t="shared" si="110"/>
        <v>0.87944359182620591</v>
      </c>
      <c r="BR161" s="68">
        <f t="shared" si="110"/>
        <v>1</v>
      </c>
    </row>
    <row r="162" spans="1:70">
      <c r="A162" s="131" t="s">
        <v>128</v>
      </c>
      <c r="B162" s="62">
        <v>4402.78</v>
      </c>
      <c r="C162" s="62">
        <v>2978.2599999999998</v>
      </c>
      <c r="D162" s="62">
        <v>3559.49</v>
      </c>
      <c r="E162" s="62">
        <v>3696.14</v>
      </c>
      <c r="F162" s="62">
        <v>2549.1499999999996</v>
      </c>
      <c r="G162" s="62">
        <v>3591.69</v>
      </c>
      <c r="H162" s="62">
        <v>9734.7099999999991</v>
      </c>
      <c r="I162" s="62">
        <v>6435.79</v>
      </c>
      <c r="J162" s="62">
        <v>5195.7299999999996</v>
      </c>
      <c r="K162" s="62">
        <v>5161.2899999999991</v>
      </c>
      <c r="L162" s="62">
        <v>5656.18</v>
      </c>
      <c r="M162" s="62">
        <v>7133.5299999999988</v>
      </c>
      <c r="N162" s="100">
        <f t="shared" si="96"/>
        <v>60094.739999999991</v>
      </c>
      <c r="P162" s="131" t="s">
        <v>128</v>
      </c>
      <c r="Q162" s="62">
        <v>6525.97</v>
      </c>
      <c r="R162" s="62">
        <v>4496.59</v>
      </c>
      <c r="S162" s="62">
        <v>5685.9</v>
      </c>
      <c r="T162" s="62">
        <v>2648.2599999999998</v>
      </c>
      <c r="U162" s="62">
        <v>4098.7400000000007</v>
      </c>
      <c r="V162" s="62">
        <v>3568.02</v>
      </c>
      <c r="W162" s="62">
        <v>5339.0700000000006</v>
      </c>
      <c r="X162" s="62">
        <v>7097.42</v>
      </c>
      <c r="Y162" s="62">
        <v>6179.3099999999995</v>
      </c>
      <c r="Z162" s="62">
        <v>7779.56</v>
      </c>
      <c r="AA162" s="62">
        <v>9341.06</v>
      </c>
      <c r="AB162" s="62">
        <v>6876.14</v>
      </c>
      <c r="AC162" s="100">
        <f t="shared" si="97"/>
        <v>69636.039999999994</v>
      </c>
      <c r="AE162" s="68">
        <f t="shared" si="111"/>
        <v>7.3263982837765848E-2</v>
      </c>
      <c r="AF162" s="68">
        <f t="shared" si="112"/>
        <v>0.12282339519232466</v>
      </c>
      <c r="AG162" s="68">
        <f t="shared" si="113"/>
        <v>0.182054702291748</v>
      </c>
      <c r="AH162" s="68">
        <f t="shared" si="114"/>
        <v>0.24355991888807574</v>
      </c>
      <c r="AI162" s="68">
        <f t="shared" si="115"/>
        <v>0.28597877285100165</v>
      </c>
      <c r="AJ162" s="68">
        <f t="shared" si="116"/>
        <v>0.3457459005563549</v>
      </c>
      <c r="AK162" s="68">
        <f t="shared" si="117"/>
        <v>0.50773528598343221</v>
      </c>
      <c r="AL162" s="68">
        <f t="shared" si="118"/>
        <v>0.61482935112124626</v>
      </c>
      <c r="AM162" s="68">
        <f t="shared" si="119"/>
        <v>0.70128833238982313</v>
      </c>
      <c r="AN162" s="68">
        <f t="shared" si="120"/>
        <v>0.78717421857553582</v>
      </c>
      <c r="AO162" s="68">
        <f t="shared" si="121"/>
        <v>0.88129526810499559</v>
      </c>
      <c r="AP162" s="68">
        <f t="shared" si="122"/>
        <v>1</v>
      </c>
      <c r="AQ162" s="92"/>
      <c r="AT162" s="68">
        <f t="shared" si="98"/>
        <v>9.3715409434539945E-2</v>
      </c>
      <c r="AU162" s="68">
        <f t="shared" si="99"/>
        <v>0.1582881507908836</v>
      </c>
      <c r="AV162" s="68">
        <f t="shared" si="100"/>
        <v>0.23993983575171707</v>
      </c>
      <c r="AW162" s="68">
        <f t="shared" si="101"/>
        <v>0.27796985583901668</v>
      </c>
      <c r="AX162" s="68">
        <f t="shared" si="102"/>
        <v>0.33682931999005117</v>
      </c>
      <c r="AY162" s="68">
        <f t="shared" si="103"/>
        <v>0.3880674432377258</v>
      </c>
      <c r="AZ162" s="68">
        <f t="shared" si="104"/>
        <v>0.46473851758371099</v>
      </c>
      <c r="BA162" s="68">
        <f t="shared" si="105"/>
        <v>0.56666016620129467</v>
      </c>
      <c r="BB162" s="68">
        <f t="shared" si="106"/>
        <v>0.65539740628559584</v>
      </c>
      <c r="BC162" s="68">
        <f t="shared" si="107"/>
        <v>0.76711484455463008</v>
      </c>
      <c r="BD162" s="68">
        <f t="shared" si="108"/>
        <v>0.90125601628122454</v>
      </c>
      <c r="BE162" s="68">
        <f t="shared" si="109"/>
        <v>1</v>
      </c>
      <c r="BG162" s="68">
        <f t="shared" si="95"/>
        <v>8.3489696136152897E-2</v>
      </c>
      <c r="BH162" s="68">
        <f t="shared" si="95"/>
        <v>0.14055577299160413</v>
      </c>
      <c r="BI162" s="68">
        <f t="shared" si="95"/>
        <v>0.21099726902173255</v>
      </c>
      <c r="BJ162" s="68">
        <f t="shared" si="94"/>
        <v>0.26076488736354619</v>
      </c>
      <c r="BK162" s="68">
        <f t="shared" si="94"/>
        <v>0.31140404642052644</v>
      </c>
      <c r="BL162" s="68">
        <f t="shared" si="94"/>
        <v>0.36690667189704035</v>
      </c>
      <c r="BM162" s="68">
        <f t="shared" si="94"/>
        <v>0.4862369017835716</v>
      </c>
      <c r="BN162" s="68">
        <f t="shared" si="94"/>
        <v>0.59074475866127041</v>
      </c>
      <c r="BO162" s="68">
        <f t="shared" si="94"/>
        <v>0.67834286933770949</v>
      </c>
      <c r="BP162" s="68">
        <f t="shared" si="110"/>
        <v>0.7771445315650829</v>
      </c>
      <c r="BQ162" s="68">
        <f t="shared" si="110"/>
        <v>0.89127564219311006</v>
      </c>
      <c r="BR162" s="68">
        <f t="shared" si="110"/>
        <v>1</v>
      </c>
    </row>
    <row r="163" spans="1:70">
      <c r="A163" s="131" t="s">
        <v>129</v>
      </c>
      <c r="B163" s="62">
        <v>6561.88</v>
      </c>
      <c r="C163" s="62">
        <v>8146.97</v>
      </c>
      <c r="D163" s="62">
        <v>9229.91</v>
      </c>
      <c r="E163" s="62">
        <v>7234.2099999999991</v>
      </c>
      <c r="F163" s="62">
        <v>9098.5800000000017</v>
      </c>
      <c r="G163" s="62">
        <v>6505.7599999999993</v>
      </c>
      <c r="H163" s="62">
        <v>5375.4800000000005</v>
      </c>
      <c r="I163" s="62">
        <v>5479.27</v>
      </c>
      <c r="J163" s="62">
        <v>5670.1399999999994</v>
      </c>
      <c r="K163" s="62">
        <v>8330.8499999999985</v>
      </c>
      <c r="L163" s="62">
        <v>8167.5700000000006</v>
      </c>
      <c r="M163" s="62">
        <v>8437.010000000002</v>
      </c>
      <c r="N163" s="100">
        <f t="shared" si="96"/>
        <v>88237.630000000034</v>
      </c>
      <c r="P163" s="131" t="s">
        <v>129</v>
      </c>
      <c r="Q163" s="62">
        <v>8338.52</v>
      </c>
      <c r="R163" s="62">
        <v>6723</v>
      </c>
      <c r="S163" s="62">
        <v>6847.579999999999</v>
      </c>
      <c r="T163" s="62">
        <v>3637.14</v>
      </c>
      <c r="U163" s="62">
        <v>4796.24</v>
      </c>
      <c r="V163" s="62">
        <v>5666.27</v>
      </c>
      <c r="W163" s="62">
        <v>4242.97</v>
      </c>
      <c r="X163" s="62">
        <v>9741.49</v>
      </c>
      <c r="Y163" s="62">
        <v>6392.6100000000006</v>
      </c>
      <c r="Z163" s="62">
        <v>8652.59</v>
      </c>
      <c r="AA163" s="62">
        <v>11943.509999999998</v>
      </c>
      <c r="AB163" s="62">
        <v>7204.2300000000005</v>
      </c>
      <c r="AC163" s="100">
        <f t="shared" si="97"/>
        <v>84186.15</v>
      </c>
      <c r="AE163" s="68">
        <f t="shared" si="111"/>
        <v>7.4366004617304401E-2</v>
      </c>
      <c r="AF163" s="68">
        <f t="shared" si="112"/>
        <v>0.16669588700421797</v>
      </c>
      <c r="AG163" s="68">
        <f t="shared" si="113"/>
        <v>0.2712987644840415</v>
      </c>
      <c r="AH163" s="68">
        <f t="shared" si="114"/>
        <v>0.35328430738676897</v>
      </c>
      <c r="AI163" s="68">
        <f t="shared" si="115"/>
        <v>0.45639881760196854</v>
      </c>
      <c r="AJ163" s="68">
        <f t="shared" si="116"/>
        <v>0.5301288123899065</v>
      </c>
      <c r="AK163" s="68">
        <f t="shared" si="117"/>
        <v>0.59104930628803143</v>
      </c>
      <c r="AL163" s="68">
        <f t="shared" si="118"/>
        <v>0.65314605571341833</v>
      </c>
      <c r="AM163" s="68">
        <f t="shared" si="119"/>
        <v>0.7174059412067163</v>
      </c>
      <c r="AN163" s="68">
        <f t="shared" si="120"/>
        <v>0.81181974175870308</v>
      </c>
      <c r="AO163" s="68">
        <f t="shared" si="121"/>
        <v>0.90438308463180617</v>
      </c>
      <c r="AP163" s="68">
        <f t="shared" si="122"/>
        <v>1</v>
      </c>
      <c r="AQ163" s="92"/>
      <c r="AT163" s="68">
        <f t="shared" si="98"/>
        <v>9.9048596473410425E-2</v>
      </c>
      <c r="AU163" s="68">
        <f t="shared" si="99"/>
        <v>0.17890733808352088</v>
      </c>
      <c r="AV163" s="68">
        <f t="shared" si="100"/>
        <v>0.26024589555407868</v>
      </c>
      <c r="AW163" s="68">
        <f t="shared" si="101"/>
        <v>0.30344943912983313</v>
      </c>
      <c r="AX163" s="68">
        <f t="shared" si="102"/>
        <v>0.36042128069759694</v>
      </c>
      <c r="AY163" s="68">
        <f t="shared" si="103"/>
        <v>0.42772772005846571</v>
      </c>
      <c r="AZ163" s="68">
        <f t="shared" si="104"/>
        <v>0.47812757799234201</v>
      </c>
      <c r="BA163" s="68">
        <f t="shared" si="105"/>
        <v>0.59384126723932618</v>
      </c>
      <c r="BB163" s="68">
        <f t="shared" si="106"/>
        <v>0.6697754915743267</v>
      </c>
      <c r="BC163" s="68">
        <f t="shared" si="107"/>
        <v>0.77255474920755973</v>
      </c>
      <c r="BD163" s="68">
        <f t="shared" si="108"/>
        <v>0.91442499746098382</v>
      </c>
      <c r="BE163" s="68">
        <f t="shared" si="109"/>
        <v>1</v>
      </c>
      <c r="BG163" s="68">
        <f t="shared" si="95"/>
        <v>8.6707300545357413E-2</v>
      </c>
      <c r="BH163" s="68">
        <f t="shared" si="95"/>
        <v>0.17280161254386944</v>
      </c>
      <c r="BI163" s="68">
        <f t="shared" si="95"/>
        <v>0.26577233001906009</v>
      </c>
      <c r="BJ163" s="68">
        <f t="shared" si="94"/>
        <v>0.32836687325830105</v>
      </c>
      <c r="BK163" s="68">
        <f t="shared" si="94"/>
        <v>0.40841004914978274</v>
      </c>
      <c r="BL163" s="68">
        <f t="shared" si="94"/>
        <v>0.47892826622418611</v>
      </c>
      <c r="BM163" s="68">
        <f t="shared" si="94"/>
        <v>0.53458844214018675</v>
      </c>
      <c r="BN163" s="68">
        <f t="shared" si="94"/>
        <v>0.6234936614763722</v>
      </c>
      <c r="BO163" s="68">
        <f t="shared" si="94"/>
        <v>0.6935907163905215</v>
      </c>
      <c r="BP163" s="68">
        <f t="shared" si="110"/>
        <v>0.79218724548313135</v>
      </c>
      <c r="BQ163" s="68">
        <f t="shared" si="110"/>
        <v>0.90940404104639505</v>
      </c>
      <c r="BR163" s="68">
        <f t="shared" si="110"/>
        <v>1</v>
      </c>
    </row>
    <row r="164" spans="1:70">
      <c r="A164" s="131" t="s">
        <v>130</v>
      </c>
      <c r="B164" s="62">
        <v>17775.96</v>
      </c>
      <c r="C164" s="62">
        <v>18140.940000000002</v>
      </c>
      <c r="D164" s="62">
        <v>12622.95</v>
      </c>
      <c r="E164" s="62">
        <v>15153.380000000001</v>
      </c>
      <c r="F164" s="62">
        <v>11329.04</v>
      </c>
      <c r="G164" s="62">
        <v>19739.310000000001</v>
      </c>
      <c r="H164" s="62">
        <v>14448.449999999999</v>
      </c>
      <c r="I164" s="62">
        <v>14049.210000000001</v>
      </c>
      <c r="J164" s="62">
        <v>10733.199999999999</v>
      </c>
      <c r="K164" s="62">
        <v>15669.58</v>
      </c>
      <c r="L164" s="62">
        <v>12369.199999999999</v>
      </c>
      <c r="M164" s="62">
        <v>15988.79</v>
      </c>
      <c r="N164" s="100">
        <f t="shared" si="96"/>
        <v>178020.01000000004</v>
      </c>
      <c r="P164" s="131" t="s">
        <v>130</v>
      </c>
      <c r="Q164" s="62">
        <v>6587.5</v>
      </c>
      <c r="R164" s="62">
        <v>7499.52</v>
      </c>
      <c r="S164" s="62">
        <v>6956.43</v>
      </c>
      <c r="T164" s="62">
        <v>10267.43</v>
      </c>
      <c r="U164" s="62">
        <v>13639.24</v>
      </c>
      <c r="V164" s="62">
        <v>17759.060000000001</v>
      </c>
      <c r="W164" s="62">
        <v>10985.820000000002</v>
      </c>
      <c r="X164" s="62">
        <v>16485.129999999997</v>
      </c>
      <c r="Y164" s="62">
        <v>17731.84</v>
      </c>
      <c r="Z164" s="62">
        <v>16115.679999999998</v>
      </c>
      <c r="AA164" s="62">
        <v>17623.629999999997</v>
      </c>
      <c r="AB164" s="62">
        <v>12376.03</v>
      </c>
      <c r="AC164" s="100">
        <f t="shared" si="97"/>
        <v>154027.31</v>
      </c>
      <c r="AE164" s="68">
        <f t="shared" si="111"/>
        <v>9.9853718691511106E-2</v>
      </c>
      <c r="AF164" s="68">
        <f t="shared" si="112"/>
        <v>0.2017576563443626</v>
      </c>
      <c r="AG164" s="68">
        <f t="shared" si="113"/>
        <v>0.27266513466660292</v>
      </c>
      <c r="AH164" s="68">
        <f t="shared" si="114"/>
        <v>0.35778691395422346</v>
      </c>
      <c r="AI164" s="68">
        <f t="shared" si="115"/>
        <v>0.42142605204886802</v>
      </c>
      <c r="AJ164" s="68">
        <f t="shared" si="116"/>
        <v>0.53230858710770768</v>
      </c>
      <c r="AK164" s="68">
        <f t="shared" si="117"/>
        <v>0.61347053064427981</v>
      </c>
      <c r="AL164" s="68">
        <f t="shared" si="118"/>
        <v>0.69238980494383751</v>
      </c>
      <c r="AM164" s="68">
        <f t="shared" si="119"/>
        <v>0.75268190356803144</v>
      </c>
      <c r="AN164" s="68">
        <f t="shared" si="120"/>
        <v>0.84070335688667797</v>
      </c>
      <c r="AO164" s="68">
        <f t="shared" si="121"/>
        <v>0.91018543364872295</v>
      </c>
      <c r="AP164" s="68">
        <f t="shared" si="122"/>
        <v>1</v>
      </c>
      <c r="AQ164" s="92"/>
      <c r="AT164" s="68">
        <f t="shared" si="98"/>
        <v>4.2768389579744007E-2</v>
      </c>
      <c r="AU164" s="68">
        <f t="shared" si="99"/>
        <v>9.145793690742246E-2</v>
      </c>
      <c r="AV164" s="68">
        <f t="shared" si="100"/>
        <v>0.13662155107428678</v>
      </c>
      <c r="AW164" s="68">
        <f t="shared" si="101"/>
        <v>0.20328135315743684</v>
      </c>
      <c r="AX164" s="68">
        <f t="shared" si="102"/>
        <v>0.29183214327381296</v>
      </c>
      <c r="AY164" s="68">
        <f t="shared" si="103"/>
        <v>0.40713026800247315</v>
      </c>
      <c r="AZ164" s="68">
        <f t="shared" si="104"/>
        <v>0.47845411310500724</v>
      </c>
      <c r="BA164" s="68">
        <f t="shared" si="105"/>
        <v>0.58548143183179657</v>
      </c>
      <c r="BB164" s="68">
        <f t="shared" si="106"/>
        <v>0.70060283465315343</v>
      </c>
      <c r="BC164" s="68">
        <f t="shared" si="107"/>
        <v>0.80523155276814218</v>
      </c>
      <c r="BD164" s="68">
        <f t="shared" si="108"/>
        <v>0.9196504178382392</v>
      </c>
      <c r="BE164" s="68">
        <f t="shared" si="109"/>
        <v>1</v>
      </c>
      <c r="BG164" s="68">
        <f t="shared" si="95"/>
        <v>7.131105413562755E-2</v>
      </c>
      <c r="BH164" s="68">
        <f t="shared" si="95"/>
        <v>0.14660779662589252</v>
      </c>
      <c r="BI164" s="68">
        <f t="shared" si="95"/>
        <v>0.20464334287044483</v>
      </c>
      <c r="BJ164" s="68">
        <f t="shared" si="94"/>
        <v>0.28053413355583012</v>
      </c>
      <c r="BK164" s="68">
        <f t="shared" si="94"/>
        <v>0.35662909766134049</v>
      </c>
      <c r="BL164" s="68">
        <f t="shared" si="94"/>
        <v>0.46971942755509044</v>
      </c>
      <c r="BM164" s="68">
        <f t="shared" si="94"/>
        <v>0.54596232187464355</v>
      </c>
      <c r="BN164" s="68">
        <f t="shared" si="94"/>
        <v>0.63893561838781698</v>
      </c>
      <c r="BO164" s="68">
        <f t="shared" si="94"/>
        <v>0.72664236911059243</v>
      </c>
      <c r="BP164" s="68">
        <f t="shared" si="110"/>
        <v>0.82296745482741007</v>
      </c>
      <c r="BQ164" s="68">
        <f t="shared" si="110"/>
        <v>0.91491792574348108</v>
      </c>
      <c r="BR164" s="68">
        <f t="shared" si="110"/>
        <v>1</v>
      </c>
    </row>
    <row r="165" spans="1:70">
      <c r="A165" s="131" t="s">
        <v>131</v>
      </c>
      <c r="B165" s="62">
        <v>61048.35</v>
      </c>
      <c r="C165" s="62">
        <v>65152.86</v>
      </c>
      <c r="D165" s="62">
        <v>56768.959999999999</v>
      </c>
      <c r="E165" s="62">
        <v>51728.460000000006</v>
      </c>
      <c r="F165" s="62">
        <v>49655.109999999993</v>
      </c>
      <c r="G165" s="62">
        <v>50331.100000000006</v>
      </c>
      <c r="H165" s="62">
        <v>54245.83</v>
      </c>
      <c r="I165" s="62">
        <v>41180.490000000005</v>
      </c>
      <c r="J165" s="62">
        <v>40175.350000000006</v>
      </c>
      <c r="K165" s="62">
        <v>51199.209999999992</v>
      </c>
      <c r="L165" s="62">
        <v>48193.42</v>
      </c>
      <c r="M165" s="62">
        <v>41855.32</v>
      </c>
      <c r="N165" s="100">
        <f t="shared" si="96"/>
        <v>611534.46</v>
      </c>
      <c r="P165" s="131" t="s">
        <v>131</v>
      </c>
      <c r="Q165" s="62">
        <v>64377.630000000012</v>
      </c>
      <c r="R165" s="62">
        <v>25456.569999999996</v>
      </c>
      <c r="S165" s="62">
        <v>41392.599999999991</v>
      </c>
      <c r="T165" s="62">
        <v>20439.84</v>
      </c>
      <c r="U165" s="62">
        <v>38784.040000000008</v>
      </c>
      <c r="V165" s="62">
        <v>30262.350000000002</v>
      </c>
      <c r="W165" s="62">
        <v>26457.410000000003</v>
      </c>
      <c r="X165" s="62">
        <v>45850.159999999996</v>
      </c>
      <c r="Y165" s="62">
        <v>40570.170000000006</v>
      </c>
      <c r="Z165" s="62">
        <v>49833.919999999998</v>
      </c>
      <c r="AA165" s="62">
        <v>64441.46</v>
      </c>
      <c r="AB165" s="62">
        <v>50727.070000000007</v>
      </c>
      <c r="AC165" s="100">
        <f t="shared" si="97"/>
        <v>498593.22</v>
      </c>
      <c r="AE165" s="68">
        <f t="shared" si="111"/>
        <v>9.9828143781137052E-2</v>
      </c>
      <c r="AF165" s="68">
        <f t="shared" si="112"/>
        <v>0.20636810883887066</v>
      </c>
      <c r="AG165" s="68">
        <f t="shared" si="113"/>
        <v>0.29919846217660406</v>
      </c>
      <c r="AH165" s="68">
        <f t="shared" si="114"/>
        <v>0.38378643453714778</v>
      </c>
      <c r="AI165" s="68">
        <f t="shared" si="115"/>
        <v>0.46498400106512394</v>
      </c>
      <c r="AJ165" s="68">
        <f t="shared" si="116"/>
        <v>0.5472869672789985</v>
      </c>
      <c r="AK165" s="68">
        <f t="shared" si="117"/>
        <v>0.6359914206633589</v>
      </c>
      <c r="AL165" s="68">
        <f t="shared" si="118"/>
        <v>0.70333102733082287</v>
      </c>
      <c r="AM165" s="68">
        <f t="shared" si="119"/>
        <v>0.76902699808609321</v>
      </c>
      <c r="AN165" s="68">
        <f t="shared" si="120"/>
        <v>0.85274952453210895</v>
      </c>
      <c r="AO165" s="68">
        <f t="shared" si="121"/>
        <v>0.93155689051439561</v>
      </c>
      <c r="AP165" s="68">
        <f t="shared" si="122"/>
        <v>1</v>
      </c>
      <c r="AQ165" s="92"/>
      <c r="AT165" s="68">
        <f t="shared" si="98"/>
        <v>0.12911854276718809</v>
      </c>
      <c r="AU165" s="68">
        <f t="shared" si="99"/>
        <v>0.18017533411304715</v>
      </c>
      <c r="AV165" s="68">
        <f t="shared" si="100"/>
        <v>0.26319411242696</v>
      </c>
      <c r="AW165" s="68">
        <f t="shared" si="101"/>
        <v>0.30418913438092882</v>
      </c>
      <c r="AX165" s="68">
        <f t="shared" si="102"/>
        <v>0.38197607259882116</v>
      </c>
      <c r="AY165" s="68">
        <f t="shared" si="103"/>
        <v>0.44267154294637223</v>
      </c>
      <c r="AZ165" s="68">
        <f t="shared" si="104"/>
        <v>0.49573566202925906</v>
      </c>
      <c r="BA165" s="68">
        <f t="shared" si="105"/>
        <v>0.58769471434047982</v>
      </c>
      <c r="BB165" s="68">
        <f t="shared" si="106"/>
        <v>0.66906399168444364</v>
      </c>
      <c r="BC165" s="68">
        <f t="shared" si="107"/>
        <v>0.76901304434103612</v>
      </c>
      <c r="BD165" s="68">
        <f t="shared" si="108"/>
        <v>0.89825960730071697</v>
      </c>
      <c r="BE165" s="68">
        <f t="shared" si="109"/>
        <v>1</v>
      </c>
      <c r="BG165" s="68">
        <f t="shared" si="95"/>
        <v>0.11447334327416257</v>
      </c>
      <c r="BH165" s="68">
        <f t="shared" si="95"/>
        <v>0.19327172147595889</v>
      </c>
      <c r="BI165" s="68">
        <f t="shared" si="95"/>
        <v>0.28119628730178203</v>
      </c>
      <c r="BJ165" s="68">
        <f t="shared" si="94"/>
        <v>0.34398778445903833</v>
      </c>
      <c r="BK165" s="68">
        <f t="shared" si="94"/>
        <v>0.42348003683197255</v>
      </c>
      <c r="BL165" s="68">
        <f t="shared" si="94"/>
        <v>0.49497925511268537</v>
      </c>
      <c r="BM165" s="68">
        <f t="shared" si="94"/>
        <v>0.56586354134630901</v>
      </c>
      <c r="BN165" s="68">
        <f t="shared" si="94"/>
        <v>0.64551287083565134</v>
      </c>
      <c r="BO165" s="68">
        <f t="shared" si="94"/>
        <v>0.71904549488526848</v>
      </c>
      <c r="BP165" s="68">
        <f t="shared" si="110"/>
        <v>0.81088128443657248</v>
      </c>
      <c r="BQ165" s="68">
        <f t="shared" si="110"/>
        <v>0.91490824890755629</v>
      </c>
      <c r="BR165" s="68">
        <f t="shared" si="110"/>
        <v>1</v>
      </c>
    </row>
    <row r="166" spans="1:70">
      <c r="A166" s="131" t="s">
        <v>132</v>
      </c>
      <c r="B166" s="62">
        <v>13904.65</v>
      </c>
      <c r="C166" s="62">
        <v>9218.08</v>
      </c>
      <c r="D166" s="62">
        <v>8673.73</v>
      </c>
      <c r="E166" s="62">
        <v>8249.02</v>
      </c>
      <c r="F166" s="62">
        <v>6809.71</v>
      </c>
      <c r="G166" s="62">
        <v>5969.44</v>
      </c>
      <c r="H166" s="62">
        <v>7576.0600000000013</v>
      </c>
      <c r="I166" s="62">
        <v>8202.0999999999985</v>
      </c>
      <c r="J166" s="62">
        <v>8966.8700000000008</v>
      </c>
      <c r="K166" s="62">
        <v>8335.57</v>
      </c>
      <c r="L166" s="62">
        <v>10814.839999999998</v>
      </c>
      <c r="M166" s="62">
        <v>9536.4200000000019</v>
      </c>
      <c r="N166" s="100">
        <f t="shared" si="96"/>
        <v>106256.49</v>
      </c>
      <c r="P166" s="131" t="s">
        <v>132</v>
      </c>
      <c r="Q166" s="62">
        <v>7891.7</v>
      </c>
      <c r="R166" s="62">
        <v>9291.02</v>
      </c>
      <c r="S166" s="62">
        <v>7431.77</v>
      </c>
      <c r="T166" s="62">
        <v>3975.7400000000002</v>
      </c>
      <c r="U166" s="62">
        <v>8816.2900000000009</v>
      </c>
      <c r="V166" s="62">
        <v>8504.51</v>
      </c>
      <c r="W166" s="62">
        <v>7398.83</v>
      </c>
      <c r="X166" s="62">
        <v>7997.8399999999992</v>
      </c>
      <c r="Y166" s="62">
        <v>10469.41</v>
      </c>
      <c r="Z166" s="62">
        <v>9656.26</v>
      </c>
      <c r="AA166" s="62">
        <v>13334.830000000002</v>
      </c>
      <c r="AB166" s="62">
        <v>7214.2100000000009</v>
      </c>
      <c r="AC166" s="100">
        <f t="shared" si="97"/>
        <v>101982.41</v>
      </c>
      <c r="AE166" s="68">
        <f t="shared" si="111"/>
        <v>0.1308593009236424</v>
      </c>
      <c r="AF166" s="68">
        <f t="shared" si="112"/>
        <v>0.21761240184011346</v>
      </c>
      <c r="AG166" s="68">
        <f t="shared" si="113"/>
        <v>0.29924252156268288</v>
      </c>
      <c r="AH166" s="68">
        <f t="shared" si="114"/>
        <v>0.3768756148447967</v>
      </c>
      <c r="AI166" s="68">
        <f t="shared" si="115"/>
        <v>0.44096308846640797</v>
      </c>
      <c r="AJ166" s="68">
        <f t="shared" si="116"/>
        <v>0.49714262159421974</v>
      </c>
      <c r="AK166" s="68">
        <f t="shared" si="117"/>
        <v>0.56844236055604702</v>
      </c>
      <c r="AL166" s="68">
        <f t="shared" si="118"/>
        <v>0.64563388081048045</v>
      </c>
      <c r="AM166" s="68">
        <f t="shared" si="119"/>
        <v>0.73002279672516945</v>
      </c>
      <c r="AN166" s="68">
        <f t="shared" si="120"/>
        <v>0.80847042848865047</v>
      </c>
      <c r="AO166" s="68">
        <f t="shared" si="121"/>
        <v>0.91025094090723313</v>
      </c>
      <c r="AP166" s="68">
        <f t="shared" si="122"/>
        <v>1</v>
      </c>
      <c r="AQ166" s="92"/>
      <c r="AT166" s="68">
        <f t="shared" si="98"/>
        <v>7.738295260918035E-2</v>
      </c>
      <c r="AU166" s="68">
        <f t="shared" si="99"/>
        <v>0.16848709498039907</v>
      </c>
      <c r="AV166" s="68">
        <f t="shared" si="100"/>
        <v>0.24136015220664034</v>
      </c>
      <c r="AW166" s="68">
        <f t="shared" si="101"/>
        <v>0.28034471827053314</v>
      </c>
      <c r="AX166" s="68">
        <f t="shared" si="102"/>
        <v>0.36679384219298211</v>
      </c>
      <c r="AY166" s="68">
        <f t="shared" si="103"/>
        <v>0.45018577223268214</v>
      </c>
      <c r="AZ166" s="68">
        <f t="shared" si="104"/>
        <v>0.52273583258132461</v>
      </c>
      <c r="BA166" s="68">
        <f t="shared" si="105"/>
        <v>0.60115955290721212</v>
      </c>
      <c r="BB166" s="68">
        <f t="shared" si="106"/>
        <v>0.70381853105844427</v>
      </c>
      <c r="BC166" s="68">
        <f t="shared" si="107"/>
        <v>0.79850407535966239</v>
      </c>
      <c r="BD166" s="68">
        <f t="shared" si="108"/>
        <v>0.92926025184146943</v>
      </c>
      <c r="BE166" s="68">
        <f t="shared" si="109"/>
        <v>1</v>
      </c>
      <c r="BG166" s="68">
        <f t="shared" si="95"/>
        <v>0.10412112676641137</v>
      </c>
      <c r="BH166" s="68">
        <f t="shared" si="95"/>
        <v>0.19304974841025627</v>
      </c>
      <c r="BI166" s="68">
        <f t="shared" si="95"/>
        <v>0.27030133688466162</v>
      </c>
      <c r="BJ166" s="68">
        <f t="shared" si="94"/>
        <v>0.32861016655766495</v>
      </c>
      <c r="BK166" s="68">
        <f t="shared" si="94"/>
        <v>0.40387846532969507</v>
      </c>
      <c r="BL166" s="68">
        <f t="shared" si="94"/>
        <v>0.47366419691345096</v>
      </c>
      <c r="BM166" s="68">
        <f t="shared" si="94"/>
        <v>0.54558909656868582</v>
      </c>
      <c r="BN166" s="68">
        <f t="shared" si="94"/>
        <v>0.62339671685884634</v>
      </c>
      <c r="BO166" s="68">
        <f t="shared" si="94"/>
        <v>0.71692066389180686</v>
      </c>
      <c r="BP166" s="68">
        <f t="shared" si="110"/>
        <v>0.80348725192415649</v>
      </c>
      <c r="BQ166" s="68">
        <f t="shared" si="110"/>
        <v>0.91975559637435134</v>
      </c>
      <c r="BR166" s="68">
        <f t="shared" si="110"/>
        <v>1</v>
      </c>
    </row>
    <row r="167" spans="1:70">
      <c r="A167" s="131" t="s">
        <v>133</v>
      </c>
      <c r="B167" s="62">
        <v>7977.3799999999992</v>
      </c>
      <c r="C167" s="62">
        <v>7666.7120000000004</v>
      </c>
      <c r="D167" s="62">
        <v>11209.56</v>
      </c>
      <c r="E167" s="62">
        <v>6990.29</v>
      </c>
      <c r="F167" s="62">
        <v>7857.1</v>
      </c>
      <c r="G167" s="62">
        <v>8319.6299999999992</v>
      </c>
      <c r="H167" s="62">
        <v>8343.9700000000012</v>
      </c>
      <c r="I167" s="62">
        <v>9412.1200000000008</v>
      </c>
      <c r="J167" s="62">
        <v>5170.6799999999994</v>
      </c>
      <c r="K167" s="62">
        <v>9251.52</v>
      </c>
      <c r="L167" s="62">
        <v>6689.69</v>
      </c>
      <c r="M167" s="62">
        <v>9020.869999999999</v>
      </c>
      <c r="N167" s="100">
        <f t="shared" si="96"/>
        <v>97909.521999999997</v>
      </c>
      <c r="P167" s="131" t="s">
        <v>133</v>
      </c>
      <c r="Q167" s="62">
        <v>7270.71</v>
      </c>
      <c r="R167" s="62">
        <v>5385.22</v>
      </c>
      <c r="S167" s="62">
        <v>5535.51</v>
      </c>
      <c r="T167" s="62">
        <v>11892.86</v>
      </c>
      <c r="U167" s="62">
        <v>4835.01</v>
      </c>
      <c r="V167" s="62">
        <v>9823.25</v>
      </c>
      <c r="W167" s="62">
        <v>5338.86</v>
      </c>
      <c r="X167" s="62">
        <v>7599.54</v>
      </c>
      <c r="Y167" s="62">
        <v>9041.2000000000007</v>
      </c>
      <c r="Z167" s="62">
        <v>7837.25</v>
      </c>
      <c r="AA167" s="62">
        <v>9946.2800000000007</v>
      </c>
      <c r="AB167" s="62">
        <v>8167.62</v>
      </c>
      <c r="AC167" s="100">
        <f t="shared" si="97"/>
        <v>92673.31</v>
      </c>
      <c r="AE167" s="68">
        <f t="shared" si="111"/>
        <v>8.1477060014653116E-2</v>
      </c>
      <c r="AF167" s="68">
        <f t="shared" si="112"/>
        <v>0.15978110893034492</v>
      </c>
      <c r="AG167" s="68">
        <f t="shared" si="113"/>
        <v>0.27427007559080924</v>
      </c>
      <c r="AH167" s="68">
        <f t="shared" si="114"/>
        <v>0.34566548083035276</v>
      </c>
      <c r="AI167" s="68">
        <f t="shared" si="115"/>
        <v>0.42591405971729696</v>
      </c>
      <c r="AJ167" s="68">
        <f t="shared" si="116"/>
        <v>0.51088669394178021</v>
      </c>
      <c r="AK167" s="68">
        <f t="shared" si="117"/>
        <v>0.59610792502898746</v>
      </c>
      <c r="AL167" s="68">
        <f t="shared" si="118"/>
        <v>0.6922387181095625</v>
      </c>
      <c r="AM167" s="68">
        <f t="shared" si="119"/>
        <v>0.74504951622580695</v>
      </c>
      <c r="AN167" s="68">
        <f t="shared" si="120"/>
        <v>0.83954001940689693</v>
      </c>
      <c r="AO167" s="68">
        <f t="shared" si="121"/>
        <v>0.90786524317828865</v>
      </c>
      <c r="AP167" s="68">
        <f t="shared" si="122"/>
        <v>1</v>
      </c>
      <c r="AQ167" s="92"/>
      <c r="AT167" s="68">
        <f t="shared" si="98"/>
        <v>7.8455274771128819E-2</v>
      </c>
      <c r="AU167" s="68">
        <f t="shared" si="99"/>
        <v>0.1365649937398373</v>
      </c>
      <c r="AV167" s="68">
        <f t="shared" si="100"/>
        <v>0.19629643097888705</v>
      </c>
      <c r="AW167" s="68">
        <f t="shared" si="101"/>
        <v>0.32462744667261806</v>
      </c>
      <c r="AX167" s="68">
        <f t="shared" si="102"/>
        <v>0.37680007328970988</v>
      </c>
      <c r="AY167" s="68">
        <f t="shared" si="103"/>
        <v>0.48279876913860104</v>
      </c>
      <c r="AZ167" s="68">
        <f t="shared" si="104"/>
        <v>0.54040823620090839</v>
      </c>
      <c r="BA167" s="68">
        <f t="shared" si="105"/>
        <v>0.62241178177406209</v>
      </c>
      <c r="BB167" s="68">
        <f t="shared" si="106"/>
        <v>0.71997169411559814</v>
      </c>
      <c r="BC167" s="68">
        <f t="shared" si="107"/>
        <v>0.80454027162728947</v>
      </c>
      <c r="BD167" s="68">
        <f t="shared" si="108"/>
        <v>0.91186653417256813</v>
      </c>
      <c r="BE167" s="68">
        <f t="shared" si="109"/>
        <v>1</v>
      </c>
      <c r="BG167" s="68">
        <f t="shared" si="95"/>
        <v>7.9966167392890974E-2</v>
      </c>
      <c r="BH167" s="68">
        <f t="shared" si="95"/>
        <v>0.14817305133509112</v>
      </c>
      <c r="BI167" s="68">
        <f t="shared" si="95"/>
        <v>0.23528325328484814</v>
      </c>
      <c r="BJ167" s="68">
        <f t="shared" si="94"/>
        <v>0.33514646375148538</v>
      </c>
      <c r="BK167" s="68">
        <f t="shared" si="94"/>
        <v>0.40135706650350345</v>
      </c>
      <c r="BL167" s="68">
        <f t="shared" si="94"/>
        <v>0.49684273154019065</v>
      </c>
      <c r="BM167" s="68">
        <f t="shared" si="94"/>
        <v>0.56825808061494798</v>
      </c>
      <c r="BN167" s="68">
        <f t="shared" si="94"/>
        <v>0.6573252499418123</v>
      </c>
      <c r="BO167" s="68">
        <f t="shared" si="94"/>
        <v>0.73251060517070254</v>
      </c>
      <c r="BP167" s="68">
        <f t="shared" si="110"/>
        <v>0.82204014551709315</v>
      </c>
      <c r="BQ167" s="68">
        <f t="shared" si="110"/>
        <v>0.90986588867542839</v>
      </c>
      <c r="BR167" s="68">
        <f t="shared" si="110"/>
        <v>1</v>
      </c>
    </row>
    <row r="168" spans="1:70">
      <c r="A168" s="131" t="s">
        <v>134</v>
      </c>
      <c r="B168" s="62">
        <v>46879.17</v>
      </c>
      <c r="C168" s="62">
        <v>40835.32</v>
      </c>
      <c r="D168" s="62">
        <v>34842.959999999999</v>
      </c>
      <c r="E168" s="62">
        <v>40003.839999999997</v>
      </c>
      <c r="F168" s="62">
        <v>25849.63</v>
      </c>
      <c r="G168" s="62">
        <v>33926.729999999996</v>
      </c>
      <c r="H168" s="62">
        <v>37992.89</v>
      </c>
      <c r="I168" s="62">
        <v>34568.170000000006</v>
      </c>
      <c r="J168" s="62">
        <v>34319.46</v>
      </c>
      <c r="K168" s="62">
        <v>37316.01</v>
      </c>
      <c r="L168" s="62">
        <v>29139.47</v>
      </c>
      <c r="M168" s="62">
        <v>34053.230000000003</v>
      </c>
      <c r="N168" s="100">
        <f t="shared" si="96"/>
        <v>429726.88</v>
      </c>
      <c r="P168" s="131" t="s">
        <v>134</v>
      </c>
      <c r="Q168" s="62">
        <v>27184.959999999995</v>
      </c>
      <c r="R168" s="62">
        <v>28701.540000000005</v>
      </c>
      <c r="S168" s="62">
        <v>24747.569999999996</v>
      </c>
      <c r="T168" s="62">
        <v>24317.56</v>
      </c>
      <c r="U168" s="62">
        <v>22262.480000000003</v>
      </c>
      <c r="V168" s="62">
        <v>24912.73</v>
      </c>
      <c r="W168" s="62">
        <v>24320.760000000002</v>
      </c>
      <c r="X168" s="62">
        <v>34808.200000000004</v>
      </c>
      <c r="Y168" s="62">
        <v>23908.649999999998</v>
      </c>
      <c r="Z168" s="62">
        <v>42116.17</v>
      </c>
      <c r="AA168" s="62">
        <v>49050.7</v>
      </c>
      <c r="AB168" s="62">
        <v>54241.210000000006</v>
      </c>
      <c r="AC168" s="100">
        <f t="shared" si="97"/>
        <v>380572.53</v>
      </c>
      <c r="AE168" s="68">
        <f t="shared" si="111"/>
        <v>0.10909061588141751</v>
      </c>
      <c r="AF168" s="68">
        <f t="shared" si="112"/>
        <v>0.20411683346408302</v>
      </c>
      <c r="AG168" s="68">
        <f t="shared" si="113"/>
        <v>0.28519847303943374</v>
      </c>
      <c r="AH168" s="68">
        <f t="shared" si="114"/>
        <v>0.37828978722485307</v>
      </c>
      <c r="AI168" s="68">
        <f t="shared" si="115"/>
        <v>0.43844341317443297</v>
      </c>
      <c r="AJ168" s="68">
        <f t="shared" si="116"/>
        <v>0.51739293106356288</v>
      </c>
      <c r="AK168" s="68">
        <f t="shared" si="117"/>
        <v>0.60580464503407372</v>
      </c>
      <c r="AL168" s="68">
        <f t="shared" si="118"/>
        <v>0.68624683194125524</v>
      </c>
      <c r="AM168" s="68">
        <f t="shared" si="119"/>
        <v>0.76611025589090442</v>
      </c>
      <c r="AN168" s="68">
        <f t="shared" si="120"/>
        <v>0.85294682985621006</v>
      </c>
      <c r="AO168" s="68">
        <f t="shared" si="121"/>
        <v>0.92075610908956873</v>
      </c>
      <c r="AP168" s="68">
        <f t="shared" si="122"/>
        <v>1</v>
      </c>
      <c r="AQ168" s="92"/>
      <c r="AT168" s="68">
        <f t="shared" si="98"/>
        <v>7.1431745218184808E-2</v>
      </c>
      <c r="AU168" s="68">
        <f t="shared" si="99"/>
        <v>0.14684848641072437</v>
      </c>
      <c r="AV168" s="68">
        <f t="shared" si="100"/>
        <v>0.21187569686125265</v>
      </c>
      <c r="AW168" s="68">
        <f t="shared" si="101"/>
        <v>0.27577300442572661</v>
      </c>
      <c r="AX168" s="68">
        <f t="shared" si="102"/>
        <v>0.3342703426335053</v>
      </c>
      <c r="AY168" s="68">
        <f t="shared" si="103"/>
        <v>0.39973153080701851</v>
      </c>
      <c r="AZ168" s="68">
        <f t="shared" si="104"/>
        <v>0.46363724675556589</v>
      </c>
      <c r="BA168" s="68">
        <f t="shared" si="105"/>
        <v>0.55509997003724887</v>
      </c>
      <c r="BB168" s="68">
        <f t="shared" si="106"/>
        <v>0.61792281749815203</v>
      </c>
      <c r="BC168" s="68">
        <f t="shared" si="107"/>
        <v>0.7285881090787083</v>
      </c>
      <c r="BD168" s="68">
        <f t="shared" si="108"/>
        <v>0.85747471053677993</v>
      </c>
      <c r="BE168" s="68">
        <f t="shared" si="109"/>
        <v>1</v>
      </c>
      <c r="BG168" s="68">
        <f t="shared" si="95"/>
        <v>9.0261180549801159E-2</v>
      </c>
      <c r="BH168" s="68">
        <f t="shared" si="95"/>
        <v>0.1754826599374037</v>
      </c>
      <c r="BI168" s="68">
        <f t="shared" si="95"/>
        <v>0.24853708495034321</v>
      </c>
      <c r="BJ168" s="68">
        <f t="shared" si="94"/>
        <v>0.32703139582528984</v>
      </c>
      <c r="BK168" s="68">
        <f t="shared" si="94"/>
        <v>0.38635687790396911</v>
      </c>
      <c r="BL168" s="68">
        <f t="shared" si="94"/>
        <v>0.45856223093529069</v>
      </c>
      <c r="BM168" s="68">
        <f t="shared" si="94"/>
        <v>0.53472094589481978</v>
      </c>
      <c r="BN168" s="68">
        <f t="shared" si="94"/>
        <v>0.62067340098925206</v>
      </c>
      <c r="BO168" s="68">
        <f t="shared" si="94"/>
        <v>0.69201653669452823</v>
      </c>
      <c r="BP168" s="68">
        <f t="shared" si="110"/>
        <v>0.79076746946745913</v>
      </c>
      <c r="BQ168" s="68">
        <f t="shared" si="110"/>
        <v>0.88911540981317438</v>
      </c>
      <c r="BR168" s="68">
        <f t="shared" si="110"/>
        <v>1</v>
      </c>
    </row>
    <row r="169" spans="1:70">
      <c r="A169" s="131" t="s">
        <v>135</v>
      </c>
      <c r="B169" s="62">
        <v>18575.27</v>
      </c>
      <c r="C169" s="62">
        <v>13309.269999999999</v>
      </c>
      <c r="D169" s="62">
        <v>12036.71</v>
      </c>
      <c r="E169" s="62">
        <v>11677.08</v>
      </c>
      <c r="F169" s="62">
        <v>10209.68</v>
      </c>
      <c r="G169" s="62">
        <v>8438.85</v>
      </c>
      <c r="H169" s="62">
        <v>11485.87</v>
      </c>
      <c r="I169" s="62">
        <v>16817.23</v>
      </c>
      <c r="J169" s="62">
        <v>11520.269999999999</v>
      </c>
      <c r="K169" s="62">
        <v>10417.699999999999</v>
      </c>
      <c r="L169" s="62">
        <v>11162.09</v>
      </c>
      <c r="M169" s="62">
        <v>17137.68</v>
      </c>
      <c r="N169" s="100">
        <f t="shared" si="96"/>
        <v>152787.70000000001</v>
      </c>
      <c r="P169" s="131" t="s">
        <v>135</v>
      </c>
      <c r="Q169" s="62">
        <v>13824.720000000001</v>
      </c>
      <c r="R169" s="62">
        <v>12727.43</v>
      </c>
      <c r="S169" s="62">
        <v>14779.71</v>
      </c>
      <c r="T169" s="62">
        <v>11605.710000000001</v>
      </c>
      <c r="U169" s="62">
        <v>14323.03</v>
      </c>
      <c r="V169" s="62">
        <v>12990.5</v>
      </c>
      <c r="W169" s="62">
        <v>11541.789999999999</v>
      </c>
      <c r="X169" s="62">
        <v>13867.79</v>
      </c>
      <c r="Y169" s="62">
        <v>9140.69</v>
      </c>
      <c r="Z169" s="62">
        <v>10328.540000000001</v>
      </c>
      <c r="AA169" s="62">
        <v>13901.570000000002</v>
      </c>
      <c r="AB169" s="62">
        <v>11877.23</v>
      </c>
      <c r="AC169" s="100">
        <f t="shared" si="97"/>
        <v>150908.71000000002</v>
      </c>
      <c r="AE169" s="68">
        <f t="shared" si="111"/>
        <v>0.12157568966611841</v>
      </c>
      <c r="AF169" s="68">
        <f t="shared" si="112"/>
        <v>0.2086852541140419</v>
      </c>
      <c r="AG169" s="68">
        <f t="shared" si="113"/>
        <v>0.28746587585257188</v>
      </c>
      <c r="AH169" s="68">
        <f t="shared" si="114"/>
        <v>0.36389270864081336</v>
      </c>
      <c r="AI169" s="68">
        <f t="shared" si="115"/>
        <v>0.4307153651766471</v>
      </c>
      <c r="AJ169" s="68">
        <f t="shared" si="116"/>
        <v>0.48594788716630993</v>
      </c>
      <c r="AK169" s="68">
        <f t="shared" si="117"/>
        <v>0.56112324486853327</v>
      </c>
      <c r="AL169" s="68">
        <f t="shared" si="118"/>
        <v>0.67119251091547294</v>
      </c>
      <c r="AM169" s="68">
        <f t="shared" si="119"/>
        <v>0.74659301763165486</v>
      </c>
      <c r="AN169" s="68">
        <f t="shared" si="120"/>
        <v>0.81477717119899051</v>
      </c>
      <c r="AO169" s="68">
        <f t="shared" si="121"/>
        <v>0.88783337925762351</v>
      </c>
      <c r="AP169" s="68">
        <f t="shared" si="122"/>
        <v>1</v>
      </c>
      <c r="AQ169" s="92"/>
      <c r="AT169" s="68">
        <f t="shared" si="98"/>
        <v>9.160982159346534E-2</v>
      </c>
      <c r="AU169" s="68">
        <f t="shared" si="99"/>
        <v>0.17594842603849703</v>
      </c>
      <c r="AV169" s="68">
        <f t="shared" si="100"/>
        <v>0.27388651059305985</v>
      </c>
      <c r="AW169" s="68">
        <f t="shared" si="101"/>
        <v>0.35079201193887344</v>
      </c>
      <c r="AX169" s="68">
        <f t="shared" si="102"/>
        <v>0.44570389608393046</v>
      </c>
      <c r="AY169" s="68">
        <f t="shared" si="103"/>
        <v>0.53178573986882527</v>
      </c>
      <c r="AZ169" s="68">
        <f t="shared" si="104"/>
        <v>0.60826767388045389</v>
      </c>
      <c r="BA169" s="68">
        <f t="shared" si="105"/>
        <v>0.700162899808765</v>
      </c>
      <c r="BB169" s="68">
        <f t="shared" si="106"/>
        <v>0.76073389004518011</v>
      </c>
      <c r="BC169" s="68">
        <f t="shared" si="107"/>
        <v>0.82917619533027609</v>
      </c>
      <c r="BD169" s="68">
        <f t="shared" si="108"/>
        <v>0.92129526519708493</v>
      </c>
      <c r="BE169" s="68">
        <f t="shared" si="109"/>
        <v>1</v>
      </c>
      <c r="BG169" s="68">
        <f t="shared" si="95"/>
        <v>0.10659275562979187</v>
      </c>
      <c r="BH169" s="68">
        <f t="shared" si="95"/>
        <v>0.19231684007626948</v>
      </c>
      <c r="BI169" s="68">
        <f t="shared" si="95"/>
        <v>0.2806761932228159</v>
      </c>
      <c r="BJ169" s="68">
        <f t="shared" si="94"/>
        <v>0.3573423602898434</v>
      </c>
      <c r="BK169" s="68">
        <f t="shared" si="94"/>
        <v>0.43820963063028878</v>
      </c>
      <c r="BL169" s="68">
        <f t="shared" si="94"/>
        <v>0.50886681351756757</v>
      </c>
      <c r="BM169" s="68">
        <f t="shared" si="94"/>
        <v>0.58469545937449352</v>
      </c>
      <c r="BN169" s="68">
        <f t="shared" si="94"/>
        <v>0.68567770536211903</v>
      </c>
      <c r="BO169" s="68">
        <f t="shared" si="94"/>
        <v>0.75366345383841749</v>
      </c>
      <c r="BP169" s="68">
        <f t="shared" si="110"/>
        <v>0.82197668326463336</v>
      </c>
      <c r="BQ169" s="68">
        <f t="shared" si="110"/>
        <v>0.90456432222735428</v>
      </c>
      <c r="BR169" s="68">
        <f t="shared" si="110"/>
        <v>1</v>
      </c>
    </row>
    <row r="170" spans="1:70">
      <c r="A170" s="131" t="s">
        <v>136</v>
      </c>
      <c r="B170" s="62">
        <v>6492.97</v>
      </c>
      <c r="C170" s="62">
        <v>4172.78</v>
      </c>
      <c r="D170" s="62">
        <v>7304.83</v>
      </c>
      <c r="E170" s="62">
        <v>4204.58</v>
      </c>
      <c r="F170" s="62">
        <v>6889.53</v>
      </c>
      <c r="G170" s="62">
        <v>10310.120000000001</v>
      </c>
      <c r="H170" s="62">
        <v>6317.48</v>
      </c>
      <c r="I170" s="62">
        <v>6856.45</v>
      </c>
      <c r="J170" s="62">
        <v>6822.5199999999995</v>
      </c>
      <c r="K170" s="62">
        <v>6475.4299999999994</v>
      </c>
      <c r="L170" s="62">
        <v>7882.9</v>
      </c>
      <c r="M170" s="62">
        <v>8797.23</v>
      </c>
      <c r="N170" s="100">
        <f t="shared" si="96"/>
        <v>82526.819999999992</v>
      </c>
      <c r="P170" s="131" t="s">
        <v>136</v>
      </c>
      <c r="Q170" s="62">
        <v>8960.85</v>
      </c>
      <c r="R170" s="62">
        <v>11922.68</v>
      </c>
      <c r="S170" s="62">
        <v>4420.54</v>
      </c>
      <c r="T170" s="62">
        <v>3996.93</v>
      </c>
      <c r="U170" s="62">
        <v>6084.7099999999991</v>
      </c>
      <c r="V170" s="62">
        <v>3023.39</v>
      </c>
      <c r="W170" s="62">
        <v>4385</v>
      </c>
      <c r="X170" s="62">
        <v>6817.08</v>
      </c>
      <c r="Y170" s="62">
        <v>4542.71</v>
      </c>
      <c r="Z170" s="62">
        <v>3071.4</v>
      </c>
      <c r="AA170" s="62">
        <v>3808.48</v>
      </c>
      <c r="AB170" s="62">
        <v>3518.27</v>
      </c>
      <c r="AC170" s="100">
        <f t="shared" si="97"/>
        <v>64552.04</v>
      </c>
      <c r="AE170" s="68">
        <f t="shared" si="111"/>
        <v>7.8677089460129454E-2</v>
      </c>
      <c r="AF170" s="68">
        <f t="shared" si="112"/>
        <v>0.12923980349660874</v>
      </c>
      <c r="AG170" s="68">
        <f t="shared" si="113"/>
        <v>0.21775442213816071</v>
      </c>
      <c r="AH170" s="68">
        <f t="shared" si="114"/>
        <v>0.26870246545304916</v>
      </c>
      <c r="AI170" s="68">
        <f t="shared" si="115"/>
        <v>0.35218478065676112</v>
      </c>
      <c r="AJ170" s="68">
        <f t="shared" si="116"/>
        <v>0.47711531838982779</v>
      </c>
      <c r="AK170" s="68">
        <f t="shared" si="117"/>
        <v>0.55366594762769261</v>
      </c>
      <c r="AL170" s="68">
        <f t="shared" si="118"/>
        <v>0.63674742344367574</v>
      </c>
      <c r="AM170" s="68">
        <f t="shared" si="119"/>
        <v>0.71941776018996018</v>
      </c>
      <c r="AN170" s="68">
        <f t="shared" si="120"/>
        <v>0.79788231268331933</v>
      </c>
      <c r="AO170" s="68">
        <f t="shared" si="121"/>
        <v>0.8934015632736122</v>
      </c>
      <c r="AP170" s="68">
        <f t="shared" si="122"/>
        <v>1</v>
      </c>
      <c r="AQ170" s="92"/>
      <c r="AT170" s="68">
        <f t="shared" si="98"/>
        <v>0.13881590728968443</v>
      </c>
      <c r="AU170" s="68">
        <f t="shared" si="99"/>
        <v>0.3235146402809268</v>
      </c>
      <c r="AV170" s="68">
        <f t="shared" si="100"/>
        <v>0.39199489280276811</v>
      </c>
      <c r="AW170" s="68">
        <f t="shared" si="101"/>
        <v>0.45391284303331081</v>
      </c>
      <c r="AX170" s="68">
        <f t="shared" si="102"/>
        <v>0.54817338073281652</v>
      </c>
      <c r="AY170" s="68">
        <f t="shared" si="103"/>
        <v>0.59500985561416797</v>
      </c>
      <c r="AZ170" s="68">
        <f t="shared" si="104"/>
        <v>0.66293954459068993</v>
      </c>
      <c r="BA170" s="68">
        <f t="shared" si="105"/>
        <v>0.76854550220256401</v>
      </c>
      <c r="BB170" s="68">
        <f t="shared" si="106"/>
        <v>0.83891833627566226</v>
      </c>
      <c r="BC170" s="68">
        <f t="shared" si="107"/>
        <v>0.88649855217588791</v>
      </c>
      <c r="BD170" s="68">
        <f t="shared" si="108"/>
        <v>0.94549715237504506</v>
      </c>
      <c r="BE170" s="68">
        <f t="shared" si="109"/>
        <v>1</v>
      </c>
      <c r="BG170" s="68">
        <f t="shared" si="95"/>
        <v>0.10874649837490694</v>
      </c>
      <c r="BH170" s="68">
        <f t="shared" si="95"/>
        <v>0.22637722188876777</v>
      </c>
      <c r="BI170" s="68">
        <f t="shared" si="95"/>
        <v>0.30487465747046438</v>
      </c>
      <c r="BJ170" s="68">
        <f t="shared" si="94"/>
        <v>0.36130765424318001</v>
      </c>
      <c r="BK170" s="68">
        <f t="shared" si="94"/>
        <v>0.45017908069478885</v>
      </c>
      <c r="BL170" s="68">
        <f t="shared" si="94"/>
        <v>0.53606258700199794</v>
      </c>
      <c r="BM170" s="68">
        <f t="shared" si="94"/>
        <v>0.60830274610919122</v>
      </c>
      <c r="BN170" s="68">
        <f t="shared" si="94"/>
        <v>0.70264646282311993</v>
      </c>
      <c r="BO170" s="68">
        <f t="shared" si="94"/>
        <v>0.77916804823281116</v>
      </c>
      <c r="BP170" s="68">
        <f t="shared" si="110"/>
        <v>0.84219043242960367</v>
      </c>
      <c r="BQ170" s="68">
        <f t="shared" si="110"/>
        <v>0.91944935782432857</v>
      </c>
      <c r="BR170" s="68">
        <f t="shared" si="110"/>
        <v>1</v>
      </c>
    </row>
    <row r="171" spans="1:70">
      <c r="A171" s="131" t="s">
        <v>137</v>
      </c>
      <c r="B171" s="62">
        <v>97409.25</v>
      </c>
      <c r="C171" s="62">
        <v>75718.760000000009</v>
      </c>
      <c r="D171" s="62">
        <v>61100.359999999993</v>
      </c>
      <c r="E171" s="62">
        <v>66209.27</v>
      </c>
      <c r="F171" s="62">
        <v>57707.770000000004</v>
      </c>
      <c r="G171" s="62">
        <v>52296.990000000005</v>
      </c>
      <c r="H171" s="62">
        <v>52946.170000000006</v>
      </c>
      <c r="I171" s="62">
        <v>80475.47</v>
      </c>
      <c r="J171" s="62">
        <v>63252.44</v>
      </c>
      <c r="K171" s="62">
        <v>84118.400000000009</v>
      </c>
      <c r="L171" s="62">
        <v>62664.71</v>
      </c>
      <c r="M171" s="62">
        <v>77320.36</v>
      </c>
      <c r="N171" s="100">
        <f t="shared" si="96"/>
        <v>831219.95</v>
      </c>
      <c r="P171" s="131" t="s">
        <v>137</v>
      </c>
      <c r="Q171" s="62">
        <v>57930.22</v>
      </c>
      <c r="R171" s="62">
        <v>56227.21</v>
      </c>
      <c r="S171" s="62">
        <v>47143.360000000001</v>
      </c>
      <c r="T171" s="62">
        <v>66290.450000000012</v>
      </c>
      <c r="U171" s="62">
        <v>84061.37000000001</v>
      </c>
      <c r="V171" s="62">
        <v>104142.54</v>
      </c>
      <c r="W171" s="62">
        <v>101144.75</v>
      </c>
      <c r="X171" s="62">
        <v>127118.22</v>
      </c>
      <c r="Y171" s="62">
        <v>94126.51999999999</v>
      </c>
      <c r="Z171" s="62">
        <v>117908.57</v>
      </c>
      <c r="AA171" s="62">
        <v>104545.11000000002</v>
      </c>
      <c r="AB171" s="62">
        <v>109224.22</v>
      </c>
      <c r="AC171" s="100">
        <f t="shared" si="97"/>
        <v>1069862.54</v>
      </c>
      <c r="AE171" s="68">
        <f t="shared" si="111"/>
        <v>0.11718829655135203</v>
      </c>
      <c r="AF171" s="68">
        <f t="shared" si="112"/>
        <v>0.20828182721071603</v>
      </c>
      <c r="AG171" s="68">
        <f t="shared" si="113"/>
        <v>0.2817886769921728</v>
      </c>
      <c r="AH171" s="68">
        <f t="shared" si="114"/>
        <v>0.36144180610679522</v>
      </c>
      <c r="AI171" s="68">
        <f t="shared" si="115"/>
        <v>0.43086719706378562</v>
      </c>
      <c r="AJ171" s="68">
        <f t="shared" si="116"/>
        <v>0.49378314367935955</v>
      </c>
      <c r="AK171" s="68">
        <f t="shared" si="117"/>
        <v>0.55748008694930873</v>
      </c>
      <c r="AL171" s="68">
        <f t="shared" si="118"/>
        <v>0.65429618237627729</v>
      </c>
      <c r="AM171" s="68">
        <f t="shared" si="119"/>
        <v>0.7303920941743518</v>
      </c>
      <c r="AN171" s="68">
        <f t="shared" si="120"/>
        <v>0.83159082021551578</v>
      </c>
      <c r="AO171" s="68">
        <f t="shared" si="121"/>
        <v>0.90697966284375153</v>
      </c>
      <c r="AP171" s="68">
        <f t="shared" si="122"/>
        <v>1</v>
      </c>
      <c r="AQ171" s="92"/>
      <c r="AT171" s="68">
        <f t="shared" si="98"/>
        <v>5.414734868649574E-2</v>
      </c>
      <c r="AU171" s="68">
        <f t="shared" si="99"/>
        <v>0.10670289474758129</v>
      </c>
      <c r="AV171" s="68">
        <f t="shared" si="100"/>
        <v>0.15076777059602439</v>
      </c>
      <c r="AW171" s="68">
        <f t="shared" si="101"/>
        <v>0.21272942223026145</v>
      </c>
      <c r="AX171" s="68">
        <f t="shared" si="102"/>
        <v>0.29130154421520355</v>
      </c>
      <c r="AY171" s="68">
        <f t="shared" si="103"/>
        <v>0.38864352611130765</v>
      </c>
      <c r="AZ171" s="68">
        <f t="shared" si="104"/>
        <v>0.48318347514064747</v>
      </c>
      <c r="BA171" s="68">
        <f t="shared" si="105"/>
        <v>0.60200081404850381</v>
      </c>
      <c r="BB171" s="68">
        <f t="shared" si="106"/>
        <v>0.68998082688267592</v>
      </c>
      <c r="BC171" s="68">
        <f t="shared" si="107"/>
        <v>0.80018991037858</v>
      </c>
      <c r="BD171" s="68">
        <f t="shared" si="108"/>
        <v>0.89790817425947067</v>
      </c>
      <c r="BE171" s="68">
        <f t="shared" si="109"/>
        <v>1</v>
      </c>
      <c r="BG171" s="68">
        <f t="shared" si="95"/>
        <v>8.5667822618923889E-2</v>
      </c>
      <c r="BH171" s="68">
        <f t="shared" si="95"/>
        <v>0.15749236097914865</v>
      </c>
      <c r="BI171" s="68">
        <f t="shared" si="95"/>
        <v>0.21627822379409861</v>
      </c>
      <c r="BJ171" s="68">
        <f t="shared" si="94"/>
        <v>0.28708561416852835</v>
      </c>
      <c r="BK171" s="68">
        <f t="shared" si="94"/>
        <v>0.36108437063949461</v>
      </c>
      <c r="BL171" s="68">
        <f t="shared" si="94"/>
        <v>0.4412133348953336</v>
      </c>
      <c r="BM171" s="68">
        <f t="shared" si="94"/>
        <v>0.52033178104497813</v>
      </c>
      <c r="BN171" s="68">
        <f t="shared" si="94"/>
        <v>0.6281484982123906</v>
      </c>
      <c r="BO171" s="68">
        <f t="shared" si="94"/>
        <v>0.71018646052851386</v>
      </c>
      <c r="BP171" s="68">
        <f t="shared" si="110"/>
        <v>0.81589036529704795</v>
      </c>
      <c r="BQ171" s="68">
        <f t="shared" si="110"/>
        <v>0.9024439185516111</v>
      </c>
      <c r="BR171" s="68">
        <f t="shared" si="110"/>
        <v>1</v>
      </c>
    </row>
    <row r="172" spans="1:70">
      <c r="A172" s="131" t="s">
        <v>138</v>
      </c>
      <c r="B172" s="62">
        <v>14340.42</v>
      </c>
      <c r="C172" s="62">
        <v>12871.449999999999</v>
      </c>
      <c r="D172" s="62">
        <v>16818.87</v>
      </c>
      <c r="E172" s="62">
        <v>8085.42</v>
      </c>
      <c r="F172" s="62">
        <v>9083.0199999999986</v>
      </c>
      <c r="G172" s="62">
        <v>8403.34</v>
      </c>
      <c r="H172" s="62">
        <v>11765.97</v>
      </c>
      <c r="I172" s="62">
        <v>9140.1200000000008</v>
      </c>
      <c r="J172" s="62">
        <v>8580.9599999999991</v>
      </c>
      <c r="K172" s="62">
        <v>7797.2899999999991</v>
      </c>
      <c r="L172" s="62">
        <v>10179.08</v>
      </c>
      <c r="M172" s="62">
        <v>6812.14</v>
      </c>
      <c r="N172" s="100">
        <f t="shared" si="96"/>
        <v>123878.07999999997</v>
      </c>
      <c r="P172" s="131" t="s">
        <v>138</v>
      </c>
      <c r="Q172" s="62">
        <v>9440.16</v>
      </c>
      <c r="R172" s="62">
        <v>10580.7</v>
      </c>
      <c r="S172" s="62">
        <v>9026.2299999999977</v>
      </c>
      <c r="T172" s="62">
        <v>5746.8700000000008</v>
      </c>
      <c r="U172" s="62">
        <v>6077.4900000000007</v>
      </c>
      <c r="V172" s="62">
        <v>6993.1</v>
      </c>
      <c r="W172" s="62">
        <v>9581.64</v>
      </c>
      <c r="X172" s="62">
        <v>12359.44</v>
      </c>
      <c r="Y172" s="62">
        <v>13506.679999999998</v>
      </c>
      <c r="Z172" s="62">
        <v>11391.729999999998</v>
      </c>
      <c r="AA172" s="62">
        <v>14737.58</v>
      </c>
      <c r="AB172" s="62">
        <v>12518.69</v>
      </c>
      <c r="AC172" s="100">
        <f t="shared" si="97"/>
        <v>121960.30999999998</v>
      </c>
      <c r="AE172" s="68">
        <f t="shared" si="111"/>
        <v>0.1157623689356503</v>
      </c>
      <c r="AF172" s="68">
        <f t="shared" si="112"/>
        <v>0.21966654633329807</v>
      </c>
      <c r="AG172" s="68">
        <f t="shared" si="113"/>
        <v>0.35543608683634753</v>
      </c>
      <c r="AH172" s="68">
        <f t="shared" si="114"/>
        <v>0.42070526117292106</v>
      </c>
      <c r="AI172" s="68">
        <f t="shared" si="115"/>
        <v>0.49402751479519225</v>
      </c>
      <c r="AJ172" s="68">
        <f t="shared" si="116"/>
        <v>0.56186308344462554</v>
      </c>
      <c r="AK172" s="68">
        <f t="shared" si="117"/>
        <v>0.65684332530823863</v>
      </c>
      <c r="AL172" s="68">
        <f t="shared" si="118"/>
        <v>0.73062651600670603</v>
      </c>
      <c r="AM172" s="68">
        <f t="shared" si="119"/>
        <v>0.79989591378878333</v>
      </c>
      <c r="AN172" s="68">
        <f t="shared" si="120"/>
        <v>0.86283917219252992</v>
      </c>
      <c r="AO172" s="68">
        <f t="shared" si="121"/>
        <v>0.94500931883994321</v>
      </c>
      <c r="AP172" s="68">
        <f t="shared" si="122"/>
        <v>1</v>
      </c>
      <c r="AQ172" s="92"/>
      <c r="AT172" s="68">
        <f t="shared" si="98"/>
        <v>7.740354218515845E-2</v>
      </c>
      <c r="AU172" s="68">
        <f t="shared" si="99"/>
        <v>0.16415881527359191</v>
      </c>
      <c r="AV172" s="68">
        <f t="shared" si="100"/>
        <v>0.23816838445228616</v>
      </c>
      <c r="AW172" s="68">
        <f t="shared" si="101"/>
        <v>0.28528920597200846</v>
      </c>
      <c r="AX172" s="68">
        <f t="shared" si="102"/>
        <v>0.33512090941717027</v>
      </c>
      <c r="AY172" s="68">
        <f t="shared" si="103"/>
        <v>0.39246005524256211</v>
      </c>
      <c r="AZ172" s="68">
        <f t="shared" si="104"/>
        <v>0.47102364695530868</v>
      </c>
      <c r="BA172" s="68">
        <f t="shared" si="105"/>
        <v>0.57236350087991739</v>
      </c>
      <c r="BB172" s="68">
        <f t="shared" si="106"/>
        <v>0.6831100216127689</v>
      </c>
      <c r="BC172" s="68">
        <f t="shared" si="107"/>
        <v>0.77651524500060709</v>
      </c>
      <c r="BD172" s="68">
        <f t="shared" si="108"/>
        <v>0.89735439340880652</v>
      </c>
      <c r="BE172" s="68">
        <f t="shared" si="109"/>
        <v>1</v>
      </c>
      <c r="BG172" s="68">
        <f t="shared" si="95"/>
        <v>9.6582955560404374E-2</v>
      </c>
      <c r="BH172" s="68">
        <f t="shared" si="95"/>
        <v>0.19191268080344498</v>
      </c>
      <c r="BI172" s="68">
        <f t="shared" si="95"/>
        <v>0.29680223564431685</v>
      </c>
      <c r="BJ172" s="68">
        <f t="shared" si="94"/>
        <v>0.35299723357246476</v>
      </c>
      <c r="BK172" s="68">
        <f t="shared" si="94"/>
        <v>0.41457421210618128</v>
      </c>
      <c r="BL172" s="68">
        <f t="shared" si="94"/>
        <v>0.47716156934359383</v>
      </c>
      <c r="BM172" s="68">
        <f t="shared" si="94"/>
        <v>0.56393348613177363</v>
      </c>
      <c r="BN172" s="68">
        <f t="shared" si="94"/>
        <v>0.65149500844331176</v>
      </c>
      <c r="BO172" s="68">
        <f t="shared" si="94"/>
        <v>0.74150296770077606</v>
      </c>
      <c r="BP172" s="68">
        <f t="shared" si="110"/>
        <v>0.81967720859656845</v>
      </c>
      <c r="BQ172" s="68">
        <f t="shared" si="110"/>
        <v>0.92118185612437486</v>
      </c>
      <c r="BR172" s="68">
        <f t="shared" si="110"/>
        <v>1</v>
      </c>
    </row>
    <row r="173" spans="1:70">
      <c r="A173" s="131" t="s">
        <v>139</v>
      </c>
      <c r="B173" s="62">
        <v>72721.09</v>
      </c>
      <c r="C173" s="62">
        <v>59002.73</v>
      </c>
      <c r="D173" s="62">
        <v>56152.1</v>
      </c>
      <c r="E173" s="62">
        <v>61045.020000000004</v>
      </c>
      <c r="F173" s="62">
        <v>66722.61</v>
      </c>
      <c r="G173" s="62">
        <v>57492.799999999996</v>
      </c>
      <c r="H173" s="62">
        <v>74963.97</v>
      </c>
      <c r="I173" s="62">
        <v>62224.03</v>
      </c>
      <c r="J173" s="62">
        <v>55027.56</v>
      </c>
      <c r="K173" s="62">
        <v>56776.2</v>
      </c>
      <c r="L173" s="62">
        <v>57630.240000000013</v>
      </c>
      <c r="M173" s="62">
        <v>75498.709999999992</v>
      </c>
      <c r="N173" s="100">
        <f t="shared" si="96"/>
        <v>755257.05999999982</v>
      </c>
      <c r="P173" s="131" t="s">
        <v>139</v>
      </c>
      <c r="Q173" s="62">
        <v>51144.1</v>
      </c>
      <c r="R173" s="62">
        <v>40013.119999999995</v>
      </c>
      <c r="S173" s="62">
        <v>40563.68</v>
      </c>
      <c r="T173" s="62">
        <v>33546.160000000003</v>
      </c>
      <c r="U173" s="62">
        <v>41445.730000000003</v>
      </c>
      <c r="V173" s="62">
        <v>41191.919999999998</v>
      </c>
      <c r="W173" s="62">
        <v>50708.469999999994</v>
      </c>
      <c r="X173" s="62">
        <v>57415.71</v>
      </c>
      <c r="Y173" s="62">
        <v>50994.06</v>
      </c>
      <c r="Z173" s="62">
        <v>81596.759999999995</v>
      </c>
      <c r="AA173" s="62">
        <v>75610.460000000006</v>
      </c>
      <c r="AB173" s="62">
        <v>69469.8</v>
      </c>
      <c r="AC173" s="100">
        <f t="shared" si="97"/>
        <v>633699.97000000009</v>
      </c>
      <c r="AE173" s="68">
        <f t="shared" si="111"/>
        <v>9.6286541167850875E-2</v>
      </c>
      <c r="AF173" s="68">
        <f t="shared" si="112"/>
        <v>0.17440925345338718</v>
      </c>
      <c r="AG173" s="68">
        <f t="shared" si="113"/>
        <v>0.24875758195494399</v>
      </c>
      <c r="AH173" s="68">
        <f t="shared" si="114"/>
        <v>0.32958439342493545</v>
      </c>
      <c r="AI173" s="68">
        <f t="shared" si="115"/>
        <v>0.41792863214016174</v>
      </c>
      <c r="AJ173" s="68">
        <f t="shared" si="116"/>
        <v>0.49405211783124553</v>
      </c>
      <c r="AK173" s="68">
        <f t="shared" si="117"/>
        <v>0.59330834987494196</v>
      </c>
      <c r="AL173" s="68">
        <f t="shared" si="118"/>
        <v>0.67569623248540056</v>
      </c>
      <c r="AM173" s="68">
        <f t="shared" si="119"/>
        <v>0.74855561098627799</v>
      </c>
      <c r="AN173" s="68">
        <f t="shared" si="120"/>
        <v>0.82373028065437748</v>
      </c>
      <c r="AO173" s="68">
        <f t="shared" si="121"/>
        <v>0.9000357441213459</v>
      </c>
      <c r="AP173" s="68">
        <f t="shared" si="122"/>
        <v>1</v>
      </c>
      <c r="AQ173" s="92"/>
      <c r="AT173" s="68">
        <f t="shared" si="98"/>
        <v>8.0707120753059192E-2</v>
      </c>
      <c r="AU173" s="68">
        <f t="shared" si="99"/>
        <v>0.14384917834223662</v>
      </c>
      <c r="AV173" s="68">
        <f t="shared" si="100"/>
        <v>0.20786003824491261</v>
      </c>
      <c r="AW173" s="68">
        <f t="shared" si="101"/>
        <v>0.26079701408223199</v>
      </c>
      <c r="AX173" s="68">
        <f t="shared" si="102"/>
        <v>0.32619977873756245</v>
      </c>
      <c r="AY173" s="68">
        <f t="shared" si="103"/>
        <v>0.39120202262278786</v>
      </c>
      <c r="AZ173" s="68">
        <f t="shared" si="104"/>
        <v>0.47122170449211154</v>
      </c>
      <c r="BA173" s="68">
        <f t="shared" si="105"/>
        <v>0.56182563808548069</v>
      </c>
      <c r="BB173" s="68">
        <f t="shared" si="106"/>
        <v>0.64229599064049181</v>
      </c>
      <c r="BC173" s="68">
        <f t="shared" si="107"/>
        <v>0.77105843953251241</v>
      </c>
      <c r="BD173" s="68">
        <f t="shared" si="108"/>
        <v>0.89037430442043408</v>
      </c>
      <c r="BE173" s="68">
        <f t="shared" si="109"/>
        <v>1</v>
      </c>
      <c r="BG173" s="68">
        <f t="shared" si="95"/>
        <v>8.8496830960455033E-2</v>
      </c>
      <c r="BH173" s="68">
        <f t="shared" si="95"/>
        <v>0.1591292158978119</v>
      </c>
      <c r="BI173" s="68">
        <f t="shared" si="95"/>
        <v>0.22830881009992832</v>
      </c>
      <c r="BJ173" s="68">
        <f t="shared" si="94"/>
        <v>0.29519070375358369</v>
      </c>
      <c r="BK173" s="68">
        <f t="shared" si="94"/>
        <v>0.37206420543886209</v>
      </c>
      <c r="BL173" s="68">
        <f t="shared" si="94"/>
        <v>0.44262707022701669</v>
      </c>
      <c r="BM173" s="68">
        <f t="shared" si="94"/>
        <v>0.53226502718352675</v>
      </c>
      <c r="BN173" s="68">
        <f t="shared" si="94"/>
        <v>0.61876093528544063</v>
      </c>
      <c r="BO173" s="68">
        <f t="shared" si="94"/>
        <v>0.6954258008133849</v>
      </c>
      <c r="BP173" s="68">
        <f t="shared" si="110"/>
        <v>0.797394360093445</v>
      </c>
      <c r="BQ173" s="68">
        <f t="shared" si="110"/>
        <v>0.89520502427088999</v>
      </c>
      <c r="BR173" s="68">
        <f t="shared" si="110"/>
        <v>1</v>
      </c>
    </row>
    <row r="174" spans="1:70">
      <c r="A174" s="131" t="s">
        <v>140</v>
      </c>
      <c r="B174" s="62">
        <v>3160.94</v>
      </c>
      <c r="C174" s="62">
        <v>1402.15</v>
      </c>
      <c r="D174" s="62">
        <v>1680.97</v>
      </c>
      <c r="E174" s="62">
        <v>1513.71</v>
      </c>
      <c r="F174" s="62">
        <v>1802.95</v>
      </c>
      <c r="G174" s="62">
        <v>2271.5300000000002</v>
      </c>
      <c r="H174" s="62">
        <v>1275.6800000000003</v>
      </c>
      <c r="I174" s="62">
        <v>2257.8700000000003</v>
      </c>
      <c r="J174" s="62">
        <v>1368.23</v>
      </c>
      <c r="K174" s="62">
        <v>1693.08</v>
      </c>
      <c r="L174" s="62">
        <v>1803.38</v>
      </c>
      <c r="M174" s="62">
        <v>2403.21</v>
      </c>
      <c r="N174" s="100">
        <f t="shared" si="96"/>
        <v>22633.7</v>
      </c>
      <c r="P174" s="131" t="s">
        <v>140</v>
      </c>
      <c r="Q174" s="62">
        <v>1455.17</v>
      </c>
      <c r="R174" s="62">
        <v>578.85</v>
      </c>
      <c r="S174" s="62">
        <v>1054.06</v>
      </c>
      <c r="T174" s="62">
        <v>702.76</v>
      </c>
      <c r="U174" s="62">
        <v>1435.4399999999998</v>
      </c>
      <c r="V174" s="62">
        <v>1563.1200000000001</v>
      </c>
      <c r="W174" s="62">
        <v>2401.84</v>
      </c>
      <c r="X174" s="62">
        <v>2976.04</v>
      </c>
      <c r="Y174" s="62">
        <v>3108.49</v>
      </c>
      <c r="Z174" s="62">
        <v>2455.4500000000003</v>
      </c>
      <c r="AA174" s="62">
        <v>2533.9499999999998</v>
      </c>
      <c r="AB174" s="62">
        <v>2787.6</v>
      </c>
      <c r="AC174" s="100">
        <f t="shared" si="97"/>
        <v>23052.769999999997</v>
      </c>
      <c r="AE174" s="68">
        <f t="shared" si="111"/>
        <v>0.1396563531371362</v>
      </c>
      <c r="AF174" s="68">
        <f t="shared" si="112"/>
        <v>0.20160601227373343</v>
      </c>
      <c r="AG174" s="68">
        <f t="shared" si="113"/>
        <v>0.27587447036940493</v>
      </c>
      <c r="AH174" s="68">
        <f t="shared" si="114"/>
        <v>0.34275306291061558</v>
      </c>
      <c r="AI174" s="68">
        <f t="shared" si="115"/>
        <v>0.42241082986873557</v>
      </c>
      <c r="AJ174" s="68">
        <f t="shared" si="116"/>
        <v>0.52277135421959298</v>
      </c>
      <c r="AK174" s="68">
        <f t="shared" si="117"/>
        <v>0.57913332773695869</v>
      </c>
      <c r="AL174" s="68">
        <f t="shared" si="118"/>
        <v>0.6788903272553759</v>
      </c>
      <c r="AM174" s="68">
        <f t="shared" si="119"/>
        <v>0.73934133614919351</v>
      </c>
      <c r="AN174" s="68">
        <f t="shared" si="120"/>
        <v>0.81414483712340446</v>
      </c>
      <c r="AO174" s="68">
        <f t="shared" si="121"/>
        <v>0.89382160230099372</v>
      </c>
      <c r="AP174" s="68">
        <f t="shared" si="122"/>
        <v>1</v>
      </c>
      <c r="AQ174" s="92"/>
      <c r="AT174" s="68">
        <f t="shared" si="98"/>
        <v>6.3123433756550745E-2</v>
      </c>
      <c r="AU174" s="68">
        <f t="shared" si="99"/>
        <v>8.8233214490059123E-2</v>
      </c>
      <c r="AV174" s="68">
        <f t="shared" si="100"/>
        <v>0.1339570038654791</v>
      </c>
      <c r="AW174" s="68">
        <f t="shared" si="101"/>
        <v>0.16444184364829045</v>
      </c>
      <c r="AX174" s="68">
        <f t="shared" si="102"/>
        <v>0.2267094149640152</v>
      </c>
      <c r="AY174" s="68">
        <f t="shared" si="103"/>
        <v>0.29451558315985454</v>
      </c>
      <c r="AZ174" s="68">
        <f t="shared" si="104"/>
        <v>0.39870436394411607</v>
      </c>
      <c r="BA174" s="68">
        <f t="shared" si="105"/>
        <v>0.5278012143443066</v>
      </c>
      <c r="BB174" s="68">
        <f t="shared" si="106"/>
        <v>0.66264357819038666</v>
      </c>
      <c r="BC174" s="68">
        <f t="shared" si="107"/>
        <v>0.76915789295603088</v>
      </c>
      <c r="BD174" s="68">
        <f t="shared" si="108"/>
        <v>0.87907743841629449</v>
      </c>
      <c r="BE174" s="68">
        <f t="shared" si="109"/>
        <v>1</v>
      </c>
      <c r="BG174" s="68">
        <f t="shared" si="95"/>
        <v>0.10138989344684347</v>
      </c>
      <c r="BH174" s="68">
        <f t="shared" si="95"/>
        <v>0.14491961338189627</v>
      </c>
      <c r="BI174" s="68">
        <f t="shared" si="95"/>
        <v>0.20491573711744202</v>
      </c>
      <c r="BJ174" s="68">
        <f t="shared" si="94"/>
        <v>0.25359745327945304</v>
      </c>
      <c r="BK174" s="68">
        <f t="shared" si="94"/>
        <v>0.32456012241637539</v>
      </c>
      <c r="BL174" s="68">
        <f t="shared" si="94"/>
        <v>0.40864346868972379</v>
      </c>
      <c r="BM174" s="68">
        <f t="shared" si="94"/>
        <v>0.48891884584053735</v>
      </c>
      <c r="BN174" s="68">
        <f t="shared" si="94"/>
        <v>0.60334577079984131</v>
      </c>
      <c r="BO174" s="68">
        <f t="shared" si="94"/>
        <v>0.70099245716979008</v>
      </c>
      <c r="BP174" s="68">
        <f t="shared" si="110"/>
        <v>0.79165136503971767</v>
      </c>
      <c r="BQ174" s="68">
        <f t="shared" si="110"/>
        <v>0.88644952035864411</v>
      </c>
      <c r="BR174" s="68">
        <f t="shared" si="110"/>
        <v>1</v>
      </c>
    </row>
    <row r="175" spans="1:70">
      <c r="A175" s="131" t="s">
        <v>141</v>
      </c>
      <c r="B175" s="62">
        <v>591.26</v>
      </c>
      <c r="C175" s="62">
        <v>591.02</v>
      </c>
      <c r="D175" s="62">
        <v>640.87</v>
      </c>
      <c r="E175" s="62">
        <v>358.91999999999996</v>
      </c>
      <c r="F175" s="62">
        <v>214.13</v>
      </c>
      <c r="G175" s="62">
        <v>367.74</v>
      </c>
      <c r="H175" s="62">
        <v>771.56999999999994</v>
      </c>
      <c r="I175" s="62">
        <v>171.59</v>
      </c>
      <c r="J175" s="62">
        <v>502.32</v>
      </c>
      <c r="K175" s="62">
        <v>0</v>
      </c>
      <c r="L175" s="62">
        <v>278.31</v>
      </c>
      <c r="M175" s="62">
        <v>65.13</v>
      </c>
      <c r="N175" s="100">
        <f t="shared" si="96"/>
        <v>4552.8600000000006</v>
      </c>
      <c r="P175" s="131" t="s">
        <v>141</v>
      </c>
      <c r="Q175" s="62">
        <v>429.16999999999996</v>
      </c>
      <c r="R175" s="62">
        <v>231.91</v>
      </c>
      <c r="S175" s="62">
        <v>423.48</v>
      </c>
      <c r="T175" s="62">
        <v>292.92</v>
      </c>
      <c r="U175" s="62">
        <v>27.310000000000002</v>
      </c>
      <c r="V175" s="62">
        <v>166.55</v>
      </c>
      <c r="W175" s="62">
        <v>522.75</v>
      </c>
      <c r="X175" s="62">
        <v>323.45000000000005</v>
      </c>
      <c r="Y175" s="62">
        <v>201.58</v>
      </c>
      <c r="Z175" s="62">
        <v>732.41</v>
      </c>
      <c r="AA175" s="62">
        <v>1127.1500000000001</v>
      </c>
      <c r="AB175" s="62">
        <v>839.03</v>
      </c>
      <c r="AC175" s="100">
        <f t="shared" si="97"/>
        <v>5317.71</v>
      </c>
      <c r="AE175" s="68">
        <f t="shared" si="111"/>
        <v>0.12986562292712711</v>
      </c>
      <c r="AF175" s="68">
        <f t="shared" si="112"/>
        <v>0.25967853173609551</v>
      </c>
      <c r="AG175" s="68">
        <f t="shared" si="113"/>
        <v>0.40044060217094307</v>
      </c>
      <c r="AH175" s="68">
        <f t="shared" si="114"/>
        <v>0.47927456587727274</v>
      </c>
      <c r="AI175" s="68">
        <f t="shared" si="115"/>
        <v>0.52630654138277921</v>
      </c>
      <c r="AJ175" s="68">
        <f t="shared" si="116"/>
        <v>0.60707774893144095</v>
      </c>
      <c r="AK175" s="68">
        <f t="shared" si="117"/>
        <v>0.77654704954687814</v>
      </c>
      <c r="AL175" s="68">
        <f t="shared" si="118"/>
        <v>0.81423544760875577</v>
      </c>
      <c r="AM175" s="68">
        <f t="shared" si="119"/>
        <v>0.9245660969149061</v>
      </c>
      <c r="AN175" s="68">
        <f t="shared" si="120"/>
        <v>0.9245660969149061</v>
      </c>
      <c r="AO175" s="68">
        <f t="shared" si="121"/>
        <v>0.98569470618468391</v>
      </c>
      <c r="AP175" s="68">
        <f t="shared" si="122"/>
        <v>1</v>
      </c>
      <c r="AQ175" s="92"/>
      <c r="AT175" s="68">
        <f t="shared" si="98"/>
        <v>8.0705792530995482E-2</v>
      </c>
      <c r="AU175" s="68">
        <f t="shared" si="99"/>
        <v>0.12431667014560778</v>
      </c>
      <c r="AV175" s="68">
        <f t="shared" si="100"/>
        <v>0.20395245321764444</v>
      </c>
      <c r="AW175" s="68">
        <f t="shared" si="101"/>
        <v>0.25903631450379955</v>
      </c>
      <c r="AX175" s="68">
        <f t="shared" si="102"/>
        <v>0.26417198380505896</v>
      </c>
      <c r="AY175" s="68">
        <f t="shared" si="103"/>
        <v>0.29549185645700871</v>
      </c>
      <c r="AZ175" s="68">
        <f t="shared" si="104"/>
        <v>0.39379544954501094</v>
      </c>
      <c r="BA175" s="68">
        <f t="shared" si="105"/>
        <v>0.4546205039387255</v>
      </c>
      <c r="BB175" s="68">
        <f t="shared" si="106"/>
        <v>0.49252779862008267</v>
      </c>
      <c r="BC175" s="68">
        <f t="shared" si="107"/>
        <v>0.63025813743133785</v>
      </c>
      <c r="BD175" s="68">
        <f t="shared" si="108"/>
        <v>0.84221967726709435</v>
      </c>
      <c r="BE175" s="68">
        <f t="shared" si="109"/>
        <v>1</v>
      </c>
      <c r="BG175" s="68">
        <f t="shared" si="95"/>
        <v>0.10528570772906129</v>
      </c>
      <c r="BH175" s="68">
        <f t="shared" si="95"/>
        <v>0.19199760094085164</v>
      </c>
      <c r="BI175" s="68">
        <f t="shared" si="95"/>
        <v>0.30219652769429373</v>
      </c>
      <c r="BJ175" s="68">
        <f t="shared" si="94"/>
        <v>0.36915544019053614</v>
      </c>
      <c r="BK175" s="68">
        <f t="shared" si="94"/>
        <v>0.39523926259391906</v>
      </c>
      <c r="BL175" s="68">
        <f t="shared" si="94"/>
        <v>0.45128480269422483</v>
      </c>
      <c r="BM175" s="68">
        <f t="shared" si="94"/>
        <v>0.58517124954594457</v>
      </c>
      <c r="BN175" s="68">
        <f t="shared" si="94"/>
        <v>0.63442797577374066</v>
      </c>
      <c r="BO175" s="68">
        <f t="shared" si="94"/>
        <v>0.70854694776749438</v>
      </c>
      <c r="BP175" s="68">
        <f t="shared" si="110"/>
        <v>0.77741211717312197</v>
      </c>
      <c r="BQ175" s="68">
        <f t="shared" si="110"/>
        <v>0.91395719172588907</v>
      </c>
      <c r="BR175" s="68">
        <f t="shared" si="110"/>
        <v>1</v>
      </c>
    </row>
    <row r="176" spans="1:70">
      <c r="A176" s="131" t="s">
        <v>142</v>
      </c>
      <c r="B176" s="62">
        <v>25206</v>
      </c>
      <c r="C176" s="62">
        <v>24300.18</v>
      </c>
      <c r="D176" s="62">
        <v>20486.64</v>
      </c>
      <c r="E176" s="62">
        <v>19694.62</v>
      </c>
      <c r="F176" s="62">
        <v>16056.090000000004</v>
      </c>
      <c r="G176" s="62">
        <v>19167.88</v>
      </c>
      <c r="H176" s="62">
        <v>20964.580000000002</v>
      </c>
      <c r="I176" s="62">
        <v>20686.019999999997</v>
      </c>
      <c r="J176" s="62">
        <v>19102.05</v>
      </c>
      <c r="K176" s="62">
        <v>21638.33</v>
      </c>
      <c r="L176" s="62">
        <v>21191.94</v>
      </c>
      <c r="M176" s="62">
        <v>24507.47</v>
      </c>
      <c r="N176" s="100">
        <f t="shared" si="96"/>
        <v>253001.79999999996</v>
      </c>
      <c r="P176" s="131" t="s">
        <v>142</v>
      </c>
      <c r="Q176" s="62">
        <v>19882.54</v>
      </c>
      <c r="R176" s="62">
        <v>19280.04</v>
      </c>
      <c r="S176" s="62">
        <v>21992.210000000003</v>
      </c>
      <c r="T176" s="62">
        <v>16847.349999999999</v>
      </c>
      <c r="U176" s="62">
        <v>17451.100000000002</v>
      </c>
      <c r="V176" s="62">
        <v>23351.850000000002</v>
      </c>
      <c r="W176" s="62">
        <v>24320.760000000002</v>
      </c>
      <c r="X176" s="62">
        <v>27017.820000000003</v>
      </c>
      <c r="Y176" s="62">
        <v>21716.239999999998</v>
      </c>
      <c r="Z176" s="62">
        <v>26536.5</v>
      </c>
      <c r="AA176" s="62">
        <v>30623.34</v>
      </c>
      <c r="AB176" s="62">
        <v>33568.11</v>
      </c>
      <c r="AC176" s="100">
        <f t="shared" si="97"/>
        <v>282587.86000000004</v>
      </c>
      <c r="AE176" s="68">
        <f t="shared" si="111"/>
        <v>9.9627749683994363E-2</v>
      </c>
      <c r="AF176" s="68">
        <f t="shared" si="112"/>
        <v>0.19567520863487931</v>
      </c>
      <c r="AG176" s="68">
        <f t="shared" si="113"/>
        <v>0.27664949419332202</v>
      </c>
      <c r="AH176" s="68">
        <f t="shared" si="114"/>
        <v>0.35449328819004455</v>
      </c>
      <c r="AI176" s="68">
        <f t="shared" si="115"/>
        <v>0.41795564300333049</v>
      </c>
      <c r="AJ176" s="68">
        <f t="shared" si="116"/>
        <v>0.49371747552784218</v>
      </c>
      <c r="AK176" s="68">
        <f t="shared" si="117"/>
        <v>0.57658083855529885</v>
      </c>
      <c r="AL176" s="68">
        <f t="shared" si="118"/>
        <v>0.65834318174811413</v>
      </c>
      <c r="AM176" s="68">
        <f t="shared" si="119"/>
        <v>0.73384481849536243</v>
      </c>
      <c r="AN176" s="68">
        <f t="shared" si="120"/>
        <v>0.81937120605466041</v>
      </c>
      <c r="AO176" s="68">
        <f t="shared" si="121"/>
        <v>0.90313321881504394</v>
      </c>
      <c r="AP176" s="68">
        <f t="shared" si="122"/>
        <v>1</v>
      </c>
      <c r="AQ176" s="92"/>
      <c r="AT176" s="68">
        <f t="shared" si="98"/>
        <v>7.035879035992558E-2</v>
      </c>
      <c r="AU176" s="68">
        <f t="shared" si="99"/>
        <v>0.13858550045285029</v>
      </c>
      <c r="AV176" s="68">
        <f t="shared" si="100"/>
        <v>0.21640982737191894</v>
      </c>
      <c r="AW176" s="68">
        <f t="shared" si="101"/>
        <v>0.27602792278479338</v>
      </c>
      <c r="AX176" s="68">
        <f t="shared" si="102"/>
        <v>0.33778252186771224</v>
      </c>
      <c r="AY176" s="68">
        <f t="shared" si="103"/>
        <v>0.42041823735810874</v>
      </c>
      <c r="AZ176" s="68">
        <f t="shared" si="104"/>
        <v>0.50648265640286183</v>
      </c>
      <c r="BA176" s="68">
        <f t="shared" si="105"/>
        <v>0.602091222177768</v>
      </c>
      <c r="BB176" s="68">
        <f t="shared" si="106"/>
        <v>0.67893896786648944</v>
      </c>
      <c r="BC176" s="68">
        <f t="shared" si="107"/>
        <v>0.77284427575905068</v>
      </c>
      <c r="BD176" s="68">
        <f t="shared" si="108"/>
        <v>0.88121177604727952</v>
      </c>
      <c r="BE176" s="68">
        <f t="shared" si="109"/>
        <v>1</v>
      </c>
      <c r="BG176" s="68">
        <f t="shared" si="95"/>
        <v>8.4993270021959971E-2</v>
      </c>
      <c r="BH176" s="68">
        <f t="shared" si="95"/>
        <v>0.1671303545438648</v>
      </c>
      <c r="BI176" s="68">
        <f t="shared" si="95"/>
        <v>0.24652966078262048</v>
      </c>
      <c r="BJ176" s="68">
        <f t="shared" si="94"/>
        <v>0.31526060548741897</v>
      </c>
      <c r="BK176" s="68">
        <f t="shared" si="94"/>
        <v>0.37786908243552136</v>
      </c>
      <c r="BL176" s="68">
        <f t="shared" si="94"/>
        <v>0.45706785644297543</v>
      </c>
      <c r="BM176" s="68">
        <f t="shared" si="94"/>
        <v>0.54153174747908039</v>
      </c>
      <c r="BN176" s="68">
        <f t="shared" si="94"/>
        <v>0.63021720196294106</v>
      </c>
      <c r="BO176" s="68">
        <f t="shared" si="94"/>
        <v>0.70639189318092588</v>
      </c>
      <c r="BP176" s="68">
        <f t="shared" si="110"/>
        <v>0.79610774090685554</v>
      </c>
      <c r="BQ176" s="68">
        <f t="shared" si="110"/>
        <v>0.89217249743116178</v>
      </c>
      <c r="BR176" s="68">
        <f t="shared" si="110"/>
        <v>1</v>
      </c>
    </row>
    <row r="177" spans="1:70">
      <c r="A177" s="131" t="s">
        <v>143</v>
      </c>
      <c r="B177" s="62">
        <v>371474.49</v>
      </c>
      <c r="C177" s="62">
        <v>231778.66999999998</v>
      </c>
      <c r="D177" s="62">
        <v>129337.14</v>
      </c>
      <c r="E177" s="62">
        <v>237933.15</v>
      </c>
      <c r="F177" s="62">
        <v>145760.25</v>
      </c>
      <c r="G177" s="62">
        <v>165141.49000000005</v>
      </c>
      <c r="H177" s="62">
        <v>194269.71</v>
      </c>
      <c r="I177" s="62">
        <v>180706.38000000003</v>
      </c>
      <c r="J177" s="62">
        <v>149407.53</v>
      </c>
      <c r="K177" s="62">
        <v>205713.88</v>
      </c>
      <c r="L177" s="62">
        <v>172583.83999999997</v>
      </c>
      <c r="M177" s="62">
        <v>221494.94000000003</v>
      </c>
      <c r="N177" s="100">
        <f t="shared" si="96"/>
        <v>2405601.4699999997</v>
      </c>
      <c r="P177" s="131" t="s">
        <v>143</v>
      </c>
      <c r="Q177" s="62">
        <v>353830.77</v>
      </c>
      <c r="R177" s="62">
        <v>134829.67000000001</v>
      </c>
      <c r="S177" s="62">
        <v>236366.44999999998</v>
      </c>
      <c r="T177" s="62">
        <v>111216.18000000002</v>
      </c>
      <c r="U177" s="62">
        <v>218493.93</v>
      </c>
      <c r="V177" s="62">
        <v>175736.38</v>
      </c>
      <c r="W177" s="62">
        <v>188837.28</v>
      </c>
      <c r="X177" s="62">
        <v>254618.71000000002</v>
      </c>
      <c r="Y177" s="62">
        <v>189813.6</v>
      </c>
      <c r="Z177" s="62">
        <v>421145.01000000007</v>
      </c>
      <c r="AA177" s="62">
        <v>308267.85000000003</v>
      </c>
      <c r="AB177" s="62">
        <v>175163.59</v>
      </c>
      <c r="AC177" s="100">
        <f t="shared" si="97"/>
        <v>2768319.42</v>
      </c>
      <c r="AE177" s="68">
        <f t="shared" si="111"/>
        <v>0.1544206281184223</v>
      </c>
      <c r="AF177" s="68">
        <f t="shared" si="112"/>
        <v>0.25077019927161914</v>
      </c>
      <c r="AG177" s="68">
        <f t="shared" si="113"/>
        <v>0.30453518969623844</v>
      </c>
      <c r="AH177" s="68">
        <f t="shared" si="114"/>
        <v>0.40344315635956113</v>
      </c>
      <c r="AI177" s="68">
        <f t="shared" si="115"/>
        <v>0.4640351753692602</v>
      </c>
      <c r="AJ177" s="68">
        <f t="shared" si="116"/>
        <v>0.53268390711450642</v>
      </c>
      <c r="AK177" s="68">
        <f t="shared" si="117"/>
        <v>0.61344113661520172</v>
      </c>
      <c r="AL177" s="68">
        <f t="shared" si="118"/>
        <v>0.6885601379350671</v>
      </c>
      <c r="AM177" s="68">
        <f t="shared" si="119"/>
        <v>0.75066831830627379</v>
      </c>
      <c r="AN177" s="68">
        <f t="shared" si="120"/>
        <v>0.83618284869105941</v>
      </c>
      <c r="AO177" s="68">
        <f t="shared" si="121"/>
        <v>0.90792533893820748</v>
      </c>
      <c r="AP177" s="68">
        <f t="shared" si="122"/>
        <v>1</v>
      </c>
      <c r="AQ177" s="92"/>
      <c r="AT177" s="68">
        <f t="shared" si="98"/>
        <v>0.12781428596848843</v>
      </c>
      <c r="AU177" s="68">
        <f t="shared" si="99"/>
        <v>0.17651880648946214</v>
      </c>
      <c r="AV177" s="68">
        <f t="shared" si="100"/>
        <v>0.26190145716638435</v>
      </c>
      <c r="AW177" s="68">
        <f t="shared" si="101"/>
        <v>0.3020760769001144</v>
      </c>
      <c r="AX177" s="68">
        <f t="shared" si="102"/>
        <v>0.38100263733294187</v>
      </c>
      <c r="AY177" s="68">
        <f t="shared" si="103"/>
        <v>0.44448388835129432</v>
      </c>
      <c r="AZ177" s="68">
        <f t="shared" si="104"/>
        <v>0.51269757736265853</v>
      </c>
      <c r="BA177" s="68">
        <f t="shared" si="105"/>
        <v>0.60467349176057139</v>
      </c>
      <c r="BB177" s="68">
        <f t="shared" si="106"/>
        <v>0.67323985683704091</v>
      </c>
      <c r="BC177" s="68">
        <f t="shared" si="107"/>
        <v>0.82537006513504141</v>
      </c>
      <c r="BD177" s="68">
        <f t="shared" si="108"/>
        <v>0.93672565790836382</v>
      </c>
      <c r="BE177" s="68">
        <f t="shared" si="109"/>
        <v>1</v>
      </c>
      <c r="BG177" s="68">
        <f t="shared" si="95"/>
        <v>0.14111745704345535</v>
      </c>
      <c r="BH177" s="68">
        <f t="shared" si="95"/>
        <v>0.21364450288054065</v>
      </c>
      <c r="BI177" s="68">
        <f t="shared" si="95"/>
        <v>0.28321832343131137</v>
      </c>
      <c r="BJ177" s="68">
        <f t="shared" si="94"/>
        <v>0.35275961662983779</v>
      </c>
      <c r="BK177" s="68">
        <f t="shared" si="94"/>
        <v>0.42251890635110101</v>
      </c>
      <c r="BL177" s="68">
        <f t="shared" si="94"/>
        <v>0.48858389773290034</v>
      </c>
      <c r="BM177" s="68">
        <f t="shared" si="94"/>
        <v>0.56306935698893013</v>
      </c>
      <c r="BN177" s="68">
        <f t="shared" si="94"/>
        <v>0.6466168148478193</v>
      </c>
      <c r="BO177" s="68">
        <f t="shared" si="94"/>
        <v>0.71195408757165735</v>
      </c>
      <c r="BP177" s="68">
        <f t="shared" si="110"/>
        <v>0.83077645691305047</v>
      </c>
      <c r="BQ177" s="68">
        <f t="shared" si="110"/>
        <v>0.92232549842328559</v>
      </c>
      <c r="BR177" s="68">
        <f t="shared" si="110"/>
        <v>1</v>
      </c>
    </row>
    <row r="178" spans="1:70">
      <c r="A178" s="131" t="s">
        <v>144</v>
      </c>
      <c r="B178" s="62">
        <v>8224.2199999999993</v>
      </c>
      <c r="C178" s="62">
        <v>4538.32</v>
      </c>
      <c r="D178" s="62">
        <v>6058.52</v>
      </c>
      <c r="E178" s="62">
        <v>3106.0899999999997</v>
      </c>
      <c r="F178" s="62">
        <v>2353.31</v>
      </c>
      <c r="G178" s="62">
        <v>4214.9800000000005</v>
      </c>
      <c r="H178" s="62">
        <v>4895.1000000000004</v>
      </c>
      <c r="I178" s="62">
        <v>2462.11</v>
      </c>
      <c r="J178" s="62">
        <v>2556.63</v>
      </c>
      <c r="K178" s="62">
        <v>5190.0199999999995</v>
      </c>
      <c r="L178" s="62">
        <v>4060.1</v>
      </c>
      <c r="M178" s="62">
        <v>3642.9100000000003</v>
      </c>
      <c r="N178" s="100">
        <f t="shared" si="96"/>
        <v>51302.31</v>
      </c>
      <c r="P178" s="131" t="s">
        <v>144</v>
      </c>
      <c r="Q178" s="62">
        <v>4369.8900000000003</v>
      </c>
      <c r="R178" s="62">
        <v>3472.5600000000004</v>
      </c>
      <c r="S178" s="62">
        <v>3322.8</v>
      </c>
      <c r="T178" s="62">
        <v>2108.15</v>
      </c>
      <c r="U178" s="62">
        <v>2598.85</v>
      </c>
      <c r="V178" s="62">
        <v>3496.7899999999995</v>
      </c>
      <c r="W178" s="62">
        <v>4052.7799999999997</v>
      </c>
      <c r="X178" s="62">
        <v>4258.83</v>
      </c>
      <c r="Y178" s="62">
        <v>3782.24</v>
      </c>
      <c r="Z178" s="62">
        <v>3831.54</v>
      </c>
      <c r="AA178" s="62">
        <v>3070.96</v>
      </c>
      <c r="AB178" s="62">
        <v>6624.99</v>
      </c>
      <c r="AC178" s="100">
        <f t="shared" si="97"/>
        <v>44990.38</v>
      </c>
      <c r="AE178" s="68">
        <f t="shared" si="111"/>
        <v>0.16030896074660186</v>
      </c>
      <c r="AF178" s="68">
        <f t="shared" si="112"/>
        <v>0.2487712541599004</v>
      </c>
      <c r="AG178" s="68">
        <f t="shared" si="113"/>
        <v>0.36686574152313994</v>
      </c>
      <c r="AH178" s="68">
        <f t="shared" si="114"/>
        <v>0.4274105785879817</v>
      </c>
      <c r="AI178" s="68">
        <f t="shared" si="115"/>
        <v>0.47328200231139689</v>
      </c>
      <c r="AJ178" s="68">
        <f t="shared" si="116"/>
        <v>0.55544165555118274</v>
      </c>
      <c r="AK178" s="68">
        <f t="shared" si="117"/>
        <v>0.65085841163877423</v>
      </c>
      <c r="AL178" s="68">
        <f t="shared" si="118"/>
        <v>0.69885059756568468</v>
      </c>
      <c r="AM178" s="68">
        <f t="shared" si="119"/>
        <v>0.74868519565688174</v>
      </c>
      <c r="AN178" s="68">
        <f t="shared" si="120"/>
        <v>0.84985062076152118</v>
      </c>
      <c r="AO178" s="68">
        <f t="shared" si="121"/>
        <v>0.92899130662927254</v>
      </c>
      <c r="AP178" s="68">
        <f t="shared" si="122"/>
        <v>1</v>
      </c>
      <c r="AQ178" s="92"/>
      <c r="AT178" s="68">
        <f t="shared" si="98"/>
        <v>9.7129430780535764E-2</v>
      </c>
      <c r="AU178" s="68">
        <f t="shared" si="99"/>
        <v>0.17431393111149543</v>
      </c>
      <c r="AV178" s="68">
        <f t="shared" si="100"/>
        <v>0.24816971983788536</v>
      </c>
      <c r="AW178" s="68">
        <f t="shared" si="101"/>
        <v>0.29502751477093547</v>
      </c>
      <c r="AX178" s="68">
        <f t="shared" si="102"/>
        <v>0.35279208577478122</v>
      </c>
      <c r="AY178" s="68">
        <f t="shared" si="103"/>
        <v>0.4305151456822548</v>
      </c>
      <c r="AZ178" s="68">
        <f t="shared" si="104"/>
        <v>0.52059618078353642</v>
      </c>
      <c r="BA178" s="68">
        <f t="shared" si="105"/>
        <v>0.61525708384770261</v>
      </c>
      <c r="BB178" s="68">
        <f t="shared" si="106"/>
        <v>0.69932483344217145</v>
      </c>
      <c r="BC178" s="68">
        <f t="shared" si="107"/>
        <v>0.78448837284770656</v>
      </c>
      <c r="BD178" s="68">
        <f t="shared" si="108"/>
        <v>0.85274652047837785</v>
      </c>
      <c r="BE178" s="68">
        <f t="shared" si="109"/>
        <v>1</v>
      </c>
      <c r="BG178" s="68">
        <f t="shared" si="95"/>
        <v>0.12871919576356883</v>
      </c>
      <c r="BH178" s="68">
        <f t="shared" si="95"/>
        <v>0.21154259263569791</v>
      </c>
      <c r="BI178" s="68">
        <f t="shared" si="95"/>
        <v>0.30751773068051264</v>
      </c>
      <c r="BJ178" s="68">
        <f t="shared" si="94"/>
        <v>0.36121904667945859</v>
      </c>
      <c r="BK178" s="68">
        <f t="shared" si="94"/>
        <v>0.41303704404308905</v>
      </c>
      <c r="BL178" s="68">
        <f t="shared" si="94"/>
        <v>0.49297840061671877</v>
      </c>
      <c r="BM178" s="68">
        <f t="shared" si="94"/>
        <v>0.58572729621115527</v>
      </c>
      <c r="BN178" s="68">
        <f t="shared" si="94"/>
        <v>0.6570538407066937</v>
      </c>
      <c r="BO178" s="68">
        <f t="shared" si="94"/>
        <v>0.72400501454952659</v>
      </c>
      <c r="BP178" s="68">
        <f t="shared" si="110"/>
        <v>0.81716949680461393</v>
      </c>
      <c r="BQ178" s="68">
        <f t="shared" si="110"/>
        <v>0.89086891355382525</v>
      </c>
      <c r="BR178" s="68">
        <f t="shared" si="110"/>
        <v>1</v>
      </c>
    </row>
    <row r="179" spans="1:70">
      <c r="A179" s="131" t="s">
        <v>145</v>
      </c>
      <c r="B179" s="62">
        <v>1673.58</v>
      </c>
      <c r="C179" s="62">
        <v>2120.9</v>
      </c>
      <c r="D179" s="62">
        <v>1382.4199999999998</v>
      </c>
      <c r="E179" s="62">
        <v>1751.8899999999999</v>
      </c>
      <c r="F179" s="62">
        <v>1305.6599999999999</v>
      </c>
      <c r="G179" s="62">
        <v>3016.92</v>
      </c>
      <c r="H179" s="62">
        <v>2699.41</v>
      </c>
      <c r="I179" s="62">
        <v>3514.82</v>
      </c>
      <c r="J179" s="62">
        <v>2342.98</v>
      </c>
      <c r="K179" s="62">
        <v>4315.84</v>
      </c>
      <c r="L179" s="62">
        <v>4941.1499999999996</v>
      </c>
      <c r="M179" s="62">
        <v>4204.12</v>
      </c>
      <c r="N179" s="100">
        <f t="shared" si="96"/>
        <v>33269.69</v>
      </c>
      <c r="P179" s="131" t="s">
        <v>145</v>
      </c>
      <c r="Q179" s="62">
        <v>2482.61</v>
      </c>
      <c r="R179" s="62">
        <v>1640.44</v>
      </c>
      <c r="S179" s="62">
        <v>2445.3199999999997</v>
      </c>
      <c r="T179" s="62">
        <v>1148.8699999999999</v>
      </c>
      <c r="U179" s="62">
        <v>1573.44</v>
      </c>
      <c r="V179" s="62">
        <v>1473.06</v>
      </c>
      <c r="W179" s="62">
        <v>2324.16</v>
      </c>
      <c r="X179" s="62">
        <v>2783.7099999999996</v>
      </c>
      <c r="Y179" s="62">
        <v>3113.3099999999995</v>
      </c>
      <c r="Z179" s="62">
        <v>4862.92</v>
      </c>
      <c r="AA179" s="62">
        <v>3650.08</v>
      </c>
      <c r="AB179" s="62">
        <v>2998.04</v>
      </c>
      <c r="AC179" s="100">
        <f t="shared" si="97"/>
        <v>30495.96</v>
      </c>
      <c r="AE179" s="68">
        <f t="shared" si="111"/>
        <v>5.0303444366328623E-2</v>
      </c>
      <c r="AF179" s="68">
        <f t="shared" si="112"/>
        <v>0.11405215978868453</v>
      </c>
      <c r="AG179" s="68">
        <f t="shared" si="113"/>
        <v>0.15560409489838947</v>
      </c>
      <c r="AH179" s="68">
        <f t="shared" si="114"/>
        <v>0.20826133336379143</v>
      </c>
      <c r="AI179" s="68">
        <f t="shared" si="115"/>
        <v>0.24750606332670963</v>
      </c>
      <c r="AJ179" s="68">
        <f t="shared" si="116"/>
        <v>0.33818680005734947</v>
      </c>
      <c r="AK179" s="68">
        <f t="shared" si="117"/>
        <v>0.41932401534249336</v>
      </c>
      <c r="AL179" s="68">
        <f t="shared" si="118"/>
        <v>0.52497032584313219</v>
      </c>
      <c r="AM179" s="68">
        <f t="shared" si="119"/>
        <v>0.59539418611955797</v>
      </c>
      <c r="AN179" s="68">
        <f t="shared" si="120"/>
        <v>0.72511706601414072</v>
      </c>
      <c r="AO179" s="68">
        <f t="shared" si="121"/>
        <v>0.87363513155668115</v>
      </c>
      <c r="AP179" s="68">
        <f t="shared" si="122"/>
        <v>1</v>
      </c>
      <c r="AQ179" s="92"/>
      <c r="AT179" s="68">
        <f t="shared" si="98"/>
        <v>8.1407832381731882E-2</v>
      </c>
      <c r="AU179" s="68">
        <f t="shared" si="99"/>
        <v>0.13519987565566063</v>
      </c>
      <c r="AV179" s="68">
        <f t="shared" si="100"/>
        <v>0.21538492311768509</v>
      </c>
      <c r="AW179" s="68">
        <f t="shared" si="101"/>
        <v>0.25305778207998697</v>
      </c>
      <c r="AX179" s="68">
        <f t="shared" si="102"/>
        <v>0.30465281302834868</v>
      </c>
      <c r="AY179" s="68">
        <f t="shared" si="103"/>
        <v>0.35295626043580852</v>
      </c>
      <c r="AZ179" s="68">
        <f t="shared" si="104"/>
        <v>0.42916832262371801</v>
      </c>
      <c r="BA179" s="68">
        <f t="shared" si="105"/>
        <v>0.5204495939790057</v>
      </c>
      <c r="BB179" s="68">
        <f t="shared" si="106"/>
        <v>0.62253885432693379</v>
      </c>
      <c r="BC179" s="68">
        <f t="shared" si="107"/>
        <v>0.78199997639031527</v>
      </c>
      <c r="BD179" s="68">
        <f t="shared" si="108"/>
        <v>0.90169058458890949</v>
      </c>
      <c r="BE179" s="68">
        <f t="shared" si="109"/>
        <v>1</v>
      </c>
      <c r="BG179" s="68">
        <f t="shared" si="95"/>
        <v>6.5855638374030245E-2</v>
      </c>
      <c r="BH179" s="68">
        <f t="shared" si="95"/>
        <v>0.12462601772217258</v>
      </c>
      <c r="BI179" s="68">
        <f t="shared" si="95"/>
        <v>0.18549450900803727</v>
      </c>
      <c r="BJ179" s="68">
        <f t="shared" si="94"/>
        <v>0.2306595577218892</v>
      </c>
      <c r="BK179" s="68">
        <f t="shared" si="94"/>
        <v>0.27607943817752917</v>
      </c>
      <c r="BL179" s="68">
        <f t="shared" si="94"/>
        <v>0.345571530246579</v>
      </c>
      <c r="BM179" s="68">
        <f t="shared" si="94"/>
        <v>0.42424616898310569</v>
      </c>
      <c r="BN179" s="68">
        <f t="shared" si="94"/>
        <v>0.52270995991106894</v>
      </c>
      <c r="BO179" s="68">
        <f t="shared" si="94"/>
        <v>0.60896652022324593</v>
      </c>
      <c r="BP179" s="68">
        <f t="shared" si="110"/>
        <v>0.75355852120222799</v>
      </c>
      <c r="BQ179" s="68">
        <f t="shared" si="110"/>
        <v>0.88766285807279532</v>
      </c>
      <c r="BR179" s="68">
        <f t="shared" si="110"/>
        <v>1</v>
      </c>
    </row>
    <row r="180" spans="1:70">
      <c r="BG180"/>
      <c r="BH180"/>
      <c r="BI180"/>
      <c r="BJ180"/>
      <c r="BK180"/>
      <c r="BL180"/>
      <c r="BM180"/>
      <c r="BN180"/>
      <c r="BO180"/>
      <c r="BP180"/>
      <c r="BQ180"/>
      <c r="BR180"/>
    </row>
  </sheetData>
  <mergeCells count="30">
    <mergeCell ref="BG151:BR151"/>
    <mergeCell ref="BG1:BR1"/>
    <mergeCell ref="BG31:BR31"/>
    <mergeCell ref="BG61:BR61"/>
    <mergeCell ref="BG91:BR91"/>
    <mergeCell ref="BG121:BR121"/>
    <mergeCell ref="AE61:AP61"/>
    <mergeCell ref="AE91:AP91"/>
    <mergeCell ref="AE121:AP121"/>
    <mergeCell ref="AE151:AP151"/>
    <mergeCell ref="AT31:BE31"/>
    <mergeCell ref="AT61:BE61"/>
    <mergeCell ref="AT91:BE91"/>
    <mergeCell ref="AT121:BE121"/>
    <mergeCell ref="AT151:BE151"/>
    <mergeCell ref="B61:N61"/>
    <mergeCell ref="B91:N91"/>
    <mergeCell ref="B121:N121"/>
    <mergeCell ref="B151:N151"/>
    <mergeCell ref="Q61:AC61"/>
    <mergeCell ref="Q91:AC91"/>
    <mergeCell ref="Q121:AC121"/>
    <mergeCell ref="Q151:AC151"/>
    <mergeCell ref="AE1:AP1"/>
    <mergeCell ref="AT1:BE1"/>
    <mergeCell ref="B1:N1"/>
    <mergeCell ref="B31:N31"/>
    <mergeCell ref="Q1:AC1"/>
    <mergeCell ref="Q31:AC31"/>
    <mergeCell ref="AE31:AP31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59999389629810485"/>
  </sheetPr>
  <dimension ref="A1:BR180"/>
  <sheetViews>
    <sheetView topLeftCell="AD1" zoomScale="70" zoomScaleNormal="70" workbookViewId="0">
      <selection activeCell="AG5" sqref="AG5"/>
    </sheetView>
  </sheetViews>
  <sheetFormatPr defaultRowHeight="15"/>
  <cols>
    <col min="1" max="1" width="6.140625" customWidth="1"/>
    <col min="2" max="14" width="14.42578125" customWidth="1"/>
    <col min="15" max="15" width="3.5703125" customWidth="1"/>
    <col min="16" max="16" width="6.140625" customWidth="1"/>
    <col min="17" max="29" width="14.140625" customWidth="1"/>
    <col min="30" max="30" width="3.5703125" customWidth="1"/>
    <col min="31" max="41" width="12.85546875" customWidth="1"/>
    <col min="42" max="42" width="13" customWidth="1"/>
    <col min="43" max="45" width="3.5703125" customWidth="1"/>
    <col min="46" max="57" width="13" customWidth="1"/>
    <col min="58" max="58" width="3.5703125" customWidth="1"/>
    <col min="59" max="70" width="12.85546875" style="92" customWidth="1"/>
  </cols>
  <sheetData>
    <row r="1" spans="1:70">
      <c r="B1" s="317" t="s">
        <v>234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Q1" s="317" t="s">
        <v>176</v>
      </c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E1" s="316" t="s">
        <v>177</v>
      </c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T1" s="316" t="s">
        <v>178</v>
      </c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G1" s="316" t="s">
        <v>241</v>
      </c>
      <c r="BH1" s="316"/>
      <c r="BI1" s="316"/>
      <c r="BJ1" s="316"/>
      <c r="BK1" s="316"/>
      <c r="BL1" s="316"/>
      <c r="BM1" s="316"/>
      <c r="BN1" s="316"/>
      <c r="BO1" s="316"/>
      <c r="BP1" s="316"/>
      <c r="BQ1" s="316"/>
      <c r="BR1" s="316"/>
    </row>
    <row r="2" spans="1:70">
      <c r="B2" s="239" t="s">
        <v>163</v>
      </c>
      <c r="C2" s="239" t="s">
        <v>179</v>
      </c>
      <c r="D2" s="239" t="s">
        <v>180</v>
      </c>
      <c r="E2" s="239" t="s">
        <v>181</v>
      </c>
      <c r="F2" s="239" t="s">
        <v>182</v>
      </c>
      <c r="G2" s="239" t="s">
        <v>183</v>
      </c>
      <c r="H2" s="239" t="s">
        <v>184</v>
      </c>
      <c r="I2" s="239" t="s">
        <v>185</v>
      </c>
      <c r="J2" s="239" t="s">
        <v>186</v>
      </c>
      <c r="K2" s="239" t="s">
        <v>187</v>
      </c>
      <c r="L2" s="239" t="s">
        <v>188</v>
      </c>
      <c r="M2" s="239" t="s">
        <v>189</v>
      </c>
      <c r="N2" s="239" t="s">
        <v>160</v>
      </c>
      <c r="Q2" s="239" t="s">
        <v>163</v>
      </c>
      <c r="R2" s="239" t="s">
        <v>179</v>
      </c>
      <c r="S2" s="239" t="s">
        <v>180</v>
      </c>
      <c r="T2" s="239" t="s">
        <v>181</v>
      </c>
      <c r="U2" s="239" t="s">
        <v>182</v>
      </c>
      <c r="V2" s="239" t="s">
        <v>183</v>
      </c>
      <c r="W2" s="239" t="s">
        <v>184</v>
      </c>
      <c r="X2" s="239" t="s">
        <v>185</v>
      </c>
      <c r="Y2" s="239" t="s">
        <v>186</v>
      </c>
      <c r="Z2" s="239" t="s">
        <v>187</v>
      </c>
      <c r="AA2" s="239" t="s">
        <v>188</v>
      </c>
      <c r="AB2" s="239" t="s">
        <v>189</v>
      </c>
      <c r="AC2" s="239" t="s">
        <v>160</v>
      </c>
      <c r="AE2" s="239" t="s">
        <v>190</v>
      </c>
      <c r="AF2" s="239" t="s">
        <v>191</v>
      </c>
      <c r="AG2" s="239" t="s">
        <v>238</v>
      </c>
      <c r="AH2" s="239" t="s">
        <v>239</v>
      </c>
      <c r="AI2" s="239" t="s">
        <v>240</v>
      </c>
      <c r="AJ2" s="239" t="s">
        <v>195</v>
      </c>
      <c r="AK2" s="239" t="s">
        <v>196</v>
      </c>
      <c r="AL2" s="239" t="s">
        <v>197</v>
      </c>
      <c r="AM2" s="239" t="s">
        <v>198</v>
      </c>
      <c r="AN2" s="239" t="s">
        <v>199</v>
      </c>
      <c r="AO2" s="239" t="s">
        <v>200</v>
      </c>
      <c r="AP2" s="239" t="s">
        <v>201</v>
      </c>
      <c r="AT2" s="239" t="s">
        <v>190</v>
      </c>
      <c r="AU2" s="239" t="s">
        <v>191</v>
      </c>
      <c r="AV2" s="239" t="s">
        <v>238</v>
      </c>
      <c r="AW2" s="239" t="s">
        <v>239</v>
      </c>
      <c r="AX2" s="239" t="s">
        <v>240</v>
      </c>
      <c r="AY2" s="239" t="s">
        <v>195</v>
      </c>
      <c r="AZ2" s="239" t="s">
        <v>196</v>
      </c>
      <c r="BA2" s="239" t="s">
        <v>197</v>
      </c>
      <c r="BB2" s="239" t="s">
        <v>198</v>
      </c>
      <c r="BC2" s="239" t="s">
        <v>199</v>
      </c>
      <c r="BD2" s="239" t="s">
        <v>200</v>
      </c>
      <c r="BE2" s="239" t="s">
        <v>201</v>
      </c>
      <c r="BG2" s="239" t="s">
        <v>190</v>
      </c>
      <c r="BH2" s="239" t="s">
        <v>191</v>
      </c>
      <c r="BI2" s="239" t="s">
        <v>238</v>
      </c>
      <c r="BJ2" s="239" t="s">
        <v>239</v>
      </c>
      <c r="BK2" s="239" t="s">
        <v>240</v>
      </c>
      <c r="BL2" s="239" t="s">
        <v>195</v>
      </c>
      <c r="BM2" s="239" t="s">
        <v>196</v>
      </c>
      <c r="BN2" s="239" t="s">
        <v>197</v>
      </c>
      <c r="BO2" s="239" t="s">
        <v>198</v>
      </c>
      <c r="BP2" s="239" t="s">
        <v>199</v>
      </c>
      <c r="BQ2" s="239" t="s">
        <v>200</v>
      </c>
      <c r="BR2" s="239" t="s">
        <v>201</v>
      </c>
    </row>
    <row r="3" spans="1:70">
      <c r="A3" s="239" t="s">
        <v>119</v>
      </c>
      <c r="B3" s="62">
        <v>19812.34</v>
      </c>
      <c r="C3" s="62">
        <v>21112.52</v>
      </c>
      <c r="D3" s="62">
        <v>18789.150000000001</v>
      </c>
      <c r="E3" s="62">
        <v>15928.68</v>
      </c>
      <c r="F3" s="62">
        <v>14537.58</v>
      </c>
      <c r="G3" s="62">
        <v>11411.6</v>
      </c>
      <c r="H3" s="62">
        <v>7111.58</v>
      </c>
      <c r="I3" s="62">
        <v>8214.3700000000008</v>
      </c>
      <c r="J3" s="62">
        <v>5449.81</v>
      </c>
      <c r="K3" s="62">
        <v>4810.78</v>
      </c>
      <c r="L3" s="62">
        <v>2609.94</v>
      </c>
      <c r="M3" s="62">
        <v>3205.66</v>
      </c>
      <c r="N3" s="100">
        <f t="shared" ref="N3:N66" si="0">SUM(B3:M3)</f>
        <v>132994.01</v>
      </c>
      <c r="P3" s="239" t="s">
        <v>119</v>
      </c>
      <c r="Q3" s="62">
        <v>16935.78</v>
      </c>
      <c r="R3" s="62">
        <v>27266.25</v>
      </c>
      <c r="S3" s="62">
        <v>10096</v>
      </c>
      <c r="T3" s="62">
        <v>11501.65</v>
      </c>
      <c r="U3" s="62">
        <v>16802.73</v>
      </c>
      <c r="V3" s="62">
        <v>11663.61</v>
      </c>
      <c r="W3" s="62">
        <v>4501.7299999999996</v>
      </c>
      <c r="X3" s="62">
        <v>5782.63</v>
      </c>
      <c r="Y3" s="62">
        <v>5814.48</v>
      </c>
      <c r="Z3" s="62">
        <v>4893.01</v>
      </c>
      <c r="AA3" s="62">
        <v>3669.87</v>
      </c>
      <c r="AB3" s="62">
        <v>3704.44</v>
      </c>
      <c r="AC3" s="100">
        <f>SUM(Q3:AB3)</f>
        <v>122632.17999999998</v>
      </c>
      <c r="AE3" s="68">
        <f t="shared" ref="AE3:AE29" si="1">B3/N3</f>
        <v>0.14897167173168174</v>
      </c>
      <c r="AF3" s="68">
        <f t="shared" ref="AF3:AF29" si="2">SUM(B3:C3)/$N3</f>
        <v>0.30771957323491483</v>
      </c>
      <c r="AG3" s="68">
        <f t="shared" ref="AG3:AG29" si="3">SUM(B3:D3)/$N3</f>
        <v>0.44899774057493264</v>
      </c>
      <c r="AH3" s="68">
        <f t="shared" ref="AH3:AH29" si="4">SUM(B3:E3)/$N3</f>
        <v>0.56876764600150032</v>
      </c>
      <c r="AI3" s="68">
        <f t="shared" ref="AI3:AI29" si="5">SUM(B3:F3)/$N3</f>
        <v>0.67807768184446804</v>
      </c>
      <c r="AJ3" s="68">
        <f t="shared" ref="AJ3:AJ29" si="6">SUM(B3:G3)/$N3</f>
        <v>0.7638830500712025</v>
      </c>
      <c r="AK3" s="68">
        <f t="shared" ref="AK3:AK29" si="7">SUM(B3:H3)/$N3</f>
        <v>0.81735598467931003</v>
      </c>
      <c r="AL3" s="68">
        <f t="shared" ref="AL3:AL29" si="8">SUM(B3:I3)/$N3</f>
        <v>0.87912094687572773</v>
      </c>
      <c r="AM3" s="68">
        <f t="shared" ref="AM3:AM29" si="9">SUM(B3:J3)/$N3</f>
        <v>0.92009880745756889</v>
      </c>
      <c r="AN3" s="68">
        <f t="shared" ref="AN3:AN29" si="10">SUM(B3:K3)/$N3</f>
        <v>0.95627171479377149</v>
      </c>
      <c r="AO3" s="68">
        <f t="shared" ref="AO3:AO29" si="11">SUM(B3:L3)/$N3</f>
        <v>0.97589620765626961</v>
      </c>
      <c r="AP3" s="68">
        <f t="shared" ref="AP3:AP29" si="12">SUM(B3:M3)/$N3</f>
        <v>1</v>
      </c>
      <c r="AQ3" s="92"/>
      <c r="AT3" s="68">
        <f>Q3/AC3</f>
        <v>0.13810225015978678</v>
      </c>
      <c r="AU3" s="68">
        <f>SUM(Q3:R3)/$AC3</f>
        <v>0.36044397155787339</v>
      </c>
      <c r="AV3" s="68">
        <f>SUM(Q3:S3)/$AC3</f>
        <v>0.44277146504286241</v>
      </c>
      <c r="AW3" s="68">
        <f>SUM(Q3:T3)/$AC3</f>
        <v>0.5365612843219455</v>
      </c>
      <c r="AX3" s="68">
        <f>SUM(Q3:U3)/$AC3</f>
        <v>0.67357858271784787</v>
      </c>
      <c r="AY3" s="68">
        <f>SUM(Q3:V3)/$AC3</f>
        <v>0.76868909938647434</v>
      </c>
      <c r="AZ3" s="68">
        <f>SUM(Q3:W3)/$AC3</f>
        <v>0.80539830573019255</v>
      </c>
      <c r="BA3" s="68">
        <f>SUM(Q3:X3)/$AC3</f>
        <v>0.8525525681758247</v>
      </c>
      <c r="BB3" s="68">
        <f>SUM(Q3:Y3)/$AC3</f>
        <v>0.89996655037853857</v>
      </c>
      <c r="BC3" s="68">
        <f>SUM(Q3:Z3)/$AC3</f>
        <v>0.93986643636278833</v>
      </c>
      <c r="BD3" s="68">
        <f>SUM(Q3:AA3)/$AC3</f>
        <v>0.96979226822845355</v>
      </c>
      <c r="BE3" s="68">
        <f>SUM(Q3:AB3)/$AC3</f>
        <v>1</v>
      </c>
      <c r="BG3" s="68">
        <f>(AE3+AT3)/2</f>
        <v>0.14353696094573426</v>
      </c>
      <c r="BH3" s="68">
        <f t="shared" ref="BH3:BR18" si="13">(AF3+AU3)/2</f>
        <v>0.33408177239639414</v>
      </c>
      <c r="BI3" s="68">
        <f t="shared" si="13"/>
        <v>0.44588460280889752</v>
      </c>
      <c r="BJ3" s="68">
        <f t="shared" si="13"/>
        <v>0.55266446516172296</v>
      </c>
      <c r="BK3" s="68">
        <f t="shared" si="13"/>
        <v>0.6758281322811579</v>
      </c>
      <c r="BL3" s="68">
        <f t="shared" si="13"/>
        <v>0.76628607472883847</v>
      </c>
      <c r="BM3" s="68">
        <f t="shared" si="13"/>
        <v>0.81137714520475135</v>
      </c>
      <c r="BN3" s="68">
        <f t="shared" si="13"/>
        <v>0.86583675752577616</v>
      </c>
      <c r="BO3" s="68">
        <f t="shared" si="13"/>
        <v>0.91003267891805373</v>
      </c>
      <c r="BP3" s="68">
        <f t="shared" si="13"/>
        <v>0.94806907557827991</v>
      </c>
      <c r="BQ3" s="68">
        <f t="shared" si="13"/>
        <v>0.97284423794236163</v>
      </c>
      <c r="BR3" s="68">
        <f t="shared" si="13"/>
        <v>1</v>
      </c>
    </row>
    <row r="4" spans="1:70">
      <c r="A4" s="239" t="s">
        <v>120</v>
      </c>
      <c r="B4" s="62">
        <v>82159.570000000007</v>
      </c>
      <c r="C4" s="62">
        <v>85327.87</v>
      </c>
      <c r="D4" s="62">
        <v>73002.100000000006</v>
      </c>
      <c r="E4" s="62">
        <v>46053.47</v>
      </c>
      <c r="F4" s="62">
        <v>56282.27</v>
      </c>
      <c r="G4" s="62">
        <v>51264.53</v>
      </c>
      <c r="H4" s="62">
        <v>15249.210000000001</v>
      </c>
      <c r="I4" s="62">
        <v>15587.62</v>
      </c>
      <c r="J4" s="62">
        <v>12284.18</v>
      </c>
      <c r="K4" s="62">
        <v>11079.87</v>
      </c>
      <c r="L4" s="62">
        <v>12809.8</v>
      </c>
      <c r="M4" s="62">
        <v>10150.6</v>
      </c>
      <c r="N4" s="100">
        <f t="shared" si="0"/>
        <v>471251.09</v>
      </c>
      <c r="P4" s="239" t="s">
        <v>120</v>
      </c>
      <c r="Q4" s="62">
        <v>78370.84</v>
      </c>
      <c r="R4" s="62">
        <v>120876.9</v>
      </c>
      <c r="S4" s="62">
        <v>40599.399999999994</v>
      </c>
      <c r="T4" s="62">
        <v>39292.25</v>
      </c>
      <c r="U4" s="62">
        <v>62018.89</v>
      </c>
      <c r="V4" s="62">
        <v>51425.36</v>
      </c>
      <c r="W4" s="62">
        <v>13872.869999999999</v>
      </c>
      <c r="X4" s="62">
        <v>15263.59</v>
      </c>
      <c r="Y4" s="62">
        <v>13113.52</v>
      </c>
      <c r="Z4" s="62">
        <v>12445.32</v>
      </c>
      <c r="AA4" s="62">
        <v>13139.93</v>
      </c>
      <c r="AB4" s="62">
        <v>9817.1299999999992</v>
      </c>
      <c r="AC4" s="100">
        <f t="shared" ref="AC4:AC67" si="14">SUM(Q4:AB4)</f>
        <v>470236.00000000006</v>
      </c>
      <c r="AE4" s="68">
        <f t="shared" si="1"/>
        <v>0.17434351186328292</v>
      </c>
      <c r="AF4" s="68">
        <f t="shared" si="2"/>
        <v>0.35541019119976996</v>
      </c>
      <c r="AG4" s="68">
        <f t="shared" si="3"/>
        <v>0.51032145092757242</v>
      </c>
      <c r="AH4" s="68">
        <f t="shared" si="4"/>
        <v>0.60804742117413457</v>
      </c>
      <c r="AI4" s="68">
        <f t="shared" si="5"/>
        <v>0.72747901760821398</v>
      </c>
      <c r="AJ4" s="68">
        <f t="shared" si="6"/>
        <v>0.83626291453246304</v>
      </c>
      <c r="AK4" s="68">
        <f t="shared" si="7"/>
        <v>0.86862190599919897</v>
      </c>
      <c r="AL4" s="68">
        <f t="shared" si="8"/>
        <v>0.90169900721078444</v>
      </c>
      <c r="AM4" s="68">
        <f t="shared" si="9"/>
        <v>0.92776617238169157</v>
      </c>
      <c r="AN4" s="68">
        <f t="shared" si="10"/>
        <v>0.95127777847686257</v>
      </c>
      <c r="AO4" s="68">
        <f t="shared" si="11"/>
        <v>0.97846031507322351</v>
      </c>
      <c r="AP4" s="68">
        <f t="shared" si="12"/>
        <v>1</v>
      </c>
      <c r="AQ4" s="92"/>
      <c r="AT4" s="68">
        <f t="shared" ref="AT4:AT67" si="15">Q4/AC4</f>
        <v>0.16666278209239613</v>
      </c>
      <c r="AU4" s="68">
        <f t="shared" ref="AU4:AU67" si="16">SUM(Q4:R4)/$AC4</f>
        <v>0.4237186008727532</v>
      </c>
      <c r="AV4" s="68">
        <f t="shared" ref="AV4:AV67" si="17">SUM(Q4:S4)/$AC4</f>
        <v>0.51005695012717012</v>
      </c>
      <c r="AW4" s="68">
        <f t="shared" ref="AW4:AW67" si="18">SUM(Q4:T4)/$AC4</f>
        <v>0.59361552497044034</v>
      </c>
      <c r="AX4" s="68">
        <f t="shared" ref="AX4:AX67" si="19">SUM(Q4:U4)/$AC4</f>
        <v>0.72550438503219661</v>
      </c>
      <c r="AY4" s="68">
        <f t="shared" ref="AY4:AY67" si="20">SUM(Q4:V4)/$AC4</f>
        <v>0.83486513155096587</v>
      </c>
      <c r="AZ4" s="68">
        <f t="shared" ref="AZ4:AZ67" si="21">SUM(Q4:W4)/$AC4</f>
        <v>0.86436706249627837</v>
      </c>
      <c r="BA4" s="68">
        <f t="shared" ref="BA4:BA67" si="22">SUM(Q4:X4)/$AC4</f>
        <v>0.89682648712561353</v>
      </c>
      <c r="BB4" s="68">
        <f t="shared" ref="BB4:BB67" si="23">SUM(Q4:Y4)/$AC4</f>
        <v>0.92471359062258096</v>
      </c>
      <c r="BC4" s="68">
        <f t="shared" ref="BC4:BC67" si="24">SUM(Q4:Z4)/$AC4</f>
        <v>0.95117970550957398</v>
      </c>
      <c r="BD4" s="68">
        <f t="shared" ref="BD4:BD67" si="25">SUM(Q4:AA4)/$AC4</f>
        <v>0.97912297229476264</v>
      </c>
      <c r="BE4" s="68">
        <f t="shared" ref="BE4:BE67" si="26">SUM(Q4:AB4)/$AC4</f>
        <v>1</v>
      </c>
      <c r="BG4" s="68">
        <f t="shared" ref="BG4:BR41" si="27">(AE4+AT4)/2</f>
        <v>0.17050314697783953</v>
      </c>
      <c r="BH4" s="68">
        <f t="shared" si="13"/>
        <v>0.38956439603626158</v>
      </c>
      <c r="BI4" s="68">
        <f t="shared" si="13"/>
        <v>0.51018920052737127</v>
      </c>
      <c r="BJ4" s="68">
        <f t="shared" si="13"/>
        <v>0.60083147307228746</v>
      </c>
      <c r="BK4" s="68">
        <f t="shared" si="13"/>
        <v>0.72649170132020524</v>
      </c>
      <c r="BL4" s="68">
        <f t="shared" si="13"/>
        <v>0.83556402304171451</v>
      </c>
      <c r="BM4" s="68">
        <f t="shared" si="13"/>
        <v>0.86649448424773867</v>
      </c>
      <c r="BN4" s="68">
        <f t="shared" si="13"/>
        <v>0.89926274716819898</v>
      </c>
      <c r="BO4" s="68">
        <f t="shared" si="13"/>
        <v>0.92623988150213621</v>
      </c>
      <c r="BP4" s="68">
        <f t="shared" si="13"/>
        <v>0.95122874199321827</v>
      </c>
      <c r="BQ4" s="68">
        <f t="shared" si="13"/>
        <v>0.97879164368399307</v>
      </c>
      <c r="BR4" s="68">
        <f t="shared" si="13"/>
        <v>1</v>
      </c>
    </row>
    <row r="5" spans="1:70">
      <c r="A5" s="239" t="s">
        <v>121</v>
      </c>
      <c r="B5" s="62">
        <v>18241.830000000002</v>
      </c>
      <c r="C5" s="62">
        <v>19021.66</v>
      </c>
      <c r="D5" s="62">
        <v>19278.52</v>
      </c>
      <c r="E5" s="62">
        <v>15118.4</v>
      </c>
      <c r="F5" s="62">
        <v>15454.260000000002</v>
      </c>
      <c r="G5" s="62">
        <v>20771.330000000002</v>
      </c>
      <c r="H5" s="62">
        <v>6956.4</v>
      </c>
      <c r="I5" s="62">
        <v>5764.06</v>
      </c>
      <c r="J5" s="62">
        <v>4185.72</v>
      </c>
      <c r="K5" s="62">
        <v>4580.22</v>
      </c>
      <c r="L5" s="62">
        <v>2980.29</v>
      </c>
      <c r="M5" s="62">
        <v>6289.17</v>
      </c>
      <c r="N5" s="100">
        <f t="shared" si="0"/>
        <v>138641.86000000002</v>
      </c>
      <c r="P5" s="239" t="s">
        <v>121</v>
      </c>
      <c r="Q5" s="62">
        <v>15824.45</v>
      </c>
      <c r="R5" s="62">
        <v>23092.239999999998</v>
      </c>
      <c r="S5" s="62">
        <v>14191.66</v>
      </c>
      <c r="T5" s="62">
        <v>11771.61</v>
      </c>
      <c r="U5" s="62">
        <v>12236.97</v>
      </c>
      <c r="V5" s="62">
        <v>20730.730000000003</v>
      </c>
      <c r="W5" s="62">
        <v>7453.22</v>
      </c>
      <c r="X5" s="62">
        <v>7572.6900000000005</v>
      </c>
      <c r="Y5" s="62">
        <v>9324.4</v>
      </c>
      <c r="Z5" s="62">
        <v>6930.1</v>
      </c>
      <c r="AA5" s="62">
        <v>4188.0200000000004</v>
      </c>
      <c r="AB5" s="62">
        <v>3657.3599999999997</v>
      </c>
      <c r="AC5" s="100">
        <f t="shared" si="14"/>
        <v>136973.44999999998</v>
      </c>
      <c r="AE5" s="68">
        <f t="shared" si="1"/>
        <v>0.13157519669744766</v>
      </c>
      <c r="AF5" s="68">
        <f t="shared" si="2"/>
        <v>0.26877517367409814</v>
      </c>
      <c r="AG5" s="68">
        <f t="shared" si="3"/>
        <v>0.40782783785503168</v>
      </c>
      <c r="AH5" s="68">
        <f t="shared" si="4"/>
        <v>0.51687426870932052</v>
      </c>
      <c r="AI5" s="68">
        <f t="shared" si="5"/>
        <v>0.6283432002426973</v>
      </c>
      <c r="AJ5" s="68">
        <f t="shared" si="6"/>
        <v>0.77816324737709086</v>
      </c>
      <c r="AK5" s="68">
        <f t="shared" si="7"/>
        <v>0.8283385696066109</v>
      </c>
      <c r="AL5" s="68">
        <f t="shared" si="8"/>
        <v>0.86991374755070361</v>
      </c>
      <c r="AM5" s="68">
        <f t="shared" si="9"/>
        <v>0.90010462929450019</v>
      </c>
      <c r="AN5" s="68">
        <f t="shared" si="10"/>
        <v>0.93314097199792323</v>
      </c>
      <c r="AO5" s="68">
        <f t="shared" si="11"/>
        <v>0.95463729352736604</v>
      </c>
      <c r="AP5" s="68">
        <f t="shared" si="12"/>
        <v>1</v>
      </c>
      <c r="AQ5" s="92"/>
      <c r="AT5" s="68">
        <f t="shared" si="15"/>
        <v>0.11552932338347324</v>
      </c>
      <c r="AU5" s="68">
        <f t="shared" si="16"/>
        <v>0.28411849157628727</v>
      </c>
      <c r="AV5" s="68">
        <f t="shared" si="17"/>
        <v>0.38772732963943024</v>
      </c>
      <c r="AW5" s="68">
        <f t="shared" si="18"/>
        <v>0.47366814517703987</v>
      </c>
      <c r="AX5" s="68">
        <f t="shared" si="19"/>
        <v>0.56300640744611463</v>
      </c>
      <c r="AY5" s="68">
        <f t="shared" si="20"/>
        <v>0.71435493520824667</v>
      </c>
      <c r="AZ5" s="68">
        <f t="shared" si="21"/>
        <v>0.76876854602114508</v>
      </c>
      <c r="BA5" s="68">
        <f t="shared" si="22"/>
        <v>0.8240543696606899</v>
      </c>
      <c r="BB5" s="68">
        <f t="shared" si="23"/>
        <v>0.89212887607050873</v>
      </c>
      <c r="BC5" s="68">
        <f t="shared" si="24"/>
        <v>0.94272335259132356</v>
      </c>
      <c r="BD5" s="68">
        <f t="shared" si="25"/>
        <v>0.97329876702382845</v>
      </c>
      <c r="BE5" s="68">
        <f t="shared" si="26"/>
        <v>1</v>
      </c>
      <c r="BG5" s="68">
        <f t="shared" si="27"/>
        <v>0.12355226004046045</v>
      </c>
      <c r="BH5" s="68">
        <f t="shared" si="13"/>
        <v>0.27644683262519271</v>
      </c>
      <c r="BI5" s="68">
        <f t="shared" si="13"/>
        <v>0.39777758374723093</v>
      </c>
      <c r="BJ5" s="68">
        <f t="shared" si="13"/>
        <v>0.49527120694318016</v>
      </c>
      <c r="BK5" s="68">
        <f t="shared" si="13"/>
        <v>0.59567480384440596</v>
      </c>
      <c r="BL5" s="68">
        <f t="shared" si="13"/>
        <v>0.74625909129266876</v>
      </c>
      <c r="BM5" s="68">
        <f t="shared" si="13"/>
        <v>0.79855355781387805</v>
      </c>
      <c r="BN5" s="68">
        <f t="shared" si="13"/>
        <v>0.8469840586056967</v>
      </c>
      <c r="BO5" s="68">
        <f t="shared" si="13"/>
        <v>0.89611675268250446</v>
      </c>
      <c r="BP5" s="68">
        <f t="shared" si="13"/>
        <v>0.93793216229462339</v>
      </c>
      <c r="BQ5" s="68">
        <f t="shared" si="13"/>
        <v>0.9639680302755973</v>
      </c>
      <c r="BR5" s="68">
        <f t="shared" si="13"/>
        <v>1</v>
      </c>
    </row>
    <row r="6" spans="1:70">
      <c r="A6" s="239" t="s">
        <v>122</v>
      </c>
      <c r="B6" s="62">
        <v>40402.980000000003</v>
      </c>
      <c r="C6" s="62">
        <v>68823.86</v>
      </c>
      <c r="D6" s="62">
        <v>61100.160000000003</v>
      </c>
      <c r="E6" s="62">
        <v>49071.02</v>
      </c>
      <c r="F6" s="62">
        <v>57944.11</v>
      </c>
      <c r="G6" s="62">
        <v>42500.32</v>
      </c>
      <c r="H6" s="62">
        <v>26889.700000000004</v>
      </c>
      <c r="I6" s="62">
        <v>28745.32</v>
      </c>
      <c r="J6" s="62">
        <v>19037</v>
      </c>
      <c r="K6" s="62">
        <v>18467.68</v>
      </c>
      <c r="L6" s="62">
        <v>12025.53</v>
      </c>
      <c r="M6" s="62">
        <v>16645.18</v>
      </c>
      <c r="N6" s="100">
        <f t="shared" si="0"/>
        <v>441652.86000000004</v>
      </c>
      <c r="P6" s="239" t="s">
        <v>122</v>
      </c>
      <c r="Q6" s="62">
        <v>59048.04</v>
      </c>
      <c r="R6" s="62">
        <v>80404.3</v>
      </c>
      <c r="S6" s="62">
        <v>45797.119999999995</v>
      </c>
      <c r="T6" s="62">
        <v>37658.559999999998</v>
      </c>
      <c r="U6" s="62">
        <v>51489.130000000005</v>
      </c>
      <c r="V6" s="62">
        <v>41132.629999999997</v>
      </c>
      <c r="W6" s="62">
        <v>18432.310000000001</v>
      </c>
      <c r="X6" s="62">
        <v>21706.170000000002</v>
      </c>
      <c r="Y6" s="62">
        <v>21640.240000000002</v>
      </c>
      <c r="Z6" s="62">
        <v>29000.6</v>
      </c>
      <c r="AA6" s="62">
        <v>19573.149999999998</v>
      </c>
      <c r="AB6" s="62">
        <v>12762.880000000001</v>
      </c>
      <c r="AC6" s="100">
        <f t="shared" si="14"/>
        <v>438645.13</v>
      </c>
      <c r="AE6" s="68">
        <f t="shared" si="1"/>
        <v>9.1481305023135132E-2</v>
      </c>
      <c r="AF6" s="68">
        <f t="shared" si="2"/>
        <v>0.24731378395240095</v>
      </c>
      <c r="AG6" s="68">
        <f t="shared" si="3"/>
        <v>0.38565809355338487</v>
      </c>
      <c r="AH6" s="68">
        <f t="shared" si="4"/>
        <v>0.49676576304747572</v>
      </c>
      <c r="AI6" s="68">
        <f t="shared" si="5"/>
        <v>0.62796407567699208</v>
      </c>
      <c r="AJ6" s="68">
        <f t="shared" si="6"/>
        <v>0.72419422349036744</v>
      </c>
      <c r="AK6" s="68">
        <f t="shared" si="7"/>
        <v>0.78507846637741685</v>
      </c>
      <c r="AL6" s="68">
        <f t="shared" si="8"/>
        <v>0.85016424437962423</v>
      </c>
      <c r="AM6" s="68">
        <f t="shared" si="9"/>
        <v>0.89326823333601868</v>
      </c>
      <c r="AN6" s="68">
        <f t="shared" si="10"/>
        <v>0.93508315558060684</v>
      </c>
      <c r="AO6" s="68">
        <f t="shared" si="11"/>
        <v>0.96231162184707697</v>
      </c>
      <c r="AP6" s="68">
        <f t="shared" si="12"/>
        <v>1</v>
      </c>
      <c r="AQ6" s="92"/>
      <c r="AT6" s="68">
        <f t="shared" si="15"/>
        <v>0.13461460292514818</v>
      </c>
      <c r="AU6" s="68">
        <f t="shared" si="16"/>
        <v>0.31791607945128675</v>
      </c>
      <c r="AV6" s="68">
        <f t="shared" si="17"/>
        <v>0.42232193481778763</v>
      </c>
      <c r="AW6" s="68">
        <f t="shared" si="18"/>
        <v>0.5081739309404848</v>
      </c>
      <c r="AX6" s="68">
        <f t="shared" si="19"/>
        <v>0.62555613007717659</v>
      </c>
      <c r="AY6" s="68">
        <f t="shared" si="20"/>
        <v>0.71932812750024155</v>
      </c>
      <c r="AZ6" s="68">
        <f t="shared" si="21"/>
        <v>0.76134913432186069</v>
      </c>
      <c r="BA6" s="68">
        <f t="shared" si="22"/>
        <v>0.81083371426008999</v>
      </c>
      <c r="BB6" s="68">
        <f t="shared" si="23"/>
        <v>0.86016799046646197</v>
      </c>
      <c r="BC6" s="68">
        <f t="shared" si="24"/>
        <v>0.92628202665785886</v>
      </c>
      <c r="BD6" s="68">
        <f t="shared" si="25"/>
        <v>0.97090386025715136</v>
      </c>
      <c r="BE6" s="68">
        <f t="shared" si="26"/>
        <v>1</v>
      </c>
      <c r="BG6" s="68">
        <f t="shared" si="27"/>
        <v>0.11304795397414166</v>
      </c>
      <c r="BH6" s="68">
        <f t="shared" si="13"/>
        <v>0.28261493170184382</v>
      </c>
      <c r="BI6" s="68">
        <f t="shared" si="13"/>
        <v>0.40399001418558622</v>
      </c>
      <c r="BJ6" s="68">
        <f t="shared" si="13"/>
        <v>0.50246984699398023</v>
      </c>
      <c r="BK6" s="68">
        <f t="shared" si="13"/>
        <v>0.62676010287708439</v>
      </c>
      <c r="BL6" s="68">
        <f t="shared" si="13"/>
        <v>0.7217611754953045</v>
      </c>
      <c r="BM6" s="68">
        <f t="shared" si="13"/>
        <v>0.77321380034963871</v>
      </c>
      <c r="BN6" s="68">
        <f t="shared" si="13"/>
        <v>0.83049897931985717</v>
      </c>
      <c r="BO6" s="68">
        <f t="shared" si="13"/>
        <v>0.87671811190124038</v>
      </c>
      <c r="BP6" s="68">
        <f t="shared" si="13"/>
        <v>0.9306825911192329</v>
      </c>
      <c r="BQ6" s="68">
        <f t="shared" si="13"/>
        <v>0.96660774105211411</v>
      </c>
      <c r="BR6" s="68">
        <f t="shared" si="13"/>
        <v>1</v>
      </c>
    </row>
    <row r="7" spans="1:70">
      <c r="A7" s="239" t="s">
        <v>123</v>
      </c>
      <c r="B7" s="62">
        <v>218715.5</v>
      </c>
      <c r="C7" s="62">
        <v>305742.28000000003</v>
      </c>
      <c r="D7" s="62">
        <v>209756.15</v>
      </c>
      <c r="E7" s="62">
        <v>118092.95</v>
      </c>
      <c r="F7" s="62">
        <v>143860.20000000001</v>
      </c>
      <c r="G7" s="62">
        <v>152996.60999999999</v>
      </c>
      <c r="H7" s="62">
        <v>45283.9</v>
      </c>
      <c r="I7" s="62">
        <v>57169.67</v>
      </c>
      <c r="J7" s="62">
        <v>38881.83</v>
      </c>
      <c r="K7" s="62">
        <v>41161.410000000003</v>
      </c>
      <c r="L7" s="62">
        <v>28359.88</v>
      </c>
      <c r="M7" s="62">
        <v>28141.439999999999</v>
      </c>
      <c r="N7" s="100">
        <f t="shared" si="0"/>
        <v>1388161.8199999996</v>
      </c>
      <c r="P7" s="239" t="s">
        <v>123</v>
      </c>
      <c r="Q7" s="62">
        <v>219996.2</v>
      </c>
      <c r="R7" s="62">
        <v>381221.96</v>
      </c>
      <c r="S7" s="62">
        <v>115044.54000000001</v>
      </c>
      <c r="T7" s="62">
        <v>94157.95</v>
      </c>
      <c r="U7" s="62">
        <v>129269.9</v>
      </c>
      <c r="V7" s="62">
        <v>150363.14000000001</v>
      </c>
      <c r="W7" s="62">
        <v>35951.490000000005</v>
      </c>
      <c r="X7" s="62">
        <v>41553.85</v>
      </c>
      <c r="Y7" s="62">
        <v>35146.21</v>
      </c>
      <c r="Z7" s="62">
        <v>26296.1</v>
      </c>
      <c r="AA7" s="62">
        <v>37535.58</v>
      </c>
      <c r="AB7" s="62">
        <v>33312.160000000003</v>
      </c>
      <c r="AC7" s="100">
        <f t="shared" si="14"/>
        <v>1299849.08</v>
      </c>
      <c r="AE7" s="68">
        <f t="shared" si="1"/>
        <v>0.15755763978582848</v>
      </c>
      <c r="AF7" s="68">
        <f t="shared" si="2"/>
        <v>0.37780737983414653</v>
      </c>
      <c r="AG7" s="68">
        <f t="shared" si="3"/>
        <v>0.52891090896016735</v>
      </c>
      <c r="AH7" s="68">
        <f t="shared" si="4"/>
        <v>0.61398236698369957</v>
      </c>
      <c r="AI7" s="68">
        <f t="shared" si="5"/>
        <v>0.71761596209294987</v>
      </c>
      <c r="AJ7" s="68">
        <f t="shared" si="6"/>
        <v>0.8278312178330911</v>
      </c>
      <c r="AK7" s="68">
        <f t="shared" si="7"/>
        <v>0.86045270284122943</v>
      </c>
      <c r="AL7" s="68">
        <f t="shared" si="8"/>
        <v>0.9016364244912024</v>
      </c>
      <c r="AM7" s="68">
        <f t="shared" si="9"/>
        <v>0.92964600481520243</v>
      </c>
      <c r="AN7" s="68">
        <f t="shared" si="10"/>
        <v>0.9592977423914455</v>
      </c>
      <c r="AO7" s="68">
        <f t="shared" si="11"/>
        <v>0.9797275507836688</v>
      </c>
      <c r="AP7" s="68">
        <f t="shared" si="12"/>
        <v>1</v>
      </c>
      <c r="AQ7" s="92"/>
      <c r="AT7" s="68">
        <f t="shared" si="15"/>
        <v>0.16924749448605217</v>
      </c>
      <c r="AU7" s="68">
        <f t="shared" si="16"/>
        <v>0.46252920377494899</v>
      </c>
      <c r="AV7" s="68">
        <f t="shared" si="17"/>
        <v>0.55103527864942603</v>
      </c>
      <c r="AW7" s="68">
        <f t="shared" si="18"/>
        <v>0.62347288040546978</v>
      </c>
      <c r="AX7" s="68">
        <f t="shared" si="19"/>
        <v>0.72292281039272654</v>
      </c>
      <c r="AY7" s="68">
        <f t="shared" si="20"/>
        <v>0.83860019349323223</v>
      </c>
      <c r="AZ7" s="68">
        <f t="shared" si="21"/>
        <v>0.86625839670556204</v>
      </c>
      <c r="BA7" s="68">
        <f t="shared" si="22"/>
        <v>0.89822660796898046</v>
      </c>
      <c r="BB7" s="68">
        <f t="shared" si="23"/>
        <v>0.92526529310618111</v>
      </c>
      <c r="BC7" s="68">
        <f t="shared" si="24"/>
        <v>0.94549541089800981</v>
      </c>
      <c r="BD7" s="68">
        <f t="shared" si="25"/>
        <v>0.97437228635804407</v>
      </c>
      <c r="BE7" s="68">
        <f t="shared" si="26"/>
        <v>1</v>
      </c>
      <c r="BG7" s="68">
        <f t="shared" si="27"/>
        <v>0.16340256713594031</v>
      </c>
      <c r="BH7" s="68">
        <f t="shared" si="13"/>
        <v>0.42016829180454773</v>
      </c>
      <c r="BI7" s="68">
        <f t="shared" si="13"/>
        <v>0.53997309380479663</v>
      </c>
      <c r="BJ7" s="68">
        <f t="shared" si="13"/>
        <v>0.61872762369458467</v>
      </c>
      <c r="BK7" s="68">
        <f t="shared" si="13"/>
        <v>0.72026938624283821</v>
      </c>
      <c r="BL7" s="68">
        <f t="shared" si="13"/>
        <v>0.83321570566316172</v>
      </c>
      <c r="BM7" s="68">
        <f t="shared" si="13"/>
        <v>0.86335554977339579</v>
      </c>
      <c r="BN7" s="68">
        <f t="shared" si="13"/>
        <v>0.89993151623009138</v>
      </c>
      <c r="BO7" s="68">
        <f t="shared" si="13"/>
        <v>0.92745564896069177</v>
      </c>
      <c r="BP7" s="68">
        <f t="shared" si="13"/>
        <v>0.95239657664472765</v>
      </c>
      <c r="BQ7" s="68">
        <f t="shared" si="13"/>
        <v>0.97704991857085643</v>
      </c>
      <c r="BR7" s="68">
        <f t="shared" si="13"/>
        <v>1</v>
      </c>
    </row>
    <row r="8" spans="1:70">
      <c r="A8" s="239" t="s">
        <v>124</v>
      </c>
      <c r="B8" s="62">
        <v>143258.89000000001</v>
      </c>
      <c r="C8" s="62">
        <v>132392.21</v>
      </c>
      <c r="D8" s="62">
        <v>116620.11</v>
      </c>
      <c r="E8" s="62">
        <v>55622.65</v>
      </c>
      <c r="F8" s="62">
        <v>78277.350000000006</v>
      </c>
      <c r="G8" s="62">
        <v>76501.77</v>
      </c>
      <c r="H8" s="62">
        <v>25319.1</v>
      </c>
      <c r="I8" s="62">
        <v>19626.45</v>
      </c>
      <c r="J8" s="62">
        <v>19979.77</v>
      </c>
      <c r="K8" s="62">
        <v>22529.62</v>
      </c>
      <c r="L8" s="62">
        <v>14752.38</v>
      </c>
      <c r="M8" s="62">
        <v>18998.66</v>
      </c>
      <c r="N8" s="100">
        <f t="shared" si="0"/>
        <v>723878.96</v>
      </c>
      <c r="P8" s="239" t="s">
        <v>124</v>
      </c>
      <c r="Q8" s="62">
        <v>139953.03</v>
      </c>
      <c r="R8" s="62">
        <v>189657.29</v>
      </c>
      <c r="S8" s="62">
        <v>57282.570000000007</v>
      </c>
      <c r="T8" s="62">
        <v>43714.15</v>
      </c>
      <c r="U8" s="62">
        <v>59486.080000000002</v>
      </c>
      <c r="V8" s="62">
        <v>67789.150000000009</v>
      </c>
      <c r="W8" s="62">
        <v>16477.28</v>
      </c>
      <c r="X8" s="62">
        <v>21953.829999999998</v>
      </c>
      <c r="Y8" s="62">
        <v>14252.32</v>
      </c>
      <c r="Z8" s="62">
        <v>17647.43</v>
      </c>
      <c r="AA8" s="62">
        <v>20708.8</v>
      </c>
      <c r="AB8" s="62">
        <v>15742.13</v>
      </c>
      <c r="AC8" s="100">
        <f t="shared" si="14"/>
        <v>664664.06000000006</v>
      </c>
      <c r="AE8" s="68">
        <f t="shared" si="1"/>
        <v>0.19790448115801021</v>
      </c>
      <c r="AF8" s="68">
        <f t="shared" si="2"/>
        <v>0.38079722609978883</v>
      </c>
      <c r="AG8" s="68">
        <f t="shared" si="3"/>
        <v>0.54190165991286721</v>
      </c>
      <c r="AH8" s="68">
        <f t="shared" si="4"/>
        <v>0.61874137079491853</v>
      </c>
      <c r="AI8" s="68">
        <f t="shared" si="5"/>
        <v>0.72687733595682902</v>
      </c>
      <c r="AJ8" s="68">
        <f t="shared" si="6"/>
        <v>0.83256043247893263</v>
      </c>
      <c r="AK8" s="68">
        <f t="shared" si="7"/>
        <v>0.86753741260831785</v>
      </c>
      <c r="AL8" s="68">
        <f t="shared" si="8"/>
        <v>0.89465030175763083</v>
      </c>
      <c r="AM8" s="68">
        <f t="shared" si="9"/>
        <v>0.92225128355712949</v>
      </c>
      <c r="AN8" s="68">
        <f t="shared" si="10"/>
        <v>0.95337474651839582</v>
      </c>
      <c r="AO8" s="68">
        <f t="shared" si="11"/>
        <v>0.97375436910060209</v>
      </c>
      <c r="AP8" s="68">
        <f t="shared" si="12"/>
        <v>1</v>
      </c>
      <c r="AQ8" s="92"/>
      <c r="AT8" s="68">
        <f t="shared" si="15"/>
        <v>0.21056205446101597</v>
      </c>
      <c r="AU8" s="68">
        <f t="shared" si="16"/>
        <v>0.4959051343922522</v>
      </c>
      <c r="AV8" s="68">
        <f t="shared" si="17"/>
        <v>0.58208787458735167</v>
      </c>
      <c r="AW8" s="68">
        <f t="shared" si="18"/>
        <v>0.64785666310887935</v>
      </c>
      <c r="AX8" s="68">
        <f t="shared" si="19"/>
        <v>0.7373546269374035</v>
      </c>
      <c r="AY8" s="68">
        <f t="shared" si="20"/>
        <v>0.83934472100086166</v>
      </c>
      <c r="AZ8" s="68">
        <f t="shared" si="21"/>
        <v>0.86413510909556324</v>
      </c>
      <c r="BA8" s="68">
        <f t="shared" si="22"/>
        <v>0.8971650731348404</v>
      </c>
      <c r="BB8" s="68">
        <f t="shared" si="23"/>
        <v>0.91860796565410785</v>
      </c>
      <c r="BC8" s="68">
        <f t="shared" si="24"/>
        <v>0.9451588671726886</v>
      </c>
      <c r="BD8" s="68">
        <f t="shared" si="25"/>
        <v>0.97631565937234521</v>
      </c>
      <c r="BE8" s="68">
        <f t="shared" si="26"/>
        <v>1</v>
      </c>
      <c r="BG8" s="68">
        <f t="shared" si="27"/>
        <v>0.20423326780951309</v>
      </c>
      <c r="BH8" s="68">
        <f t="shared" si="13"/>
        <v>0.43835118024602049</v>
      </c>
      <c r="BI8" s="68">
        <f t="shared" si="13"/>
        <v>0.56199476725010944</v>
      </c>
      <c r="BJ8" s="68">
        <f t="shared" si="13"/>
        <v>0.63329901695189894</v>
      </c>
      <c r="BK8" s="68">
        <f t="shared" si="13"/>
        <v>0.73211598144711632</v>
      </c>
      <c r="BL8" s="68">
        <f t="shared" si="13"/>
        <v>0.8359525767398972</v>
      </c>
      <c r="BM8" s="68">
        <f t="shared" si="13"/>
        <v>0.86583626085194054</v>
      </c>
      <c r="BN8" s="68">
        <f t="shared" si="13"/>
        <v>0.89590768744623561</v>
      </c>
      <c r="BO8" s="68">
        <f t="shared" si="13"/>
        <v>0.92042962460561872</v>
      </c>
      <c r="BP8" s="68">
        <f t="shared" si="13"/>
        <v>0.94926680684554221</v>
      </c>
      <c r="BQ8" s="68">
        <f t="shared" si="13"/>
        <v>0.97503501423647365</v>
      </c>
      <c r="BR8" s="68">
        <f t="shared" si="13"/>
        <v>1</v>
      </c>
    </row>
    <row r="9" spans="1:70">
      <c r="A9" s="239" t="s">
        <v>125</v>
      </c>
      <c r="B9" s="62">
        <v>261867.08</v>
      </c>
      <c r="C9" s="62">
        <v>385246.56</v>
      </c>
      <c r="D9" s="62">
        <v>222589.72</v>
      </c>
      <c r="E9" s="62">
        <v>126808.25</v>
      </c>
      <c r="F9" s="62">
        <v>153532.74</v>
      </c>
      <c r="G9" s="62">
        <v>143258.25</v>
      </c>
      <c r="H9" s="62">
        <v>36921.75</v>
      </c>
      <c r="I9" s="62">
        <v>40236.699999999997</v>
      </c>
      <c r="J9" s="62">
        <v>28483.45</v>
      </c>
      <c r="K9" s="62">
        <v>24216.2</v>
      </c>
      <c r="L9" s="62">
        <v>29424.81</v>
      </c>
      <c r="M9" s="62">
        <v>34692.86</v>
      </c>
      <c r="N9" s="100">
        <f t="shared" si="0"/>
        <v>1487278.37</v>
      </c>
      <c r="P9" s="239" t="s">
        <v>125</v>
      </c>
      <c r="Q9" s="62">
        <v>230250.98</v>
      </c>
      <c r="R9" s="62">
        <v>401049.09</v>
      </c>
      <c r="S9" s="62">
        <v>117665.68000000001</v>
      </c>
      <c r="T9" s="62">
        <v>93954.799999999988</v>
      </c>
      <c r="U9" s="62">
        <v>133084.01</v>
      </c>
      <c r="V9" s="62">
        <v>143558.67000000001</v>
      </c>
      <c r="W9" s="62">
        <v>49726.499999999993</v>
      </c>
      <c r="X9" s="62">
        <v>45253.84</v>
      </c>
      <c r="Y9" s="62">
        <v>37620.36</v>
      </c>
      <c r="Z9" s="62">
        <v>32063.88</v>
      </c>
      <c r="AA9" s="62">
        <v>56742.58</v>
      </c>
      <c r="AB9" s="62">
        <v>38931.089999999997</v>
      </c>
      <c r="AC9" s="100">
        <f t="shared" si="14"/>
        <v>1379901.4800000002</v>
      </c>
      <c r="AE9" s="68">
        <f t="shared" si="1"/>
        <v>0.17607132953866597</v>
      </c>
      <c r="AF9" s="68">
        <f t="shared" si="2"/>
        <v>0.43509920742006081</v>
      </c>
      <c r="AG9" s="68">
        <f t="shared" si="3"/>
        <v>0.58476165426920046</v>
      </c>
      <c r="AH9" s="68">
        <f t="shared" si="4"/>
        <v>0.67002360156693463</v>
      </c>
      <c r="AI9" s="68">
        <f t="shared" si="5"/>
        <v>0.77325426981097023</v>
      </c>
      <c r="AJ9" s="68">
        <f t="shared" si="6"/>
        <v>0.86957668859260018</v>
      </c>
      <c r="AK9" s="68">
        <f t="shared" si="7"/>
        <v>0.89440173193670525</v>
      </c>
      <c r="AL9" s="68">
        <f t="shared" si="8"/>
        <v>0.9214556451863144</v>
      </c>
      <c r="AM9" s="68">
        <f t="shared" si="9"/>
        <v>0.9406070364621788</v>
      </c>
      <c r="AN9" s="68">
        <f t="shared" si="10"/>
        <v>0.95688926075083025</v>
      </c>
      <c r="AO9" s="68">
        <f t="shared" si="11"/>
        <v>0.97667359339059034</v>
      </c>
      <c r="AP9" s="68">
        <f t="shared" si="12"/>
        <v>1</v>
      </c>
      <c r="AQ9" s="92"/>
      <c r="AT9" s="68">
        <f t="shared" si="15"/>
        <v>0.16686044861695487</v>
      </c>
      <c r="AU9" s="68">
        <f t="shared" si="16"/>
        <v>0.45749648011102934</v>
      </c>
      <c r="AV9" s="68">
        <f t="shared" si="17"/>
        <v>0.54276755323140891</v>
      </c>
      <c r="AW9" s="68">
        <f t="shared" si="18"/>
        <v>0.610855602531856</v>
      </c>
      <c r="AX9" s="68">
        <f t="shared" si="19"/>
        <v>0.7073001762415676</v>
      </c>
      <c r="AY9" s="68">
        <f t="shared" si="20"/>
        <v>0.81133562520709801</v>
      </c>
      <c r="AZ9" s="68">
        <f t="shared" si="21"/>
        <v>0.84737189353547171</v>
      </c>
      <c r="BA9" s="68">
        <f t="shared" si="22"/>
        <v>0.880166872492955</v>
      </c>
      <c r="BB9" s="68">
        <f t="shared" si="23"/>
        <v>0.90742994927434961</v>
      </c>
      <c r="BC9" s="68">
        <f t="shared" si="24"/>
        <v>0.93066630380018134</v>
      </c>
      <c r="BD9" s="68">
        <f t="shared" si="25"/>
        <v>0.97178705105816676</v>
      </c>
      <c r="BE9" s="68">
        <f t="shared" si="26"/>
        <v>1</v>
      </c>
      <c r="BG9" s="68">
        <f t="shared" si="27"/>
        <v>0.17146588907781041</v>
      </c>
      <c r="BH9" s="68">
        <f t="shared" si="13"/>
        <v>0.44629784376554504</v>
      </c>
      <c r="BI9" s="68">
        <f t="shared" si="13"/>
        <v>0.56376460375030468</v>
      </c>
      <c r="BJ9" s="68">
        <f t="shared" si="13"/>
        <v>0.64043960204939532</v>
      </c>
      <c r="BK9" s="68">
        <f t="shared" si="13"/>
        <v>0.74027722302626886</v>
      </c>
      <c r="BL9" s="68">
        <f t="shared" si="13"/>
        <v>0.84045615689984909</v>
      </c>
      <c r="BM9" s="68">
        <f t="shared" si="13"/>
        <v>0.87088681273608848</v>
      </c>
      <c r="BN9" s="68">
        <f t="shared" si="13"/>
        <v>0.90081125883963464</v>
      </c>
      <c r="BO9" s="68">
        <f t="shared" si="13"/>
        <v>0.92401849286826421</v>
      </c>
      <c r="BP9" s="68">
        <f t="shared" si="13"/>
        <v>0.94377778227550579</v>
      </c>
      <c r="BQ9" s="68">
        <f t="shared" si="13"/>
        <v>0.97423032222437855</v>
      </c>
      <c r="BR9" s="68">
        <f t="shared" si="13"/>
        <v>1</v>
      </c>
    </row>
    <row r="10" spans="1:70">
      <c r="A10" s="239" t="s">
        <v>126</v>
      </c>
      <c r="B10" s="62">
        <v>128711.7</v>
      </c>
      <c r="C10" s="62">
        <v>227208.42</v>
      </c>
      <c r="D10" s="62">
        <v>177911.2</v>
      </c>
      <c r="E10" s="62">
        <v>88379.23</v>
      </c>
      <c r="F10" s="62">
        <v>116906.83000000002</v>
      </c>
      <c r="G10" s="62">
        <v>114255.61</v>
      </c>
      <c r="H10" s="62">
        <v>32554.160000000003</v>
      </c>
      <c r="I10" s="62">
        <v>42881.67</v>
      </c>
      <c r="J10" s="62">
        <v>31684.82</v>
      </c>
      <c r="K10" s="62">
        <v>27976.560000000001</v>
      </c>
      <c r="L10" s="62">
        <v>27578.22</v>
      </c>
      <c r="M10" s="62">
        <v>28005.63</v>
      </c>
      <c r="N10" s="100">
        <f t="shared" si="0"/>
        <v>1044054.0500000002</v>
      </c>
      <c r="P10" s="239" t="s">
        <v>126</v>
      </c>
      <c r="Q10" s="62">
        <v>146855.85</v>
      </c>
      <c r="R10" s="62">
        <v>277212.68</v>
      </c>
      <c r="S10" s="62">
        <v>76819.41</v>
      </c>
      <c r="T10" s="62">
        <v>62210.66</v>
      </c>
      <c r="U10" s="62">
        <v>92465.78</v>
      </c>
      <c r="V10" s="62">
        <v>98390.97</v>
      </c>
      <c r="W10" s="62">
        <v>27547.7</v>
      </c>
      <c r="X10" s="62">
        <v>24966.78</v>
      </c>
      <c r="Y10" s="62">
        <v>20145.810000000001</v>
      </c>
      <c r="Z10" s="62">
        <v>22303.360000000001</v>
      </c>
      <c r="AA10" s="62">
        <v>22430.61</v>
      </c>
      <c r="AB10" s="62">
        <v>19569.190000000002</v>
      </c>
      <c r="AC10" s="100">
        <f t="shared" si="14"/>
        <v>890918.8</v>
      </c>
      <c r="AE10" s="68">
        <f t="shared" si="1"/>
        <v>0.12328068647403836</v>
      </c>
      <c r="AF10" s="68">
        <f t="shared" si="2"/>
        <v>0.34090200598331089</v>
      </c>
      <c r="AG10" s="68">
        <f t="shared" si="3"/>
        <v>0.51130621063152815</v>
      </c>
      <c r="AH10" s="68">
        <f t="shared" si="4"/>
        <v>0.59595626299232296</v>
      </c>
      <c r="AI10" s="68">
        <f t="shared" si="5"/>
        <v>0.70793018809706265</v>
      </c>
      <c r="AJ10" s="68">
        <f t="shared" si="6"/>
        <v>0.81736476191055429</v>
      </c>
      <c r="AK10" s="68">
        <f t="shared" si="7"/>
        <v>0.84854529322500116</v>
      </c>
      <c r="AL10" s="68">
        <f t="shared" si="8"/>
        <v>0.88961756338189579</v>
      </c>
      <c r="AM10" s="68">
        <f t="shared" si="9"/>
        <v>0.91996543665531494</v>
      </c>
      <c r="AN10" s="68">
        <f t="shared" si="10"/>
        <v>0.94676152063200181</v>
      </c>
      <c r="AO10" s="68">
        <f t="shared" si="11"/>
        <v>0.9731760726372356</v>
      </c>
      <c r="AP10" s="68">
        <f t="shared" si="12"/>
        <v>1</v>
      </c>
      <c r="AQ10" s="92"/>
      <c r="AT10" s="68">
        <f t="shared" si="15"/>
        <v>0.16483640259920432</v>
      </c>
      <c r="AU10" s="68">
        <f t="shared" si="16"/>
        <v>0.47599010145481274</v>
      </c>
      <c r="AV10" s="68">
        <f t="shared" si="17"/>
        <v>0.56221503014640617</v>
      </c>
      <c r="AW10" s="68">
        <f t="shared" si="18"/>
        <v>0.63204256100555978</v>
      </c>
      <c r="AX10" s="68">
        <f t="shared" si="19"/>
        <v>0.73582955034734943</v>
      </c>
      <c r="AY10" s="68">
        <f t="shared" si="20"/>
        <v>0.84626719068000367</v>
      </c>
      <c r="AZ10" s="68">
        <f t="shared" si="21"/>
        <v>0.87718774146420531</v>
      </c>
      <c r="BA10" s="68">
        <f t="shared" si="22"/>
        <v>0.90521137279850872</v>
      </c>
      <c r="BB10" s="68">
        <f t="shared" si="23"/>
        <v>0.92782377024707541</v>
      </c>
      <c r="BC10" s="68">
        <f t="shared" si="24"/>
        <v>0.9528578810998265</v>
      </c>
      <c r="BD10" s="68">
        <f t="shared" si="25"/>
        <v>0.97803482202867431</v>
      </c>
      <c r="BE10" s="68">
        <f t="shared" si="26"/>
        <v>1</v>
      </c>
      <c r="BG10" s="68">
        <f t="shared" si="27"/>
        <v>0.14405854453662134</v>
      </c>
      <c r="BH10" s="68">
        <f t="shared" si="13"/>
        <v>0.40844605371906184</v>
      </c>
      <c r="BI10" s="68">
        <f t="shared" si="13"/>
        <v>0.53676062038896721</v>
      </c>
      <c r="BJ10" s="68">
        <f t="shared" si="13"/>
        <v>0.61399941199894137</v>
      </c>
      <c r="BK10" s="68">
        <f t="shared" si="13"/>
        <v>0.72187986922220604</v>
      </c>
      <c r="BL10" s="68">
        <f t="shared" si="13"/>
        <v>0.83181597629527904</v>
      </c>
      <c r="BM10" s="68">
        <f t="shared" si="13"/>
        <v>0.86286651734460329</v>
      </c>
      <c r="BN10" s="68">
        <f t="shared" si="13"/>
        <v>0.89741446809020231</v>
      </c>
      <c r="BO10" s="68">
        <f t="shared" si="13"/>
        <v>0.92389460345119523</v>
      </c>
      <c r="BP10" s="68">
        <f t="shared" si="13"/>
        <v>0.9498097008659141</v>
      </c>
      <c r="BQ10" s="68">
        <f t="shared" si="13"/>
        <v>0.97560544733295496</v>
      </c>
      <c r="BR10" s="68">
        <f t="shared" si="13"/>
        <v>1</v>
      </c>
    </row>
    <row r="11" spans="1:70">
      <c r="A11" s="239" t="s">
        <v>127</v>
      </c>
      <c r="B11" s="62">
        <v>142031.79</v>
      </c>
      <c r="C11" s="62">
        <v>214628.73</v>
      </c>
      <c r="D11" s="62">
        <v>162946.67000000001</v>
      </c>
      <c r="E11" s="62">
        <v>105702.76</v>
      </c>
      <c r="F11" s="62">
        <v>121088.58</v>
      </c>
      <c r="G11" s="62">
        <v>125641.59</v>
      </c>
      <c r="H11" s="62">
        <v>35214.65</v>
      </c>
      <c r="I11" s="62">
        <v>33851.49</v>
      </c>
      <c r="J11" s="62">
        <v>23829.16</v>
      </c>
      <c r="K11" s="62">
        <v>25013.55</v>
      </c>
      <c r="L11" s="62">
        <v>21957.25</v>
      </c>
      <c r="M11" s="62">
        <v>26039.11</v>
      </c>
      <c r="N11" s="100">
        <f t="shared" si="0"/>
        <v>1037945.3300000001</v>
      </c>
      <c r="P11" s="239" t="s">
        <v>127</v>
      </c>
      <c r="Q11" s="62">
        <v>147828.78</v>
      </c>
      <c r="R11" s="62">
        <v>259975.77000000002</v>
      </c>
      <c r="S11" s="62">
        <v>94385.55</v>
      </c>
      <c r="T11" s="62">
        <v>76433.960000000006</v>
      </c>
      <c r="U11" s="62">
        <v>107052.17</v>
      </c>
      <c r="V11" s="62">
        <v>118597.93</v>
      </c>
      <c r="W11" s="62">
        <v>32089.719999999998</v>
      </c>
      <c r="X11" s="62">
        <v>35985.94</v>
      </c>
      <c r="Y11" s="62">
        <v>28888.309999999998</v>
      </c>
      <c r="Z11" s="62">
        <v>25397.64</v>
      </c>
      <c r="AA11" s="62">
        <v>25910.499999999996</v>
      </c>
      <c r="AB11" s="62">
        <v>18188.89</v>
      </c>
      <c r="AC11" s="100">
        <f t="shared" si="14"/>
        <v>970735.16000000015</v>
      </c>
      <c r="AE11" s="68">
        <f t="shared" si="1"/>
        <v>0.13683937476745522</v>
      </c>
      <c r="AF11" s="68">
        <f t="shared" si="2"/>
        <v>0.34362168188569236</v>
      </c>
      <c r="AG11" s="68">
        <f t="shared" si="3"/>
        <v>0.50061132795886276</v>
      </c>
      <c r="AH11" s="68">
        <f t="shared" si="4"/>
        <v>0.60244979376707641</v>
      </c>
      <c r="AI11" s="68">
        <f t="shared" si="5"/>
        <v>0.71911160292035803</v>
      </c>
      <c r="AJ11" s="68">
        <f t="shared" si="6"/>
        <v>0.84015997258738084</v>
      </c>
      <c r="AK11" s="68">
        <f t="shared" si="7"/>
        <v>0.87408724118446579</v>
      </c>
      <c r="AL11" s="68">
        <f t="shared" si="8"/>
        <v>0.90670118434850511</v>
      </c>
      <c r="AM11" s="68">
        <f t="shared" si="9"/>
        <v>0.92965919505606331</v>
      </c>
      <c r="AN11" s="68">
        <f t="shared" si="10"/>
        <v>0.95375829669179202</v>
      </c>
      <c r="AO11" s="68">
        <f t="shared" si="11"/>
        <v>0.97491283090989</v>
      </c>
      <c r="AP11" s="68">
        <f t="shared" si="12"/>
        <v>1</v>
      </c>
      <c r="AQ11" s="92"/>
      <c r="AT11" s="68">
        <f t="shared" si="15"/>
        <v>0.15228538749951118</v>
      </c>
      <c r="AU11" s="68">
        <f t="shared" si="16"/>
        <v>0.4200986703726689</v>
      </c>
      <c r="AV11" s="68">
        <f t="shared" si="17"/>
        <v>0.51732967002039976</v>
      </c>
      <c r="AW11" s="68">
        <f t="shared" si="18"/>
        <v>0.59606789147309758</v>
      </c>
      <c r="AX11" s="68">
        <f t="shared" si="19"/>
        <v>0.70634737285090199</v>
      </c>
      <c r="AY11" s="68">
        <f t="shared" si="20"/>
        <v>0.8285206852917536</v>
      </c>
      <c r="AZ11" s="68">
        <f t="shared" si="21"/>
        <v>0.86157781696091029</v>
      </c>
      <c r="BA11" s="68">
        <f t="shared" si="22"/>
        <v>0.89864862832412495</v>
      </c>
      <c r="BB11" s="68">
        <f t="shared" si="23"/>
        <v>0.92840783679865879</v>
      </c>
      <c r="BC11" s="68">
        <f t="shared" si="24"/>
        <v>0.95457114173138635</v>
      </c>
      <c r="BD11" s="68">
        <f t="shared" si="25"/>
        <v>0.98126276790056721</v>
      </c>
      <c r="BE11" s="68">
        <f t="shared" si="26"/>
        <v>1</v>
      </c>
      <c r="BG11" s="68">
        <f t="shared" si="27"/>
        <v>0.14456238113348319</v>
      </c>
      <c r="BH11" s="68">
        <f t="shared" si="13"/>
        <v>0.38186017612918066</v>
      </c>
      <c r="BI11" s="68">
        <f t="shared" si="13"/>
        <v>0.50897049898963131</v>
      </c>
      <c r="BJ11" s="68">
        <f t="shared" si="13"/>
        <v>0.599258842620087</v>
      </c>
      <c r="BK11" s="68">
        <f t="shared" si="13"/>
        <v>0.71272948788563006</v>
      </c>
      <c r="BL11" s="68">
        <f t="shared" si="13"/>
        <v>0.83434032893956722</v>
      </c>
      <c r="BM11" s="68">
        <f t="shared" si="13"/>
        <v>0.86783252907268804</v>
      </c>
      <c r="BN11" s="68">
        <f t="shared" si="13"/>
        <v>0.90267490633631509</v>
      </c>
      <c r="BO11" s="68">
        <f t="shared" si="13"/>
        <v>0.92903351592736105</v>
      </c>
      <c r="BP11" s="68">
        <f t="shared" si="13"/>
        <v>0.95416471921158919</v>
      </c>
      <c r="BQ11" s="68">
        <f t="shared" si="13"/>
        <v>0.97808779940522861</v>
      </c>
      <c r="BR11" s="68">
        <f t="shared" si="13"/>
        <v>1</v>
      </c>
    </row>
    <row r="12" spans="1:70">
      <c r="A12" s="239" t="s">
        <v>128</v>
      </c>
      <c r="B12" s="62">
        <v>46372.91</v>
      </c>
      <c r="C12" s="62">
        <v>60525.01</v>
      </c>
      <c r="D12" s="62">
        <v>55267.74</v>
      </c>
      <c r="E12" s="62">
        <v>40474.879999999997</v>
      </c>
      <c r="F12" s="62">
        <v>37072.35</v>
      </c>
      <c r="G12" s="62">
        <v>33471.82</v>
      </c>
      <c r="H12" s="62">
        <v>14016.180000000002</v>
      </c>
      <c r="I12" s="62">
        <v>14821.72</v>
      </c>
      <c r="J12" s="62">
        <v>11983.34</v>
      </c>
      <c r="K12" s="62">
        <v>9782.92</v>
      </c>
      <c r="L12" s="62">
        <v>10078.370000000001</v>
      </c>
      <c r="M12" s="62">
        <v>10378.02</v>
      </c>
      <c r="N12" s="100">
        <f t="shared" si="0"/>
        <v>344245.26</v>
      </c>
      <c r="P12" s="239" t="s">
        <v>128</v>
      </c>
      <c r="Q12" s="62">
        <v>56932.770000000004</v>
      </c>
      <c r="R12" s="62">
        <v>75406.58</v>
      </c>
      <c r="S12" s="62">
        <v>31677.31</v>
      </c>
      <c r="T12" s="62">
        <v>24151.489999999998</v>
      </c>
      <c r="U12" s="62">
        <v>36961.43</v>
      </c>
      <c r="V12" s="62">
        <v>33836.350000000006</v>
      </c>
      <c r="W12" s="62">
        <v>12761.65</v>
      </c>
      <c r="X12" s="62">
        <v>14859.25</v>
      </c>
      <c r="Y12" s="62">
        <v>9314.18</v>
      </c>
      <c r="Z12" s="62">
        <v>7967.03</v>
      </c>
      <c r="AA12" s="62">
        <v>13187.57</v>
      </c>
      <c r="AB12" s="62">
        <v>5661.15</v>
      </c>
      <c r="AC12" s="100">
        <f t="shared" si="14"/>
        <v>322716.76000000007</v>
      </c>
      <c r="AE12" s="68">
        <f t="shared" si="1"/>
        <v>0.13470892816360058</v>
      </c>
      <c r="AF12" s="68">
        <f t="shared" si="2"/>
        <v>0.31052837154533375</v>
      </c>
      <c r="AG12" s="68">
        <f t="shared" si="3"/>
        <v>0.47107594161209365</v>
      </c>
      <c r="AH12" s="68">
        <f t="shared" si="4"/>
        <v>0.58865164911784118</v>
      </c>
      <c r="AI12" s="68">
        <f t="shared" si="5"/>
        <v>0.69634332800980325</v>
      </c>
      <c r="AJ12" s="68">
        <f t="shared" si="6"/>
        <v>0.79357580696971697</v>
      </c>
      <c r="AK12" s="68">
        <f t="shared" si="7"/>
        <v>0.83429148741220138</v>
      </c>
      <c r="AL12" s="68">
        <f t="shared" si="8"/>
        <v>0.87734718555020907</v>
      </c>
      <c r="AM12" s="68">
        <f t="shared" si="9"/>
        <v>0.91215765759563405</v>
      </c>
      <c r="AN12" s="68">
        <f t="shared" si="10"/>
        <v>0.9405761171555419</v>
      </c>
      <c r="AO12" s="68">
        <f t="shared" si="11"/>
        <v>0.96985283108909037</v>
      </c>
      <c r="AP12" s="68">
        <f t="shared" si="12"/>
        <v>1</v>
      </c>
      <c r="AQ12" s="92"/>
      <c r="AT12" s="68">
        <f t="shared" si="15"/>
        <v>0.17641714672643588</v>
      </c>
      <c r="AU12" s="68">
        <f t="shared" si="16"/>
        <v>0.41007894972668907</v>
      </c>
      <c r="AV12" s="68">
        <f t="shared" si="17"/>
        <v>0.50823719226729958</v>
      </c>
      <c r="AW12" s="68">
        <f t="shared" si="18"/>
        <v>0.58307523290702334</v>
      </c>
      <c r="AX12" s="68">
        <f t="shared" si="19"/>
        <v>0.69760733839791877</v>
      </c>
      <c r="AY12" s="68">
        <f t="shared" si="20"/>
        <v>0.80245578196806366</v>
      </c>
      <c r="AZ12" s="68">
        <f t="shared" si="21"/>
        <v>0.84200021095898447</v>
      </c>
      <c r="BA12" s="68">
        <f t="shared" si="22"/>
        <v>0.88804445731296988</v>
      </c>
      <c r="BB12" s="68">
        <f t="shared" si="23"/>
        <v>0.91690623691189743</v>
      </c>
      <c r="BC12" s="68">
        <f t="shared" si="24"/>
        <v>0.9415936129254644</v>
      </c>
      <c r="BD12" s="68">
        <f t="shared" si="25"/>
        <v>0.98245783702092193</v>
      </c>
      <c r="BE12" s="68">
        <f t="shared" si="26"/>
        <v>1</v>
      </c>
      <c r="BG12" s="68">
        <f t="shared" si="27"/>
        <v>0.15556303744501823</v>
      </c>
      <c r="BH12" s="68">
        <f t="shared" si="13"/>
        <v>0.36030366063601138</v>
      </c>
      <c r="BI12" s="68">
        <f t="shared" si="13"/>
        <v>0.48965656693969661</v>
      </c>
      <c r="BJ12" s="68">
        <f t="shared" si="13"/>
        <v>0.58586344101243226</v>
      </c>
      <c r="BK12" s="68">
        <f t="shared" si="13"/>
        <v>0.69697533320386107</v>
      </c>
      <c r="BL12" s="68">
        <f t="shared" si="13"/>
        <v>0.79801579446889037</v>
      </c>
      <c r="BM12" s="68">
        <f t="shared" si="13"/>
        <v>0.83814584918559287</v>
      </c>
      <c r="BN12" s="68">
        <f t="shared" si="13"/>
        <v>0.88269582143158942</v>
      </c>
      <c r="BO12" s="68">
        <f t="shared" si="13"/>
        <v>0.91453194725376574</v>
      </c>
      <c r="BP12" s="68">
        <f t="shared" si="13"/>
        <v>0.94108486504050315</v>
      </c>
      <c r="BQ12" s="68">
        <f t="shared" si="13"/>
        <v>0.97615533405500621</v>
      </c>
      <c r="BR12" s="68">
        <f t="shared" si="13"/>
        <v>1</v>
      </c>
    </row>
    <row r="13" spans="1:70">
      <c r="A13" s="239" t="s">
        <v>129</v>
      </c>
      <c r="B13" s="62">
        <v>97815.87</v>
      </c>
      <c r="C13" s="62">
        <v>135847.39000000001</v>
      </c>
      <c r="D13" s="62">
        <v>121941.64</v>
      </c>
      <c r="E13" s="62">
        <v>87592.06</v>
      </c>
      <c r="F13" s="62">
        <v>100983.69</v>
      </c>
      <c r="G13" s="62">
        <v>94138.38</v>
      </c>
      <c r="H13" s="62">
        <v>24931.07</v>
      </c>
      <c r="I13" s="62">
        <v>23678.240000000002</v>
      </c>
      <c r="J13" s="62">
        <v>15299.07</v>
      </c>
      <c r="K13" s="62">
        <v>19846.57</v>
      </c>
      <c r="L13" s="62">
        <v>19815.48</v>
      </c>
      <c r="M13" s="62">
        <v>17279.61</v>
      </c>
      <c r="N13" s="100">
        <f t="shared" si="0"/>
        <v>759169.06999999983</v>
      </c>
      <c r="P13" s="239" t="s">
        <v>129</v>
      </c>
      <c r="Q13" s="62">
        <v>108475.31</v>
      </c>
      <c r="R13" s="62">
        <v>160612.20000000001</v>
      </c>
      <c r="S13" s="62">
        <v>73493.789999999994</v>
      </c>
      <c r="T13" s="62">
        <v>49631.31</v>
      </c>
      <c r="U13" s="62">
        <v>89424.89</v>
      </c>
      <c r="V13" s="62">
        <v>70780.42</v>
      </c>
      <c r="W13" s="62">
        <v>27156.46</v>
      </c>
      <c r="X13" s="62">
        <v>23073.05</v>
      </c>
      <c r="Y13" s="62">
        <v>16484.73</v>
      </c>
      <c r="Z13" s="62">
        <v>21985.03</v>
      </c>
      <c r="AA13" s="62">
        <v>28962.92</v>
      </c>
      <c r="AB13" s="62">
        <v>15326.4</v>
      </c>
      <c r="AC13" s="100">
        <f t="shared" si="14"/>
        <v>685406.51000000013</v>
      </c>
      <c r="AE13" s="68">
        <f t="shared" si="1"/>
        <v>0.12884596312650096</v>
      </c>
      <c r="AF13" s="68">
        <f t="shared" si="2"/>
        <v>0.30778817161241839</v>
      </c>
      <c r="AG13" s="68">
        <f t="shared" si="3"/>
        <v>0.46841331404610581</v>
      </c>
      <c r="AH13" s="68">
        <f t="shared" si="4"/>
        <v>0.58379217161731856</v>
      </c>
      <c r="AI13" s="68">
        <f t="shared" si="5"/>
        <v>0.71681088113876945</v>
      </c>
      <c r="AJ13" s="68">
        <f t="shared" si="6"/>
        <v>0.84081274544022211</v>
      </c>
      <c r="AK13" s="68">
        <f t="shared" si="7"/>
        <v>0.87365268977567823</v>
      </c>
      <c r="AL13" s="68">
        <f t="shared" si="8"/>
        <v>0.90484236930253248</v>
      </c>
      <c r="AM13" s="68">
        <f t="shared" si="9"/>
        <v>0.92499475775534434</v>
      </c>
      <c r="AN13" s="68">
        <f t="shared" si="10"/>
        <v>0.95113724799141253</v>
      </c>
      <c r="AO13" s="68">
        <f t="shared" si="11"/>
        <v>0.97723878555800492</v>
      </c>
      <c r="AP13" s="68">
        <f t="shared" si="12"/>
        <v>1</v>
      </c>
      <c r="AQ13" s="92"/>
      <c r="AT13" s="68">
        <f t="shared" si="15"/>
        <v>0.15826419565229979</v>
      </c>
      <c r="AU13" s="68">
        <f t="shared" si="16"/>
        <v>0.39259549781632502</v>
      </c>
      <c r="AV13" s="68">
        <f t="shared" si="17"/>
        <v>0.49982206909590038</v>
      </c>
      <c r="AW13" s="68">
        <f t="shared" si="18"/>
        <v>0.5722335639910977</v>
      </c>
      <c r="AX13" s="68">
        <f t="shared" si="19"/>
        <v>0.70270342194444568</v>
      </c>
      <c r="AY13" s="68">
        <f t="shared" si="20"/>
        <v>0.8059712184525355</v>
      </c>
      <c r="AZ13" s="68">
        <f t="shared" si="21"/>
        <v>0.84559217273848175</v>
      </c>
      <c r="BA13" s="68">
        <f t="shared" si="22"/>
        <v>0.87925548007998922</v>
      </c>
      <c r="BB13" s="68">
        <f t="shared" si="23"/>
        <v>0.90330650638261356</v>
      </c>
      <c r="BC13" s="68">
        <f t="shared" si="24"/>
        <v>0.93538240539909656</v>
      </c>
      <c r="BD13" s="68">
        <f t="shared" si="25"/>
        <v>0.97763896348168622</v>
      </c>
      <c r="BE13" s="68">
        <f t="shared" si="26"/>
        <v>1</v>
      </c>
      <c r="BG13" s="68">
        <f t="shared" si="27"/>
        <v>0.14355507938940038</v>
      </c>
      <c r="BH13" s="68">
        <f t="shared" si="13"/>
        <v>0.35019183471437171</v>
      </c>
      <c r="BI13" s="68">
        <f t="shared" si="13"/>
        <v>0.48411769157100309</v>
      </c>
      <c r="BJ13" s="68">
        <f t="shared" si="13"/>
        <v>0.57801286780420813</v>
      </c>
      <c r="BK13" s="68">
        <f t="shared" si="13"/>
        <v>0.70975715154160757</v>
      </c>
      <c r="BL13" s="68">
        <f t="shared" si="13"/>
        <v>0.82339198194637886</v>
      </c>
      <c r="BM13" s="68">
        <f t="shared" si="13"/>
        <v>0.85962243125707993</v>
      </c>
      <c r="BN13" s="68">
        <f t="shared" si="13"/>
        <v>0.89204892469126085</v>
      </c>
      <c r="BO13" s="68">
        <f t="shared" si="13"/>
        <v>0.91415063206897895</v>
      </c>
      <c r="BP13" s="68">
        <f t="shared" si="13"/>
        <v>0.94325982669525454</v>
      </c>
      <c r="BQ13" s="68">
        <f t="shared" si="13"/>
        <v>0.97743887451984557</v>
      </c>
      <c r="BR13" s="68">
        <f t="shared" si="13"/>
        <v>1</v>
      </c>
    </row>
    <row r="14" spans="1:70">
      <c r="A14" s="239" t="s">
        <v>130</v>
      </c>
      <c r="B14" s="62">
        <v>153732.75</v>
      </c>
      <c r="C14" s="62">
        <v>146671.82999999999</v>
      </c>
      <c r="D14" s="62">
        <v>102644.02</v>
      </c>
      <c r="E14" s="62">
        <v>77217.279999999999</v>
      </c>
      <c r="F14" s="62">
        <v>83020.259999999995</v>
      </c>
      <c r="G14" s="62">
        <v>75046.7</v>
      </c>
      <c r="H14" s="62">
        <v>25774.520000000004</v>
      </c>
      <c r="I14" s="62">
        <v>23449.22</v>
      </c>
      <c r="J14" s="62">
        <v>22866.62</v>
      </c>
      <c r="K14" s="62">
        <v>21602.38</v>
      </c>
      <c r="L14" s="62">
        <v>15312.72</v>
      </c>
      <c r="M14" s="62">
        <v>21486.77</v>
      </c>
      <c r="N14" s="100">
        <f t="shared" si="0"/>
        <v>768825.07</v>
      </c>
      <c r="P14" s="239" t="s">
        <v>130</v>
      </c>
      <c r="Q14" s="62">
        <v>162745.49</v>
      </c>
      <c r="R14" s="62">
        <v>173986.86000000002</v>
      </c>
      <c r="S14" s="62">
        <v>61337.68</v>
      </c>
      <c r="T14" s="62">
        <v>50755.63</v>
      </c>
      <c r="U14" s="62">
        <v>84872.83</v>
      </c>
      <c r="V14" s="62">
        <v>78312.14</v>
      </c>
      <c r="W14" s="62">
        <v>24177.56</v>
      </c>
      <c r="X14" s="62">
        <v>29594.14</v>
      </c>
      <c r="Y14" s="62">
        <v>21198.22</v>
      </c>
      <c r="Z14" s="62">
        <v>21389</v>
      </c>
      <c r="AA14" s="62">
        <v>19431.219999999998</v>
      </c>
      <c r="AB14" s="62">
        <v>15816.61</v>
      </c>
      <c r="AC14" s="100">
        <f t="shared" si="14"/>
        <v>743617.38</v>
      </c>
      <c r="AE14" s="68">
        <f t="shared" si="1"/>
        <v>0.19995803466710577</v>
      </c>
      <c r="AF14" s="68">
        <f t="shared" si="2"/>
        <v>0.39073202958899345</v>
      </c>
      <c r="AG14" s="68">
        <f t="shared" si="3"/>
        <v>0.52423966871943961</v>
      </c>
      <c r="AH14" s="68">
        <f t="shared" si="4"/>
        <v>0.62467510327154141</v>
      </c>
      <c r="AI14" s="68">
        <f t="shared" si="5"/>
        <v>0.73265839263019872</v>
      </c>
      <c r="AJ14" s="68">
        <f t="shared" si="6"/>
        <v>0.83027058417853106</v>
      </c>
      <c r="AK14" s="68">
        <f t="shared" si="7"/>
        <v>0.86379514133169466</v>
      </c>
      <c r="AL14" s="68">
        <f t="shared" si="8"/>
        <v>0.89429521334417461</v>
      </c>
      <c r="AM14" s="68">
        <f t="shared" si="9"/>
        <v>0.92403750569684207</v>
      </c>
      <c r="AN14" s="68">
        <f t="shared" si="10"/>
        <v>0.95213541878908814</v>
      </c>
      <c r="AO14" s="68">
        <f t="shared" si="11"/>
        <v>0.97205245921546235</v>
      </c>
      <c r="AP14" s="68">
        <f t="shared" si="12"/>
        <v>1</v>
      </c>
      <c r="AQ14" s="92"/>
      <c r="AT14" s="68">
        <f t="shared" si="15"/>
        <v>0.2188564904171551</v>
      </c>
      <c r="AU14" s="68">
        <f t="shared" si="16"/>
        <v>0.45283012347021795</v>
      </c>
      <c r="AV14" s="68">
        <f t="shared" si="17"/>
        <v>0.5353156619335605</v>
      </c>
      <c r="AW14" s="68">
        <f t="shared" si="18"/>
        <v>0.60357069653213324</v>
      </c>
      <c r="AX14" s="68">
        <f t="shared" si="19"/>
        <v>0.71770577766754184</v>
      </c>
      <c r="AY14" s="68">
        <f t="shared" si="20"/>
        <v>0.82301818981153996</v>
      </c>
      <c r="AZ14" s="68">
        <f t="shared" si="21"/>
        <v>0.85553163106542784</v>
      </c>
      <c r="BA14" s="68">
        <f t="shared" si="22"/>
        <v>0.89532916780401239</v>
      </c>
      <c r="BB14" s="68">
        <f t="shared" si="23"/>
        <v>0.92383605934546609</v>
      </c>
      <c r="BC14" s="68">
        <f t="shared" si="24"/>
        <v>0.95259950755857814</v>
      </c>
      <c r="BD14" s="68">
        <f t="shared" si="25"/>
        <v>0.9787301770703638</v>
      </c>
      <c r="BE14" s="68">
        <f t="shared" si="26"/>
        <v>1</v>
      </c>
      <c r="BG14" s="68">
        <f t="shared" si="27"/>
        <v>0.20940726254213043</v>
      </c>
      <c r="BH14" s="68">
        <f t="shared" si="13"/>
        <v>0.42178107652960573</v>
      </c>
      <c r="BI14" s="68">
        <f t="shared" si="13"/>
        <v>0.52977766532650006</v>
      </c>
      <c r="BJ14" s="68">
        <f t="shared" si="13"/>
        <v>0.61412289990183733</v>
      </c>
      <c r="BK14" s="68">
        <f t="shared" si="13"/>
        <v>0.72518208514887028</v>
      </c>
      <c r="BL14" s="68">
        <f t="shared" si="13"/>
        <v>0.82664438699503551</v>
      </c>
      <c r="BM14" s="68">
        <f t="shared" si="13"/>
        <v>0.8596633861985612</v>
      </c>
      <c r="BN14" s="68">
        <f t="shared" si="13"/>
        <v>0.89481219057409356</v>
      </c>
      <c r="BO14" s="68">
        <f t="shared" si="13"/>
        <v>0.92393678252115408</v>
      </c>
      <c r="BP14" s="68">
        <f t="shared" si="13"/>
        <v>0.95236746317383314</v>
      </c>
      <c r="BQ14" s="68">
        <f t="shared" si="13"/>
        <v>0.97539131814291302</v>
      </c>
      <c r="BR14" s="68">
        <f t="shared" si="13"/>
        <v>1</v>
      </c>
    </row>
    <row r="15" spans="1:70">
      <c r="A15" s="239" t="s">
        <v>131</v>
      </c>
      <c r="B15" s="62">
        <v>815124.91</v>
      </c>
      <c r="C15" s="62">
        <v>769429.77</v>
      </c>
      <c r="D15" s="62">
        <v>537283.21</v>
      </c>
      <c r="E15" s="62">
        <v>324833.07</v>
      </c>
      <c r="F15" s="62">
        <v>378592.45</v>
      </c>
      <c r="G15" s="62">
        <v>350469.62</v>
      </c>
      <c r="H15" s="62">
        <v>107236.02</v>
      </c>
      <c r="I15" s="62">
        <v>110792.37</v>
      </c>
      <c r="J15" s="62">
        <v>83284.19</v>
      </c>
      <c r="K15" s="62">
        <v>88467.79</v>
      </c>
      <c r="L15" s="62">
        <v>70077.22</v>
      </c>
      <c r="M15" s="62">
        <v>64868.160000000003</v>
      </c>
      <c r="N15" s="100">
        <f t="shared" si="0"/>
        <v>3700458.7800000007</v>
      </c>
      <c r="P15" s="239" t="s">
        <v>131</v>
      </c>
      <c r="Q15" s="62">
        <v>1566407</v>
      </c>
      <c r="R15" s="62">
        <v>335006</v>
      </c>
      <c r="S15" s="62">
        <v>377882.64999999997</v>
      </c>
      <c r="T15" s="62">
        <v>124804.32</v>
      </c>
      <c r="U15" s="62">
        <v>516642.49</v>
      </c>
      <c r="V15" s="62">
        <v>156064.23000000001</v>
      </c>
      <c r="W15" s="62">
        <v>71107.25</v>
      </c>
      <c r="X15" s="62">
        <v>89041.83</v>
      </c>
      <c r="Y15" s="62">
        <v>74310.75</v>
      </c>
      <c r="Z15" s="62">
        <v>76522.34</v>
      </c>
      <c r="AA15" s="62">
        <v>89227.180000000008</v>
      </c>
      <c r="AB15" s="62">
        <v>65480.630000000005</v>
      </c>
      <c r="AC15" s="100">
        <f t="shared" si="14"/>
        <v>3542496.67</v>
      </c>
      <c r="AE15" s="68">
        <f t="shared" si="1"/>
        <v>0.22027671660755532</v>
      </c>
      <c r="AF15" s="68">
        <f t="shared" si="2"/>
        <v>0.42820492652535369</v>
      </c>
      <c r="AG15" s="68">
        <f t="shared" si="3"/>
        <v>0.5733986016728444</v>
      </c>
      <c r="AH15" s="68">
        <f t="shared" si="4"/>
        <v>0.66118043882115596</v>
      </c>
      <c r="AI15" s="68">
        <f t="shared" si="5"/>
        <v>0.76349003676781924</v>
      </c>
      <c r="AJ15" s="68">
        <f t="shared" si="6"/>
        <v>0.85819981218653096</v>
      </c>
      <c r="AK15" s="68">
        <f t="shared" si="7"/>
        <v>0.88717892704104107</v>
      </c>
      <c r="AL15" s="68">
        <f t="shared" si="8"/>
        <v>0.91711909840541439</v>
      </c>
      <c r="AM15" s="68">
        <f t="shared" si="9"/>
        <v>0.93962554826782851</v>
      </c>
      <c r="AN15" s="68">
        <f t="shared" si="10"/>
        <v>0.96353279741167652</v>
      </c>
      <c r="AO15" s="68">
        <f t="shared" si="11"/>
        <v>0.98247023846054027</v>
      </c>
      <c r="AP15" s="68">
        <f t="shared" si="12"/>
        <v>1</v>
      </c>
      <c r="AQ15" s="92"/>
      <c r="AT15" s="68">
        <f t="shared" si="15"/>
        <v>0.44217599786762823</v>
      </c>
      <c r="AU15" s="68">
        <f t="shared" si="16"/>
        <v>0.53674376495603027</v>
      </c>
      <c r="AV15" s="68">
        <f t="shared" si="17"/>
        <v>0.64341504377476233</v>
      </c>
      <c r="AW15" s="68">
        <f t="shared" si="18"/>
        <v>0.6786456541679684</v>
      </c>
      <c r="AX15" s="68">
        <f t="shared" si="19"/>
        <v>0.82448700227006844</v>
      </c>
      <c r="AY15" s="68">
        <f t="shared" si="20"/>
        <v>0.86854187219320655</v>
      </c>
      <c r="AZ15" s="68">
        <f t="shared" si="21"/>
        <v>0.88861450926924934</v>
      </c>
      <c r="BA15" s="68">
        <f t="shared" si="22"/>
        <v>0.91374984129484027</v>
      </c>
      <c r="BB15" s="68">
        <f t="shared" si="23"/>
        <v>0.93472678409038568</v>
      </c>
      <c r="BC15" s="68">
        <f t="shared" si="24"/>
        <v>0.95632802951936158</v>
      </c>
      <c r="BD15" s="68">
        <f t="shared" si="25"/>
        <v>0.98151568340076945</v>
      </c>
      <c r="BE15" s="68">
        <f t="shared" si="26"/>
        <v>1</v>
      </c>
      <c r="BG15" s="68">
        <f t="shared" si="27"/>
        <v>0.33122635723759175</v>
      </c>
      <c r="BH15" s="68">
        <f t="shared" si="13"/>
        <v>0.48247434574069198</v>
      </c>
      <c r="BI15" s="68">
        <f t="shared" si="13"/>
        <v>0.60840682272380331</v>
      </c>
      <c r="BJ15" s="68">
        <f t="shared" si="13"/>
        <v>0.66991304649456218</v>
      </c>
      <c r="BK15" s="68">
        <f t="shared" si="13"/>
        <v>0.79398851951894378</v>
      </c>
      <c r="BL15" s="68">
        <f t="shared" si="13"/>
        <v>0.8633708421898687</v>
      </c>
      <c r="BM15" s="68">
        <f t="shared" si="13"/>
        <v>0.88789671815514515</v>
      </c>
      <c r="BN15" s="68">
        <f t="shared" si="13"/>
        <v>0.91543446985012733</v>
      </c>
      <c r="BO15" s="68">
        <f t="shared" si="13"/>
        <v>0.93717616617910715</v>
      </c>
      <c r="BP15" s="68">
        <f t="shared" si="13"/>
        <v>0.95993041346551911</v>
      </c>
      <c r="BQ15" s="68">
        <f t="shared" si="13"/>
        <v>0.9819929609306548</v>
      </c>
      <c r="BR15" s="68">
        <f t="shared" si="13"/>
        <v>1</v>
      </c>
    </row>
    <row r="16" spans="1:70">
      <c r="A16" s="239" t="s">
        <v>132</v>
      </c>
      <c r="B16" s="62">
        <v>88356.57</v>
      </c>
      <c r="C16" s="62">
        <v>102794.66</v>
      </c>
      <c r="D16" s="62">
        <v>83255.86</v>
      </c>
      <c r="E16" s="62">
        <v>70180.45</v>
      </c>
      <c r="F16" s="62">
        <v>65994.720000000001</v>
      </c>
      <c r="G16" s="62">
        <v>63958.36</v>
      </c>
      <c r="H16" s="62">
        <v>21169.96</v>
      </c>
      <c r="I16" s="62">
        <v>23959.360000000001</v>
      </c>
      <c r="J16" s="62">
        <v>16440.099999999999</v>
      </c>
      <c r="K16" s="62">
        <v>17682.060000000001</v>
      </c>
      <c r="L16" s="62">
        <v>13010.45</v>
      </c>
      <c r="M16" s="62">
        <v>10631.05</v>
      </c>
      <c r="N16" s="100">
        <f t="shared" si="0"/>
        <v>577433.60000000009</v>
      </c>
      <c r="P16" s="239" t="s">
        <v>132</v>
      </c>
      <c r="Q16" s="62">
        <v>107902.51</v>
      </c>
      <c r="R16" s="62">
        <v>140935.73000000001</v>
      </c>
      <c r="S16" s="62">
        <v>74659.14</v>
      </c>
      <c r="T16" s="62">
        <v>29775.599999999999</v>
      </c>
      <c r="U16" s="62">
        <v>90909.43</v>
      </c>
      <c r="V16" s="62">
        <v>31173.13</v>
      </c>
      <c r="W16" s="62">
        <v>17150.86</v>
      </c>
      <c r="X16" s="62">
        <v>14777.75</v>
      </c>
      <c r="Y16" s="62">
        <v>17745.46</v>
      </c>
      <c r="Z16" s="62">
        <v>16412.36</v>
      </c>
      <c r="AA16" s="62">
        <v>21783.33</v>
      </c>
      <c r="AB16" s="62">
        <v>14130.11</v>
      </c>
      <c r="AC16" s="100">
        <f t="shared" si="14"/>
        <v>577355.40999999992</v>
      </c>
      <c r="AE16" s="68">
        <f t="shared" si="1"/>
        <v>0.15301598313641601</v>
      </c>
      <c r="AF16" s="68">
        <f t="shared" si="2"/>
        <v>0.33103586282474728</v>
      </c>
      <c r="AG16" s="68">
        <f t="shared" si="3"/>
        <v>0.47521843204136366</v>
      </c>
      <c r="AH16" s="68">
        <f t="shared" si="4"/>
        <v>0.59675699508999824</v>
      </c>
      <c r="AI16" s="68">
        <f t="shared" si="5"/>
        <v>0.71104670736167752</v>
      </c>
      <c r="AJ16" s="68">
        <f t="shared" si="6"/>
        <v>0.82180984965197712</v>
      </c>
      <c r="AK16" s="68">
        <f t="shared" si="7"/>
        <v>0.85847200440015947</v>
      </c>
      <c r="AL16" s="68">
        <f t="shared" si="8"/>
        <v>0.89996484444272018</v>
      </c>
      <c r="AM16" s="68">
        <f t="shared" si="9"/>
        <v>0.9284358236167759</v>
      </c>
      <c r="AN16" s="68">
        <f t="shared" si="10"/>
        <v>0.95905763017600643</v>
      </c>
      <c r="AO16" s="68">
        <f t="shared" si="11"/>
        <v>0.9815891385606933</v>
      </c>
      <c r="AP16" s="68">
        <f t="shared" si="12"/>
        <v>1</v>
      </c>
      <c r="AQ16" s="92"/>
      <c r="AT16" s="68">
        <f t="shared" si="15"/>
        <v>0.18689096547999787</v>
      </c>
      <c r="AU16" s="68">
        <f t="shared" si="16"/>
        <v>0.43099663688957213</v>
      </c>
      <c r="AV16" s="68">
        <f t="shared" si="17"/>
        <v>0.56030890920377807</v>
      </c>
      <c r="AW16" s="68">
        <f t="shared" si="18"/>
        <v>0.61188130202157465</v>
      </c>
      <c r="AX16" s="68">
        <f t="shared" si="19"/>
        <v>0.76933965163676221</v>
      </c>
      <c r="AY16" s="68">
        <f t="shared" si="20"/>
        <v>0.82333261586654227</v>
      </c>
      <c r="AZ16" s="68">
        <f t="shared" si="21"/>
        <v>0.85303851227444116</v>
      </c>
      <c r="BA16" s="68">
        <f t="shared" si="22"/>
        <v>0.87863409818919003</v>
      </c>
      <c r="BB16" s="68">
        <f t="shared" si="23"/>
        <v>0.90936986283717347</v>
      </c>
      <c r="BC16" s="68">
        <f t="shared" si="24"/>
        <v>0.93779665111304678</v>
      </c>
      <c r="BD16" s="68">
        <f t="shared" si="25"/>
        <v>0.97552614948217076</v>
      </c>
      <c r="BE16" s="68">
        <f t="shared" si="26"/>
        <v>1</v>
      </c>
      <c r="BG16" s="68">
        <f t="shared" si="27"/>
        <v>0.16995347430820695</v>
      </c>
      <c r="BH16" s="68">
        <f t="shared" si="13"/>
        <v>0.38101624985715971</v>
      </c>
      <c r="BI16" s="68">
        <f t="shared" si="13"/>
        <v>0.51776367062257089</v>
      </c>
      <c r="BJ16" s="68">
        <f t="shared" si="13"/>
        <v>0.60431914855578639</v>
      </c>
      <c r="BK16" s="68">
        <f t="shared" si="13"/>
        <v>0.74019317949921981</v>
      </c>
      <c r="BL16" s="68">
        <f t="shared" si="13"/>
        <v>0.8225712327592597</v>
      </c>
      <c r="BM16" s="68">
        <f t="shared" si="13"/>
        <v>0.85575525833730026</v>
      </c>
      <c r="BN16" s="68">
        <f t="shared" si="13"/>
        <v>0.8892994713159551</v>
      </c>
      <c r="BO16" s="68">
        <f t="shared" si="13"/>
        <v>0.91890284322697469</v>
      </c>
      <c r="BP16" s="68">
        <f t="shared" si="13"/>
        <v>0.9484271406445266</v>
      </c>
      <c r="BQ16" s="68">
        <f t="shared" si="13"/>
        <v>0.97855764402143208</v>
      </c>
      <c r="BR16" s="68">
        <f t="shared" si="13"/>
        <v>1</v>
      </c>
    </row>
    <row r="17" spans="1:70">
      <c r="A17" s="239" t="s">
        <v>133</v>
      </c>
      <c r="B17" s="62">
        <v>110179.89</v>
      </c>
      <c r="C17" s="62">
        <v>108147.67</v>
      </c>
      <c r="D17" s="62">
        <v>94073.14</v>
      </c>
      <c r="E17" s="62">
        <v>53503.3</v>
      </c>
      <c r="F17" s="62">
        <v>58337.350000000006</v>
      </c>
      <c r="G17" s="62">
        <v>59369.48</v>
      </c>
      <c r="H17" s="62">
        <v>13820.860000000002</v>
      </c>
      <c r="I17" s="62">
        <v>18072.13</v>
      </c>
      <c r="J17" s="62">
        <v>13773.74</v>
      </c>
      <c r="K17" s="62">
        <v>17289.84</v>
      </c>
      <c r="L17" s="62">
        <v>11922.09</v>
      </c>
      <c r="M17" s="62">
        <v>14482.02</v>
      </c>
      <c r="N17" s="100">
        <f t="shared" si="0"/>
        <v>572971.50999999989</v>
      </c>
      <c r="P17" s="239" t="s">
        <v>133</v>
      </c>
      <c r="Q17" s="62">
        <v>99197.7</v>
      </c>
      <c r="R17" s="62">
        <v>153569.04</v>
      </c>
      <c r="S17" s="62">
        <v>43046.49</v>
      </c>
      <c r="T17" s="62">
        <v>39653.82</v>
      </c>
      <c r="U17" s="62">
        <v>51296.62</v>
      </c>
      <c r="V17" s="62">
        <v>61652.72</v>
      </c>
      <c r="W17" s="62">
        <v>18133.27</v>
      </c>
      <c r="X17" s="62">
        <v>18385.59</v>
      </c>
      <c r="Y17" s="62">
        <v>16197.19</v>
      </c>
      <c r="Z17" s="62">
        <v>14076.79</v>
      </c>
      <c r="AA17" s="62">
        <v>11929.58</v>
      </c>
      <c r="AB17" s="62">
        <v>9644.6400000000012</v>
      </c>
      <c r="AC17" s="100">
        <f t="shared" si="14"/>
        <v>536783.45000000007</v>
      </c>
      <c r="AE17" s="68">
        <f t="shared" si="1"/>
        <v>0.19229558202640828</v>
      </c>
      <c r="AF17" s="68">
        <f t="shared" si="2"/>
        <v>0.38104435594014097</v>
      </c>
      <c r="AG17" s="68">
        <f t="shared" si="3"/>
        <v>0.54522902892676128</v>
      </c>
      <c r="AH17" s="68">
        <f t="shared" si="4"/>
        <v>0.6386076682940135</v>
      </c>
      <c r="AI17" s="68">
        <f t="shared" si="5"/>
        <v>0.74042311458033938</v>
      </c>
      <c r="AJ17" s="68">
        <f t="shared" si="6"/>
        <v>0.84403992442835429</v>
      </c>
      <c r="AK17" s="68">
        <f t="shared" si="7"/>
        <v>0.86816129828165456</v>
      </c>
      <c r="AL17" s="68">
        <f t="shared" si="8"/>
        <v>0.89970236041928164</v>
      </c>
      <c r="AM17" s="68">
        <f t="shared" si="9"/>
        <v>0.92374149632675462</v>
      </c>
      <c r="AN17" s="68">
        <f t="shared" si="10"/>
        <v>0.95391723752547486</v>
      </c>
      <c r="AO17" s="68">
        <f t="shared" si="11"/>
        <v>0.97472471187965348</v>
      </c>
      <c r="AP17" s="68">
        <f t="shared" si="12"/>
        <v>1</v>
      </c>
      <c r="AQ17" s="92"/>
      <c r="AT17" s="68">
        <f t="shared" si="15"/>
        <v>0.18480022064763729</v>
      </c>
      <c r="AU17" s="68">
        <f t="shared" si="16"/>
        <v>0.47089145539043714</v>
      </c>
      <c r="AV17" s="68">
        <f t="shared" si="17"/>
        <v>0.55108485554090747</v>
      </c>
      <c r="AW17" s="68">
        <f t="shared" si="18"/>
        <v>0.6249578857172291</v>
      </c>
      <c r="AX17" s="68">
        <f t="shared" si="19"/>
        <v>0.72052085435942548</v>
      </c>
      <c r="AY17" s="68">
        <f t="shared" si="20"/>
        <v>0.83537670544797904</v>
      </c>
      <c r="AZ17" s="68">
        <f t="shared" si="21"/>
        <v>0.86915805619565945</v>
      </c>
      <c r="BA17" s="68">
        <f t="shared" si="22"/>
        <v>0.90340946614505346</v>
      </c>
      <c r="BB17" s="68">
        <f t="shared" si="23"/>
        <v>0.9335839992831374</v>
      </c>
      <c r="BC17" s="68">
        <f t="shared" si="24"/>
        <v>0.95980833611766525</v>
      </c>
      <c r="BD17" s="68">
        <f t="shared" si="25"/>
        <v>0.98203253099550669</v>
      </c>
      <c r="BE17" s="68">
        <f t="shared" si="26"/>
        <v>1</v>
      </c>
      <c r="BG17" s="68">
        <f t="shared" si="27"/>
        <v>0.18854790133702279</v>
      </c>
      <c r="BH17" s="68">
        <f t="shared" si="13"/>
        <v>0.42596790566528908</v>
      </c>
      <c r="BI17" s="68">
        <f t="shared" si="13"/>
        <v>0.54815694223383438</v>
      </c>
      <c r="BJ17" s="68">
        <f t="shared" si="13"/>
        <v>0.63178277700562124</v>
      </c>
      <c r="BK17" s="68">
        <f t="shared" si="13"/>
        <v>0.73047198446988237</v>
      </c>
      <c r="BL17" s="68">
        <f t="shared" si="13"/>
        <v>0.83970831493816667</v>
      </c>
      <c r="BM17" s="68">
        <f t="shared" si="13"/>
        <v>0.868659677238657</v>
      </c>
      <c r="BN17" s="68">
        <f t="shared" si="13"/>
        <v>0.90155591328216755</v>
      </c>
      <c r="BO17" s="68">
        <f t="shared" si="13"/>
        <v>0.92866274780494606</v>
      </c>
      <c r="BP17" s="68">
        <f t="shared" si="13"/>
        <v>0.95686278682157</v>
      </c>
      <c r="BQ17" s="68">
        <f t="shared" si="13"/>
        <v>0.97837862143758003</v>
      </c>
      <c r="BR17" s="68">
        <f t="shared" si="13"/>
        <v>1</v>
      </c>
    </row>
    <row r="18" spans="1:70">
      <c r="A18" s="239" t="s">
        <v>134</v>
      </c>
      <c r="B18" s="62">
        <v>652066.4</v>
      </c>
      <c r="C18" s="62">
        <v>648074.03</v>
      </c>
      <c r="D18" s="62">
        <v>452730.52</v>
      </c>
      <c r="E18" s="62">
        <v>296707.15999999997</v>
      </c>
      <c r="F18" s="62">
        <v>375262.77</v>
      </c>
      <c r="G18" s="62">
        <v>339083.11</v>
      </c>
      <c r="H18" s="62">
        <v>95780.47</v>
      </c>
      <c r="I18" s="62">
        <v>87057.02</v>
      </c>
      <c r="J18" s="62">
        <v>69538.58</v>
      </c>
      <c r="K18" s="62">
        <v>68990.070000000007</v>
      </c>
      <c r="L18" s="62">
        <v>53749.97</v>
      </c>
      <c r="M18" s="62">
        <v>57305.440000000002</v>
      </c>
      <c r="N18" s="100">
        <f t="shared" si="0"/>
        <v>3196345.54</v>
      </c>
      <c r="P18" s="239" t="s">
        <v>134</v>
      </c>
      <c r="Q18" s="62">
        <v>712212.26</v>
      </c>
      <c r="R18" s="62">
        <v>749648.1</v>
      </c>
      <c r="S18" s="62">
        <v>284539.42</v>
      </c>
      <c r="T18" s="62">
        <v>209227.18000000002</v>
      </c>
      <c r="U18" s="62">
        <v>338893.09</v>
      </c>
      <c r="V18" s="62">
        <v>297717.7</v>
      </c>
      <c r="W18" s="62">
        <v>93255.670000000013</v>
      </c>
      <c r="X18" s="62">
        <v>83677.69</v>
      </c>
      <c r="Y18" s="62">
        <v>46152.63</v>
      </c>
      <c r="Z18" s="62">
        <v>73518.75</v>
      </c>
      <c r="AA18" s="62">
        <v>83897.36</v>
      </c>
      <c r="AB18" s="62">
        <v>66967.47</v>
      </c>
      <c r="AC18" s="100">
        <f t="shared" si="14"/>
        <v>3039707.32</v>
      </c>
      <c r="AE18" s="68">
        <f t="shared" si="1"/>
        <v>0.20400372608025352</v>
      </c>
      <c r="AF18" s="68">
        <f t="shared" si="2"/>
        <v>0.40675841010606134</v>
      </c>
      <c r="AG18" s="68">
        <f t="shared" si="3"/>
        <v>0.54839845319101521</v>
      </c>
      <c r="AH18" s="68">
        <f t="shared" si="4"/>
        <v>0.64122545086286264</v>
      </c>
      <c r="AI18" s="68">
        <f t="shared" si="5"/>
        <v>0.7586291437064091</v>
      </c>
      <c r="AJ18" s="68">
        <f t="shared" si="6"/>
        <v>0.86471376620939411</v>
      </c>
      <c r="AK18" s="68">
        <f t="shared" si="7"/>
        <v>0.89467938438220296</v>
      </c>
      <c r="AL18" s="68">
        <f t="shared" si="8"/>
        <v>0.92191580763824421</v>
      </c>
      <c r="AM18" s="68">
        <f t="shared" si="9"/>
        <v>0.94367145925030371</v>
      </c>
      <c r="AN18" s="68">
        <f t="shared" si="10"/>
        <v>0.96525550551083406</v>
      </c>
      <c r="AO18" s="68">
        <f t="shared" si="11"/>
        <v>0.9820715754029522</v>
      </c>
      <c r="AP18" s="68">
        <f t="shared" si="12"/>
        <v>1</v>
      </c>
      <c r="AQ18" s="92"/>
      <c r="AT18" s="68">
        <f t="shared" si="15"/>
        <v>0.2343029065048276</v>
      </c>
      <c r="AU18" s="68">
        <f t="shared" si="16"/>
        <v>0.4809214197635317</v>
      </c>
      <c r="AV18" s="68">
        <f t="shared" si="17"/>
        <v>0.57452892537035438</v>
      </c>
      <c r="AW18" s="68">
        <f t="shared" si="18"/>
        <v>0.64336028246298393</v>
      </c>
      <c r="AX18" s="68">
        <f t="shared" si="19"/>
        <v>0.75484900631814777</v>
      </c>
      <c r="AY18" s="68">
        <f t="shared" si="20"/>
        <v>0.85279188984550003</v>
      </c>
      <c r="AZ18" s="68">
        <f t="shared" si="21"/>
        <v>0.8834710507589264</v>
      </c>
      <c r="BA18" s="68">
        <f t="shared" si="22"/>
        <v>0.91099925699425566</v>
      </c>
      <c r="BB18" s="68">
        <f t="shared" si="23"/>
        <v>0.92618250496564247</v>
      </c>
      <c r="BC18" s="68">
        <f t="shared" si="24"/>
        <v>0.95036863285903461</v>
      </c>
      <c r="BD18" s="68">
        <f t="shared" si="25"/>
        <v>0.97796910592036856</v>
      </c>
      <c r="BE18" s="68">
        <f t="shared" si="26"/>
        <v>1</v>
      </c>
      <c r="BG18" s="68">
        <f t="shared" si="27"/>
        <v>0.21915331629254056</v>
      </c>
      <c r="BH18" s="68">
        <f t="shared" si="13"/>
        <v>0.44383991493479652</v>
      </c>
      <c r="BI18" s="68">
        <f t="shared" si="13"/>
        <v>0.5614636892806848</v>
      </c>
      <c r="BJ18" s="68">
        <f t="shared" si="13"/>
        <v>0.64229286666292329</v>
      </c>
      <c r="BK18" s="68">
        <f t="shared" si="13"/>
        <v>0.75673907501227844</v>
      </c>
      <c r="BL18" s="68">
        <f t="shared" si="13"/>
        <v>0.85875282802744701</v>
      </c>
      <c r="BM18" s="68">
        <f t="shared" si="13"/>
        <v>0.88907521757056474</v>
      </c>
      <c r="BN18" s="68">
        <f t="shared" si="13"/>
        <v>0.91645753231624993</v>
      </c>
      <c r="BO18" s="68">
        <f t="shared" si="13"/>
        <v>0.93492698210797309</v>
      </c>
      <c r="BP18" s="68">
        <f t="shared" si="13"/>
        <v>0.95781206918493433</v>
      </c>
      <c r="BQ18" s="68">
        <f t="shared" si="13"/>
        <v>0.98002034066166033</v>
      </c>
      <c r="BR18" s="68">
        <f t="shared" si="13"/>
        <v>1</v>
      </c>
    </row>
    <row r="19" spans="1:70">
      <c r="A19" s="239" t="s">
        <v>135</v>
      </c>
      <c r="B19" s="62">
        <v>195357.95</v>
      </c>
      <c r="C19" s="62">
        <v>254807.38</v>
      </c>
      <c r="D19" s="62">
        <v>190077.44</v>
      </c>
      <c r="E19" s="62">
        <v>114208.21</v>
      </c>
      <c r="F19" s="62">
        <v>125015.80000000002</v>
      </c>
      <c r="G19" s="62">
        <v>123989.82</v>
      </c>
      <c r="H19" s="62">
        <v>38504.68</v>
      </c>
      <c r="I19" s="62">
        <v>37923.24</v>
      </c>
      <c r="J19" s="62">
        <v>28593.599999999999</v>
      </c>
      <c r="K19" s="62">
        <v>32509.77</v>
      </c>
      <c r="L19" s="62">
        <v>26844.2</v>
      </c>
      <c r="M19" s="62">
        <v>24062.3</v>
      </c>
      <c r="N19" s="100">
        <f t="shared" si="0"/>
        <v>1191894.3900000004</v>
      </c>
      <c r="P19" s="239" t="s">
        <v>135</v>
      </c>
      <c r="Q19" s="62">
        <v>216263.29</v>
      </c>
      <c r="R19" s="62">
        <v>342734.78</v>
      </c>
      <c r="S19" s="62">
        <v>106189.78</v>
      </c>
      <c r="T19" s="62">
        <v>93538.32</v>
      </c>
      <c r="U19" s="62">
        <v>117542.26999999999</v>
      </c>
      <c r="V19" s="62">
        <v>125586.61</v>
      </c>
      <c r="W19" s="62">
        <v>41502</v>
      </c>
      <c r="X19" s="62">
        <v>43445.05</v>
      </c>
      <c r="Y19" s="62">
        <v>28766.5</v>
      </c>
      <c r="Z19" s="62">
        <v>31215.74</v>
      </c>
      <c r="AA19" s="62">
        <v>36413.71</v>
      </c>
      <c r="AB19" s="62">
        <v>20069.59</v>
      </c>
      <c r="AC19" s="100">
        <f t="shared" si="14"/>
        <v>1203267.6400000001</v>
      </c>
      <c r="AE19" s="68">
        <f t="shared" si="1"/>
        <v>0.16390541950616946</v>
      </c>
      <c r="AF19" s="68">
        <f t="shared" si="2"/>
        <v>0.37768894104787243</v>
      </c>
      <c r="AG19" s="68">
        <f t="shared" si="3"/>
        <v>0.53716400997574942</v>
      </c>
      <c r="AH19" s="68">
        <f t="shared" si="4"/>
        <v>0.63298475630882012</v>
      </c>
      <c r="AI19" s="68">
        <f t="shared" si="5"/>
        <v>0.73787307615400366</v>
      </c>
      <c r="AJ19" s="68">
        <f t="shared" si="6"/>
        <v>0.84190059825686381</v>
      </c>
      <c r="AK19" s="68">
        <f t="shared" si="7"/>
        <v>0.87420604437948557</v>
      </c>
      <c r="AL19" s="68">
        <f t="shared" si="8"/>
        <v>0.90602366204609786</v>
      </c>
      <c r="AM19" s="68">
        <f t="shared" si="9"/>
        <v>0.93001370700301733</v>
      </c>
      <c r="AN19" s="68">
        <f t="shared" si="10"/>
        <v>0.95728942058364752</v>
      </c>
      <c r="AO19" s="68">
        <f t="shared" si="11"/>
        <v>0.97981171804995237</v>
      </c>
      <c r="AP19" s="68">
        <f t="shared" si="12"/>
        <v>1</v>
      </c>
      <c r="AQ19" s="92"/>
      <c r="AT19" s="68">
        <f t="shared" si="15"/>
        <v>0.17972999755898031</v>
      </c>
      <c r="AU19" s="68">
        <f t="shared" si="16"/>
        <v>0.46456669440557713</v>
      </c>
      <c r="AV19" s="68">
        <f t="shared" si="17"/>
        <v>0.55281786685462597</v>
      </c>
      <c r="AW19" s="68">
        <f t="shared" si="18"/>
        <v>0.63055478663084474</v>
      </c>
      <c r="AX19" s="68">
        <f t="shared" si="19"/>
        <v>0.72824067636357281</v>
      </c>
      <c r="AY19" s="68">
        <f t="shared" si="20"/>
        <v>0.83261197816306276</v>
      </c>
      <c r="AZ19" s="68">
        <f t="shared" si="21"/>
        <v>0.86710305780349917</v>
      </c>
      <c r="BA19" s="68">
        <f t="shared" si="22"/>
        <v>0.90320894859268386</v>
      </c>
      <c r="BB19" s="68">
        <f t="shared" si="23"/>
        <v>0.92711593241217716</v>
      </c>
      <c r="BC19" s="68">
        <f t="shared" si="24"/>
        <v>0.9530584068561837</v>
      </c>
      <c r="BD19" s="68">
        <f t="shared" si="25"/>
        <v>0.98332075979372291</v>
      </c>
      <c r="BE19" s="68">
        <f t="shared" si="26"/>
        <v>1</v>
      </c>
      <c r="BG19" s="68">
        <f t="shared" si="27"/>
        <v>0.17181770853257489</v>
      </c>
      <c r="BH19" s="68">
        <f t="shared" si="27"/>
        <v>0.42112781772672481</v>
      </c>
      <c r="BI19" s="68">
        <f t="shared" si="27"/>
        <v>0.54499093841518764</v>
      </c>
      <c r="BJ19" s="68">
        <f t="shared" si="27"/>
        <v>0.63176977146983249</v>
      </c>
      <c r="BK19" s="68">
        <f t="shared" si="27"/>
        <v>0.73305687625878824</v>
      </c>
      <c r="BL19" s="68">
        <f t="shared" si="27"/>
        <v>0.83725628820996323</v>
      </c>
      <c r="BM19" s="68">
        <f t="shared" si="27"/>
        <v>0.87065455109149237</v>
      </c>
      <c r="BN19" s="68">
        <f t="shared" si="27"/>
        <v>0.90461630531939086</v>
      </c>
      <c r="BO19" s="68">
        <f t="shared" si="27"/>
        <v>0.9285648197075973</v>
      </c>
      <c r="BP19" s="68">
        <f t="shared" si="27"/>
        <v>0.95517391371991556</v>
      </c>
      <c r="BQ19" s="68">
        <f t="shared" si="27"/>
        <v>0.98156623892183759</v>
      </c>
      <c r="BR19" s="68">
        <f t="shared" si="27"/>
        <v>1</v>
      </c>
    </row>
    <row r="20" spans="1:70">
      <c r="A20" s="239" t="s">
        <v>136</v>
      </c>
      <c r="B20" s="62">
        <v>49912.76</v>
      </c>
      <c r="C20" s="62">
        <v>66146.91</v>
      </c>
      <c r="D20" s="62">
        <v>43459.13</v>
      </c>
      <c r="E20" s="62">
        <v>27998.12</v>
      </c>
      <c r="F20" s="62">
        <v>27087.910000000003</v>
      </c>
      <c r="G20" s="62">
        <v>27381.65</v>
      </c>
      <c r="H20" s="62">
        <v>8540.1</v>
      </c>
      <c r="I20" s="62">
        <v>12005.91</v>
      </c>
      <c r="J20" s="62">
        <v>9590.8799999999992</v>
      </c>
      <c r="K20" s="62">
        <v>6490.39</v>
      </c>
      <c r="L20" s="62">
        <v>7061.83</v>
      </c>
      <c r="M20" s="62">
        <v>4163.08</v>
      </c>
      <c r="N20" s="100">
        <f t="shared" si="0"/>
        <v>289838.67000000004</v>
      </c>
      <c r="P20" s="239" t="s">
        <v>136</v>
      </c>
      <c r="Q20" s="62">
        <v>61557</v>
      </c>
      <c r="R20" s="62">
        <v>64987.600000000006</v>
      </c>
      <c r="S20" s="62">
        <v>24007.600000000002</v>
      </c>
      <c r="T20" s="62">
        <v>19746.169999999998</v>
      </c>
      <c r="U20" s="62">
        <v>28210.73</v>
      </c>
      <c r="V20" s="62">
        <v>24567.77</v>
      </c>
      <c r="W20" s="62">
        <v>7820.5</v>
      </c>
      <c r="X20" s="62">
        <v>7043.25</v>
      </c>
      <c r="Y20" s="62">
        <v>8954.61</v>
      </c>
      <c r="Z20" s="62">
        <v>5438.0199999999995</v>
      </c>
      <c r="AA20" s="62">
        <v>8284.6299999999992</v>
      </c>
      <c r="AB20" s="62">
        <v>3561.5699999999997</v>
      </c>
      <c r="AC20" s="100">
        <f t="shared" si="14"/>
        <v>264179.44999999995</v>
      </c>
      <c r="AE20" s="68">
        <f t="shared" si="1"/>
        <v>0.17220876703581339</v>
      </c>
      <c r="AF20" s="68">
        <f t="shared" si="2"/>
        <v>0.40042852114936905</v>
      </c>
      <c r="AG20" s="68">
        <f t="shared" si="3"/>
        <v>0.55037100466959776</v>
      </c>
      <c r="AH20" s="68">
        <f t="shared" si="4"/>
        <v>0.64696998506099956</v>
      </c>
      <c r="AI20" s="68">
        <f t="shared" si="5"/>
        <v>0.74042856324175099</v>
      </c>
      <c r="AJ20" s="68">
        <f t="shared" si="6"/>
        <v>0.83490060177270331</v>
      </c>
      <c r="AK20" s="68">
        <f t="shared" si="7"/>
        <v>0.86436561415355651</v>
      </c>
      <c r="AL20" s="68">
        <f t="shared" si="8"/>
        <v>0.90578834770391392</v>
      </c>
      <c r="AM20" s="68">
        <f t="shared" si="9"/>
        <v>0.93887875624049733</v>
      </c>
      <c r="AN20" s="68">
        <f t="shared" si="10"/>
        <v>0.96127186893315497</v>
      </c>
      <c r="AO20" s="68">
        <f t="shared" si="11"/>
        <v>0.98563656119454313</v>
      </c>
      <c r="AP20" s="68">
        <f t="shared" si="12"/>
        <v>1</v>
      </c>
      <c r="AQ20" s="92"/>
      <c r="AT20" s="68">
        <f t="shared" si="15"/>
        <v>0.23301206812263411</v>
      </c>
      <c r="AU20" s="68">
        <f t="shared" si="16"/>
        <v>0.47901000626657381</v>
      </c>
      <c r="AV20" s="68">
        <f t="shared" si="17"/>
        <v>0.56988611339754114</v>
      </c>
      <c r="AW20" s="68">
        <f t="shared" si="18"/>
        <v>0.64463140490299309</v>
      </c>
      <c r="AX20" s="68">
        <f t="shared" si="19"/>
        <v>0.75141764433229019</v>
      </c>
      <c r="AY20" s="68">
        <f t="shared" si="20"/>
        <v>0.84441416620407084</v>
      </c>
      <c r="AZ20" s="68">
        <f t="shared" si="21"/>
        <v>0.87401715008491399</v>
      </c>
      <c r="BA20" s="68">
        <f t="shared" si="22"/>
        <v>0.90067800504543427</v>
      </c>
      <c r="BB20" s="68">
        <f t="shared" si="23"/>
        <v>0.93457394206854483</v>
      </c>
      <c r="BC20" s="68">
        <f t="shared" si="24"/>
        <v>0.95515851062601587</v>
      </c>
      <c r="BD20" s="68">
        <f t="shared" si="25"/>
        <v>0.98651836848021301</v>
      </c>
      <c r="BE20" s="68">
        <f t="shared" si="26"/>
        <v>1</v>
      </c>
      <c r="BG20" s="68">
        <f t="shared" si="27"/>
        <v>0.20261041757922377</v>
      </c>
      <c r="BH20" s="68">
        <f t="shared" si="27"/>
        <v>0.43971926370797143</v>
      </c>
      <c r="BI20" s="68">
        <f t="shared" si="27"/>
        <v>0.5601285590335694</v>
      </c>
      <c r="BJ20" s="68">
        <f t="shared" si="27"/>
        <v>0.64580069498199633</v>
      </c>
      <c r="BK20" s="68">
        <f t="shared" si="27"/>
        <v>0.74592310378702065</v>
      </c>
      <c r="BL20" s="68">
        <f t="shared" si="27"/>
        <v>0.83965738398838707</v>
      </c>
      <c r="BM20" s="68">
        <f t="shared" si="27"/>
        <v>0.86919138211923519</v>
      </c>
      <c r="BN20" s="68">
        <f t="shared" si="27"/>
        <v>0.90323317637467415</v>
      </c>
      <c r="BO20" s="68">
        <f t="shared" si="27"/>
        <v>0.93672634915452102</v>
      </c>
      <c r="BP20" s="68">
        <f t="shared" si="27"/>
        <v>0.95821518977958542</v>
      </c>
      <c r="BQ20" s="68">
        <f t="shared" si="27"/>
        <v>0.98607746483737801</v>
      </c>
      <c r="BR20" s="68">
        <f t="shared" si="27"/>
        <v>1</v>
      </c>
    </row>
    <row r="21" spans="1:70">
      <c r="A21" s="239" t="s">
        <v>137</v>
      </c>
      <c r="B21" s="62">
        <v>1052840.29</v>
      </c>
      <c r="C21" s="62">
        <v>1052866.8700000001</v>
      </c>
      <c r="D21" s="62">
        <v>713923.62</v>
      </c>
      <c r="E21" s="62">
        <v>404837.41</v>
      </c>
      <c r="F21" s="62">
        <v>501448.12000000005</v>
      </c>
      <c r="G21" s="62">
        <v>481774.63</v>
      </c>
      <c r="H21" s="62">
        <v>141722.21</v>
      </c>
      <c r="I21" s="62">
        <v>222271.48</v>
      </c>
      <c r="J21" s="62">
        <v>148849.82</v>
      </c>
      <c r="K21" s="62">
        <v>147878.75</v>
      </c>
      <c r="L21" s="62">
        <v>104687.08</v>
      </c>
      <c r="M21" s="62">
        <v>114364.32</v>
      </c>
      <c r="N21" s="100">
        <f t="shared" si="0"/>
        <v>5087464.6000000015</v>
      </c>
      <c r="P21" s="239" t="s">
        <v>137</v>
      </c>
      <c r="Q21" s="62">
        <v>1372440.4500000002</v>
      </c>
      <c r="R21" s="62">
        <v>1277172.8500000001</v>
      </c>
      <c r="S21" s="62">
        <v>426045.14999999997</v>
      </c>
      <c r="T21" s="62">
        <v>310273.49</v>
      </c>
      <c r="U21" s="62">
        <v>477740.23</v>
      </c>
      <c r="V21" s="62">
        <v>483644.76</v>
      </c>
      <c r="W21" s="62">
        <v>225070.39</v>
      </c>
      <c r="X21" s="62">
        <v>226216.44</v>
      </c>
      <c r="Y21" s="62">
        <v>153776.87</v>
      </c>
      <c r="Z21" s="62">
        <v>167512.67000000001</v>
      </c>
      <c r="AA21" s="62">
        <v>131381.07999999999</v>
      </c>
      <c r="AB21" s="62">
        <v>120186.66</v>
      </c>
      <c r="AC21" s="100">
        <f t="shared" si="14"/>
        <v>5371461.040000001</v>
      </c>
      <c r="AE21" s="68">
        <f t="shared" si="1"/>
        <v>0.20694793434041778</v>
      </c>
      <c r="AF21" s="68">
        <f t="shared" si="2"/>
        <v>0.41390109328721414</v>
      </c>
      <c r="AG21" s="68">
        <f t="shared" si="3"/>
        <v>0.55423103681153862</v>
      </c>
      <c r="AH21" s="68">
        <f t="shared" si="4"/>
        <v>0.6338065114005903</v>
      </c>
      <c r="AI21" s="68">
        <f t="shared" si="5"/>
        <v>0.73237193827353597</v>
      </c>
      <c r="AJ21" s="68">
        <f t="shared" si="6"/>
        <v>0.8270703131772158</v>
      </c>
      <c r="AK21" s="68">
        <f t="shared" si="7"/>
        <v>0.85492745246817037</v>
      </c>
      <c r="AL21" s="68">
        <f t="shared" si="8"/>
        <v>0.8986174822720141</v>
      </c>
      <c r="AM21" s="68">
        <f t="shared" si="9"/>
        <v>0.92787563573415321</v>
      </c>
      <c r="AN21" s="68">
        <f t="shared" si="10"/>
        <v>0.95694291415806598</v>
      </c>
      <c r="AO21" s="68">
        <f t="shared" si="11"/>
        <v>0.97752037036287187</v>
      </c>
      <c r="AP21" s="68">
        <f t="shared" si="12"/>
        <v>1</v>
      </c>
      <c r="AQ21" s="92"/>
      <c r="AT21" s="68">
        <f t="shared" si="15"/>
        <v>0.25550598613296466</v>
      </c>
      <c r="AU21" s="68">
        <f t="shared" si="16"/>
        <v>0.49327609011197443</v>
      </c>
      <c r="AV21" s="68">
        <f t="shared" si="17"/>
        <v>0.57259252689283202</v>
      </c>
      <c r="AW21" s="68">
        <f t="shared" si="18"/>
        <v>0.63035585938085847</v>
      </c>
      <c r="AX21" s="68">
        <f t="shared" si="19"/>
        <v>0.71929632203010441</v>
      </c>
      <c r="AY21" s="68">
        <f t="shared" si="20"/>
        <v>0.80933602564117268</v>
      </c>
      <c r="AZ21" s="68">
        <f t="shared" si="21"/>
        <v>0.85123717475571592</v>
      </c>
      <c r="BA21" s="68">
        <f t="shared" si="22"/>
        <v>0.89335168295291212</v>
      </c>
      <c r="BB21" s="68">
        <f t="shared" si="23"/>
        <v>0.92198018250915215</v>
      </c>
      <c r="BC21" s="68">
        <f t="shared" si="24"/>
        <v>0.95316586341655751</v>
      </c>
      <c r="BD21" s="68">
        <f t="shared" si="25"/>
        <v>0.97762495918615089</v>
      </c>
      <c r="BE21" s="68">
        <f t="shared" si="26"/>
        <v>1</v>
      </c>
      <c r="BG21" s="68">
        <f t="shared" si="27"/>
        <v>0.2312269602366912</v>
      </c>
      <c r="BH21" s="68">
        <f t="shared" si="27"/>
        <v>0.45358859169959431</v>
      </c>
      <c r="BI21" s="68">
        <f t="shared" si="27"/>
        <v>0.56341178185218532</v>
      </c>
      <c r="BJ21" s="68">
        <f t="shared" si="27"/>
        <v>0.63208118539072444</v>
      </c>
      <c r="BK21" s="68">
        <f t="shared" si="27"/>
        <v>0.72583413015182019</v>
      </c>
      <c r="BL21" s="68">
        <f t="shared" si="27"/>
        <v>0.81820316940919424</v>
      </c>
      <c r="BM21" s="68">
        <f t="shared" si="27"/>
        <v>0.8530823136119432</v>
      </c>
      <c r="BN21" s="68">
        <f t="shared" si="27"/>
        <v>0.89598458261246305</v>
      </c>
      <c r="BO21" s="68">
        <f t="shared" si="27"/>
        <v>0.92492790912165268</v>
      </c>
      <c r="BP21" s="68">
        <f t="shared" si="27"/>
        <v>0.95505438878731175</v>
      </c>
      <c r="BQ21" s="68">
        <f t="shared" si="27"/>
        <v>0.97757266477451132</v>
      </c>
      <c r="BR21" s="68">
        <f t="shared" si="27"/>
        <v>1</v>
      </c>
    </row>
    <row r="22" spans="1:70">
      <c r="A22" s="239" t="s">
        <v>138</v>
      </c>
      <c r="B22" s="62">
        <v>84327.14</v>
      </c>
      <c r="C22" s="62">
        <v>122545.74</v>
      </c>
      <c r="D22" s="62">
        <v>93804</v>
      </c>
      <c r="E22" s="62">
        <v>60487.68</v>
      </c>
      <c r="F22" s="62">
        <v>70666.47</v>
      </c>
      <c r="G22" s="62">
        <v>67861.429999999993</v>
      </c>
      <c r="H22" s="62">
        <v>21722.3</v>
      </c>
      <c r="I22" s="62">
        <v>14031.28</v>
      </c>
      <c r="J22" s="62">
        <v>14431.18</v>
      </c>
      <c r="K22" s="62">
        <v>14040.31</v>
      </c>
      <c r="L22" s="62">
        <v>12349.72</v>
      </c>
      <c r="M22" s="62">
        <v>11375.19</v>
      </c>
      <c r="N22" s="100">
        <f t="shared" si="0"/>
        <v>587642.44000000006</v>
      </c>
      <c r="P22" s="239" t="s">
        <v>138</v>
      </c>
      <c r="Q22" s="62">
        <v>88281.27</v>
      </c>
      <c r="R22" s="62">
        <v>161823.60999999999</v>
      </c>
      <c r="S22" s="62">
        <v>55004.33</v>
      </c>
      <c r="T22" s="62">
        <v>41276.949999999997</v>
      </c>
      <c r="U22" s="62">
        <v>62614</v>
      </c>
      <c r="V22" s="62">
        <v>69445.69</v>
      </c>
      <c r="W22" s="62">
        <v>18293.670000000002</v>
      </c>
      <c r="X22" s="62">
        <v>19692.09</v>
      </c>
      <c r="Y22" s="62">
        <v>16482.43</v>
      </c>
      <c r="Z22" s="62">
        <v>12972.359999999999</v>
      </c>
      <c r="AA22" s="62">
        <v>17049.59</v>
      </c>
      <c r="AB22" s="62">
        <v>9355.91</v>
      </c>
      <c r="AC22" s="100">
        <f t="shared" si="14"/>
        <v>572291.9</v>
      </c>
      <c r="AE22" s="68">
        <f t="shared" si="1"/>
        <v>0.14350076553354449</v>
      </c>
      <c r="AF22" s="68">
        <f t="shared" si="2"/>
        <v>0.35203869890677053</v>
      </c>
      <c r="AG22" s="68">
        <f t="shared" si="3"/>
        <v>0.51166637998440001</v>
      </c>
      <c r="AH22" s="68">
        <f t="shared" si="4"/>
        <v>0.61459917700974753</v>
      </c>
      <c r="AI22" s="68">
        <f t="shared" si="5"/>
        <v>0.73485337444313925</v>
      </c>
      <c r="AJ22" s="68">
        <f t="shared" si="6"/>
        <v>0.85033419301710067</v>
      </c>
      <c r="AK22" s="68">
        <f t="shared" si="7"/>
        <v>0.88729935843299534</v>
      </c>
      <c r="AL22" s="68">
        <f t="shared" si="8"/>
        <v>0.91117659915781435</v>
      </c>
      <c r="AM22" s="68">
        <f t="shared" si="9"/>
        <v>0.93573435574190322</v>
      </c>
      <c r="AN22" s="68">
        <f t="shared" si="10"/>
        <v>0.95962696295386718</v>
      </c>
      <c r="AO22" s="68">
        <f t="shared" si="11"/>
        <v>0.98064266767390063</v>
      </c>
      <c r="AP22" s="68">
        <f t="shared" si="12"/>
        <v>1</v>
      </c>
      <c r="AQ22" s="92"/>
      <c r="AT22" s="68">
        <f t="shared" si="15"/>
        <v>0.15425916389870276</v>
      </c>
      <c r="AU22" s="68">
        <f t="shared" si="16"/>
        <v>0.43702327431158816</v>
      </c>
      <c r="AV22" s="68">
        <f t="shared" si="17"/>
        <v>0.53313564284240267</v>
      </c>
      <c r="AW22" s="68">
        <f t="shared" si="18"/>
        <v>0.60526133604197441</v>
      </c>
      <c r="AX22" s="68">
        <f t="shared" si="19"/>
        <v>0.71467053788460055</v>
      </c>
      <c r="AY22" s="68">
        <f t="shared" si="20"/>
        <v>0.83601716187141561</v>
      </c>
      <c r="AZ22" s="68">
        <f t="shared" si="21"/>
        <v>0.86798278990144717</v>
      </c>
      <c r="BA22" s="68">
        <f t="shared" si="22"/>
        <v>0.90239196116527254</v>
      </c>
      <c r="BB22" s="68">
        <f t="shared" si="23"/>
        <v>0.93119270078783223</v>
      </c>
      <c r="BC22" s="68">
        <f t="shared" si="24"/>
        <v>0.95386008433807989</v>
      </c>
      <c r="BD22" s="68">
        <f t="shared" si="25"/>
        <v>0.98365185668362587</v>
      </c>
      <c r="BE22" s="68">
        <f t="shared" si="26"/>
        <v>1</v>
      </c>
      <c r="BG22" s="68">
        <f t="shared" si="27"/>
        <v>0.14887996471612364</v>
      </c>
      <c r="BH22" s="68">
        <f t="shared" si="27"/>
        <v>0.39453098660917935</v>
      </c>
      <c r="BI22" s="68">
        <f t="shared" si="27"/>
        <v>0.52240101141340134</v>
      </c>
      <c r="BJ22" s="68">
        <f t="shared" si="27"/>
        <v>0.60993025652586097</v>
      </c>
      <c r="BK22" s="68">
        <f t="shared" si="27"/>
        <v>0.72476195616386985</v>
      </c>
      <c r="BL22" s="68">
        <f t="shared" si="27"/>
        <v>0.84317567744425814</v>
      </c>
      <c r="BM22" s="68">
        <f t="shared" si="27"/>
        <v>0.87764107416722126</v>
      </c>
      <c r="BN22" s="68">
        <f t="shared" si="27"/>
        <v>0.90678428016154344</v>
      </c>
      <c r="BO22" s="68">
        <f t="shared" si="27"/>
        <v>0.93346352826486778</v>
      </c>
      <c r="BP22" s="68">
        <f t="shared" si="27"/>
        <v>0.95674352364597359</v>
      </c>
      <c r="BQ22" s="68">
        <f t="shared" si="27"/>
        <v>0.98214726217876325</v>
      </c>
      <c r="BR22" s="68">
        <f t="shared" si="27"/>
        <v>1</v>
      </c>
    </row>
    <row r="23" spans="1:70">
      <c r="A23" s="239" t="s">
        <v>139</v>
      </c>
      <c r="B23" s="62">
        <v>995249.67</v>
      </c>
      <c r="C23" s="62">
        <v>1022810.5</v>
      </c>
      <c r="D23" s="62">
        <v>618201.18000000005</v>
      </c>
      <c r="E23" s="62">
        <v>414675.77</v>
      </c>
      <c r="F23" s="62">
        <v>465379.45000000007</v>
      </c>
      <c r="G23" s="62">
        <v>450733.5</v>
      </c>
      <c r="H23" s="62">
        <v>101376.87</v>
      </c>
      <c r="I23" s="62">
        <v>89837.37</v>
      </c>
      <c r="J23" s="62">
        <v>72607.91</v>
      </c>
      <c r="K23" s="62">
        <v>83818.649999999994</v>
      </c>
      <c r="L23" s="62">
        <v>77966.350000000006</v>
      </c>
      <c r="M23" s="62">
        <v>87273.83</v>
      </c>
      <c r="N23" s="100">
        <f t="shared" si="0"/>
        <v>4479931.0500000007</v>
      </c>
      <c r="P23" s="239" t="s">
        <v>139</v>
      </c>
      <c r="Q23" s="62">
        <v>978965.38</v>
      </c>
      <c r="R23" s="62">
        <v>1097615.01</v>
      </c>
      <c r="S23" s="62">
        <v>354664.63</v>
      </c>
      <c r="T23" s="62">
        <v>299233.59000000003</v>
      </c>
      <c r="U23" s="62">
        <v>498889.79000000004</v>
      </c>
      <c r="V23" s="62">
        <v>454772.99</v>
      </c>
      <c r="W23" s="62">
        <v>118806.73999999999</v>
      </c>
      <c r="X23" s="62">
        <v>109853.48000000001</v>
      </c>
      <c r="Y23" s="62">
        <v>89500.43</v>
      </c>
      <c r="Z23" s="62">
        <v>119330.04</v>
      </c>
      <c r="AA23" s="62">
        <v>109436.90999999999</v>
      </c>
      <c r="AB23" s="62">
        <v>90800.260000000009</v>
      </c>
      <c r="AC23" s="100">
        <f t="shared" si="14"/>
        <v>4321869.25</v>
      </c>
      <c r="AE23" s="68">
        <f t="shared" si="1"/>
        <v>0.22215736333709865</v>
      </c>
      <c r="AF23" s="68">
        <f t="shared" si="2"/>
        <v>0.45046679234047576</v>
      </c>
      <c r="AG23" s="68">
        <f t="shared" si="3"/>
        <v>0.58846025096747856</v>
      </c>
      <c r="AH23" s="68">
        <f t="shared" si="4"/>
        <v>0.68102323137317022</v>
      </c>
      <c r="AI23" s="68">
        <f t="shared" si="5"/>
        <v>0.78490417168362436</v>
      </c>
      <c r="AJ23" s="68">
        <f t="shared" si="6"/>
        <v>0.88551587641064244</v>
      </c>
      <c r="AK23" s="68">
        <f t="shared" si="7"/>
        <v>0.90814499031184859</v>
      </c>
      <c r="AL23" s="68">
        <f t="shared" si="8"/>
        <v>0.92819828331956133</v>
      </c>
      <c r="AM23" s="68">
        <f t="shared" si="9"/>
        <v>0.94440565552900635</v>
      </c>
      <c r="AN23" s="68">
        <f t="shared" si="10"/>
        <v>0.96311546357393163</v>
      </c>
      <c r="AO23" s="68">
        <f t="shared" si="11"/>
        <v>0.98051893454922701</v>
      </c>
      <c r="AP23" s="68">
        <f t="shared" si="12"/>
        <v>1</v>
      </c>
      <c r="AQ23" s="92"/>
      <c r="AT23" s="68">
        <f t="shared" si="15"/>
        <v>0.22651434445870847</v>
      </c>
      <c r="AU23" s="68">
        <f t="shared" si="16"/>
        <v>0.48048200208740699</v>
      </c>
      <c r="AV23" s="68">
        <f t="shared" si="17"/>
        <v>0.56254478776746886</v>
      </c>
      <c r="AW23" s="68">
        <f t="shared" si="18"/>
        <v>0.63178186383125767</v>
      </c>
      <c r="AX23" s="68">
        <f t="shared" si="19"/>
        <v>0.74721566368533709</v>
      </c>
      <c r="AY23" s="68">
        <f t="shared" si="20"/>
        <v>0.85244165820148299</v>
      </c>
      <c r="AZ23" s="68">
        <f t="shared" si="21"/>
        <v>0.87993132369749494</v>
      </c>
      <c r="BA23" s="68">
        <f t="shared" si="22"/>
        <v>0.90534937168679963</v>
      </c>
      <c r="BB23" s="68">
        <f t="shared" si="23"/>
        <v>0.92605810321540849</v>
      </c>
      <c r="BC23" s="68">
        <f t="shared" si="24"/>
        <v>0.95366885057894801</v>
      </c>
      <c r="BD23" s="68">
        <f t="shared" si="25"/>
        <v>0.97899051203365306</v>
      </c>
      <c r="BE23" s="68">
        <f t="shared" si="26"/>
        <v>1</v>
      </c>
      <c r="BG23" s="68">
        <f t="shared" si="27"/>
        <v>0.22433585389790356</v>
      </c>
      <c r="BH23" s="68">
        <f t="shared" si="27"/>
        <v>0.46547439721394135</v>
      </c>
      <c r="BI23" s="68">
        <f t="shared" si="27"/>
        <v>0.57550251936747365</v>
      </c>
      <c r="BJ23" s="68">
        <f t="shared" si="27"/>
        <v>0.65640254760221395</v>
      </c>
      <c r="BK23" s="68">
        <f t="shared" si="27"/>
        <v>0.76605991768448067</v>
      </c>
      <c r="BL23" s="68">
        <f t="shared" si="27"/>
        <v>0.86897876730606272</v>
      </c>
      <c r="BM23" s="68">
        <f t="shared" si="27"/>
        <v>0.89403815700467182</v>
      </c>
      <c r="BN23" s="68">
        <f t="shared" si="27"/>
        <v>0.91677382750318048</v>
      </c>
      <c r="BO23" s="68">
        <f t="shared" si="27"/>
        <v>0.93523187937220742</v>
      </c>
      <c r="BP23" s="68">
        <f t="shared" si="27"/>
        <v>0.95839215707643977</v>
      </c>
      <c r="BQ23" s="68">
        <f t="shared" si="27"/>
        <v>0.97975472329144009</v>
      </c>
      <c r="BR23" s="68">
        <f t="shared" si="27"/>
        <v>1</v>
      </c>
    </row>
    <row r="24" spans="1:70">
      <c r="A24" s="239" t="s">
        <v>140</v>
      </c>
      <c r="B24" s="62">
        <v>29786.95</v>
      </c>
      <c r="C24" s="62">
        <v>40966.65</v>
      </c>
      <c r="D24" s="62">
        <v>37814.129999999997</v>
      </c>
      <c r="E24" s="62">
        <v>25909.16</v>
      </c>
      <c r="F24" s="62">
        <v>31764.97</v>
      </c>
      <c r="G24" s="62">
        <v>36315</v>
      </c>
      <c r="H24" s="62">
        <v>7897.61</v>
      </c>
      <c r="I24" s="62">
        <v>8143.13</v>
      </c>
      <c r="J24" s="62">
        <v>8392.49</v>
      </c>
      <c r="K24" s="62">
        <v>5222.84</v>
      </c>
      <c r="L24" s="62">
        <v>5319.55</v>
      </c>
      <c r="M24" s="62">
        <v>6104.03</v>
      </c>
      <c r="N24" s="100">
        <f t="shared" si="0"/>
        <v>243636.50999999998</v>
      </c>
      <c r="P24" s="239" t="s">
        <v>140</v>
      </c>
      <c r="Q24" s="62">
        <v>34329.31</v>
      </c>
      <c r="R24" s="62">
        <v>48523.96</v>
      </c>
      <c r="S24" s="62">
        <v>19905.18</v>
      </c>
      <c r="T24" s="62">
        <v>16130.029999999999</v>
      </c>
      <c r="U24" s="62">
        <v>26542.43</v>
      </c>
      <c r="V24" s="62">
        <v>26038.1</v>
      </c>
      <c r="W24" s="62">
        <v>8565.65</v>
      </c>
      <c r="X24" s="62">
        <v>7414.8600000000006</v>
      </c>
      <c r="Y24" s="62">
        <v>7518.76</v>
      </c>
      <c r="Z24" s="62">
        <v>5461.67</v>
      </c>
      <c r="AA24" s="62">
        <v>5054.55</v>
      </c>
      <c r="AB24" s="62">
        <v>7494.9</v>
      </c>
      <c r="AC24" s="100">
        <f t="shared" si="14"/>
        <v>212979.39999999997</v>
      </c>
      <c r="AE24" s="68">
        <f t="shared" si="1"/>
        <v>0.12225979595586886</v>
      </c>
      <c r="AF24" s="68">
        <f t="shared" si="2"/>
        <v>0.29040639270362234</v>
      </c>
      <c r="AG24" s="68">
        <f t="shared" si="3"/>
        <v>0.44561354946350207</v>
      </c>
      <c r="AH24" s="68">
        <f t="shared" si="4"/>
        <v>0.5519570527422184</v>
      </c>
      <c r="AI24" s="68">
        <f t="shared" si="5"/>
        <v>0.68233558262675831</v>
      </c>
      <c r="AJ24" s="68">
        <f t="shared" si="6"/>
        <v>0.83138959756072695</v>
      </c>
      <c r="AK24" s="68">
        <f t="shared" si="7"/>
        <v>0.86380514152004562</v>
      </c>
      <c r="AL24" s="68">
        <f t="shared" si="8"/>
        <v>0.89722841621725757</v>
      </c>
      <c r="AM24" s="68">
        <f t="shared" si="9"/>
        <v>0.93167518283692385</v>
      </c>
      <c r="AN24" s="68">
        <f t="shared" si="10"/>
        <v>0.95311219980946216</v>
      </c>
      <c r="AO24" s="68">
        <f t="shared" si="11"/>
        <v>0.97494616057338856</v>
      </c>
      <c r="AP24" s="68">
        <f t="shared" si="12"/>
        <v>1</v>
      </c>
      <c r="AQ24" s="92"/>
      <c r="AT24" s="68">
        <f t="shared" si="15"/>
        <v>0.16118605836996444</v>
      </c>
      <c r="AU24" s="68">
        <f t="shared" si="16"/>
        <v>0.38902011180424023</v>
      </c>
      <c r="AV24" s="68">
        <f t="shared" si="17"/>
        <v>0.48248070001136262</v>
      </c>
      <c r="AW24" s="68">
        <f t="shared" si="18"/>
        <v>0.5582158650085407</v>
      </c>
      <c r="AX24" s="68">
        <f t="shared" si="19"/>
        <v>0.68284026530265363</v>
      </c>
      <c r="AY24" s="68">
        <f t="shared" si="20"/>
        <v>0.80509669010242313</v>
      </c>
      <c r="AZ24" s="68">
        <f t="shared" si="21"/>
        <v>0.84531489899962153</v>
      </c>
      <c r="BA24" s="68">
        <f t="shared" si="22"/>
        <v>0.88012981537181523</v>
      </c>
      <c r="BB24" s="68">
        <f t="shared" si="23"/>
        <v>0.91543257235206787</v>
      </c>
      <c r="BC24" s="68">
        <f t="shared" si="24"/>
        <v>0.9410766956804274</v>
      </c>
      <c r="BD24" s="68">
        <f t="shared" si="25"/>
        <v>0.96480927263387917</v>
      </c>
      <c r="BE24" s="68">
        <f t="shared" si="26"/>
        <v>1</v>
      </c>
      <c r="BG24" s="68">
        <f t="shared" si="27"/>
        <v>0.14172292716291665</v>
      </c>
      <c r="BH24" s="68">
        <f t="shared" si="27"/>
        <v>0.33971325225393129</v>
      </c>
      <c r="BI24" s="68">
        <f t="shared" si="27"/>
        <v>0.46404712473743237</v>
      </c>
      <c r="BJ24" s="68">
        <f t="shared" si="27"/>
        <v>0.55508645887537955</v>
      </c>
      <c r="BK24" s="68">
        <f t="shared" si="27"/>
        <v>0.68258792396470591</v>
      </c>
      <c r="BL24" s="68">
        <f t="shared" si="27"/>
        <v>0.81824314383157504</v>
      </c>
      <c r="BM24" s="68">
        <f t="shared" si="27"/>
        <v>0.85456002025983357</v>
      </c>
      <c r="BN24" s="68">
        <f t="shared" si="27"/>
        <v>0.8886791157945364</v>
      </c>
      <c r="BO24" s="68">
        <f t="shared" si="27"/>
        <v>0.92355387759449581</v>
      </c>
      <c r="BP24" s="68">
        <f t="shared" si="27"/>
        <v>0.94709444774494478</v>
      </c>
      <c r="BQ24" s="68">
        <f t="shared" si="27"/>
        <v>0.96987771660363387</v>
      </c>
      <c r="BR24" s="68">
        <f t="shared" si="27"/>
        <v>1</v>
      </c>
    </row>
    <row r="25" spans="1:70">
      <c r="A25" s="239" t="s">
        <v>141</v>
      </c>
      <c r="B25" s="62">
        <v>9100.9</v>
      </c>
      <c r="C25" s="62">
        <v>9510.23</v>
      </c>
      <c r="D25" s="62">
        <v>10367.68</v>
      </c>
      <c r="E25" s="62">
        <v>7351.43</v>
      </c>
      <c r="F25" s="62">
        <v>6119.31</v>
      </c>
      <c r="G25" s="62">
        <v>4354.78</v>
      </c>
      <c r="H25" s="62">
        <v>2762.31</v>
      </c>
      <c r="I25" s="62">
        <v>822.91</v>
      </c>
      <c r="J25" s="62">
        <v>444.81</v>
      </c>
      <c r="K25" s="62">
        <v>177.92</v>
      </c>
      <c r="L25" s="62">
        <v>951.92</v>
      </c>
      <c r="M25" s="62">
        <v>0</v>
      </c>
      <c r="N25" s="100">
        <f t="shared" si="0"/>
        <v>51964.19999999999</v>
      </c>
      <c r="P25" s="239" t="s">
        <v>141</v>
      </c>
      <c r="Q25" s="62">
        <v>11397.92</v>
      </c>
      <c r="R25" s="62">
        <v>8689.57</v>
      </c>
      <c r="S25" s="62">
        <v>5362.53</v>
      </c>
      <c r="T25" s="62">
        <v>3571.85</v>
      </c>
      <c r="U25" s="62">
        <v>3931.7</v>
      </c>
      <c r="V25" s="62">
        <v>5645.13</v>
      </c>
      <c r="W25" s="62">
        <v>2548.19</v>
      </c>
      <c r="X25" s="62">
        <v>1876.61</v>
      </c>
      <c r="Y25" s="62">
        <v>1439.89</v>
      </c>
      <c r="Z25" s="62">
        <v>3215.4300000000003</v>
      </c>
      <c r="AA25" s="62">
        <v>2069.98</v>
      </c>
      <c r="AB25" s="62">
        <v>1883.21</v>
      </c>
      <c r="AC25" s="100">
        <f t="shared" si="14"/>
        <v>51632.009999999995</v>
      </c>
      <c r="AE25" s="68">
        <f t="shared" si="1"/>
        <v>0.17513788338894856</v>
      </c>
      <c r="AF25" s="68">
        <f t="shared" si="2"/>
        <v>0.35815292066461141</v>
      </c>
      <c r="AG25" s="68">
        <f t="shared" si="3"/>
        <v>0.55766874117180676</v>
      </c>
      <c r="AH25" s="68">
        <f t="shared" si="4"/>
        <v>0.69913979239553392</v>
      </c>
      <c r="AI25" s="68">
        <f t="shared" si="5"/>
        <v>0.81689990416479041</v>
      </c>
      <c r="AJ25" s="68">
        <f t="shared" si="6"/>
        <v>0.90070336885779068</v>
      </c>
      <c r="AK25" s="68">
        <f t="shared" si="7"/>
        <v>0.95386131221109927</v>
      </c>
      <c r="AL25" s="68">
        <f t="shared" si="8"/>
        <v>0.96969740706101515</v>
      </c>
      <c r="AM25" s="68">
        <f t="shared" si="9"/>
        <v>0.97825733870626319</v>
      </c>
      <c r="AN25" s="68">
        <f t="shared" si="10"/>
        <v>0.98168123438829047</v>
      </c>
      <c r="AO25" s="68">
        <f t="shared" si="11"/>
        <v>1</v>
      </c>
      <c r="AP25" s="68">
        <f t="shared" si="12"/>
        <v>1</v>
      </c>
      <c r="AQ25" s="92"/>
      <c r="AT25" s="68">
        <f t="shared" si="15"/>
        <v>0.22075297862701843</v>
      </c>
      <c r="AU25" s="68">
        <f t="shared" si="16"/>
        <v>0.38905109446639791</v>
      </c>
      <c r="AV25" s="68">
        <f t="shared" si="17"/>
        <v>0.49291166468243247</v>
      </c>
      <c r="AW25" s="68">
        <f t="shared" si="18"/>
        <v>0.56209064880487891</v>
      </c>
      <c r="AX25" s="68">
        <f t="shared" si="19"/>
        <v>0.63823914660692072</v>
      </c>
      <c r="AY25" s="68">
        <f t="shared" si="20"/>
        <v>0.74757306562343773</v>
      </c>
      <c r="AZ25" s="68">
        <f t="shared" si="21"/>
        <v>0.79692597673420029</v>
      </c>
      <c r="BA25" s="68">
        <f t="shared" si="22"/>
        <v>0.83327184047260594</v>
      </c>
      <c r="BB25" s="68">
        <f t="shared" si="23"/>
        <v>0.86115938542776072</v>
      </c>
      <c r="BC25" s="68">
        <f t="shared" si="24"/>
        <v>0.92343528752802762</v>
      </c>
      <c r="BD25" s="68">
        <f t="shared" si="25"/>
        <v>0.96352630858260213</v>
      </c>
      <c r="BE25" s="68">
        <f t="shared" si="26"/>
        <v>1</v>
      </c>
      <c r="BG25" s="68">
        <f t="shared" si="27"/>
        <v>0.19794543100798351</v>
      </c>
      <c r="BH25" s="68">
        <f t="shared" si="27"/>
        <v>0.37360200756550466</v>
      </c>
      <c r="BI25" s="68">
        <f t="shared" si="27"/>
        <v>0.52529020292711959</v>
      </c>
      <c r="BJ25" s="68">
        <f t="shared" si="27"/>
        <v>0.63061522060020647</v>
      </c>
      <c r="BK25" s="68">
        <f t="shared" si="27"/>
        <v>0.72756952538585562</v>
      </c>
      <c r="BL25" s="68">
        <f t="shared" si="27"/>
        <v>0.8241382172406142</v>
      </c>
      <c r="BM25" s="68">
        <f t="shared" si="27"/>
        <v>0.87539364447264978</v>
      </c>
      <c r="BN25" s="68">
        <f t="shared" si="27"/>
        <v>0.9014846237668106</v>
      </c>
      <c r="BO25" s="68">
        <f t="shared" si="27"/>
        <v>0.9197083620670119</v>
      </c>
      <c r="BP25" s="68">
        <f t="shared" si="27"/>
        <v>0.9525582609581591</v>
      </c>
      <c r="BQ25" s="68">
        <f t="shared" si="27"/>
        <v>0.98176315429130101</v>
      </c>
      <c r="BR25" s="68">
        <f t="shared" si="27"/>
        <v>1</v>
      </c>
    </row>
    <row r="26" spans="1:70">
      <c r="A26" s="239" t="s">
        <v>142</v>
      </c>
      <c r="B26" s="62">
        <v>506570.91</v>
      </c>
      <c r="C26" s="62">
        <v>636216.56000000006</v>
      </c>
      <c r="D26" s="62">
        <v>422761.68</v>
      </c>
      <c r="E26" s="62">
        <v>278807.03999999998</v>
      </c>
      <c r="F26" s="62">
        <v>294160.32</v>
      </c>
      <c r="G26" s="62">
        <v>302821.59000000003</v>
      </c>
      <c r="H26" s="62">
        <v>61530.09</v>
      </c>
      <c r="I26" s="62">
        <v>55334.62</v>
      </c>
      <c r="J26" s="62">
        <v>46039.34</v>
      </c>
      <c r="K26" s="62">
        <v>57447.519999999997</v>
      </c>
      <c r="L26" s="62">
        <v>46815.9</v>
      </c>
      <c r="M26" s="62">
        <v>43366.39</v>
      </c>
      <c r="N26" s="100">
        <f t="shared" si="0"/>
        <v>2751871.9599999995</v>
      </c>
      <c r="P26" s="239" t="s">
        <v>142</v>
      </c>
      <c r="Q26" s="62">
        <v>461325.67000000004</v>
      </c>
      <c r="R26" s="62">
        <v>775936.56</v>
      </c>
      <c r="S26" s="62">
        <v>234366.34</v>
      </c>
      <c r="T26" s="62">
        <v>189828.43</v>
      </c>
      <c r="U26" s="62">
        <v>269958.36</v>
      </c>
      <c r="V26" s="62">
        <v>290278.32</v>
      </c>
      <c r="W26" s="62">
        <v>68937.25</v>
      </c>
      <c r="X26" s="62">
        <v>60928.77</v>
      </c>
      <c r="Y26" s="62">
        <v>50011.75</v>
      </c>
      <c r="Z26" s="62">
        <v>45391.86</v>
      </c>
      <c r="AA26" s="62">
        <v>57129.38</v>
      </c>
      <c r="AB26" s="62">
        <v>42027.46</v>
      </c>
      <c r="AC26" s="100">
        <f t="shared" si="14"/>
        <v>2546120.1499999994</v>
      </c>
      <c r="AE26" s="68">
        <f t="shared" si="1"/>
        <v>0.18408229647428803</v>
      </c>
      <c r="AF26" s="68">
        <f t="shared" si="2"/>
        <v>0.41527639607185801</v>
      </c>
      <c r="AG26" s="68">
        <f t="shared" si="3"/>
        <v>0.5689033402557</v>
      </c>
      <c r="AH26" s="68">
        <f t="shared" si="4"/>
        <v>0.67021875174744694</v>
      </c>
      <c r="AI26" s="68">
        <f t="shared" si="5"/>
        <v>0.77711337630694133</v>
      </c>
      <c r="AJ26" s="68">
        <f t="shared" si="6"/>
        <v>0.88715541111149665</v>
      </c>
      <c r="AK26" s="68">
        <f t="shared" si="7"/>
        <v>0.90951476899383066</v>
      </c>
      <c r="AL26" s="68">
        <f t="shared" si="8"/>
        <v>0.92962276122759724</v>
      </c>
      <c r="AM26" s="68">
        <f t="shared" si="9"/>
        <v>0.94635295095633731</v>
      </c>
      <c r="AN26" s="68">
        <f t="shared" si="10"/>
        <v>0.96722874780845547</v>
      </c>
      <c r="AO26" s="68">
        <f t="shared" si="11"/>
        <v>0.98424113089912801</v>
      </c>
      <c r="AP26" s="68">
        <f t="shared" si="12"/>
        <v>1</v>
      </c>
      <c r="AQ26" s="92"/>
      <c r="AT26" s="68">
        <f t="shared" si="15"/>
        <v>0.1811877063225002</v>
      </c>
      <c r="AU26" s="68">
        <f t="shared" si="16"/>
        <v>0.48594023734504449</v>
      </c>
      <c r="AV26" s="68">
        <f t="shared" si="17"/>
        <v>0.57798865854779102</v>
      </c>
      <c r="AW26" s="68">
        <f t="shared" si="18"/>
        <v>0.65254461773926908</v>
      </c>
      <c r="AX26" s="68">
        <f t="shared" si="19"/>
        <v>0.75857196291384765</v>
      </c>
      <c r="AY26" s="68">
        <f t="shared" si="20"/>
        <v>0.87258006264943944</v>
      </c>
      <c r="AZ26" s="68">
        <f t="shared" si="21"/>
        <v>0.89965547383928457</v>
      </c>
      <c r="BA26" s="68">
        <f t="shared" si="22"/>
        <v>0.92358551893161844</v>
      </c>
      <c r="BB26" s="68">
        <f t="shared" si="23"/>
        <v>0.94322785592031089</v>
      </c>
      <c r="BC26" s="68">
        <f t="shared" si="24"/>
        <v>0.96105571058773487</v>
      </c>
      <c r="BD26" s="68">
        <f t="shared" si="25"/>
        <v>0.98349352837885518</v>
      </c>
      <c r="BE26" s="68">
        <f t="shared" si="26"/>
        <v>1</v>
      </c>
      <c r="BG26" s="68">
        <f t="shared" si="27"/>
        <v>0.18263500139839411</v>
      </c>
      <c r="BH26" s="68">
        <f t="shared" si="27"/>
        <v>0.45060831670845125</v>
      </c>
      <c r="BI26" s="68">
        <f t="shared" si="27"/>
        <v>0.57344599940174557</v>
      </c>
      <c r="BJ26" s="68">
        <f t="shared" si="27"/>
        <v>0.66138168474335801</v>
      </c>
      <c r="BK26" s="68">
        <f t="shared" si="27"/>
        <v>0.76784266961039449</v>
      </c>
      <c r="BL26" s="68">
        <f t="shared" si="27"/>
        <v>0.87986773688046804</v>
      </c>
      <c r="BM26" s="68">
        <f t="shared" si="27"/>
        <v>0.90458512141655767</v>
      </c>
      <c r="BN26" s="68">
        <f t="shared" si="27"/>
        <v>0.9266041400796079</v>
      </c>
      <c r="BO26" s="68">
        <f t="shared" si="27"/>
        <v>0.9447904034383241</v>
      </c>
      <c r="BP26" s="68">
        <f t="shared" si="27"/>
        <v>0.96414222919809522</v>
      </c>
      <c r="BQ26" s="68">
        <f t="shared" si="27"/>
        <v>0.98386732963899159</v>
      </c>
      <c r="BR26" s="68">
        <f t="shared" si="27"/>
        <v>1</v>
      </c>
    </row>
    <row r="27" spans="1:70">
      <c r="A27" s="239" t="s">
        <v>143</v>
      </c>
      <c r="B27" s="62">
        <v>5167080.1500000004</v>
      </c>
      <c r="C27" s="62">
        <v>3273636.99</v>
      </c>
      <c r="D27" s="62">
        <v>670179.79</v>
      </c>
      <c r="E27" s="62">
        <v>2020931.2</v>
      </c>
      <c r="F27" s="62">
        <v>1481986.46</v>
      </c>
      <c r="G27" s="62">
        <v>1022671.92</v>
      </c>
      <c r="H27" s="62">
        <v>409389.24</v>
      </c>
      <c r="I27" s="62">
        <v>364080.62</v>
      </c>
      <c r="J27" s="62">
        <v>286094.34000000003</v>
      </c>
      <c r="K27" s="62">
        <v>314778.55</v>
      </c>
      <c r="L27" s="62">
        <v>257510.86</v>
      </c>
      <c r="M27" s="62">
        <v>293455.51</v>
      </c>
      <c r="N27" s="100">
        <f t="shared" si="0"/>
        <v>15561795.629999999</v>
      </c>
      <c r="P27" s="239" t="s">
        <v>143</v>
      </c>
      <c r="Q27" s="62">
        <v>6426892.2700000005</v>
      </c>
      <c r="R27" s="62">
        <v>1364083.1099999999</v>
      </c>
      <c r="S27" s="62">
        <v>1814560.58</v>
      </c>
      <c r="T27" s="62">
        <v>591276.49</v>
      </c>
      <c r="U27" s="62">
        <v>2318748.96</v>
      </c>
      <c r="V27" s="62">
        <v>728171.10000000009</v>
      </c>
      <c r="W27" s="62">
        <v>391310.96</v>
      </c>
      <c r="X27" s="62">
        <v>423966.51999999996</v>
      </c>
      <c r="Y27" s="62">
        <v>193439.94999999998</v>
      </c>
      <c r="Z27" s="62">
        <v>527595.19999999995</v>
      </c>
      <c r="AA27" s="62">
        <v>342140.32</v>
      </c>
      <c r="AB27" s="62">
        <v>172216.43</v>
      </c>
      <c r="AC27" s="100">
        <f t="shared" si="14"/>
        <v>15294401.889999999</v>
      </c>
      <c r="AE27" s="68">
        <f t="shared" si="1"/>
        <v>0.33203624265820025</v>
      </c>
      <c r="AF27" s="68">
        <f t="shared" si="2"/>
        <v>0.54239994796795832</v>
      </c>
      <c r="AG27" s="68">
        <f t="shared" si="3"/>
        <v>0.58546565875958623</v>
      </c>
      <c r="AH27" s="68">
        <f t="shared" si="4"/>
        <v>0.71533056947105012</v>
      </c>
      <c r="AI27" s="68">
        <f t="shared" si="5"/>
        <v>0.81056292537881125</v>
      </c>
      <c r="AJ27" s="68">
        <f t="shared" si="6"/>
        <v>0.87627975808341863</v>
      </c>
      <c r="AK27" s="68">
        <f t="shared" si="7"/>
        <v>0.90258708467565196</v>
      </c>
      <c r="AL27" s="68">
        <f t="shared" si="8"/>
        <v>0.92598288222089964</v>
      </c>
      <c r="AM27" s="68">
        <f t="shared" si="9"/>
        <v>0.9443672863605137</v>
      </c>
      <c r="AN27" s="68">
        <f t="shared" si="10"/>
        <v>0.96459493601510571</v>
      </c>
      <c r="AO27" s="68">
        <f t="shared" si="11"/>
        <v>0.98114256754315188</v>
      </c>
      <c r="AP27" s="68">
        <f t="shared" si="12"/>
        <v>1</v>
      </c>
      <c r="AQ27" s="92"/>
      <c r="AT27" s="68">
        <f t="shared" si="15"/>
        <v>0.42021206950251005</v>
      </c>
      <c r="AU27" s="68">
        <f t="shared" si="16"/>
        <v>0.50940046142595519</v>
      </c>
      <c r="AV27" s="68">
        <f t="shared" si="17"/>
        <v>0.62804260206346663</v>
      </c>
      <c r="AW27" s="68">
        <f t="shared" si="18"/>
        <v>0.66670226945370281</v>
      </c>
      <c r="AX27" s="68">
        <f t="shared" si="19"/>
        <v>0.81830996073034412</v>
      </c>
      <c r="AY27" s="68">
        <f t="shared" si="20"/>
        <v>0.86592026319507165</v>
      </c>
      <c r="AZ27" s="68">
        <f t="shared" si="21"/>
        <v>0.89150550430579811</v>
      </c>
      <c r="BA27" s="68">
        <f t="shared" si="22"/>
        <v>0.91922587696562752</v>
      </c>
      <c r="BB27" s="68">
        <f t="shared" si="23"/>
        <v>0.93187363863628669</v>
      </c>
      <c r="BC27" s="68">
        <f t="shared" si="24"/>
        <v>0.96636960675550809</v>
      </c>
      <c r="BD27" s="68">
        <f t="shared" si="25"/>
        <v>0.98873990423171754</v>
      </c>
      <c r="BE27" s="68">
        <f t="shared" si="26"/>
        <v>1</v>
      </c>
      <c r="BG27" s="68">
        <f t="shared" si="27"/>
        <v>0.37612415608035515</v>
      </c>
      <c r="BH27" s="68">
        <f t="shared" si="27"/>
        <v>0.52590020469695675</v>
      </c>
      <c r="BI27" s="68">
        <f t="shared" si="27"/>
        <v>0.60675413041152648</v>
      </c>
      <c r="BJ27" s="68">
        <f t="shared" si="27"/>
        <v>0.69101641946237646</v>
      </c>
      <c r="BK27" s="68">
        <f t="shared" si="27"/>
        <v>0.81443644305457763</v>
      </c>
      <c r="BL27" s="68">
        <f t="shared" si="27"/>
        <v>0.87110001063924514</v>
      </c>
      <c r="BM27" s="68">
        <f t="shared" si="27"/>
        <v>0.89704629449072504</v>
      </c>
      <c r="BN27" s="68">
        <f t="shared" si="27"/>
        <v>0.92260437959326358</v>
      </c>
      <c r="BO27" s="68">
        <f t="shared" si="27"/>
        <v>0.9381204624984002</v>
      </c>
      <c r="BP27" s="68">
        <f t="shared" si="27"/>
        <v>0.96548227138530684</v>
      </c>
      <c r="BQ27" s="68">
        <f t="shared" si="27"/>
        <v>0.98494123588743476</v>
      </c>
      <c r="BR27" s="68">
        <f t="shared" si="27"/>
        <v>1</v>
      </c>
    </row>
    <row r="28" spans="1:70">
      <c r="A28" s="239" t="s">
        <v>144</v>
      </c>
      <c r="B28" s="62">
        <v>59785.48</v>
      </c>
      <c r="C28" s="62">
        <v>65893.25</v>
      </c>
      <c r="D28" s="62">
        <v>52488.84</v>
      </c>
      <c r="E28" s="62">
        <v>28091.78</v>
      </c>
      <c r="F28" s="62">
        <v>32520.410000000003</v>
      </c>
      <c r="G28" s="62">
        <v>37199.22</v>
      </c>
      <c r="H28" s="62">
        <v>12440.510000000002</v>
      </c>
      <c r="I28" s="62">
        <v>10508.03</v>
      </c>
      <c r="J28" s="62">
        <v>9297.92</v>
      </c>
      <c r="K28" s="62">
        <v>9296.74</v>
      </c>
      <c r="L28" s="62">
        <v>7029.64</v>
      </c>
      <c r="M28" s="62">
        <v>7525.56</v>
      </c>
      <c r="N28" s="100">
        <f t="shared" si="0"/>
        <v>332077.38</v>
      </c>
      <c r="P28" s="239" t="s">
        <v>144</v>
      </c>
      <c r="Q28" s="62">
        <v>59642.25</v>
      </c>
      <c r="R28" s="62">
        <v>83949.55</v>
      </c>
      <c r="S28" s="62">
        <v>29865.360000000001</v>
      </c>
      <c r="T28" s="62">
        <v>24538.94</v>
      </c>
      <c r="U28" s="62">
        <v>34338.29</v>
      </c>
      <c r="V28" s="62">
        <v>33456.339999999997</v>
      </c>
      <c r="W28" s="62">
        <v>8885.89</v>
      </c>
      <c r="X28" s="62">
        <v>13464.45</v>
      </c>
      <c r="Y28" s="62">
        <v>10556.279999999999</v>
      </c>
      <c r="Z28" s="62">
        <v>8488.31</v>
      </c>
      <c r="AA28" s="62">
        <v>6038.5199999999995</v>
      </c>
      <c r="AB28" s="62">
        <v>7769.66</v>
      </c>
      <c r="AC28" s="100">
        <f t="shared" si="14"/>
        <v>320993.83999999997</v>
      </c>
      <c r="AE28" s="68">
        <f t="shared" si="1"/>
        <v>0.18003478586828167</v>
      </c>
      <c r="AF28" s="68">
        <f t="shared" si="2"/>
        <v>0.37846218251902619</v>
      </c>
      <c r="AG28" s="68">
        <f t="shared" si="3"/>
        <v>0.53652425829184758</v>
      </c>
      <c r="AH28" s="68">
        <f t="shared" si="4"/>
        <v>0.62111833693701146</v>
      </c>
      <c r="AI28" s="68">
        <f t="shared" si="5"/>
        <v>0.7190485542857511</v>
      </c>
      <c r="AJ28" s="68">
        <f t="shared" si="6"/>
        <v>0.83106828896325302</v>
      </c>
      <c r="AK28" s="68">
        <f t="shared" si="7"/>
        <v>0.86853097311235106</v>
      </c>
      <c r="AL28" s="68">
        <f t="shared" si="8"/>
        <v>0.90017429070296817</v>
      </c>
      <c r="AM28" s="68">
        <f t="shared" si="9"/>
        <v>0.92817354798450891</v>
      </c>
      <c r="AN28" s="68">
        <f t="shared" si="10"/>
        <v>0.95616925187737867</v>
      </c>
      <c r="AO28" s="68">
        <f t="shared" si="11"/>
        <v>0.97733793250235834</v>
      </c>
      <c r="AP28" s="68">
        <f t="shared" si="12"/>
        <v>1</v>
      </c>
      <c r="AQ28" s="92"/>
      <c r="AT28" s="68">
        <f t="shared" si="15"/>
        <v>0.18580496747227301</v>
      </c>
      <c r="AU28" s="68">
        <f t="shared" si="16"/>
        <v>0.44733506412459506</v>
      </c>
      <c r="AV28" s="68">
        <f t="shared" si="17"/>
        <v>0.54037535424355809</v>
      </c>
      <c r="AW28" s="68">
        <f t="shared" si="18"/>
        <v>0.61682211720947666</v>
      </c>
      <c r="AX28" s="68">
        <f t="shared" si="19"/>
        <v>0.72379703610511659</v>
      </c>
      <c r="AY28" s="68">
        <f t="shared" si="20"/>
        <v>0.82802439448682252</v>
      </c>
      <c r="AZ28" s="68">
        <f t="shared" si="21"/>
        <v>0.85570682602507275</v>
      </c>
      <c r="BA28" s="68">
        <f t="shared" si="22"/>
        <v>0.89765295807545731</v>
      </c>
      <c r="BB28" s="68">
        <f t="shared" si="23"/>
        <v>0.93053919664003526</v>
      </c>
      <c r="BC28" s="68">
        <f t="shared" si="24"/>
        <v>0.95698303743149715</v>
      </c>
      <c r="BD28" s="68">
        <f t="shared" si="25"/>
        <v>0.97579498721844637</v>
      </c>
      <c r="BE28" s="68">
        <f t="shared" si="26"/>
        <v>1</v>
      </c>
      <c r="BG28" s="68">
        <f t="shared" si="27"/>
        <v>0.18291987667027734</v>
      </c>
      <c r="BH28" s="68">
        <f t="shared" si="27"/>
        <v>0.4128986233218106</v>
      </c>
      <c r="BI28" s="68">
        <f t="shared" si="27"/>
        <v>0.53844980626770278</v>
      </c>
      <c r="BJ28" s="68">
        <f t="shared" si="27"/>
        <v>0.61897022707324401</v>
      </c>
      <c r="BK28" s="68">
        <f t="shared" si="27"/>
        <v>0.72142279519543384</v>
      </c>
      <c r="BL28" s="68">
        <f t="shared" si="27"/>
        <v>0.82954634172503772</v>
      </c>
      <c r="BM28" s="68">
        <f t="shared" si="27"/>
        <v>0.8621188995687119</v>
      </c>
      <c r="BN28" s="68">
        <f t="shared" si="27"/>
        <v>0.89891362438921274</v>
      </c>
      <c r="BO28" s="68">
        <f t="shared" si="27"/>
        <v>0.92935637231227208</v>
      </c>
      <c r="BP28" s="68">
        <f t="shared" si="27"/>
        <v>0.95657614465443785</v>
      </c>
      <c r="BQ28" s="68">
        <f t="shared" si="27"/>
        <v>0.97656645986040236</v>
      </c>
      <c r="BR28" s="68">
        <f t="shared" si="27"/>
        <v>1</v>
      </c>
    </row>
    <row r="29" spans="1:70">
      <c r="A29" s="239" t="s">
        <v>145</v>
      </c>
      <c r="B29" s="62">
        <v>18233.98</v>
      </c>
      <c r="C29" s="62">
        <v>32485.1</v>
      </c>
      <c r="D29" s="62">
        <v>35704.239999999998</v>
      </c>
      <c r="E29" s="62">
        <v>19376.8</v>
      </c>
      <c r="F29" s="62">
        <v>16714.97</v>
      </c>
      <c r="G29" s="62">
        <v>16410.25</v>
      </c>
      <c r="H29" s="62">
        <v>7134.920000000001</v>
      </c>
      <c r="I29" s="62">
        <v>8638.5</v>
      </c>
      <c r="J29" s="62">
        <v>6043.62</v>
      </c>
      <c r="K29" s="62">
        <v>7937.39</v>
      </c>
      <c r="L29" s="62">
        <v>3687.61</v>
      </c>
      <c r="M29" s="62">
        <v>4403.7299999999996</v>
      </c>
      <c r="N29" s="100">
        <f t="shared" si="0"/>
        <v>176771.11000000004</v>
      </c>
      <c r="P29" s="239" t="s">
        <v>145</v>
      </c>
      <c r="Q29" s="62">
        <v>21182.93</v>
      </c>
      <c r="R29" s="62">
        <v>41360.97</v>
      </c>
      <c r="S29" s="62">
        <v>15030.32</v>
      </c>
      <c r="T29" s="62">
        <v>13329.109999999999</v>
      </c>
      <c r="U29" s="62">
        <v>18932.27</v>
      </c>
      <c r="V29" s="62">
        <v>18806.72</v>
      </c>
      <c r="W29" s="62">
        <v>7534.65</v>
      </c>
      <c r="X29" s="62">
        <v>6734.91</v>
      </c>
      <c r="Y29" s="62">
        <v>8801.67</v>
      </c>
      <c r="Z29" s="62">
        <v>10783.5</v>
      </c>
      <c r="AA29" s="62">
        <v>8920.81</v>
      </c>
      <c r="AB29" s="62">
        <v>6496.39</v>
      </c>
      <c r="AC29" s="100">
        <f t="shared" si="14"/>
        <v>177914.25000000003</v>
      </c>
      <c r="AE29" s="68">
        <f t="shared" si="1"/>
        <v>0.10315022630111897</v>
      </c>
      <c r="AF29" s="68">
        <f t="shared" si="2"/>
        <v>0.28691950851018577</v>
      </c>
      <c r="AG29" s="68">
        <f t="shared" si="3"/>
        <v>0.48889957188140065</v>
      </c>
      <c r="AH29" s="68">
        <f t="shared" si="4"/>
        <v>0.59851476861801678</v>
      </c>
      <c r="AI29" s="68">
        <f t="shared" si="5"/>
        <v>0.69307190524514994</v>
      </c>
      <c r="AJ29" s="68">
        <f t="shared" si="6"/>
        <v>0.78590523078120622</v>
      </c>
      <c r="AK29" s="68">
        <f t="shared" si="7"/>
        <v>0.8262677085639164</v>
      </c>
      <c r="AL29" s="68">
        <f t="shared" si="8"/>
        <v>0.87513598800165937</v>
      </c>
      <c r="AM29" s="68">
        <f t="shared" si="9"/>
        <v>0.90932494568824052</v>
      </c>
      <c r="AN29" s="68">
        <f t="shared" si="10"/>
        <v>0.95422702273012827</v>
      </c>
      <c r="AO29" s="68">
        <f t="shared" si="11"/>
        <v>0.97508795413458671</v>
      </c>
      <c r="AP29" s="68">
        <f t="shared" si="12"/>
        <v>1</v>
      </c>
      <c r="AQ29" s="92"/>
      <c r="AT29" s="68">
        <f t="shared" si="15"/>
        <v>0.1190625821146985</v>
      </c>
      <c r="AU29" s="68">
        <f t="shared" si="16"/>
        <v>0.35153957594740159</v>
      </c>
      <c r="AV29" s="68">
        <f t="shared" si="17"/>
        <v>0.43602027381168168</v>
      </c>
      <c r="AW29" s="68">
        <f t="shared" si="18"/>
        <v>0.5109390057288834</v>
      </c>
      <c r="AX29" s="68">
        <f t="shared" si="19"/>
        <v>0.61735133638817574</v>
      </c>
      <c r="AY29" s="68">
        <f t="shared" si="20"/>
        <v>0.7230579900148526</v>
      </c>
      <c r="AZ29" s="68">
        <f t="shared" si="21"/>
        <v>0.76540788610243404</v>
      </c>
      <c r="BA29" s="68">
        <f t="shared" si="22"/>
        <v>0.80326269537150607</v>
      </c>
      <c r="BB29" s="68">
        <f t="shared" si="23"/>
        <v>0.85273411207927408</v>
      </c>
      <c r="BC29" s="68">
        <f t="shared" si="24"/>
        <v>0.91334477142780857</v>
      </c>
      <c r="BD29" s="68">
        <f t="shared" si="25"/>
        <v>0.96348583657576603</v>
      </c>
      <c r="BE29" s="68">
        <f t="shared" si="26"/>
        <v>1</v>
      </c>
      <c r="BG29" s="68">
        <f t="shared" si="27"/>
        <v>0.11110640420790874</v>
      </c>
      <c r="BH29" s="68">
        <f t="shared" si="27"/>
        <v>0.31922954222879368</v>
      </c>
      <c r="BI29" s="68">
        <f t="shared" si="27"/>
        <v>0.46245992284654114</v>
      </c>
      <c r="BJ29" s="68">
        <f t="shared" si="27"/>
        <v>0.55472688717345009</v>
      </c>
      <c r="BK29" s="68">
        <f t="shared" si="27"/>
        <v>0.65521162081666284</v>
      </c>
      <c r="BL29" s="68">
        <f t="shared" si="27"/>
        <v>0.75448161039802941</v>
      </c>
      <c r="BM29" s="68">
        <f t="shared" si="27"/>
        <v>0.79583779733317517</v>
      </c>
      <c r="BN29" s="68">
        <f t="shared" si="27"/>
        <v>0.83919934168658272</v>
      </c>
      <c r="BO29" s="68">
        <f t="shared" si="27"/>
        <v>0.8810295288837573</v>
      </c>
      <c r="BP29" s="68">
        <f t="shared" si="27"/>
        <v>0.93378589707896842</v>
      </c>
      <c r="BQ29" s="68">
        <f t="shared" si="27"/>
        <v>0.96928689535517631</v>
      </c>
      <c r="BR29" s="68">
        <f t="shared" si="27"/>
        <v>1</v>
      </c>
    </row>
    <row r="30" spans="1:70">
      <c r="N30" s="94">
        <f t="shared" si="0"/>
        <v>0</v>
      </c>
      <c r="AC30" s="94">
        <f t="shared" si="14"/>
        <v>0</v>
      </c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</row>
    <row r="31" spans="1:70">
      <c r="B31" s="317" t="s">
        <v>235</v>
      </c>
      <c r="C31" s="317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7">
        <f t="shared" si="0"/>
        <v>0</v>
      </c>
      <c r="Q31" s="317" t="s">
        <v>202</v>
      </c>
      <c r="R31" s="317"/>
      <c r="S31" s="317"/>
      <c r="T31" s="317"/>
      <c r="U31" s="317"/>
      <c r="V31" s="317"/>
      <c r="W31" s="317"/>
      <c r="X31" s="317"/>
      <c r="Y31" s="317"/>
      <c r="Z31" s="317"/>
      <c r="AA31" s="317"/>
      <c r="AB31" s="317"/>
      <c r="AC31" s="317">
        <f t="shared" si="14"/>
        <v>0</v>
      </c>
      <c r="AE31" s="316" t="s">
        <v>177</v>
      </c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92"/>
      <c r="AT31" s="316" t="s">
        <v>178</v>
      </c>
      <c r="AU31" s="316"/>
      <c r="AV31" s="316"/>
      <c r="AW31" s="316"/>
      <c r="AX31" s="316"/>
      <c r="AY31" s="316"/>
      <c r="AZ31" s="316"/>
      <c r="BA31" s="316"/>
      <c r="BB31" s="316"/>
      <c r="BC31" s="316"/>
      <c r="BD31" s="316"/>
      <c r="BE31" s="316"/>
      <c r="BG31" s="316" t="s">
        <v>242</v>
      </c>
      <c r="BH31" s="316"/>
      <c r="BI31" s="316"/>
      <c r="BJ31" s="316"/>
      <c r="BK31" s="316"/>
      <c r="BL31" s="316"/>
      <c r="BM31" s="316"/>
      <c r="BN31" s="316"/>
      <c r="BO31" s="316"/>
      <c r="BP31" s="316"/>
      <c r="BQ31" s="316"/>
      <c r="BR31" s="316"/>
    </row>
    <row r="32" spans="1:70">
      <c r="B32" s="239" t="s">
        <v>163</v>
      </c>
      <c r="C32" s="239" t="s">
        <v>179</v>
      </c>
      <c r="D32" s="239" t="s">
        <v>180</v>
      </c>
      <c r="E32" s="239" t="s">
        <v>181</v>
      </c>
      <c r="F32" s="239" t="s">
        <v>182</v>
      </c>
      <c r="G32" s="239" t="s">
        <v>183</v>
      </c>
      <c r="H32" s="239" t="s">
        <v>184</v>
      </c>
      <c r="I32" s="239" t="s">
        <v>185</v>
      </c>
      <c r="J32" s="239" t="s">
        <v>186</v>
      </c>
      <c r="K32" s="239" t="s">
        <v>187</v>
      </c>
      <c r="L32" s="239" t="s">
        <v>188</v>
      </c>
      <c r="M32" s="239" t="s">
        <v>189</v>
      </c>
      <c r="N32" s="239" t="s">
        <v>160</v>
      </c>
      <c r="Q32" s="239" t="s">
        <v>163</v>
      </c>
      <c r="R32" s="239" t="s">
        <v>179</v>
      </c>
      <c r="S32" s="239" t="s">
        <v>180</v>
      </c>
      <c r="T32" s="239" t="s">
        <v>181</v>
      </c>
      <c r="U32" s="239" t="s">
        <v>182</v>
      </c>
      <c r="V32" s="239" t="s">
        <v>183</v>
      </c>
      <c r="W32" s="239" t="s">
        <v>184</v>
      </c>
      <c r="X32" s="239" t="s">
        <v>185</v>
      </c>
      <c r="Y32" s="239" t="s">
        <v>186</v>
      </c>
      <c r="Z32" s="239" t="s">
        <v>187</v>
      </c>
      <c r="AA32" s="239" t="s">
        <v>188</v>
      </c>
      <c r="AB32" s="239" t="s">
        <v>189</v>
      </c>
      <c r="AC32" s="239">
        <f t="shared" si="14"/>
        <v>0</v>
      </c>
      <c r="AE32" s="239" t="s">
        <v>190</v>
      </c>
      <c r="AF32" s="239" t="s">
        <v>191</v>
      </c>
      <c r="AG32" s="239" t="s">
        <v>192</v>
      </c>
      <c r="AH32" s="239" t="s">
        <v>193</v>
      </c>
      <c r="AI32" s="239" t="s">
        <v>194</v>
      </c>
      <c r="AJ32" s="239" t="s">
        <v>195</v>
      </c>
      <c r="AK32" s="239" t="s">
        <v>196</v>
      </c>
      <c r="AL32" s="239" t="s">
        <v>197</v>
      </c>
      <c r="AM32" s="239" t="s">
        <v>198</v>
      </c>
      <c r="AN32" s="239" t="s">
        <v>199</v>
      </c>
      <c r="AO32" s="239" t="s">
        <v>200</v>
      </c>
      <c r="AP32" s="239" t="s">
        <v>201</v>
      </c>
      <c r="AQ32" s="92"/>
      <c r="AT32" s="239" t="s">
        <v>190</v>
      </c>
      <c r="AU32" s="239" t="s">
        <v>191</v>
      </c>
      <c r="AV32" s="239" t="s">
        <v>238</v>
      </c>
      <c r="AW32" s="239" t="s">
        <v>239</v>
      </c>
      <c r="AX32" s="239" t="s">
        <v>240</v>
      </c>
      <c r="AY32" s="239" t="s">
        <v>195</v>
      </c>
      <c r="AZ32" s="239" t="s">
        <v>196</v>
      </c>
      <c r="BA32" s="239" t="s">
        <v>197</v>
      </c>
      <c r="BB32" s="239" t="s">
        <v>198</v>
      </c>
      <c r="BC32" s="239" t="s">
        <v>199</v>
      </c>
      <c r="BD32" s="239" t="s">
        <v>200</v>
      </c>
      <c r="BE32" s="239" t="s">
        <v>201</v>
      </c>
      <c r="BG32" s="239" t="s">
        <v>190</v>
      </c>
      <c r="BH32" s="239" t="s">
        <v>191</v>
      </c>
      <c r="BI32" s="239" t="s">
        <v>238</v>
      </c>
      <c r="BJ32" s="239" t="s">
        <v>239</v>
      </c>
      <c r="BK32" s="239" t="s">
        <v>240</v>
      </c>
      <c r="BL32" s="239" t="s">
        <v>195</v>
      </c>
      <c r="BM32" s="239" t="s">
        <v>196</v>
      </c>
      <c r="BN32" s="239" t="s">
        <v>197</v>
      </c>
      <c r="BO32" s="239" t="s">
        <v>198</v>
      </c>
      <c r="BP32" s="239" t="s">
        <v>199</v>
      </c>
      <c r="BQ32" s="239" t="s">
        <v>200</v>
      </c>
      <c r="BR32" s="239" t="s">
        <v>201</v>
      </c>
    </row>
    <row r="33" spans="1:70">
      <c r="A33" s="239" t="s">
        <v>119</v>
      </c>
      <c r="B33" s="62">
        <v>2154.869999999999</v>
      </c>
      <c r="C33" s="62">
        <v>1308.1800000000003</v>
      </c>
      <c r="D33" s="62">
        <v>1887.1099999999969</v>
      </c>
      <c r="E33" s="62">
        <v>514.86000000000058</v>
      </c>
      <c r="F33" s="62">
        <v>1482.9500000000007</v>
      </c>
      <c r="G33" s="62">
        <v>591.66</v>
      </c>
      <c r="H33" s="62">
        <v>1514.0300000000007</v>
      </c>
      <c r="I33" s="62">
        <v>3058.38</v>
      </c>
      <c r="J33" s="62">
        <v>665.37</v>
      </c>
      <c r="K33" s="62">
        <v>1440.98</v>
      </c>
      <c r="L33" s="62">
        <v>2004.45</v>
      </c>
      <c r="M33" s="62">
        <v>1036.51</v>
      </c>
      <c r="N33" s="100">
        <f t="shared" si="0"/>
        <v>17659.349999999995</v>
      </c>
      <c r="P33" s="239" t="s">
        <v>119</v>
      </c>
      <c r="Q33" s="62">
        <v>2352.2099999999991</v>
      </c>
      <c r="R33" s="62">
        <v>1113.1800000000003</v>
      </c>
      <c r="S33" s="62">
        <v>478.63999999999942</v>
      </c>
      <c r="T33" s="62">
        <v>992.37599999999929</v>
      </c>
      <c r="U33" s="62">
        <v>1397.67</v>
      </c>
      <c r="V33" s="62">
        <v>273.0300000000002</v>
      </c>
      <c r="W33" s="62">
        <v>1044.82</v>
      </c>
      <c r="X33" s="62">
        <v>1387.3199999999993</v>
      </c>
      <c r="Y33" s="62">
        <v>706.16999999999985</v>
      </c>
      <c r="Z33" s="62">
        <v>891.83999999999958</v>
      </c>
      <c r="AA33" s="62">
        <v>738.7299999999999</v>
      </c>
      <c r="AB33" s="62">
        <v>186.84999999999997</v>
      </c>
      <c r="AC33" s="100">
        <f t="shared" si="14"/>
        <v>11562.835999999998</v>
      </c>
      <c r="AE33" s="68">
        <f t="shared" ref="AE33:AE59" si="28">B33/N33</f>
        <v>0.12202431006803759</v>
      </c>
      <c r="AF33" s="68">
        <f t="shared" ref="AF33:AF59" si="29">SUM(B33:C33)/$N33</f>
        <v>0.19610291432017601</v>
      </c>
      <c r="AG33" s="68">
        <f t="shared" ref="AG33:AG59" si="30">SUM(B33:D33)/$N33</f>
        <v>0.30296471840696276</v>
      </c>
      <c r="AH33" s="68">
        <f t="shared" ref="AH33:AH59" si="31">SUM(B33:E33)/$N33</f>
        <v>0.3321198118843558</v>
      </c>
      <c r="AI33" s="68">
        <f t="shared" ref="AI33:AI59" si="32">SUM(B33:F33)/$N33</f>
        <v>0.41609515639024086</v>
      </c>
      <c r="AJ33" s="68">
        <f t="shared" ref="AJ33:AJ59" si="33">SUM(B33:G33)/$N33</f>
        <v>0.44959922080937292</v>
      </c>
      <c r="AK33" s="68">
        <f t="shared" ref="AK33:AK59" si="34">SUM(B33:H33)/$N33</f>
        <v>0.53533453949324294</v>
      </c>
      <c r="AL33" s="68">
        <f t="shared" ref="AL33:AL59" si="35">SUM(B33:I33)/$N33</f>
        <v>0.70852211434735712</v>
      </c>
      <c r="AM33" s="68">
        <f t="shared" ref="AM33:AM59" si="36">SUM(B33:J33)/$N33</f>
        <v>0.74620017158049434</v>
      </c>
      <c r="AN33" s="68">
        <f t="shared" ref="AN33:AN59" si="37">SUM(B33:K33)/$N33</f>
        <v>0.82779887141938979</v>
      </c>
      <c r="AO33" s="68">
        <f t="shared" ref="AO33:AO59" si="38">SUM(B33:L33)/$N33</f>
        <v>0.94130531418200569</v>
      </c>
      <c r="AP33" s="68">
        <f t="shared" ref="AP33:AP59" si="39">SUM(B33:M33)/$N33</f>
        <v>1</v>
      </c>
      <c r="AQ33" s="92"/>
      <c r="AT33" s="68">
        <f t="shared" si="15"/>
        <v>0.20342846685709282</v>
      </c>
      <c r="AU33" s="68">
        <f t="shared" si="16"/>
        <v>0.29970069626517232</v>
      </c>
      <c r="AV33" s="68">
        <f t="shared" si="17"/>
        <v>0.34109538524977778</v>
      </c>
      <c r="AW33" s="68">
        <f t="shared" si="18"/>
        <v>0.42692000474624037</v>
      </c>
      <c r="AX33" s="68">
        <f t="shared" si="19"/>
        <v>0.54779605972098888</v>
      </c>
      <c r="AY33" s="68">
        <f t="shared" si="20"/>
        <v>0.57140877895353692</v>
      </c>
      <c r="AZ33" s="68">
        <f t="shared" si="21"/>
        <v>0.66176896394621521</v>
      </c>
      <c r="BA33" s="68">
        <f t="shared" si="22"/>
        <v>0.78174990979721581</v>
      </c>
      <c r="BB33" s="68">
        <f t="shared" si="23"/>
        <v>0.8428222972288113</v>
      </c>
      <c r="BC33" s="68">
        <f t="shared" si="24"/>
        <v>0.91995216398468338</v>
      </c>
      <c r="BD33" s="68">
        <f t="shared" si="25"/>
        <v>0.98384046958721882</v>
      </c>
      <c r="BE33" s="68">
        <f t="shared" si="26"/>
        <v>1</v>
      </c>
      <c r="BG33" s="68">
        <f t="shared" si="27"/>
        <v>0.16272638846256521</v>
      </c>
      <c r="BH33" s="68">
        <f t="shared" si="27"/>
        <v>0.24790180529267417</v>
      </c>
      <c r="BI33" s="68">
        <f t="shared" si="27"/>
        <v>0.3220300518283703</v>
      </c>
      <c r="BJ33" s="68">
        <f t="shared" si="27"/>
        <v>0.37951990831529808</v>
      </c>
      <c r="BK33" s="68">
        <f t="shared" si="27"/>
        <v>0.48194560805561487</v>
      </c>
      <c r="BL33" s="68">
        <f t="shared" si="27"/>
        <v>0.5105039998814549</v>
      </c>
      <c r="BM33" s="68">
        <f t="shared" si="27"/>
        <v>0.59855175171972907</v>
      </c>
      <c r="BN33" s="68">
        <f t="shared" si="27"/>
        <v>0.74513601207228652</v>
      </c>
      <c r="BO33" s="68">
        <f t="shared" si="27"/>
        <v>0.79451123440465277</v>
      </c>
      <c r="BP33" s="68">
        <f t="shared" si="27"/>
        <v>0.87387551770203653</v>
      </c>
      <c r="BQ33" s="68">
        <f t="shared" si="27"/>
        <v>0.96257289188461226</v>
      </c>
      <c r="BR33" s="68">
        <f t="shared" si="27"/>
        <v>1</v>
      </c>
    </row>
    <row r="34" spans="1:70">
      <c r="A34" s="239" t="s">
        <v>120</v>
      </c>
      <c r="B34" s="62">
        <v>19817.459999999995</v>
      </c>
      <c r="C34" s="62">
        <v>11696.830000000002</v>
      </c>
      <c r="D34" s="62">
        <v>8679.9699999999975</v>
      </c>
      <c r="E34" s="62">
        <v>7434.8300000000017</v>
      </c>
      <c r="F34" s="62">
        <v>9516.2400000000071</v>
      </c>
      <c r="G34" s="62">
        <v>5826</v>
      </c>
      <c r="H34" s="62">
        <v>4521.1600000000017</v>
      </c>
      <c r="I34" s="62">
        <v>7166.13</v>
      </c>
      <c r="J34" s="62">
        <v>4947.6499999999996</v>
      </c>
      <c r="K34" s="62">
        <v>3740.82</v>
      </c>
      <c r="L34" s="62">
        <v>3044.56</v>
      </c>
      <c r="M34" s="62">
        <v>6203.24</v>
      </c>
      <c r="N34" s="100">
        <f t="shared" si="0"/>
        <v>92594.890000000014</v>
      </c>
      <c r="P34" s="239" t="s">
        <v>120</v>
      </c>
      <c r="Q34" s="62">
        <v>8899.9900000000016</v>
      </c>
      <c r="R34" s="62">
        <v>13869.910000000003</v>
      </c>
      <c r="S34" s="62">
        <v>8620.6100000000042</v>
      </c>
      <c r="T34" s="62">
        <v>7676.5400000000027</v>
      </c>
      <c r="U34" s="62">
        <v>10707.779999999999</v>
      </c>
      <c r="V34" s="62">
        <v>7782.4900000000016</v>
      </c>
      <c r="W34" s="62">
        <v>5573.98</v>
      </c>
      <c r="X34" s="62">
        <v>6146.65</v>
      </c>
      <c r="Y34" s="62">
        <v>5282.96</v>
      </c>
      <c r="Z34" s="62">
        <v>5117.9000000000015</v>
      </c>
      <c r="AA34" s="62">
        <v>8552.6900000000023</v>
      </c>
      <c r="AB34" s="62">
        <v>5251.1099999999988</v>
      </c>
      <c r="AC34" s="100">
        <f t="shared" si="14"/>
        <v>93482.61</v>
      </c>
      <c r="AE34" s="68">
        <f t="shared" si="28"/>
        <v>0.21402325765493099</v>
      </c>
      <c r="AF34" s="68">
        <f t="shared" si="29"/>
        <v>0.34034588733784327</v>
      </c>
      <c r="AG34" s="68">
        <f t="shared" si="30"/>
        <v>0.4340872374274648</v>
      </c>
      <c r="AH34" s="68">
        <f t="shared" si="31"/>
        <v>0.51438140916847563</v>
      </c>
      <c r="AI34" s="68">
        <f t="shared" si="32"/>
        <v>0.61715425116871991</v>
      </c>
      <c r="AJ34" s="68">
        <f t="shared" si="33"/>
        <v>0.68007349001656558</v>
      </c>
      <c r="AK34" s="68">
        <f t="shared" si="34"/>
        <v>0.72890080651318878</v>
      </c>
      <c r="AL34" s="68">
        <f t="shared" si="35"/>
        <v>0.8062930902558445</v>
      </c>
      <c r="AM34" s="68">
        <f t="shared" si="36"/>
        <v>0.85972638446894845</v>
      </c>
      <c r="AN34" s="68">
        <f t="shared" si="37"/>
        <v>0.90012623806778103</v>
      </c>
      <c r="AO34" s="68">
        <f t="shared" si="38"/>
        <v>0.93300667023849804</v>
      </c>
      <c r="AP34" s="68">
        <f t="shared" si="39"/>
        <v>1</v>
      </c>
      <c r="AQ34" s="92"/>
      <c r="AT34" s="68">
        <f t="shared" si="15"/>
        <v>9.5204765891752502E-2</v>
      </c>
      <c r="AU34" s="68">
        <f t="shared" si="16"/>
        <v>0.24357364433877066</v>
      </c>
      <c r="AV34" s="68">
        <f t="shared" si="17"/>
        <v>0.33578983299674675</v>
      </c>
      <c r="AW34" s="68">
        <f t="shared" si="18"/>
        <v>0.41790713802278318</v>
      </c>
      <c r="AX34" s="68">
        <f t="shared" si="19"/>
        <v>0.53245015302846177</v>
      </c>
      <c r="AY34" s="68">
        <f t="shared" si="20"/>
        <v>0.615700823928643</v>
      </c>
      <c r="AZ34" s="68">
        <f t="shared" si="21"/>
        <v>0.6753266730571601</v>
      </c>
      <c r="BA34" s="68">
        <f t="shared" si="22"/>
        <v>0.74107847438149188</v>
      </c>
      <c r="BB34" s="68">
        <f t="shared" si="23"/>
        <v>0.79759123113913921</v>
      </c>
      <c r="BC34" s="68">
        <f t="shared" si="24"/>
        <v>0.85233831190635345</v>
      </c>
      <c r="BD34" s="68">
        <f t="shared" si="25"/>
        <v>0.94382794832108341</v>
      </c>
      <c r="BE34" s="68">
        <f t="shared" si="26"/>
        <v>1</v>
      </c>
      <c r="BG34" s="68">
        <f t="shared" si="27"/>
        <v>0.15461401177334175</v>
      </c>
      <c r="BH34" s="68">
        <f t="shared" si="27"/>
        <v>0.29195976583830696</v>
      </c>
      <c r="BI34" s="68">
        <f t="shared" si="27"/>
        <v>0.38493853521210575</v>
      </c>
      <c r="BJ34" s="68">
        <f t="shared" si="27"/>
        <v>0.46614427359562938</v>
      </c>
      <c r="BK34" s="68">
        <f t="shared" si="27"/>
        <v>0.57480220209859079</v>
      </c>
      <c r="BL34" s="68">
        <f t="shared" si="27"/>
        <v>0.64788715697260435</v>
      </c>
      <c r="BM34" s="68">
        <f t="shared" si="27"/>
        <v>0.70211373978517444</v>
      </c>
      <c r="BN34" s="68">
        <f t="shared" si="27"/>
        <v>0.77368578231866825</v>
      </c>
      <c r="BO34" s="68">
        <f t="shared" si="27"/>
        <v>0.82865880780404377</v>
      </c>
      <c r="BP34" s="68">
        <f t="shared" si="27"/>
        <v>0.87623227498706724</v>
      </c>
      <c r="BQ34" s="68">
        <f t="shared" si="27"/>
        <v>0.93841730927979072</v>
      </c>
      <c r="BR34" s="68">
        <f t="shared" si="27"/>
        <v>1</v>
      </c>
    </row>
    <row r="35" spans="1:70">
      <c r="A35" s="239" t="s">
        <v>121</v>
      </c>
      <c r="B35" s="62">
        <v>2839.2399999999975</v>
      </c>
      <c r="C35" s="62">
        <v>3464.380000000001</v>
      </c>
      <c r="D35" s="62">
        <v>1699.489999999998</v>
      </c>
      <c r="E35" s="62">
        <v>2442.2600000000002</v>
      </c>
      <c r="F35" s="62">
        <v>2737.6900000000005</v>
      </c>
      <c r="G35" s="62">
        <v>1461.68</v>
      </c>
      <c r="H35" s="62">
        <v>3767.8700000000003</v>
      </c>
      <c r="I35" s="62">
        <v>1717.91</v>
      </c>
      <c r="J35" s="62">
        <v>2265.3000000000002</v>
      </c>
      <c r="K35" s="62">
        <v>3945.2699999999995</v>
      </c>
      <c r="L35" s="62">
        <v>3771.18</v>
      </c>
      <c r="M35" s="62">
        <v>2450.7799999999997</v>
      </c>
      <c r="N35" s="100">
        <f t="shared" si="0"/>
        <v>32563.049999999996</v>
      </c>
      <c r="P35" s="239" t="s">
        <v>121</v>
      </c>
      <c r="Q35" s="62">
        <v>2086.0799999999995</v>
      </c>
      <c r="R35" s="62">
        <v>1246.8000000000011</v>
      </c>
      <c r="S35" s="62">
        <v>3160.1400000000003</v>
      </c>
      <c r="T35" s="62">
        <v>1215.8999999999987</v>
      </c>
      <c r="U35" s="62">
        <v>977.20000000000027</v>
      </c>
      <c r="V35" s="62">
        <v>1571.65</v>
      </c>
      <c r="W35" s="62">
        <v>628.12999999999943</v>
      </c>
      <c r="X35" s="62">
        <v>1386.5999999999997</v>
      </c>
      <c r="Y35" s="62">
        <v>1730.9900000000007</v>
      </c>
      <c r="Z35" s="62">
        <v>922.88000000000011</v>
      </c>
      <c r="AA35" s="62">
        <v>1450.7999999999997</v>
      </c>
      <c r="AB35" s="62">
        <v>591.69000000000005</v>
      </c>
      <c r="AC35" s="100">
        <f t="shared" si="14"/>
        <v>16968.859999999997</v>
      </c>
      <c r="AE35" s="68">
        <f t="shared" si="28"/>
        <v>8.719207813764368E-2</v>
      </c>
      <c r="AF35" s="68">
        <f t="shared" si="29"/>
        <v>0.19358198940209839</v>
      </c>
      <c r="AG35" s="68">
        <f t="shared" si="30"/>
        <v>0.24577273934720481</v>
      </c>
      <c r="AH35" s="68">
        <f t="shared" si="31"/>
        <v>0.32077369902389358</v>
      </c>
      <c r="AI35" s="68">
        <f t="shared" si="32"/>
        <v>0.40484721179373551</v>
      </c>
      <c r="AJ35" s="68">
        <f t="shared" si="33"/>
        <v>0.44973489891149632</v>
      </c>
      <c r="AK35" s="68">
        <f t="shared" si="34"/>
        <v>0.56544488308066965</v>
      </c>
      <c r="AL35" s="68">
        <f t="shared" si="35"/>
        <v>0.61820130485320013</v>
      </c>
      <c r="AM35" s="68">
        <f t="shared" si="36"/>
        <v>0.68776788415090107</v>
      </c>
      <c r="AN35" s="68">
        <f t="shared" si="37"/>
        <v>0.8089257609468401</v>
      </c>
      <c r="AO35" s="68">
        <f t="shared" si="38"/>
        <v>0.92473739407088718</v>
      </c>
      <c r="AP35" s="68">
        <f t="shared" si="39"/>
        <v>1</v>
      </c>
      <c r="AQ35" s="92"/>
      <c r="AT35" s="68">
        <f t="shared" si="15"/>
        <v>0.1229357776538907</v>
      </c>
      <c r="AU35" s="68">
        <f t="shared" si="16"/>
        <v>0.19641154444081696</v>
      </c>
      <c r="AV35" s="68">
        <f t="shared" si="17"/>
        <v>0.38264326536962423</v>
      </c>
      <c r="AW35" s="68">
        <f t="shared" si="18"/>
        <v>0.45429804948594077</v>
      </c>
      <c r="AX35" s="68">
        <f t="shared" si="19"/>
        <v>0.51188588980049343</v>
      </c>
      <c r="AY35" s="68">
        <f t="shared" si="20"/>
        <v>0.60450554722002536</v>
      </c>
      <c r="AZ35" s="68">
        <f t="shared" si="21"/>
        <v>0.64152217650449117</v>
      </c>
      <c r="BA35" s="68">
        <f t="shared" si="22"/>
        <v>0.72323656391767044</v>
      </c>
      <c r="BB35" s="68">
        <f t="shared" si="23"/>
        <v>0.82524636304383447</v>
      </c>
      <c r="BC35" s="68">
        <f t="shared" si="24"/>
        <v>0.87963304547270715</v>
      </c>
      <c r="BD35" s="68">
        <f t="shared" si="25"/>
        <v>0.96513083377433728</v>
      </c>
      <c r="BE35" s="68">
        <f t="shared" si="26"/>
        <v>1</v>
      </c>
      <c r="BG35" s="68">
        <f t="shared" si="27"/>
        <v>0.10506392789576718</v>
      </c>
      <c r="BH35" s="68">
        <f t="shared" si="27"/>
        <v>0.19499676692145768</v>
      </c>
      <c r="BI35" s="68">
        <f t="shared" si="27"/>
        <v>0.31420800235841451</v>
      </c>
      <c r="BJ35" s="68">
        <f t="shared" si="27"/>
        <v>0.3875358742549172</v>
      </c>
      <c r="BK35" s="68">
        <f t="shared" si="27"/>
        <v>0.45836655079711447</v>
      </c>
      <c r="BL35" s="68">
        <f t="shared" si="27"/>
        <v>0.52712022306576078</v>
      </c>
      <c r="BM35" s="68">
        <f t="shared" si="27"/>
        <v>0.60348352979258046</v>
      </c>
      <c r="BN35" s="68">
        <f t="shared" si="27"/>
        <v>0.67071893438543528</v>
      </c>
      <c r="BO35" s="68">
        <f t="shared" si="27"/>
        <v>0.75650712359736771</v>
      </c>
      <c r="BP35" s="68">
        <f t="shared" si="27"/>
        <v>0.84427940320977357</v>
      </c>
      <c r="BQ35" s="68">
        <f t="shared" si="27"/>
        <v>0.94493411392261217</v>
      </c>
      <c r="BR35" s="68">
        <f t="shared" si="27"/>
        <v>1</v>
      </c>
    </row>
    <row r="36" spans="1:70">
      <c r="A36" s="239" t="s">
        <v>122</v>
      </c>
      <c r="B36" s="62">
        <v>16051.829999999994</v>
      </c>
      <c r="C36" s="62">
        <v>10156.150000000001</v>
      </c>
      <c r="D36" s="62">
        <v>9022.9999999999964</v>
      </c>
      <c r="E36" s="62">
        <v>7731.58</v>
      </c>
      <c r="F36" s="62">
        <v>6586.34</v>
      </c>
      <c r="G36" s="62">
        <v>7393.67</v>
      </c>
      <c r="H36" s="62">
        <v>8608.4799999999959</v>
      </c>
      <c r="I36" s="62">
        <v>8537.56</v>
      </c>
      <c r="J36" s="62">
        <v>3567.19</v>
      </c>
      <c r="K36" s="62">
        <v>6809.34</v>
      </c>
      <c r="L36" s="62">
        <v>4650.1000000000004</v>
      </c>
      <c r="M36" s="62">
        <v>4853.82</v>
      </c>
      <c r="N36" s="100">
        <f t="shared" si="0"/>
        <v>93969.06</v>
      </c>
      <c r="P36" s="239" t="s">
        <v>122</v>
      </c>
      <c r="Q36" s="62">
        <v>13496.579999999993</v>
      </c>
      <c r="R36" s="62">
        <v>12678.04</v>
      </c>
      <c r="S36" s="62">
        <v>9213.99</v>
      </c>
      <c r="T36" s="62">
        <v>6941.5699999999988</v>
      </c>
      <c r="U36" s="62">
        <v>7931.889999999994</v>
      </c>
      <c r="V36" s="62">
        <v>7311.8200000000024</v>
      </c>
      <c r="W36" s="62">
        <v>7465.3599999999988</v>
      </c>
      <c r="X36" s="62">
        <v>9422.4000000000015</v>
      </c>
      <c r="Y36" s="62">
        <v>12750.519999999999</v>
      </c>
      <c r="Z36" s="62">
        <v>8555.2899999999991</v>
      </c>
      <c r="AA36" s="62">
        <v>8548.0400000000027</v>
      </c>
      <c r="AB36" s="62">
        <v>7388.71</v>
      </c>
      <c r="AC36" s="100">
        <f t="shared" si="14"/>
        <v>111704.21</v>
      </c>
      <c r="AE36" s="68">
        <f t="shared" si="28"/>
        <v>0.17082037428064084</v>
      </c>
      <c r="AF36" s="68">
        <f t="shared" si="29"/>
        <v>0.27890009754274436</v>
      </c>
      <c r="AG36" s="68">
        <f t="shared" si="30"/>
        <v>0.3749210644439776</v>
      </c>
      <c r="AH36" s="68">
        <f t="shared" si="31"/>
        <v>0.45719899720184493</v>
      </c>
      <c r="AI36" s="68">
        <f t="shared" si="32"/>
        <v>0.52728951422947079</v>
      </c>
      <c r="AJ36" s="68">
        <f t="shared" si="33"/>
        <v>0.6059714761433177</v>
      </c>
      <c r="AK36" s="68">
        <f t="shared" si="34"/>
        <v>0.69758120385582223</v>
      </c>
      <c r="AL36" s="68">
        <f t="shared" si="35"/>
        <v>0.78843621506908745</v>
      </c>
      <c r="AM36" s="68">
        <f t="shared" si="36"/>
        <v>0.82639753978596775</v>
      </c>
      <c r="AN36" s="68">
        <f t="shared" si="37"/>
        <v>0.89886117834955448</v>
      </c>
      <c r="AO36" s="68">
        <f t="shared" si="38"/>
        <v>0.94834661536467424</v>
      </c>
      <c r="AP36" s="68">
        <f t="shared" si="39"/>
        <v>1</v>
      </c>
      <c r="AQ36" s="92"/>
      <c r="AT36" s="68">
        <f t="shared" si="15"/>
        <v>0.12082427331968949</v>
      </c>
      <c r="AU36" s="68">
        <f t="shared" si="16"/>
        <v>0.23432080133774719</v>
      </c>
      <c r="AV36" s="68">
        <f t="shared" si="17"/>
        <v>0.31680641222027345</v>
      </c>
      <c r="AW36" s="68">
        <f t="shared" si="18"/>
        <v>0.37894883281480607</v>
      </c>
      <c r="AX36" s="68">
        <f t="shared" si="19"/>
        <v>0.44995681004323812</v>
      </c>
      <c r="AY36" s="68">
        <f t="shared" si="20"/>
        <v>0.51541378789572911</v>
      </c>
      <c r="AZ36" s="68">
        <f t="shared" si="21"/>
        <v>0.58224528869592274</v>
      </c>
      <c r="BA36" s="68">
        <f t="shared" si="22"/>
        <v>0.66659663051195639</v>
      </c>
      <c r="BB36" s="68">
        <f t="shared" si="23"/>
        <v>0.78074201500552209</v>
      </c>
      <c r="BC36" s="68">
        <f t="shared" si="24"/>
        <v>0.8573308024827353</v>
      </c>
      <c r="BD36" s="68">
        <f t="shared" si="25"/>
        <v>0.93385468640796976</v>
      </c>
      <c r="BE36" s="68">
        <f t="shared" si="26"/>
        <v>1</v>
      </c>
      <c r="BG36" s="68">
        <f t="shared" si="27"/>
        <v>0.14582232380016516</v>
      </c>
      <c r="BH36" s="68">
        <f t="shared" si="27"/>
        <v>0.2566104494402458</v>
      </c>
      <c r="BI36" s="68">
        <f t="shared" si="27"/>
        <v>0.34586373833212553</v>
      </c>
      <c r="BJ36" s="68">
        <f t="shared" si="27"/>
        <v>0.41807391500832547</v>
      </c>
      <c r="BK36" s="68">
        <f t="shared" si="27"/>
        <v>0.48862316213635448</v>
      </c>
      <c r="BL36" s="68">
        <f t="shared" si="27"/>
        <v>0.56069263201952335</v>
      </c>
      <c r="BM36" s="68">
        <f t="shared" si="27"/>
        <v>0.63991324627587254</v>
      </c>
      <c r="BN36" s="68">
        <f t="shared" si="27"/>
        <v>0.72751642279052198</v>
      </c>
      <c r="BO36" s="68">
        <f t="shared" si="27"/>
        <v>0.80356977739574487</v>
      </c>
      <c r="BP36" s="68">
        <f t="shared" si="27"/>
        <v>0.87809599041614494</v>
      </c>
      <c r="BQ36" s="68">
        <f t="shared" si="27"/>
        <v>0.941100650886322</v>
      </c>
      <c r="BR36" s="68">
        <f t="shared" si="27"/>
        <v>1</v>
      </c>
    </row>
    <row r="37" spans="1:70">
      <c r="A37" s="239" t="s">
        <v>123</v>
      </c>
      <c r="B37" s="62">
        <v>52985.74000000002</v>
      </c>
      <c r="C37" s="62">
        <v>40949.159999999982</v>
      </c>
      <c r="D37" s="62">
        <v>31112.410000000007</v>
      </c>
      <c r="E37" s="62">
        <v>30388.760000000009</v>
      </c>
      <c r="F37" s="62">
        <v>24138.400000000001</v>
      </c>
      <c r="G37" s="62">
        <v>15211.310000000001</v>
      </c>
      <c r="H37" s="62">
        <v>27186.410000000007</v>
      </c>
      <c r="I37" s="62">
        <v>34319.25</v>
      </c>
      <c r="J37" s="62">
        <v>16275.36</v>
      </c>
      <c r="K37" s="62">
        <v>23826.32</v>
      </c>
      <c r="L37" s="62">
        <v>17007.740000000002</v>
      </c>
      <c r="M37" s="62">
        <v>15537.7</v>
      </c>
      <c r="N37" s="100">
        <f t="shared" si="0"/>
        <v>328938.56</v>
      </c>
      <c r="P37" s="239" t="s">
        <v>123</v>
      </c>
      <c r="Q37" s="62">
        <v>26687.299999999988</v>
      </c>
      <c r="R37" s="62">
        <v>24558.779999999955</v>
      </c>
      <c r="S37" s="62">
        <v>13976.810000000005</v>
      </c>
      <c r="T37" s="62">
        <v>19549.340000000015</v>
      </c>
      <c r="U37" s="62">
        <v>13124.309999999998</v>
      </c>
      <c r="V37" s="62">
        <v>16731.290000000008</v>
      </c>
      <c r="W37" s="62">
        <v>13698.269999999997</v>
      </c>
      <c r="X37" s="62">
        <v>10718.690000000002</v>
      </c>
      <c r="Y37" s="62">
        <v>13039.72</v>
      </c>
      <c r="Z37" s="62">
        <v>12201.839999999998</v>
      </c>
      <c r="AA37" s="62">
        <v>10416.800000000003</v>
      </c>
      <c r="AB37" s="62">
        <v>22292.799999999999</v>
      </c>
      <c r="AC37" s="100">
        <f t="shared" si="14"/>
        <v>196995.94999999995</v>
      </c>
      <c r="AE37" s="68">
        <f t="shared" si="28"/>
        <v>0.16108096296159385</v>
      </c>
      <c r="AF37" s="68">
        <f t="shared" si="29"/>
        <v>0.28556974287234671</v>
      </c>
      <c r="AG37" s="68">
        <f t="shared" si="30"/>
        <v>0.38015400201180427</v>
      </c>
      <c r="AH37" s="68">
        <f t="shared" si="31"/>
        <v>0.47253830624174925</v>
      </c>
      <c r="AI37" s="68">
        <f t="shared" si="32"/>
        <v>0.54592100725436388</v>
      </c>
      <c r="AJ37" s="68">
        <f t="shared" si="33"/>
        <v>0.59216462794754132</v>
      </c>
      <c r="AK37" s="68">
        <f t="shared" si="34"/>
        <v>0.67481352748671364</v>
      </c>
      <c r="AL37" s="68">
        <f t="shared" si="35"/>
        <v>0.77914684128245715</v>
      </c>
      <c r="AM37" s="68">
        <f t="shared" si="36"/>
        <v>0.82862526059577812</v>
      </c>
      <c r="AN37" s="68">
        <f t="shared" si="37"/>
        <v>0.90105921300318215</v>
      </c>
      <c r="AO37" s="68">
        <f t="shared" si="38"/>
        <v>0.95276412713669079</v>
      </c>
      <c r="AP37" s="68">
        <f t="shared" si="39"/>
        <v>1</v>
      </c>
      <c r="AQ37" s="92"/>
      <c r="AT37" s="68">
        <f t="shared" si="15"/>
        <v>0.13547131298892182</v>
      </c>
      <c r="AU37" s="68">
        <f t="shared" si="16"/>
        <v>0.26013773379604987</v>
      </c>
      <c r="AV37" s="68">
        <f t="shared" si="17"/>
        <v>0.33108746651898158</v>
      </c>
      <c r="AW37" s="68">
        <f t="shared" si="18"/>
        <v>0.43032473510242208</v>
      </c>
      <c r="AX37" s="68">
        <f t="shared" si="19"/>
        <v>0.49694696769146773</v>
      </c>
      <c r="AY37" s="68">
        <f t="shared" si="20"/>
        <v>0.5818791198499258</v>
      </c>
      <c r="AZ37" s="68">
        <f t="shared" si="21"/>
        <v>0.65141491487515357</v>
      </c>
      <c r="BA37" s="68">
        <f t="shared" si="22"/>
        <v>0.70582562737964927</v>
      </c>
      <c r="BB37" s="68">
        <f t="shared" si="23"/>
        <v>0.77201846027799059</v>
      </c>
      <c r="BC37" s="68">
        <f t="shared" si="24"/>
        <v>0.83395800776614959</v>
      </c>
      <c r="BD37" s="68">
        <f t="shared" si="25"/>
        <v>0.88683625221736795</v>
      </c>
      <c r="BE37" s="68">
        <f t="shared" si="26"/>
        <v>1</v>
      </c>
      <c r="BG37" s="68">
        <f t="shared" si="27"/>
        <v>0.14827613797525785</v>
      </c>
      <c r="BH37" s="68">
        <f t="shared" si="27"/>
        <v>0.27285373833419829</v>
      </c>
      <c r="BI37" s="68">
        <f t="shared" si="27"/>
        <v>0.35562073426539292</v>
      </c>
      <c r="BJ37" s="68">
        <f t="shared" si="27"/>
        <v>0.4514315206720857</v>
      </c>
      <c r="BK37" s="68">
        <f t="shared" si="27"/>
        <v>0.52143398747291581</v>
      </c>
      <c r="BL37" s="68">
        <f t="shared" si="27"/>
        <v>0.58702187389873361</v>
      </c>
      <c r="BM37" s="68">
        <f t="shared" si="27"/>
        <v>0.66311422118093355</v>
      </c>
      <c r="BN37" s="68">
        <f t="shared" si="27"/>
        <v>0.74248623433105321</v>
      </c>
      <c r="BO37" s="68">
        <f t="shared" si="27"/>
        <v>0.80032186043688436</v>
      </c>
      <c r="BP37" s="68">
        <f t="shared" si="27"/>
        <v>0.86750861038466587</v>
      </c>
      <c r="BQ37" s="68">
        <f t="shared" si="27"/>
        <v>0.91980018967702937</v>
      </c>
      <c r="BR37" s="68">
        <f t="shared" si="27"/>
        <v>1</v>
      </c>
    </row>
    <row r="38" spans="1:70">
      <c r="A38" s="239" t="s">
        <v>124</v>
      </c>
      <c r="B38" s="62">
        <v>15953.689999999986</v>
      </c>
      <c r="C38" s="62">
        <v>15044.89</v>
      </c>
      <c r="D38" s="62">
        <v>10320.380000000006</v>
      </c>
      <c r="E38" s="62">
        <v>8270.0499999999975</v>
      </c>
      <c r="F38" s="62">
        <v>7238.1999999999907</v>
      </c>
      <c r="G38" s="62">
        <v>7364.8200000000006</v>
      </c>
      <c r="H38" s="62">
        <v>11929.110000000002</v>
      </c>
      <c r="I38" s="62">
        <v>12910.599999999999</v>
      </c>
      <c r="J38" s="62">
        <v>6388.47</v>
      </c>
      <c r="K38" s="62">
        <v>9448.02</v>
      </c>
      <c r="L38" s="62">
        <v>9319.56</v>
      </c>
      <c r="M38" s="62">
        <v>11522.94</v>
      </c>
      <c r="N38" s="100">
        <f t="shared" si="0"/>
        <v>125710.73</v>
      </c>
      <c r="P38" s="239" t="s">
        <v>124</v>
      </c>
      <c r="Q38" s="62">
        <v>11268.220000000008</v>
      </c>
      <c r="R38" s="62">
        <v>17767.579999999987</v>
      </c>
      <c r="S38" s="62">
        <v>22558.02</v>
      </c>
      <c r="T38" s="62">
        <v>15059.509999999995</v>
      </c>
      <c r="U38" s="62">
        <v>11534.250000000004</v>
      </c>
      <c r="V38" s="62">
        <v>13460.049999999996</v>
      </c>
      <c r="W38" s="62">
        <v>9539.16</v>
      </c>
      <c r="X38" s="62">
        <v>7756.550000000002</v>
      </c>
      <c r="Y38" s="62">
        <v>6538.0999999999985</v>
      </c>
      <c r="Z38" s="62">
        <v>6078.4599999999991</v>
      </c>
      <c r="AA38" s="62">
        <v>6382.6500000000005</v>
      </c>
      <c r="AB38" s="62">
        <v>4791.4500000000016</v>
      </c>
      <c r="AC38" s="100">
        <f t="shared" si="14"/>
        <v>132733.99999999997</v>
      </c>
      <c r="AE38" s="68">
        <f t="shared" si="28"/>
        <v>0.12690794174848866</v>
      </c>
      <c r="AF38" s="68">
        <f t="shared" si="29"/>
        <v>0.24658658811383871</v>
      </c>
      <c r="AG38" s="68">
        <f t="shared" si="30"/>
        <v>0.32868284194992736</v>
      </c>
      <c r="AH38" s="68">
        <f t="shared" si="31"/>
        <v>0.39446919129337638</v>
      </c>
      <c r="AI38" s="68">
        <f t="shared" si="32"/>
        <v>0.45204741075006072</v>
      </c>
      <c r="AJ38" s="68">
        <f t="shared" si="33"/>
        <v>0.51063286324087032</v>
      </c>
      <c r="AK38" s="68">
        <f t="shared" si="34"/>
        <v>0.60552619493976356</v>
      </c>
      <c r="AL38" s="68">
        <f t="shared" si="35"/>
        <v>0.70822705428566035</v>
      </c>
      <c r="AM38" s="68">
        <f t="shared" si="36"/>
        <v>0.75904586664956919</v>
      </c>
      <c r="AN38" s="68">
        <f t="shared" si="37"/>
        <v>0.83420269693764404</v>
      </c>
      <c r="AO38" s="68">
        <f t="shared" si="38"/>
        <v>0.90833765741396932</v>
      </c>
      <c r="AP38" s="68">
        <f t="shared" si="39"/>
        <v>1</v>
      </c>
      <c r="AQ38" s="92"/>
      <c r="AT38" s="68">
        <f t="shared" si="15"/>
        <v>8.4893245136890408E-2</v>
      </c>
      <c r="AU38" s="68">
        <f t="shared" si="16"/>
        <v>0.21875178929287148</v>
      </c>
      <c r="AV38" s="68">
        <f t="shared" si="17"/>
        <v>0.3887008603673513</v>
      </c>
      <c r="AW38" s="68">
        <f t="shared" si="18"/>
        <v>0.50215717148582883</v>
      </c>
      <c r="AX38" s="68">
        <f t="shared" si="19"/>
        <v>0.58905465065469287</v>
      </c>
      <c r="AY38" s="68">
        <f t="shared" si="20"/>
        <v>0.69046084650504014</v>
      </c>
      <c r="AZ38" s="68">
        <f t="shared" si="21"/>
        <v>0.76232758750583873</v>
      </c>
      <c r="BA38" s="68">
        <f t="shared" si="22"/>
        <v>0.82076438591468659</v>
      </c>
      <c r="BB38" s="68">
        <f t="shared" si="23"/>
        <v>0.87002154685310473</v>
      </c>
      <c r="BC38" s="68">
        <f t="shared" si="24"/>
        <v>0.9158158422107372</v>
      </c>
      <c r="BD38" s="68">
        <f t="shared" si="25"/>
        <v>0.96390186387813215</v>
      </c>
      <c r="BE38" s="68">
        <f t="shared" si="26"/>
        <v>1</v>
      </c>
      <c r="BG38" s="68">
        <f t="shared" si="27"/>
        <v>0.10590059344268954</v>
      </c>
      <c r="BH38" s="68">
        <f t="shared" si="27"/>
        <v>0.2326691887033551</v>
      </c>
      <c r="BI38" s="68">
        <f t="shared" si="27"/>
        <v>0.35869185115863933</v>
      </c>
      <c r="BJ38" s="68">
        <f t="shared" si="27"/>
        <v>0.44831318138960263</v>
      </c>
      <c r="BK38" s="68">
        <f t="shared" si="27"/>
        <v>0.52055103070237685</v>
      </c>
      <c r="BL38" s="68">
        <f t="shared" si="27"/>
        <v>0.60054685487295523</v>
      </c>
      <c r="BM38" s="68">
        <f t="shared" si="27"/>
        <v>0.68392689122280115</v>
      </c>
      <c r="BN38" s="68">
        <f t="shared" si="27"/>
        <v>0.76449572010017341</v>
      </c>
      <c r="BO38" s="68">
        <f t="shared" si="27"/>
        <v>0.81453370675133696</v>
      </c>
      <c r="BP38" s="68">
        <f t="shared" si="27"/>
        <v>0.87500926957419067</v>
      </c>
      <c r="BQ38" s="68">
        <f t="shared" si="27"/>
        <v>0.93611976064605074</v>
      </c>
      <c r="BR38" s="68">
        <f t="shared" si="27"/>
        <v>1</v>
      </c>
    </row>
    <row r="39" spans="1:70">
      <c r="A39" s="239" t="s">
        <v>125</v>
      </c>
      <c r="B39" s="62">
        <v>48170.460000000006</v>
      </c>
      <c r="C39" s="62">
        <v>50654.609999999986</v>
      </c>
      <c r="D39" s="62">
        <v>43705.979999999981</v>
      </c>
      <c r="E39" s="62">
        <v>28638.840000000011</v>
      </c>
      <c r="F39" s="62">
        <v>28682.26</v>
      </c>
      <c r="G39" s="62">
        <v>24455.170000000002</v>
      </c>
      <c r="H39" s="62">
        <v>19582.89</v>
      </c>
      <c r="I39" s="62">
        <v>21825.68</v>
      </c>
      <c r="J39" s="62">
        <v>11470.320000000002</v>
      </c>
      <c r="K39" s="62">
        <v>14280.029999999999</v>
      </c>
      <c r="L39" s="62">
        <v>17974.5</v>
      </c>
      <c r="M39" s="62">
        <v>27207.38</v>
      </c>
      <c r="N39" s="100">
        <f t="shared" si="0"/>
        <v>336648.12</v>
      </c>
      <c r="P39" s="239" t="s">
        <v>125</v>
      </c>
      <c r="Q39" s="62">
        <v>35934.450000000004</v>
      </c>
      <c r="R39" s="62">
        <v>31581.029999999955</v>
      </c>
      <c r="S39" s="62">
        <v>28986.249999999993</v>
      </c>
      <c r="T39" s="62">
        <v>16017.73000000001</v>
      </c>
      <c r="U39" s="62">
        <v>24779.489999999994</v>
      </c>
      <c r="V39" s="62">
        <v>23037.210000000003</v>
      </c>
      <c r="W39" s="62">
        <v>21775.120000000006</v>
      </c>
      <c r="X39" s="62">
        <v>26775.839999999997</v>
      </c>
      <c r="Y39" s="62">
        <v>24652.57</v>
      </c>
      <c r="Z39" s="62">
        <v>28543.179999999993</v>
      </c>
      <c r="AA39" s="62">
        <v>25121.349999999995</v>
      </c>
      <c r="AB39" s="62">
        <v>22818.309999999998</v>
      </c>
      <c r="AC39" s="100">
        <f t="shared" si="14"/>
        <v>310022.52999999991</v>
      </c>
      <c r="AE39" s="68">
        <f t="shared" si="28"/>
        <v>0.14308845687301033</v>
      </c>
      <c r="AF39" s="68">
        <f t="shared" si="29"/>
        <v>0.29355598361874113</v>
      </c>
      <c r="AG39" s="68">
        <f t="shared" si="30"/>
        <v>0.42338287824093596</v>
      </c>
      <c r="AH39" s="68">
        <f t="shared" si="31"/>
        <v>0.50845342608775002</v>
      </c>
      <c r="AI39" s="68">
        <f t="shared" si="32"/>
        <v>0.59365295133684404</v>
      </c>
      <c r="AJ39" s="68">
        <f t="shared" si="33"/>
        <v>0.66629607199351071</v>
      </c>
      <c r="AK39" s="68">
        <f t="shared" si="34"/>
        <v>0.72446627653824425</v>
      </c>
      <c r="AL39" s="68">
        <f t="shared" si="35"/>
        <v>0.78929860056845114</v>
      </c>
      <c r="AM39" s="68">
        <f t="shared" si="36"/>
        <v>0.82337073499771818</v>
      </c>
      <c r="AN39" s="68">
        <f t="shared" si="37"/>
        <v>0.86578900247534429</v>
      </c>
      <c r="AO39" s="68">
        <f t="shared" si="38"/>
        <v>0.91918154778348382</v>
      </c>
      <c r="AP39" s="68">
        <f t="shared" si="39"/>
        <v>1</v>
      </c>
      <c r="AQ39" s="92"/>
      <c r="AT39" s="68">
        <f t="shared" si="15"/>
        <v>0.1159091566667752</v>
      </c>
      <c r="AU39" s="68">
        <f t="shared" si="16"/>
        <v>0.21777604356689809</v>
      </c>
      <c r="AV39" s="68">
        <f t="shared" si="17"/>
        <v>0.31127328068705196</v>
      </c>
      <c r="AW39" s="68">
        <f t="shared" si="18"/>
        <v>0.36293962248485617</v>
      </c>
      <c r="AX39" s="68">
        <f t="shared" si="19"/>
        <v>0.44286765223159746</v>
      </c>
      <c r="AY39" s="68">
        <f t="shared" si="20"/>
        <v>0.51717583234999076</v>
      </c>
      <c r="AZ39" s="68">
        <f t="shared" si="21"/>
        <v>0.58741305027089485</v>
      </c>
      <c r="BA39" s="68">
        <f t="shared" si="22"/>
        <v>0.67378045073046788</v>
      </c>
      <c r="BB39" s="68">
        <f t="shared" si="23"/>
        <v>0.75329909087575031</v>
      </c>
      <c r="BC39" s="68">
        <f t="shared" si="24"/>
        <v>0.84536717379862691</v>
      </c>
      <c r="BD39" s="68">
        <f t="shared" si="25"/>
        <v>0.92639789759795843</v>
      </c>
      <c r="BE39" s="68">
        <f t="shared" si="26"/>
        <v>1</v>
      </c>
      <c r="BG39" s="68">
        <f t="shared" si="27"/>
        <v>0.12949880676989278</v>
      </c>
      <c r="BH39" s="68">
        <f t="shared" si="27"/>
        <v>0.2556660135928196</v>
      </c>
      <c r="BI39" s="68">
        <f t="shared" si="27"/>
        <v>0.36732807946399393</v>
      </c>
      <c r="BJ39" s="68">
        <f t="shared" si="27"/>
        <v>0.43569652428630312</v>
      </c>
      <c r="BK39" s="68">
        <f t="shared" si="27"/>
        <v>0.51826030178422078</v>
      </c>
      <c r="BL39" s="68">
        <f t="shared" si="27"/>
        <v>0.59173595217175068</v>
      </c>
      <c r="BM39" s="68">
        <f t="shared" si="27"/>
        <v>0.65593966340456955</v>
      </c>
      <c r="BN39" s="68">
        <f t="shared" si="27"/>
        <v>0.73153952564945945</v>
      </c>
      <c r="BO39" s="68">
        <f t="shared" si="27"/>
        <v>0.7883349129367343</v>
      </c>
      <c r="BP39" s="68">
        <f t="shared" si="27"/>
        <v>0.85557808813698566</v>
      </c>
      <c r="BQ39" s="68">
        <f t="shared" si="27"/>
        <v>0.92278972269072113</v>
      </c>
      <c r="BR39" s="68">
        <f t="shared" si="27"/>
        <v>1</v>
      </c>
    </row>
    <row r="40" spans="1:70">
      <c r="A40" s="239" t="s">
        <v>126</v>
      </c>
      <c r="B40" s="62">
        <v>22968.870000000014</v>
      </c>
      <c r="C40" s="62">
        <v>17281.760000000009</v>
      </c>
      <c r="D40" s="62">
        <v>17469.359999999997</v>
      </c>
      <c r="E40" s="62">
        <v>11035.04</v>
      </c>
      <c r="F40" s="62">
        <v>12920.759999999987</v>
      </c>
      <c r="G40" s="62">
        <v>10684.06</v>
      </c>
      <c r="H40" s="62">
        <v>15822.390000000003</v>
      </c>
      <c r="I40" s="62">
        <v>17034.77</v>
      </c>
      <c r="J40" s="62">
        <v>13364.69</v>
      </c>
      <c r="K40" s="62">
        <v>16317.740000000002</v>
      </c>
      <c r="L40" s="62">
        <v>12287.579999999998</v>
      </c>
      <c r="M40" s="62">
        <v>23794.58</v>
      </c>
      <c r="N40" s="100">
        <f t="shared" si="0"/>
        <v>190981.59999999998</v>
      </c>
      <c r="P40" s="239" t="s">
        <v>126</v>
      </c>
      <c r="Q40" s="62">
        <v>12123.200000000004</v>
      </c>
      <c r="R40" s="62">
        <v>9829.4599999999991</v>
      </c>
      <c r="S40" s="62">
        <v>12965.45</v>
      </c>
      <c r="T40" s="62">
        <v>7394.32</v>
      </c>
      <c r="U40" s="62">
        <v>7186.2599999999875</v>
      </c>
      <c r="V40" s="62">
        <v>6458.5800000000017</v>
      </c>
      <c r="W40" s="62">
        <v>7719.239999999998</v>
      </c>
      <c r="X40" s="62">
        <v>8456.6299999999974</v>
      </c>
      <c r="Y40" s="62">
        <v>8235.9199999999983</v>
      </c>
      <c r="Z40" s="62">
        <v>4716.9200000000019</v>
      </c>
      <c r="AA40" s="62">
        <v>7936.2900000000018</v>
      </c>
      <c r="AB40" s="62">
        <v>8084.52</v>
      </c>
      <c r="AC40" s="100">
        <f t="shared" si="14"/>
        <v>101106.79</v>
      </c>
      <c r="AE40" s="68">
        <f t="shared" si="28"/>
        <v>0.12026744984857189</v>
      </c>
      <c r="AF40" s="68">
        <f t="shared" si="29"/>
        <v>0.21075658597477465</v>
      </c>
      <c r="AG40" s="68">
        <f t="shared" si="30"/>
        <v>0.30222801568318636</v>
      </c>
      <c r="AH40" s="68">
        <f t="shared" si="31"/>
        <v>0.36000866052017594</v>
      </c>
      <c r="AI40" s="68">
        <f t="shared" si="32"/>
        <v>0.42766313613458062</v>
      </c>
      <c r="AJ40" s="68">
        <f t="shared" si="33"/>
        <v>0.48360601230694483</v>
      </c>
      <c r="AK40" s="68">
        <f t="shared" si="34"/>
        <v>0.56645373166839119</v>
      </c>
      <c r="AL40" s="68">
        <f t="shared" si="35"/>
        <v>0.65564960184646071</v>
      </c>
      <c r="AM40" s="68">
        <f t="shared" si="36"/>
        <v>0.72562854222605755</v>
      </c>
      <c r="AN40" s="68">
        <f t="shared" si="37"/>
        <v>0.8110699669496958</v>
      </c>
      <c r="AO40" s="68">
        <f t="shared" si="38"/>
        <v>0.87540904464094971</v>
      </c>
      <c r="AP40" s="68">
        <f t="shared" si="39"/>
        <v>1</v>
      </c>
      <c r="AQ40" s="92"/>
      <c r="AT40" s="68">
        <f t="shared" si="15"/>
        <v>0.11990490450740257</v>
      </c>
      <c r="AU40" s="68">
        <f t="shared" si="16"/>
        <v>0.21712349882732906</v>
      </c>
      <c r="AV40" s="68">
        <f t="shared" si="17"/>
        <v>0.34535870439561978</v>
      </c>
      <c r="AW40" s="68">
        <f t="shared" si="18"/>
        <v>0.41849246722203326</v>
      </c>
      <c r="AX40" s="68">
        <f t="shared" si="19"/>
        <v>0.48956840584099237</v>
      </c>
      <c r="AY40" s="68">
        <f t="shared" si="20"/>
        <v>0.55344720171612605</v>
      </c>
      <c r="AZ40" s="68">
        <f t="shared" si="21"/>
        <v>0.62979459638665214</v>
      </c>
      <c r="BA40" s="68">
        <f t="shared" si="22"/>
        <v>0.71343517087230235</v>
      </c>
      <c r="BB40" s="68">
        <f t="shared" si="23"/>
        <v>0.79489280591343059</v>
      </c>
      <c r="BC40" s="68">
        <f t="shared" si="24"/>
        <v>0.8415456568248284</v>
      </c>
      <c r="BD40" s="68">
        <f t="shared" si="25"/>
        <v>0.92003979159065374</v>
      </c>
      <c r="BE40" s="68">
        <f t="shared" si="26"/>
        <v>1</v>
      </c>
      <c r="BG40" s="68">
        <f t="shared" si="27"/>
        <v>0.12008617717798722</v>
      </c>
      <c r="BH40" s="68">
        <f t="shared" si="27"/>
        <v>0.21394004240105186</v>
      </c>
      <c r="BI40" s="68">
        <f t="shared" si="27"/>
        <v>0.32379336003940307</v>
      </c>
      <c r="BJ40" s="68">
        <f t="shared" si="27"/>
        <v>0.38925056387110457</v>
      </c>
      <c r="BK40" s="68">
        <f t="shared" si="27"/>
        <v>0.4586157709877865</v>
      </c>
      <c r="BL40" s="68">
        <f t="shared" si="27"/>
        <v>0.51852660701153541</v>
      </c>
      <c r="BM40" s="68">
        <f t="shared" si="27"/>
        <v>0.59812416402752167</v>
      </c>
      <c r="BN40" s="68">
        <f t="shared" si="27"/>
        <v>0.68454238635938158</v>
      </c>
      <c r="BO40" s="68">
        <f t="shared" si="27"/>
        <v>0.76026067406974407</v>
      </c>
      <c r="BP40" s="68">
        <f t="shared" si="27"/>
        <v>0.8263078118872621</v>
      </c>
      <c r="BQ40" s="68">
        <f t="shared" si="27"/>
        <v>0.89772441811580173</v>
      </c>
      <c r="BR40" s="68">
        <f t="shared" si="27"/>
        <v>1</v>
      </c>
    </row>
    <row r="41" spans="1:70">
      <c r="A41" s="239" t="s">
        <v>127</v>
      </c>
      <c r="B41" s="62">
        <v>32775.00999999998</v>
      </c>
      <c r="C41" s="62">
        <v>20149.899999999983</v>
      </c>
      <c r="D41" s="62">
        <v>16552.709999999995</v>
      </c>
      <c r="E41" s="62">
        <v>15082.55</v>
      </c>
      <c r="F41" s="62">
        <v>12143.390000000012</v>
      </c>
      <c r="G41" s="62">
        <v>7201.42</v>
      </c>
      <c r="H41" s="62">
        <v>9066.6699999999964</v>
      </c>
      <c r="I41" s="62">
        <v>10181.730000000001</v>
      </c>
      <c r="J41" s="62">
        <v>7721.3499999999995</v>
      </c>
      <c r="K41" s="62">
        <v>13991.460000000001</v>
      </c>
      <c r="L41" s="62">
        <v>8878.9</v>
      </c>
      <c r="M41" s="62">
        <v>14586.53</v>
      </c>
      <c r="N41" s="100">
        <f t="shared" si="0"/>
        <v>168331.61999999997</v>
      </c>
      <c r="P41" s="239" t="s">
        <v>127</v>
      </c>
      <c r="Q41" s="62">
        <v>17325.209999999985</v>
      </c>
      <c r="R41" s="62">
        <v>20363.580000000002</v>
      </c>
      <c r="S41" s="62">
        <v>13125.369999999995</v>
      </c>
      <c r="T41" s="62">
        <v>14836.529999999993</v>
      </c>
      <c r="U41" s="62">
        <v>9642.2500000000109</v>
      </c>
      <c r="V41" s="62">
        <v>12954.409999999993</v>
      </c>
      <c r="W41" s="62">
        <v>13415.810000000001</v>
      </c>
      <c r="X41" s="62">
        <v>15084.26</v>
      </c>
      <c r="Y41" s="62">
        <v>11292.669999999998</v>
      </c>
      <c r="Z41" s="62">
        <v>7866.5800000000008</v>
      </c>
      <c r="AA41" s="62">
        <v>8987.2500000000036</v>
      </c>
      <c r="AB41" s="62">
        <v>8838.5</v>
      </c>
      <c r="AC41" s="100">
        <f t="shared" si="14"/>
        <v>153732.41999999995</v>
      </c>
      <c r="AE41" s="68">
        <f t="shared" si="28"/>
        <v>0.19470501145298777</v>
      </c>
      <c r="AF41" s="68">
        <f t="shared" si="29"/>
        <v>0.31440860605987142</v>
      </c>
      <c r="AG41" s="68">
        <f t="shared" si="30"/>
        <v>0.41274253761711532</v>
      </c>
      <c r="AH41" s="68">
        <f t="shared" si="31"/>
        <v>0.50234275651835325</v>
      </c>
      <c r="AI41" s="68">
        <f t="shared" si="32"/>
        <v>0.5744824412668279</v>
      </c>
      <c r="AJ41" s="68">
        <f t="shared" si="33"/>
        <v>0.6172635895739611</v>
      </c>
      <c r="AK41" s="68">
        <f t="shared" si="34"/>
        <v>0.67112554373325695</v>
      </c>
      <c r="AL41" s="68">
        <f t="shared" si="35"/>
        <v>0.7316116841268443</v>
      </c>
      <c r="AM41" s="68">
        <f t="shared" si="36"/>
        <v>0.77748155694099541</v>
      </c>
      <c r="AN41" s="68">
        <f t="shared" si="37"/>
        <v>0.86059998709689833</v>
      </c>
      <c r="AO41" s="68">
        <f t="shared" si="38"/>
        <v>0.91334646455609469</v>
      </c>
      <c r="AP41" s="68">
        <f t="shared" si="39"/>
        <v>1</v>
      </c>
      <c r="AQ41" s="92"/>
      <c r="AT41" s="68">
        <f t="shared" si="15"/>
        <v>0.11269717864325553</v>
      </c>
      <c r="AU41" s="68">
        <f t="shared" si="16"/>
        <v>0.24515837323057815</v>
      </c>
      <c r="AV41" s="68">
        <f t="shared" si="17"/>
        <v>0.33053639564120563</v>
      </c>
      <c r="AW41" s="68">
        <f t="shared" si="18"/>
        <v>0.42704518669516811</v>
      </c>
      <c r="AX41" s="68">
        <f t="shared" si="19"/>
        <v>0.48976617944347722</v>
      </c>
      <c r="AY41" s="68">
        <f t="shared" si="20"/>
        <v>0.5740321397399456</v>
      </c>
      <c r="AZ41" s="68">
        <f t="shared" si="21"/>
        <v>0.66129941882135213</v>
      </c>
      <c r="BA41" s="68">
        <f t="shared" si="22"/>
        <v>0.75941964616181812</v>
      </c>
      <c r="BB41" s="68">
        <f t="shared" si="23"/>
        <v>0.83287630546634217</v>
      </c>
      <c r="BC41" s="68">
        <f t="shared" si="24"/>
        <v>0.88404690435498245</v>
      </c>
      <c r="BD41" s="68">
        <f t="shared" si="25"/>
        <v>0.94250724733273561</v>
      </c>
      <c r="BE41" s="68">
        <f t="shared" si="26"/>
        <v>1</v>
      </c>
      <c r="BG41" s="68">
        <f t="shared" si="27"/>
        <v>0.15370109504812166</v>
      </c>
      <c r="BH41" s="68">
        <f t="shared" si="27"/>
        <v>0.27978348964522481</v>
      </c>
      <c r="BI41" s="68">
        <f t="shared" si="27"/>
        <v>0.37163946662916048</v>
      </c>
      <c r="BJ41" s="68">
        <f t="shared" si="27"/>
        <v>0.46469397160676068</v>
      </c>
      <c r="BK41" s="68">
        <f t="shared" si="27"/>
        <v>0.53212431035515251</v>
      </c>
      <c r="BL41" s="68">
        <f t="shared" si="27"/>
        <v>0.59564786465695341</v>
      </c>
      <c r="BM41" s="68">
        <f t="shared" si="27"/>
        <v>0.66621248127730448</v>
      </c>
      <c r="BN41" s="68">
        <f t="shared" si="27"/>
        <v>0.74551566514433121</v>
      </c>
      <c r="BO41" s="68">
        <f t="shared" si="27"/>
        <v>0.80517893120366879</v>
      </c>
      <c r="BP41" s="68">
        <f t="shared" si="27"/>
        <v>0.87232344572594034</v>
      </c>
      <c r="BQ41" s="68">
        <f t="shared" si="27"/>
        <v>0.92792685594441515</v>
      </c>
      <c r="BR41" s="68">
        <f t="shared" si="27"/>
        <v>1</v>
      </c>
    </row>
    <row r="42" spans="1:70">
      <c r="A42" s="239" t="s">
        <v>128</v>
      </c>
      <c r="B42" s="62">
        <v>10203.849999999997</v>
      </c>
      <c r="C42" s="62">
        <v>5656.9299999999976</v>
      </c>
      <c r="D42" s="62">
        <v>6249.0400000000054</v>
      </c>
      <c r="E42" s="62">
        <v>6650.619999999999</v>
      </c>
      <c r="F42" s="62">
        <v>4588.3500000000022</v>
      </c>
      <c r="G42" s="62">
        <v>5492.16</v>
      </c>
      <c r="H42" s="62">
        <v>12465.53</v>
      </c>
      <c r="I42" s="62">
        <v>8734.09</v>
      </c>
      <c r="J42" s="62">
        <v>7098.96</v>
      </c>
      <c r="K42" s="62">
        <v>5709.4800000000005</v>
      </c>
      <c r="L42" s="62">
        <v>7334.95</v>
      </c>
      <c r="M42" s="62">
        <v>5985.37</v>
      </c>
      <c r="N42" s="100">
        <f t="shared" si="0"/>
        <v>86169.329999999987</v>
      </c>
      <c r="P42" s="239" t="s">
        <v>128</v>
      </c>
      <c r="Q42" s="62">
        <v>10395.449999999995</v>
      </c>
      <c r="R42" s="62">
        <v>5624.8499999999949</v>
      </c>
      <c r="S42" s="62">
        <v>6702.4599999999982</v>
      </c>
      <c r="T42" s="62">
        <v>6489.5299999999988</v>
      </c>
      <c r="U42" s="62">
        <v>5465.4799999999968</v>
      </c>
      <c r="V42" s="62">
        <v>4978.9299999999994</v>
      </c>
      <c r="W42" s="62">
        <v>5261.8100000000013</v>
      </c>
      <c r="X42" s="62">
        <v>4751.4599999999991</v>
      </c>
      <c r="Y42" s="62">
        <v>4087.69</v>
      </c>
      <c r="Z42" s="62">
        <v>4201.4600000000009</v>
      </c>
      <c r="AA42" s="62">
        <v>6812.1700000000019</v>
      </c>
      <c r="AB42" s="62">
        <v>3447.4900000000011</v>
      </c>
      <c r="AC42" s="100">
        <f t="shared" si="14"/>
        <v>68218.779999999984</v>
      </c>
      <c r="AE42" s="68">
        <f t="shared" si="28"/>
        <v>0.11841626249153844</v>
      </c>
      <c r="AF42" s="68">
        <f t="shared" si="29"/>
        <v>0.18406525848582087</v>
      </c>
      <c r="AG42" s="68">
        <f t="shared" si="30"/>
        <v>0.25658572487450004</v>
      </c>
      <c r="AH42" s="68">
        <f t="shared" si="31"/>
        <v>0.33376655011707768</v>
      </c>
      <c r="AI42" s="68">
        <f t="shared" si="32"/>
        <v>0.38701461413242977</v>
      </c>
      <c r="AJ42" s="68">
        <f t="shared" si="33"/>
        <v>0.45075144485862895</v>
      </c>
      <c r="AK42" s="68">
        <f t="shared" si="34"/>
        <v>0.59541463302546282</v>
      </c>
      <c r="AL42" s="68">
        <f t="shared" si="35"/>
        <v>0.69677424670703603</v>
      </c>
      <c r="AM42" s="68">
        <f t="shared" si="36"/>
        <v>0.77915808327626557</v>
      </c>
      <c r="AN42" s="68">
        <f t="shared" si="37"/>
        <v>0.8454169250242517</v>
      </c>
      <c r="AO42" s="68">
        <f t="shared" si="38"/>
        <v>0.93053943903242609</v>
      </c>
      <c r="AP42" s="68">
        <f t="shared" si="39"/>
        <v>1</v>
      </c>
      <c r="AQ42" s="92"/>
      <c r="AT42" s="68">
        <f t="shared" si="15"/>
        <v>0.15238399162224828</v>
      </c>
      <c r="AU42" s="68">
        <f t="shared" si="16"/>
        <v>0.23483709324617055</v>
      </c>
      <c r="AV42" s="68">
        <f t="shared" si="17"/>
        <v>0.33308657821204063</v>
      </c>
      <c r="AW42" s="68">
        <f t="shared" si="18"/>
        <v>0.42821478191196022</v>
      </c>
      <c r="AX42" s="68">
        <f t="shared" si="19"/>
        <v>0.50833172331724474</v>
      </c>
      <c r="AY42" s="68">
        <f t="shared" si="20"/>
        <v>0.58131646446916807</v>
      </c>
      <c r="AZ42" s="68">
        <f t="shared" si="21"/>
        <v>0.65844786435641312</v>
      </c>
      <c r="BA42" s="68">
        <f t="shared" si="22"/>
        <v>0.72809818645246938</v>
      </c>
      <c r="BB42" s="68">
        <f t="shared" si="23"/>
        <v>0.78801848992315593</v>
      </c>
      <c r="BC42" s="68">
        <f t="shared" si="24"/>
        <v>0.84960651597697867</v>
      </c>
      <c r="BD42" s="68">
        <f t="shared" si="25"/>
        <v>0.9494642091224732</v>
      </c>
      <c r="BE42" s="68">
        <f t="shared" si="26"/>
        <v>1</v>
      </c>
      <c r="BG42" s="68">
        <f t="shared" ref="BG42:BR66" si="40">(AE42+AT42)/2</f>
        <v>0.13540012705689336</v>
      </c>
      <c r="BH42" s="68">
        <f t="shared" si="40"/>
        <v>0.20945117586599571</v>
      </c>
      <c r="BI42" s="68">
        <f t="shared" si="40"/>
        <v>0.29483615154327036</v>
      </c>
      <c r="BJ42" s="68">
        <f t="shared" si="40"/>
        <v>0.38099066601451892</v>
      </c>
      <c r="BK42" s="68">
        <f t="shared" si="40"/>
        <v>0.44767316872483726</v>
      </c>
      <c r="BL42" s="68">
        <f t="shared" si="40"/>
        <v>0.51603395466389856</v>
      </c>
      <c r="BM42" s="68">
        <f t="shared" si="40"/>
        <v>0.62693124869093797</v>
      </c>
      <c r="BN42" s="68">
        <f t="shared" si="40"/>
        <v>0.71243621657975265</v>
      </c>
      <c r="BO42" s="68">
        <f t="shared" si="40"/>
        <v>0.7835882865997108</v>
      </c>
      <c r="BP42" s="68">
        <f t="shared" si="40"/>
        <v>0.84751172050061518</v>
      </c>
      <c r="BQ42" s="68">
        <f t="shared" si="40"/>
        <v>0.9400018240774497</v>
      </c>
      <c r="BR42" s="68">
        <f t="shared" si="40"/>
        <v>1</v>
      </c>
    </row>
    <row r="43" spans="1:70">
      <c r="A43" s="239" t="s">
        <v>129</v>
      </c>
      <c r="B43" s="62">
        <v>13861.410000000005</v>
      </c>
      <c r="C43" s="62">
        <v>15066.34999999998</v>
      </c>
      <c r="D43" s="62">
        <v>12100.069999999996</v>
      </c>
      <c r="E43" s="62">
        <v>10810.610000000004</v>
      </c>
      <c r="F43" s="62">
        <v>9728.8800000000047</v>
      </c>
      <c r="G43" s="62">
        <v>6898.43</v>
      </c>
      <c r="H43" s="62">
        <v>4628.760000000002</v>
      </c>
      <c r="I43" s="62">
        <v>4136.79</v>
      </c>
      <c r="J43" s="62">
        <v>3327.05</v>
      </c>
      <c r="K43" s="62">
        <v>6952.51</v>
      </c>
      <c r="L43" s="62">
        <v>3189.99</v>
      </c>
      <c r="M43" s="62">
        <v>5981.06</v>
      </c>
      <c r="N43" s="100">
        <f t="shared" si="0"/>
        <v>96681.91</v>
      </c>
      <c r="P43" s="239" t="s">
        <v>129</v>
      </c>
      <c r="Q43" s="62">
        <v>15884.770000000004</v>
      </c>
      <c r="R43" s="62">
        <v>13233.369999999992</v>
      </c>
      <c r="S43" s="62">
        <v>10044.659999999996</v>
      </c>
      <c r="T43" s="62">
        <v>4932.3700000000008</v>
      </c>
      <c r="U43" s="62">
        <v>7012.1000000000022</v>
      </c>
      <c r="V43" s="62">
        <v>6950.6299999999992</v>
      </c>
      <c r="W43" s="62">
        <v>3284.9399999999987</v>
      </c>
      <c r="X43" s="62">
        <v>7733.5700000000015</v>
      </c>
      <c r="Y43" s="62">
        <v>5424.3600000000006</v>
      </c>
      <c r="Z43" s="62">
        <v>3859.7699999999995</v>
      </c>
      <c r="AA43" s="62">
        <v>7181.0700000000015</v>
      </c>
      <c r="AB43" s="62">
        <v>2965.7499999999982</v>
      </c>
      <c r="AC43" s="100">
        <f t="shared" si="14"/>
        <v>88507.36</v>
      </c>
      <c r="AE43" s="68">
        <f t="shared" si="28"/>
        <v>0.1433712883826975</v>
      </c>
      <c r="AF43" s="68">
        <f t="shared" si="29"/>
        <v>0.29920550804178347</v>
      </c>
      <c r="AG43" s="68">
        <f t="shared" si="30"/>
        <v>0.42435891057592867</v>
      </c>
      <c r="AH43" s="68">
        <f t="shared" si="31"/>
        <v>0.53617517485949528</v>
      </c>
      <c r="AI43" s="68">
        <f t="shared" si="32"/>
        <v>0.6368028931161992</v>
      </c>
      <c r="AJ43" s="68">
        <f t="shared" si="33"/>
        <v>0.70815471063821556</v>
      </c>
      <c r="AK43" s="68">
        <f t="shared" si="34"/>
        <v>0.75603088519868922</v>
      </c>
      <c r="AL43" s="68">
        <f t="shared" si="35"/>
        <v>0.79881851734207565</v>
      </c>
      <c r="AM43" s="68">
        <f t="shared" si="36"/>
        <v>0.83323084949397463</v>
      </c>
      <c r="AN43" s="68">
        <f t="shared" si="37"/>
        <v>0.90514202708655633</v>
      </c>
      <c r="AO43" s="68">
        <f t="shared" si="38"/>
        <v>0.93813672071641951</v>
      </c>
      <c r="AP43" s="68">
        <f t="shared" si="39"/>
        <v>1</v>
      </c>
      <c r="AQ43" s="92"/>
      <c r="AT43" s="68">
        <f t="shared" si="15"/>
        <v>0.17947400080626066</v>
      </c>
      <c r="AU43" s="68">
        <f t="shared" si="16"/>
        <v>0.32899117090375302</v>
      </c>
      <c r="AV43" s="68">
        <f t="shared" si="17"/>
        <v>0.44248071572804781</v>
      </c>
      <c r="AW43" s="68">
        <f t="shared" si="18"/>
        <v>0.49820907549383453</v>
      </c>
      <c r="AX43" s="68">
        <f t="shared" si="19"/>
        <v>0.57743525510194849</v>
      </c>
      <c r="AY43" s="68">
        <f t="shared" si="20"/>
        <v>0.65596691619770364</v>
      </c>
      <c r="AZ43" s="68">
        <f t="shared" si="21"/>
        <v>0.6930817956834322</v>
      </c>
      <c r="BA43" s="68">
        <f t="shared" si="22"/>
        <v>0.78045950076920145</v>
      </c>
      <c r="BB43" s="68">
        <f t="shared" si="23"/>
        <v>0.8417466072878006</v>
      </c>
      <c r="BC43" s="68">
        <f t="shared" si="24"/>
        <v>0.88535620088544043</v>
      </c>
      <c r="BD43" s="68">
        <f t="shared" si="25"/>
        <v>0.96649148726162437</v>
      </c>
      <c r="BE43" s="68">
        <f t="shared" si="26"/>
        <v>1</v>
      </c>
      <c r="BG43" s="68">
        <f t="shared" si="40"/>
        <v>0.16142264459447908</v>
      </c>
      <c r="BH43" s="68">
        <f t="shared" si="40"/>
        <v>0.31409833947276822</v>
      </c>
      <c r="BI43" s="68">
        <f t="shared" si="40"/>
        <v>0.43341981315198824</v>
      </c>
      <c r="BJ43" s="68">
        <f t="shared" si="40"/>
        <v>0.51719212517666491</v>
      </c>
      <c r="BK43" s="68">
        <f t="shared" si="40"/>
        <v>0.60711907410907384</v>
      </c>
      <c r="BL43" s="68">
        <f t="shared" si="40"/>
        <v>0.68206081341795954</v>
      </c>
      <c r="BM43" s="68">
        <f t="shared" si="40"/>
        <v>0.72455634044106065</v>
      </c>
      <c r="BN43" s="68">
        <f t="shared" si="40"/>
        <v>0.78963900905563855</v>
      </c>
      <c r="BO43" s="68">
        <f t="shared" si="40"/>
        <v>0.83748872839088762</v>
      </c>
      <c r="BP43" s="68">
        <f t="shared" si="40"/>
        <v>0.89524911398599838</v>
      </c>
      <c r="BQ43" s="68">
        <f t="shared" si="40"/>
        <v>0.95231410398902194</v>
      </c>
      <c r="BR43" s="68">
        <f t="shared" si="40"/>
        <v>1</v>
      </c>
    </row>
    <row r="44" spans="1:70">
      <c r="A44" s="239" t="s">
        <v>130</v>
      </c>
      <c r="B44" s="62">
        <v>20146.349999999995</v>
      </c>
      <c r="C44" s="62">
        <v>19123.260000000013</v>
      </c>
      <c r="D44" s="62">
        <v>11760.289999999995</v>
      </c>
      <c r="E44" s="62">
        <v>14537.730000000001</v>
      </c>
      <c r="F44" s="62">
        <v>15170.34</v>
      </c>
      <c r="G44" s="62">
        <v>10578.36</v>
      </c>
      <c r="H44" s="62">
        <v>7585.5899999999983</v>
      </c>
      <c r="I44" s="62">
        <v>11148.82</v>
      </c>
      <c r="J44" s="62">
        <v>7873.1600000000008</v>
      </c>
      <c r="K44" s="62">
        <v>14688.62</v>
      </c>
      <c r="L44" s="62">
        <v>8879.7100000000009</v>
      </c>
      <c r="M44" s="62">
        <v>18040.849999999999</v>
      </c>
      <c r="N44" s="100">
        <f t="shared" si="0"/>
        <v>159533.07999999999</v>
      </c>
      <c r="P44" s="239" t="s">
        <v>130</v>
      </c>
      <c r="Q44" s="62">
        <v>11857.820000000014</v>
      </c>
      <c r="R44" s="62">
        <v>13319.579999999973</v>
      </c>
      <c r="S44" s="62">
        <v>10272.030000000002</v>
      </c>
      <c r="T44" s="62">
        <v>6360.3700000000026</v>
      </c>
      <c r="U44" s="62">
        <v>12331.340000000004</v>
      </c>
      <c r="V44" s="62">
        <v>16387.570000000003</v>
      </c>
      <c r="W44" s="62">
        <v>9569.3499999999967</v>
      </c>
      <c r="X44" s="62">
        <v>8728.9399999999987</v>
      </c>
      <c r="Y44" s="62">
        <v>5380.5999999999995</v>
      </c>
      <c r="Z44" s="62">
        <v>8641.3099999999977</v>
      </c>
      <c r="AA44" s="62">
        <v>6156.2600000000029</v>
      </c>
      <c r="AB44" s="62">
        <v>5214.6500000000015</v>
      </c>
      <c r="AC44" s="100">
        <f t="shared" si="14"/>
        <v>114219.82</v>
      </c>
      <c r="AE44" s="68">
        <f t="shared" si="28"/>
        <v>0.12628321348776064</v>
      </c>
      <c r="AF44" s="68">
        <f t="shared" si="29"/>
        <v>0.24615339965855365</v>
      </c>
      <c r="AG44" s="68">
        <f t="shared" si="30"/>
        <v>0.31987033660981162</v>
      </c>
      <c r="AH44" s="68">
        <f t="shared" si="31"/>
        <v>0.41099707972791605</v>
      </c>
      <c r="AI44" s="68">
        <f t="shared" si="32"/>
        <v>0.50608920732928875</v>
      </c>
      <c r="AJ44" s="68">
        <f t="shared" si="33"/>
        <v>0.57239746139170644</v>
      </c>
      <c r="AK44" s="68">
        <f t="shared" si="34"/>
        <v>0.61994615787521945</v>
      </c>
      <c r="AL44" s="68">
        <f t="shared" si="35"/>
        <v>0.68983022204548428</v>
      </c>
      <c r="AM44" s="68">
        <f t="shared" si="36"/>
        <v>0.73918149138724087</v>
      </c>
      <c r="AN44" s="68">
        <f t="shared" si="37"/>
        <v>0.83125405715228462</v>
      </c>
      <c r="AO44" s="68">
        <f t="shared" si="38"/>
        <v>0.88691467625397813</v>
      </c>
      <c r="AP44" s="68">
        <f t="shared" si="39"/>
        <v>1</v>
      </c>
      <c r="AQ44" s="92"/>
      <c r="AT44" s="68">
        <f t="shared" si="15"/>
        <v>0.10381578258484397</v>
      </c>
      <c r="AU44" s="68">
        <f t="shared" si="16"/>
        <v>0.22042934404904496</v>
      </c>
      <c r="AV44" s="68">
        <f t="shared" si="17"/>
        <v>0.31036145915831415</v>
      </c>
      <c r="AW44" s="68">
        <f t="shared" si="18"/>
        <v>0.36604680343569085</v>
      </c>
      <c r="AX44" s="68">
        <f t="shared" si="19"/>
        <v>0.47400827632192027</v>
      </c>
      <c r="AY44" s="68">
        <f t="shared" si="20"/>
        <v>0.6174822373209834</v>
      </c>
      <c r="AZ44" s="68">
        <f t="shared" si="21"/>
        <v>0.70126235534253156</v>
      </c>
      <c r="BA44" s="68">
        <f t="shared" si="22"/>
        <v>0.77768464352333944</v>
      </c>
      <c r="BB44" s="68">
        <f t="shared" si="23"/>
        <v>0.8247920544788111</v>
      </c>
      <c r="BC44" s="68">
        <f t="shared" si="24"/>
        <v>0.90044713780848185</v>
      </c>
      <c r="BD44" s="68">
        <f t="shared" si="25"/>
        <v>0.9543454892504647</v>
      </c>
      <c r="BE44" s="68">
        <f t="shared" si="26"/>
        <v>1</v>
      </c>
      <c r="BG44" s="68">
        <f t="shared" si="40"/>
        <v>0.11504949803630231</v>
      </c>
      <c r="BH44" s="68">
        <f t="shared" si="40"/>
        <v>0.23329137185379931</v>
      </c>
      <c r="BI44" s="68">
        <f t="shared" si="40"/>
        <v>0.31511589788406291</v>
      </c>
      <c r="BJ44" s="68">
        <f t="shared" si="40"/>
        <v>0.38852194158180342</v>
      </c>
      <c r="BK44" s="68">
        <f t="shared" si="40"/>
        <v>0.49004874182560454</v>
      </c>
      <c r="BL44" s="68">
        <f t="shared" si="40"/>
        <v>0.59493984935634492</v>
      </c>
      <c r="BM44" s="68">
        <f t="shared" si="40"/>
        <v>0.66060425660887545</v>
      </c>
      <c r="BN44" s="68">
        <f t="shared" si="40"/>
        <v>0.73375743278441186</v>
      </c>
      <c r="BO44" s="68">
        <f t="shared" si="40"/>
        <v>0.78198677293302599</v>
      </c>
      <c r="BP44" s="68">
        <f t="shared" si="40"/>
        <v>0.86585059748038318</v>
      </c>
      <c r="BQ44" s="68">
        <f t="shared" si="40"/>
        <v>0.92063008275222136</v>
      </c>
      <c r="BR44" s="68">
        <f t="shared" si="40"/>
        <v>1</v>
      </c>
    </row>
    <row r="45" spans="1:70">
      <c r="A45" s="239" t="s">
        <v>131</v>
      </c>
      <c r="B45" s="62">
        <v>108611.08999999991</v>
      </c>
      <c r="C45" s="62">
        <v>98396.010000000024</v>
      </c>
      <c r="D45" s="62">
        <v>94533.780000000028</v>
      </c>
      <c r="E45" s="62">
        <v>75547.530000000013</v>
      </c>
      <c r="F45" s="62">
        <v>71810.299999999959</v>
      </c>
      <c r="G45" s="62">
        <v>56989.41</v>
      </c>
      <c r="H45" s="62">
        <v>67810.130000000019</v>
      </c>
      <c r="I45" s="62">
        <v>52367.33</v>
      </c>
      <c r="J45" s="62">
        <v>57151.01</v>
      </c>
      <c r="K45" s="62">
        <v>51507.47</v>
      </c>
      <c r="L45" s="62">
        <v>47992.1</v>
      </c>
      <c r="M45" s="62">
        <v>49971.979999999996</v>
      </c>
      <c r="N45" s="100">
        <f t="shared" si="0"/>
        <v>832688.1399999999</v>
      </c>
      <c r="P45" s="239" t="s">
        <v>131</v>
      </c>
      <c r="Q45" s="62">
        <v>108100.61000000004</v>
      </c>
      <c r="R45" s="62">
        <v>36611.72</v>
      </c>
      <c r="S45" s="62">
        <v>68622.800000000017</v>
      </c>
      <c r="T45" s="62">
        <v>26979.19999999999</v>
      </c>
      <c r="U45" s="62">
        <v>58930.430000000008</v>
      </c>
      <c r="V45" s="62">
        <v>42166.059999999983</v>
      </c>
      <c r="W45" s="62">
        <v>26972.57</v>
      </c>
      <c r="X45" s="62">
        <v>42428.459999999992</v>
      </c>
      <c r="Y45" s="62">
        <v>40372.499999999993</v>
      </c>
      <c r="Z45" s="62">
        <v>44686.71</v>
      </c>
      <c r="AA45" s="62">
        <v>51920.679999999993</v>
      </c>
      <c r="AB45" s="62">
        <v>41865.360000000001</v>
      </c>
      <c r="AC45" s="100">
        <f t="shared" si="14"/>
        <v>589657.10000000009</v>
      </c>
      <c r="AE45" s="68">
        <f t="shared" si="28"/>
        <v>0.13043429440462539</v>
      </c>
      <c r="AF45" s="68">
        <f t="shared" si="29"/>
        <v>0.2486009948454411</v>
      </c>
      <c r="AG45" s="68">
        <f t="shared" si="30"/>
        <v>0.3621294281914475</v>
      </c>
      <c r="AH45" s="68">
        <f t="shared" si="31"/>
        <v>0.45285670815486817</v>
      </c>
      <c r="AI45" s="68">
        <f t="shared" si="32"/>
        <v>0.53909583724826438</v>
      </c>
      <c r="AJ45" s="68">
        <f t="shared" si="33"/>
        <v>0.60753611790363682</v>
      </c>
      <c r="AK45" s="68">
        <f t="shared" si="34"/>
        <v>0.68897132364584901</v>
      </c>
      <c r="AL45" s="68">
        <f t="shared" si="35"/>
        <v>0.75186081069918931</v>
      </c>
      <c r="AM45" s="68">
        <f t="shared" si="36"/>
        <v>0.82049516160996372</v>
      </c>
      <c r="AN45" s="68">
        <f t="shared" si="37"/>
        <v>0.88235201716695522</v>
      </c>
      <c r="AO45" s="68">
        <f t="shared" si="38"/>
        <v>0.93998716013896877</v>
      </c>
      <c r="AP45" s="68">
        <f t="shared" si="39"/>
        <v>1</v>
      </c>
      <c r="AQ45" s="92"/>
      <c r="AT45" s="68">
        <f t="shared" si="15"/>
        <v>0.18332792058299649</v>
      </c>
      <c r="AU45" s="68">
        <f t="shared" si="16"/>
        <v>0.24541776907290699</v>
      </c>
      <c r="AV45" s="68">
        <f t="shared" si="17"/>
        <v>0.36179523658750151</v>
      </c>
      <c r="AW45" s="68">
        <f t="shared" si="18"/>
        <v>0.40754928584765621</v>
      </c>
      <c r="AX45" s="68">
        <f t="shared" si="19"/>
        <v>0.50748945446429805</v>
      </c>
      <c r="AY45" s="68">
        <f t="shared" si="20"/>
        <v>0.57899891309712037</v>
      </c>
      <c r="AZ45" s="68">
        <f t="shared" si="21"/>
        <v>0.6247417185343821</v>
      </c>
      <c r="BA45" s="68">
        <f t="shared" si="22"/>
        <v>0.69669618156043578</v>
      </c>
      <c r="BB45" s="68">
        <f t="shared" si="23"/>
        <v>0.76516394019507272</v>
      </c>
      <c r="BC45" s="68">
        <f t="shared" si="24"/>
        <v>0.84094817140334621</v>
      </c>
      <c r="BD45" s="68">
        <f t="shared" si="25"/>
        <v>0.92900049876445145</v>
      </c>
      <c r="BE45" s="68">
        <f t="shared" si="26"/>
        <v>1</v>
      </c>
      <c r="BG45" s="68">
        <f t="shared" si="40"/>
        <v>0.15688110749381096</v>
      </c>
      <c r="BH45" s="68">
        <f t="shared" si="40"/>
        <v>0.24700938195917405</v>
      </c>
      <c r="BI45" s="68">
        <f t="shared" si="40"/>
        <v>0.36196233238947451</v>
      </c>
      <c r="BJ45" s="68">
        <f t="shared" si="40"/>
        <v>0.43020299700126219</v>
      </c>
      <c r="BK45" s="68">
        <f t="shared" si="40"/>
        <v>0.52329264585628121</v>
      </c>
      <c r="BL45" s="68">
        <f t="shared" si="40"/>
        <v>0.59326751550037859</v>
      </c>
      <c r="BM45" s="68">
        <f t="shared" si="40"/>
        <v>0.65685652109011561</v>
      </c>
      <c r="BN45" s="68">
        <f t="shared" si="40"/>
        <v>0.72427849612981254</v>
      </c>
      <c r="BO45" s="68">
        <f t="shared" si="40"/>
        <v>0.79282955090251828</v>
      </c>
      <c r="BP45" s="68">
        <f t="shared" si="40"/>
        <v>0.86165009428515071</v>
      </c>
      <c r="BQ45" s="68">
        <f t="shared" si="40"/>
        <v>0.93449382945171011</v>
      </c>
      <c r="BR45" s="68">
        <f t="shared" si="40"/>
        <v>1</v>
      </c>
    </row>
    <row r="46" spans="1:70">
      <c r="A46" s="239" t="s">
        <v>132</v>
      </c>
      <c r="B46" s="62">
        <v>26668.609999999993</v>
      </c>
      <c r="C46" s="62">
        <v>16535.179999999997</v>
      </c>
      <c r="D46" s="62">
        <v>15833.9</v>
      </c>
      <c r="E46" s="62">
        <v>13976.920000000002</v>
      </c>
      <c r="F46" s="62">
        <v>11575.350000000002</v>
      </c>
      <c r="G46" s="62">
        <v>8868.369999999999</v>
      </c>
      <c r="H46" s="62">
        <v>12416.999999999998</v>
      </c>
      <c r="I46" s="62">
        <v>8080.32</v>
      </c>
      <c r="J46" s="62">
        <v>12346.730000000001</v>
      </c>
      <c r="K46" s="62">
        <v>10964.800000000001</v>
      </c>
      <c r="L46" s="62">
        <v>12702.57</v>
      </c>
      <c r="M46" s="62">
        <v>8815.5400000000009</v>
      </c>
      <c r="N46" s="100">
        <f t="shared" si="0"/>
        <v>158785.29</v>
      </c>
      <c r="P46" s="239" t="s">
        <v>132</v>
      </c>
      <c r="Q46" s="62">
        <v>15261.400000000001</v>
      </c>
      <c r="R46" s="62">
        <v>17601.090000000004</v>
      </c>
      <c r="S46" s="62">
        <v>12659.02</v>
      </c>
      <c r="T46" s="62">
        <v>7318.7500000000036</v>
      </c>
      <c r="U46" s="62">
        <v>13606.190000000002</v>
      </c>
      <c r="V46" s="62">
        <v>13434</v>
      </c>
      <c r="W46" s="62">
        <v>10168.86</v>
      </c>
      <c r="X46" s="62">
        <v>7555.1799999999994</v>
      </c>
      <c r="Y46" s="62">
        <v>11617.939999999999</v>
      </c>
      <c r="Z46" s="62">
        <v>10181.900000000001</v>
      </c>
      <c r="AA46" s="62">
        <v>10219.829999999998</v>
      </c>
      <c r="AB46" s="62">
        <v>5296.9799999999987</v>
      </c>
      <c r="AC46" s="100">
        <f t="shared" si="14"/>
        <v>134921.14000000001</v>
      </c>
      <c r="AE46" s="68">
        <f t="shared" si="28"/>
        <v>0.1679539080729707</v>
      </c>
      <c r="AF46" s="68">
        <f t="shared" si="29"/>
        <v>0.272089373014339</v>
      </c>
      <c r="AG46" s="68">
        <f t="shared" si="30"/>
        <v>0.37180830793582953</v>
      </c>
      <c r="AH46" s="68">
        <f t="shared" si="31"/>
        <v>0.45983233081603464</v>
      </c>
      <c r="AI46" s="68">
        <f t="shared" si="32"/>
        <v>0.53273171589131463</v>
      </c>
      <c r="AJ46" s="68">
        <f t="shared" si="33"/>
        <v>0.58858304821561236</v>
      </c>
      <c r="AK46" s="68">
        <f t="shared" si="34"/>
        <v>0.6667829872653821</v>
      </c>
      <c r="AL46" s="68">
        <f t="shared" si="35"/>
        <v>0.71767132837053094</v>
      </c>
      <c r="AM46" s="68">
        <f t="shared" si="36"/>
        <v>0.79542872012892363</v>
      </c>
      <c r="AN46" s="68">
        <f t="shared" si="37"/>
        <v>0.86448297572149146</v>
      </c>
      <c r="AO46" s="68">
        <f t="shared" si="38"/>
        <v>0.9444813811153413</v>
      </c>
      <c r="AP46" s="68">
        <f t="shared" si="39"/>
        <v>1</v>
      </c>
      <c r="AQ46" s="92"/>
      <c r="AT46" s="68">
        <f t="shared" si="15"/>
        <v>0.11311348243870456</v>
      </c>
      <c r="AU46" s="68">
        <f t="shared" si="16"/>
        <v>0.2435681317249469</v>
      </c>
      <c r="AV46" s="68">
        <f t="shared" si="17"/>
        <v>0.33739345813413674</v>
      </c>
      <c r="AW46" s="68">
        <f t="shared" si="18"/>
        <v>0.391638108008871</v>
      </c>
      <c r="AX46" s="68">
        <f t="shared" si="19"/>
        <v>0.49248360931430024</v>
      </c>
      <c r="AY46" s="68">
        <f t="shared" si="20"/>
        <v>0.59205288363261688</v>
      </c>
      <c r="AZ46" s="68">
        <f t="shared" si="21"/>
        <v>0.66742179913392374</v>
      </c>
      <c r="BA46" s="68">
        <f t="shared" si="22"/>
        <v>0.72341880597806985</v>
      </c>
      <c r="BB46" s="68">
        <f t="shared" si="23"/>
        <v>0.8095279212731229</v>
      </c>
      <c r="BC46" s="68">
        <f t="shared" si="24"/>
        <v>0.88499348582438608</v>
      </c>
      <c r="BD46" s="68">
        <f t="shared" si="25"/>
        <v>0.96074017755853536</v>
      </c>
      <c r="BE46" s="68">
        <f t="shared" si="26"/>
        <v>1</v>
      </c>
      <c r="BG46" s="68">
        <f t="shared" si="40"/>
        <v>0.14053369525583764</v>
      </c>
      <c r="BH46" s="68">
        <f t="shared" si="40"/>
        <v>0.25782875236964298</v>
      </c>
      <c r="BI46" s="68">
        <f t="shared" si="40"/>
        <v>0.35460088303498316</v>
      </c>
      <c r="BJ46" s="68">
        <f t="shared" si="40"/>
        <v>0.42573521941245285</v>
      </c>
      <c r="BK46" s="68">
        <f t="shared" si="40"/>
        <v>0.51260766260280743</v>
      </c>
      <c r="BL46" s="68">
        <f t="shared" si="40"/>
        <v>0.59031796592411467</v>
      </c>
      <c r="BM46" s="68">
        <f t="shared" si="40"/>
        <v>0.66710239319965292</v>
      </c>
      <c r="BN46" s="68">
        <f t="shared" si="40"/>
        <v>0.72054506717430034</v>
      </c>
      <c r="BO46" s="68">
        <f t="shared" si="40"/>
        <v>0.80247832070102332</v>
      </c>
      <c r="BP46" s="68">
        <f t="shared" si="40"/>
        <v>0.87473823077293877</v>
      </c>
      <c r="BQ46" s="68">
        <f t="shared" si="40"/>
        <v>0.95261077933693827</v>
      </c>
      <c r="BR46" s="68">
        <f t="shared" si="40"/>
        <v>1</v>
      </c>
    </row>
    <row r="47" spans="1:70">
      <c r="A47" s="239" t="s">
        <v>133</v>
      </c>
      <c r="B47" s="62">
        <v>14492.239999999994</v>
      </c>
      <c r="C47" s="62">
        <v>13292.862000000001</v>
      </c>
      <c r="D47" s="62">
        <v>13873.439999999999</v>
      </c>
      <c r="E47" s="62">
        <v>10454.889999999996</v>
      </c>
      <c r="F47" s="62">
        <v>9466.7300000000014</v>
      </c>
      <c r="G47" s="62">
        <v>13693.6</v>
      </c>
      <c r="H47" s="62">
        <v>6962.170000000001</v>
      </c>
      <c r="I47" s="62">
        <v>6931.4999999999991</v>
      </c>
      <c r="J47" s="62">
        <v>6994.7199999999993</v>
      </c>
      <c r="K47" s="62">
        <v>6899.579999999999</v>
      </c>
      <c r="L47" s="62">
        <v>6631.6500000000005</v>
      </c>
      <c r="M47" s="62">
        <v>10645.480000000001</v>
      </c>
      <c r="N47" s="100">
        <f t="shared" si="0"/>
        <v>120338.86199999998</v>
      </c>
      <c r="P47" s="239" t="s">
        <v>133</v>
      </c>
      <c r="Q47" s="62">
        <v>13176.400000000009</v>
      </c>
      <c r="R47" s="62">
        <v>11442.840000000002</v>
      </c>
      <c r="S47" s="62">
        <v>5003.8100000000049</v>
      </c>
      <c r="T47" s="62">
        <v>9821.2200000000012</v>
      </c>
      <c r="U47" s="62">
        <v>7193.8600000000006</v>
      </c>
      <c r="V47" s="62">
        <v>8181</v>
      </c>
      <c r="W47" s="62">
        <v>5086.0899999999983</v>
      </c>
      <c r="X47" s="62">
        <v>6929.9499999999989</v>
      </c>
      <c r="Y47" s="62">
        <v>8316.3399999999983</v>
      </c>
      <c r="Z47" s="62">
        <v>6342.32</v>
      </c>
      <c r="AA47" s="62">
        <v>5403.7</v>
      </c>
      <c r="AB47" s="62">
        <v>5343.8399999999983</v>
      </c>
      <c r="AC47" s="100">
        <f t="shared" si="14"/>
        <v>92241.37000000001</v>
      </c>
      <c r="AE47" s="68">
        <f t="shared" si="28"/>
        <v>0.12042859438042548</v>
      </c>
      <c r="AF47" s="68">
        <f t="shared" si="29"/>
        <v>0.23089051648169981</v>
      </c>
      <c r="AG47" s="68">
        <f t="shared" si="30"/>
        <v>0.34617696484449056</v>
      </c>
      <c r="AH47" s="68">
        <f t="shared" si="31"/>
        <v>0.4330557156174536</v>
      </c>
      <c r="AI47" s="68">
        <f t="shared" si="32"/>
        <v>0.51172298770782787</v>
      </c>
      <c r="AJ47" s="68">
        <f t="shared" si="33"/>
        <v>0.6255149894969092</v>
      </c>
      <c r="AK47" s="68">
        <f t="shared" si="34"/>
        <v>0.68336969980653461</v>
      </c>
      <c r="AL47" s="68">
        <f t="shared" si="35"/>
        <v>0.74096954647950719</v>
      </c>
      <c r="AM47" s="68">
        <f t="shared" si="36"/>
        <v>0.7990947429767119</v>
      </c>
      <c r="AN47" s="68">
        <f t="shared" si="37"/>
        <v>0.85642933867863902</v>
      </c>
      <c r="AO47" s="68">
        <f t="shared" si="38"/>
        <v>0.91153747157755238</v>
      </c>
      <c r="AP47" s="68">
        <f t="shared" si="39"/>
        <v>1</v>
      </c>
      <c r="AQ47" s="92"/>
      <c r="AT47" s="68">
        <f t="shared" si="15"/>
        <v>0.14284696768922672</v>
      </c>
      <c r="AU47" s="68">
        <f t="shared" si="16"/>
        <v>0.26690019890207628</v>
      </c>
      <c r="AV47" s="68">
        <f t="shared" si="17"/>
        <v>0.32114711652699884</v>
      </c>
      <c r="AW47" s="68">
        <f t="shared" si="18"/>
        <v>0.42762016652614782</v>
      </c>
      <c r="AX47" s="68">
        <f t="shared" si="19"/>
        <v>0.50560968467836087</v>
      </c>
      <c r="AY47" s="68">
        <f t="shared" si="20"/>
        <v>0.59430090858364326</v>
      </c>
      <c r="AZ47" s="68">
        <f t="shared" si="21"/>
        <v>0.64943983377523562</v>
      </c>
      <c r="BA47" s="68">
        <f t="shared" si="22"/>
        <v>0.72456827126483492</v>
      </c>
      <c r="BB47" s="68">
        <f t="shared" si="23"/>
        <v>0.81472673270138984</v>
      </c>
      <c r="BC47" s="68">
        <f t="shared" si="24"/>
        <v>0.88348460132367945</v>
      </c>
      <c r="BD47" s="68">
        <f t="shared" si="25"/>
        <v>0.94206677546094564</v>
      </c>
      <c r="BE47" s="68">
        <f t="shared" si="26"/>
        <v>1</v>
      </c>
      <c r="BG47" s="68">
        <f t="shared" si="40"/>
        <v>0.1316377810348261</v>
      </c>
      <c r="BH47" s="68">
        <f t="shared" si="40"/>
        <v>0.24889535769188803</v>
      </c>
      <c r="BI47" s="68">
        <f t="shared" si="40"/>
        <v>0.33366204068574468</v>
      </c>
      <c r="BJ47" s="68">
        <f t="shared" si="40"/>
        <v>0.43033794107180068</v>
      </c>
      <c r="BK47" s="68">
        <f t="shared" si="40"/>
        <v>0.50866633619309432</v>
      </c>
      <c r="BL47" s="68">
        <f t="shared" si="40"/>
        <v>0.60990794904027623</v>
      </c>
      <c r="BM47" s="68">
        <f t="shared" si="40"/>
        <v>0.66640476679088512</v>
      </c>
      <c r="BN47" s="68">
        <f t="shared" si="40"/>
        <v>0.73276890887217105</v>
      </c>
      <c r="BO47" s="68">
        <f t="shared" si="40"/>
        <v>0.80691073783905087</v>
      </c>
      <c r="BP47" s="68">
        <f t="shared" si="40"/>
        <v>0.86995697000115924</v>
      </c>
      <c r="BQ47" s="68">
        <f t="shared" si="40"/>
        <v>0.92680212351924895</v>
      </c>
      <c r="BR47" s="68">
        <f t="shared" si="40"/>
        <v>1</v>
      </c>
    </row>
    <row r="48" spans="1:70">
      <c r="A48" s="239" t="s">
        <v>134</v>
      </c>
      <c r="B48" s="62">
        <v>74724.999999999971</v>
      </c>
      <c r="C48" s="62">
        <v>50924.489999999932</v>
      </c>
      <c r="D48" s="62">
        <v>45592.840000000004</v>
      </c>
      <c r="E48" s="62">
        <v>47495.500000000007</v>
      </c>
      <c r="F48" s="62">
        <v>32970.479999999981</v>
      </c>
      <c r="G48" s="62">
        <v>29664.559999999998</v>
      </c>
      <c r="H48" s="62">
        <v>26892.780000000002</v>
      </c>
      <c r="I48" s="62">
        <v>20969.179999999997</v>
      </c>
      <c r="J48" s="62">
        <v>21755.8</v>
      </c>
      <c r="K48" s="62">
        <v>25553.85</v>
      </c>
      <c r="L48" s="62">
        <v>23219.37</v>
      </c>
      <c r="M48" s="62">
        <v>20533.810000000001</v>
      </c>
      <c r="N48" s="100">
        <f t="shared" si="0"/>
        <v>420297.65999999986</v>
      </c>
      <c r="P48" s="239" t="s">
        <v>134</v>
      </c>
      <c r="Q48" s="62">
        <v>52161.499999999971</v>
      </c>
      <c r="R48" s="62">
        <v>50273.929999999935</v>
      </c>
      <c r="S48" s="62">
        <v>32212.549999999988</v>
      </c>
      <c r="T48" s="62">
        <v>25480.239999999976</v>
      </c>
      <c r="U48" s="62">
        <v>30629.639999999941</v>
      </c>
      <c r="V48" s="62">
        <v>27225.17</v>
      </c>
      <c r="W48" s="62">
        <v>22013.329999999998</v>
      </c>
      <c r="X48" s="62">
        <v>30118.850000000006</v>
      </c>
      <c r="Y48" s="62">
        <v>34173.56</v>
      </c>
      <c r="Z48" s="62">
        <v>20601.669999999991</v>
      </c>
      <c r="AA48" s="62">
        <v>27980.340000000011</v>
      </c>
      <c r="AB48" s="62">
        <v>26421.250000000004</v>
      </c>
      <c r="AC48" s="100">
        <f t="shared" si="14"/>
        <v>379292.0299999998</v>
      </c>
      <c r="AE48" s="68">
        <f t="shared" si="28"/>
        <v>0.17779066388330594</v>
      </c>
      <c r="AF48" s="68">
        <f t="shared" si="29"/>
        <v>0.2989535797082476</v>
      </c>
      <c r="AG48" s="68">
        <f t="shared" si="30"/>
        <v>0.40743108110570958</v>
      </c>
      <c r="AH48" s="68">
        <f t="shared" si="31"/>
        <v>0.52043551705712554</v>
      </c>
      <c r="AI48" s="68">
        <f t="shared" si="32"/>
        <v>0.59888106443419165</v>
      </c>
      <c r="AJ48" s="68">
        <f t="shared" si="33"/>
        <v>0.66946094822417035</v>
      </c>
      <c r="AK48" s="68">
        <f t="shared" si="34"/>
        <v>0.73344602965431693</v>
      </c>
      <c r="AL48" s="68">
        <f t="shared" si="35"/>
        <v>0.78333729005295916</v>
      </c>
      <c r="AM48" s="68">
        <f t="shared" si="36"/>
        <v>0.83510012879919437</v>
      </c>
      <c r="AN48" s="68">
        <f t="shared" si="37"/>
        <v>0.89589953938834677</v>
      </c>
      <c r="AO48" s="68">
        <f t="shared" si="38"/>
        <v>0.95114460070988738</v>
      </c>
      <c r="AP48" s="68">
        <f t="shared" si="39"/>
        <v>1</v>
      </c>
      <c r="AQ48" s="92"/>
      <c r="AT48" s="68">
        <f t="shared" si="15"/>
        <v>0.13752332206927734</v>
      </c>
      <c r="AU48" s="68">
        <f t="shared" si="16"/>
        <v>0.27007008293846818</v>
      </c>
      <c r="AV48" s="68">
        <f t="shared" si="17"/>
        <v>0.35499817910753351</v>
      </c>
      <c r="AW48" s="68">
        <f t="shared" si="18"/>
        <v>0.42217660096891552</v>
      </c>
      <c r="AX48" s="68">
        <f t="shared" si="19"/>
        <v>0.50293136926710513</v>
      </c>
      <c r="AY48" s="68">
        <f t="shared" si="20"/>
        <v>0.57471028326115869</v>
      </c>
      <c r="AZ48" s="68">
        <f t="shared" si="21"/>
        <v>0.63274822832422795</v>
      </c>
      <c r="BA48" s="68">
        <f t="shared" si="22"/>
        <v>0.71215630341613012</v>
      </c>
      <c r="BB48" s="68">
        <f t="shared" si="23"/>
        <v>0.80225458467977817</v>
      </c>
      <c r="BC48" s="68">
        <f t="shared" si="24"/>
        <v>0.85657070094512644</v>
      </c>
      <c r="BD48" s="68">
        <f t="shared" si="25"/>
        <v>0.93034061380092792</v>
      </c>
      <c r="BE48" s="68">
        <f t="shared" si="26"/>
        <v>1</v>
      </c>
      <c r="BG48" s="68">
        <f t="shared" si="40"/>
        <v>0.15765699297629165</v>
      </c>
      <c r="BH48" s="68">
        <f t="shared" si="40"/>
        <v>0.28451183132335789</v>
      </c>
      <c r="BI48" s="68">
        <f t="shared" si="40"/>
        <v>0.38121463010662154</v>
      </c>
      <c r="BJ48" s="68">
        <f t="shared" si="40"/>
        <v>0.47130605901302053</v>
      </c>
      <c r="BK48" s="68">
        <f t="shared" si="40"/>
        <v>0.55090621685064844</v>
      </c>
      <c r="BL48" s="68">
        <f t="shared" si="40"/>
        <v>0.62208561574266452</v>
      </c>
      <c r="BM48" s="68">
        <f t="shared" si="40"/>
        <v>0.68309712898927244</v>
      </c>
      <c r="BN48" s="68">
        <f t="shared" si="40"/>
        <v>0.74774679673454458</v>
      </c>
      <c r="BO48" s="68">
        <f t="shared" si="40"/>
        <v>0.81867735673948627</v>
      </c>
      <c r="BP48" s="68">
        <f t="shared" si="40"/>
        <v>0.87623512016673666</v>
      </c>
      <c r="BQ48" s="68">
        <f t="shared" si="40"/>
        <v>0.9407426072554077</v>
      </c>
      <c r="BR48" s="68">
        <f t="shared" si="40"/>
        <v>1</v>
      </c>
    </row>
    <row r="49" spans="1:70">
      <c r="A49" s="239" t="s">
        <v>135</v>
      </c>
      <c r="B49" s="62">
        <v>32427.249999999985</v>
      </c>
      <c r="C49" s="62">
        <v>24175.389999999992</v>
      </c>
      <c r="D49" s="62">
        <v>22067.489999999998</v>
      </c>
      <c r="E49" s="62">
        <v>17947.819999999985</v>
      </c>
      <c r="F49" s="62">
        <v>12517.720000000008</v>
      </c>
      <c r="G49" s="62">
        <v>11188.13</v>
      </c>
      <c r="H49" s="62">
        <v>12289.580000000004</v>
      </c>
      <c r="I49" s="62">
        <v>8991.35</v>
      </c>
      <c r="J49" s="62">
        <v>6177.74</v>
      </c>
      <c r="K49" s="62">
        <v>6827.23</v>
      </c>
      <c r="L49" s="62">
        <v>5880.18</v>
      </c>
      <c r="M49" s="62">
        <v>6923.59</v>
      </c>
      <c r="N49" s="100">
        <f t="shared" si="0"/>
        <v>167413.46999999997</v>
      </c>
      <c r="P49" s="239" t="s">
        <v>135</v>
      </c>
      <c r="Q49" s="62">
        <v>27849.5</v>
      </c>
      <c r="R49" s="62">
        <v>23140.049999999996</v>
      </c>
      <c r="S49" s="62">
        <v>19167.209999999995</v>
      </c>
      <c r="T49" s="62">
        <v>12610.919999999995</v>
      </c>
      <c r="U49" s="62">
        <v>13712.269999999997</v>
      </c>
      <c r="V49" s="62">
        <v>13680.359999999993</v>
      </c>
      <c r="W49" s="62">
        <v>12841.430000000002</v>
      </c>
      <c r="X49" s="62">
        <v>10256.329999999996</v>
      </c>
      <c r="Y49" s="62">
        <v>7413.1699999999983</v>
      </c>
      <c r="Z49" s="62">
        <v>4768.0600000000004</v>
      </c>
      <c r="AA49" s="62">
        <v>6392.5700000000052</v>
      </c>
      <c r="AB49" s="62">
        <v>8211.2000000000007</v>
      </c>
      <c r="AC49" s="100">
        <f t="shared" si="14"/>
        <v>160043.07</v>
      </c>
      <c r="AE49" s="68">
        <f t="shared" si="28"/>
        <v>0.19369558494904854</v>
      </c>
      <c r="AF49" s="68">
        <f t="shared" si="29"/>
        <v>0.33810087085585161</v>
      </c>
      <c r="AG49" s="68">
        <f t="shared" si="30"/>
        <v>0.46991517468695909</v>
      </c>
      <c r="AH49" s="68">
        <f t="shared" si="31"/>
        <v>0.5771217214481007</v>
      </c>
      <c r="AI49" s="68">
        <f t="shared" si="32"/>
        <v>0.65189300478629331</v>
      </c>
      <c r="AJ49" s="68">
        <f t="shared" si="33"/>
        <v>0.71872233458872803</v>
      </c>
      <c r="AK49" s="68">
        <f t="shared" si="34"/>
        <v>0.7921308840919431</v>
      </c>
      <c r="AL49" s="68">
        <f t="shared" si="35"/>
        <v>0.84583833069107284</v>
      </c>
      <c r="AM49" s="68">
        <f t="shared" si="36"/>
        <v>0.88273942353623036</v>
      </c>
      <c r="AN49" s="68">
        <f t="shared" si="37"/>
        <v>0.92352007278745263</v>
      </c>
      <c r="AO49" s="68">
        <f t="shared" si="38"/>
        <v>0.95864376982330035</v>
      </c>
      <c r="AP49" s="68">
        <f t="shared" si="39"/>
        <v>1</v>
      </c>
      <c r="AQ49" s="92"/>
      <c r="AT49" s="68">
        <f t="shared" si="15"/>
        <v>0.1740125330012727</v>
      </c>
      <c r="AU49" s="68">
        <f t="shared" si="16"/>
        <v>0.31859892465197021</v>
      </c>
      <c r="AV49" s="68">
        <f t="shared" si="17"/>
        <v>0.43836174849682646</v>
      </c>
      <c r="AW49" s="68">
        <f t="shared" si="18"/>
        <v>0.5171587873189385</v>
      </c>
      <c r="AX49" s="68">
        <f t="shared" si="19"/>
        <v>0.60283741120437129</v>
      </c>
      <c r="AY49" s="68">
        <f t="shared" si="20"/>
        <v>0.68831665126143837</v>
      </c>
      <c r="AZ49" s="68">
        <f t="shared" si="21"/>
        <v>0.76855398987285095</v>
      </c>
      <c r="BA49" s="68">
        <f t="shared" si="22"/>
        <v>0.83263880154260961</v>
      </c>
      <c r="BB49" s="68">
        <f t="shared" si="23"/>
        <v>0.87895864531966295</v>
      </c>
      <c r="BC49" s="68">
        <f t="shared" si="24"/>
        <v>0.90875100059002856</v>
      </c>
      <c r="BD49" s="68">
        <f t="shared" si="25"/>
        <v>0.94869381098475547</v>
      </c>
      <c r="BE49" s="68">
        <f t="shared" si="26"/>
        <v>1</v>
      </c>
      <c r="BG49" s="68">
        <f t="shared" si="40"/>
        <v>0.18385405897516061</v>
      </c>
      <c r="BH49" s="68">
        <f t="shared" si="40"/>
        <v>0.32834989775391088</v>
      </c>
      <c r="BI49" s="68">
        <f t="shared" si="40"/>
        <v>0.45413846159189275</v>
      </c>
      <c r="BJ49" s="68">
        <f t="shared" si="40"/>
        <v>0.54714025438351954</v>
      </c>
      <c r="BK49" s="68">
        <f t="shared" si="40"/>
        <v>0.62736520799533224</v>
      </c>
      <c r="BL49" s="68">
        <f t="shared" si="40"/>
        <v>0.7035194929250832</v>
      </c>
      <c r="BM49" s="68">
        <f t="shared" si="40"/>
        <v>0.78034243698239703</v>
      </c>
      <c r="BN49" s="68">
        <f t="shared" si="40"/>
        <v>0.83923856611684122</v>
      </c>
      <c r="BO49" s="68">
        <f t="shared" si="40"/>
        <v>0.88084903442794671</v>
      </c>
      <c r="BP49" s="68">
        <f t="shared" si="40"/>
        <v>0.91613553668874059</v>
      </c>
      <c r="BQ49" s="68">
        <f t="shared" si="40"/>
        <v>0.95366879040402797</v>
      </c>
      <c r="BR49" s="68">
        <f t="shared" si="40"/>
        <v>1</v>
      </c>
    </row>
    <row r="50" spans="1:70">
      <c r="A50" s="239" t="s">
        <v>136</v>
      </c>
      <c r="B50" s="62">
        <v>4984.949999999998</v>
      </c>
      <c r="C50" s="62">
        <v>3437.9300000000012</v>
      </c>
      <c r="D50" s="62">
        <v>4239.0700000000052</v>
      </c>
      <c r="E50" s="62">
        <v>2868.9400000000023</v>
      </c>
      <c r="F50" s="62">
        <v>2767.6099999999988</v>
      </c>
      <c r="G50" s="62">
        <v>2215.44</v>
      </c>
      <c r="H50" s="62">
        <v>1470.2700000000004</v>
      </c>
      <c r="I50" s="62">
        <v>1832.5</v>
      </c>
      <c r="J50" s="62">
        <v>1512.21</v>
      </c>
      <c r="K50" s="62">
        <v>700.04</v>
      </c>
      <c r="L50" s="62">
        <v>1876.72</v>
      </c>
      <c r="M50" s="62">
        <v>1599.13</v>
      </c>
      <c r="N50" s="100">
        <f t="shared" si="0"/>
        <v>29504.810000000009</v>
      </c>
      <c r="P50" s="239" t="s">
        <v>136</v>
      </c>
      <c r="Q50" s="62">
        <v>5514.0600000000013</v>
      </c>
      <c r="R50" s="62">
        <v>4000.5599999999959</v>
      </c>
      <c r="S50" s="62">
        <v>3392.7299999999959</v>
      </c>
      <c r="T50" s="62">
        <v>2402.849999999999</v>
      </c>
      <c r="U50" s="62">
        <v>4087.63</v>
      </c>
      <c r="V50" s="62">
        <v>2625.9399999999978</v>
      </c>
      <c r="W50" s="62">
        <v>2475.2800000000007</v>
      </c>
      <c r="X50" s="62">
        <v>2511.41</v>
      </c>
      <c r="Y50" s="62">
        <v>1105.8300000000004</v>
      </c>
      <c r="Z50" s="62">
        <v>1203.4400000000005</v>
      </c>
      <c r="AA50" s="62">
        <v>2306.13</v>
      </c>
      <c r="AB50" s="62">
        <v>1176.1399999999999</v>
      </c>
      <c r="AC50" s="100">
        <f t="shared" si="14"/>
        <v>32801.999999999993</v>
      </c>
      <c r="AE50" s="68">
        <f t="shared" si="28"/>
        <v>0.16895380787064876</v>
      </c>
      <c r="AF50" s="68">
        <f t="shared" si="29"/>
        <v>0.28547480902266431</v>
      </c>
      <c r="AG50" s="68">
        <f t="shared" si="30"/>
        <v>0.42914867101330262</v>
      </c>
      <c r="AH50" s="68">
        <f t="shared" si="31"/>
        <v>0.52638501993403797</v>
      </c>
      <c r="AI50" s="68">
        <f t="shared" si="32"/>
        <v>0.62018701357507477</v>
      </c>
      <c r="AJ50" s="68">
        <f t="shared" si="33"/>
        <v>0.69527443152489377</v>
      </c>
      <c r="AK50" s="68">
        <f t="shared" si="34"/>
        <v>0.74510596746767732</v>
      </c>
      <c r="AL50" s="68">
        <f t="shared" si="35"/>
        <v>0.80721448468910662</v>
      </c>
      <c r="AM50" s="68">
        <f t="shared" si="36"/>
        <v>0.85846748377637405</v>
      </c>
      <c r="AN50" s="68">
        <f t="shared" si="37"/>
        <v>0.88219378467443099</v>
      </c>
      <c r="AO50" s="68">
        <f t="shared" si="38"/>
        <v>0.94580104057609593</v>
      </c>
      <c r="AP50" s="68">
        <f t="shared" si="39"/>
        <v>1</v>
      </c>
      <c r="AQ50" s="92"/>
      <c r="AT50" s="68">
        <f t="shared" si="15"/>
        <v>0.16810133528443397</v>
      </c>
      <c r="AU50" s="68">
        <f t="shared" si="16"/>
        <v>0.29006219132979694</v>
      </c>
      <c r="AV50" s="68">
        <f t="shared" si="17"/>
        <v>0.39349277483080286</v>
      </c>
      <c r="AW50" s="68">
        <f t="shared" si="18"/>
        <v>0.46674593012621168</v>
      </c>
      <c r="AX50" s="68">
        <f t="shared" si="19"/>
        <v>0.5913611974879579</v>
      </c>
      <c r="AY50" s="68">
        <f t="shared" si="20"/>
        <v>0.67141546247180028</v>
      </c>
      <c r="AZ50" s="68">
        <f t="shared" si="21"/>
        <v>0.74687671483446116</v>
      </c>
      <c r="BA50" s="68">
        <f t="shared" si="22"/>
        <v>0.82343942442533979</v>
      </c>
      <c r="BB50" s="68">
        <f t="shared" si="23"/>
        <v>0.85715169806719094</v>
      </c>
      <c r="BC50" s="68">
        <f t="shared" si="24"/>
        <v>0.89383970489604281</v>
      </c>
      <c r="BD50" s="68">
        <f t="shared" si="25"/>
        <v>0.96414425949637206</v>
      </c>
      <c r="BE50" s="68">
        <f t="shared" si="26"/>
        <v>1</v>
      </c>
      <c r="BG50" s="68">
        <f t="shared" si="40"/>
        <v>0.16852757157754136</v>
      </c>
      <c r="BH50" s="68">
        <f t="shared" si="40"/>
        <v>0.28776850017623062</v>
      </c>
      <c r="BI50" s="68">
        <f t="shared" si="40"/>
        <v>0.41132072292205274</v>
      </c>
      <c r="BJ50" s="68">
        <f t="shared" si="40"/>
        <v>0.49656547503012483</v>
      </c>
      <c r="BK50" s="68">
        <f t="shared" si="40"/>
        <v>0.60577410553151634</v>
      </c>
      <c r="BL50" s="68">
        <f t="shared" si="40"/>
        <v>0.68334494699834702</v>
      </c>
      <c r="BM50" s="68">
        <f t="shared" si="40"/>
        <v>0.74599134115106924</v>
      </c>
      <c r="BN50" s="68">
        <f t="shared" si="40"/>
        <v>0.81532695455722326</v>
      </c>
      <c r="BO50" s="68">
        <f t="shared" si="40"/>
        <v>0.85780959092178244</v>
      </c>
      <c r="BP50" s="68">
        <f t="shared" si="40"/>
        <v>0.88801674478523696</v>
      </c>
      <c r="BQ50" s="68">
        <f t="shared" si="40"/>
        <v>0.95497265003623399</v>
      </c>
      <c r="BR50" s="68">
        <f t="shared" si="40"/>
        <v>1</v>
      </c>
    </row>
    <row r="51" spans="1:70">
      <c r="A51" s="239" t="s">
        <v>137</v>
      </c>
      <c r="B51" s="62">
        <v>148522.44999999984</v>
      </c>
      <c r="C51" s="62">
        <v>97981.489999999845</v>
      </c>
      <c r="D51" s="62">
        <v>76436.03</v>
      </c>
      <c r="E51" s="62">
        <v>73876.430000000037</v>
      </c>
      <c r="F51" s="62">
        <v>60915.569999999978</v>
      </c>
      <c r="G51" s="62">
        <v>50594.34</v>
      </c>
      <c r="H51" s="62">
        <v>49130.720000000008</v>
      </c>
      <c r="I51" s="62">
        <v>69567.31</v>
      </c>
      <c r="J51" s="62">
        <v>55135.86</v>
      </c>
      <c r="K51" s="62">
        <v>63287.9</v>
      </c>
      <c r="L51" s="62">
        <v>42075.880000000005</v>
      </c>
      <c r="M51" s="62">
        <v>66240.36</v>
      </c>
      <c r="N51" s="100">
        <f t="shared" si="0"/>
        <v>853764.33999999962</v>
      </c>
      <c r="P51" s="239" t="s">
        <v>137</v>
      </c>
      <c r="Q51" s="62">
        <v>94501.419999999838</v>
      </c>
      <c r="R51" s="62">
        <v>93141.419999999896</v>
      </c>
      <c r="S51" s="62">
        <v>61065.380000000019</v>
      </c>
      <c r="T51" s="62">
        <v>93684.320000000036</v>
      </c>
      <c r="U51" s="62">
        <v>128340.41999999998</v>
      </c>
      <c r="V51" s="62">
        <v>128046.91000000003</v>
      </c>
      <c r="W51" s="62">
        <v>125415.35</v>
      </c>
      <c r="X51" s="62">
        <v>140854.46999999997</v>
      </c>
      <c r="Y51" s="62">
        <v>96052.22</v>
      </c>
      <c r="Z51" s="62">
        <v>105252.47</v>
      </c>
      <c r="AA51" s="62">
        <v>88066.989999999991</v>
      </c>
      <c r="AB51" s="62">
        <v>78635.149999999994</v>
      </c>
      <c r="AC51" s="100">
        <f t="shared" si="14"/>
        <v>1233056.5199999998</v>
      </c>
      <c r="AE51" s="68">
        <f t="shared" si="28"/>
        <v>0.17396188039430166</v>
      </c>
      <c r="AF51" s="68">
        <f t="shared" si="29"/>
        <v>0.28872597325861582</v>
      </c>
      <c r="AG51" s="68">
        <f t="shared" si="30"/>
        <v>0.37825422645316836</v>
      </c>
      <c r="AH51" s="68">
        <f t="shared" si="31"/>
        <v>0.46478446265394491</v>
      </c>
      <c r="AI51" s="68">
        <f t="shared" si="32"/>
        <v>0.53613385867111751</v>
      </c>
      <c r="AJ51" s="68">
        <f t="shared" si="33"/>
        <v>0.59539416930906242</v>
      </c>
      <c r="AK51" s="68">
        <f t="shared" si="34"/>
        <v>0.65294016613530603</v>
      </c>
      <c r="AL51" s="68">
        <f t="shared" si="35"/>
        <v>0.7344232016061949</v>
      </c>
      <c r="AM51" s="68">
        <f t="shared" si="36"/>
        <v>0.79900291923647215</v>
      </c>
      <c r="AN51" s="68">
        <f t="shared" si="37"/>
        <v>0.87313098600487338</v>
      </c>
      <c r="AO51" s="68">
        <f t="shared" si="38"/>
        <v>0.92241376584081736</v>
      </c>
      <c r="AP51" s="68">
        <f t="shared" si="39"/>
        <v>1</v>
      </c>
      <c r="AQ51" s="92"/>
      <c r="AT51" s="68">
        <f t="shared" si="15"/>
        <v>7.6639974297366228E-2</v>
      </c>
      <c r="AU51" s="68">
        <f t="shared" si="16"/>
        <v>0.15217699834229803</v>
      </c>
      <c r="AV51" s="68">
        <f t="shared" si="17"/>
        <v>0.20170058384671594</v>
      </c>
      <c r="AW51" s="68">
        <f t="shared" si="18"/>
        <v>0.27767789590050573</v>
      </c>
      <c r="AX51" s="68">
        <f t="shared" si="19"/>
        <v>0.38176105666267418</v>
      </c>
      <c r="AY51" s="68">
        <f t="shared" si="20"/>
        <v>0.48560618291852509</v>
      </c>
      <c r="AZ51" s="68">
        <f t="shared" si="21"/>
        <v>0.58731713287562848</v>
      </c>
      <c r="BA51" s="68">
        <f t="shared" si="22"/>
        <v>0.70154909849550118</v>
      </c>
      <c r="BB51" s="68">
        <f t="shared" si="23"/>
        <v>0.77944676047777595</v>
      </c>
      <c r="BC51" s="68">
        <f t="shared" si="24"/>
        <v>0.86480575926884529</v>
      </c>
      <c r="BD51" s="68">
        <f t="shared" si="25"/>
        <v>0.93622745695387921</v>
      </c>
      <c r="BE51" s="68">
        <f t="shared" si="26"/>
        <v>1</v>
      </c>
      <c r="BG51" s="68">
        <f t="shared" si="40"/>
        <v>0.12530092734583395</v>
      </c>
      <c r="BH51" s="68">
        <f t="shared" si="40"/>
        <v>0.22045148580045693</v>
      </c>
      <c r="BI51" s="68">
        <f t="shared" si="40"/>
        <v>0.28997740514994214</v>
      </c>
      <c r="BJ51" s="68">
        <f t="shared" si="40"/>
        <v>0.37123117927722532</v>
      </c>
      <c r="BK51" s="68">
        <f t="shared" si="40"/>
        <v>0.45894745766689582</v>
      </c>
      <c r="BL51" s="68">
        <f t="shared" si="40"/>
        <v>0.54050017611379375</v>
      </c>
      <c r="BM51" s="68">
        <f t="shared" si="40"/>
        <v>0.6201286495054672</v>
      </c>
      <c r="BN51" s="68">
        <f t="shared" si="40"/>
        <v>0.71798615005084798</v>
      </c>
      <c r="BO51" s="68">
        <f t="shared" si="40"/>
        <v>0.78922483985712399</v>
      </c>
      <c r="BP51" s="68">
        <f t="shared" si="40"/>
        <v>0.86896837263685933</v>
      </c>
      <c r="BQ51" s="68">
        <f t="shared" si="40"/>
        <v>0.92932061139734823</v>
      </c>
      <c r="BR51" s="68">
        <f t="shared" si="40"/>
        <v>1</v>
      </c>
    </row>
    <row r="52" spans="1:70">
      <c r="A52" s="239" t="s">
        <v>138</v>
      </c>
      <c r="B52" s="62">
        <v>28027.699999999997</v>
      </c>
      <c r="C52" s="62">
        <v>23062.019999999982</v>
      </c>
      <c r="D52" s="62">
        <v>23082.900000000005</v>
      </c>
      <c r="E52" s="62">
        <v>14386</v>
      </c>
      <c r="F52" s="62">
        <v>17040.260000000002</v>
      </c>
      <c r="G52" s="62">
        <v>11686.05</v>
      </c>
      <c r="H52" s="62">
        <v>10513.19</v>
      </c>
      <c r="I52" s="62">
        <v>10718.210000000001</v>
      </c>
      <c r="J52" s="62">
        <v>6380.21</v>
      </c>
      <c r="K52" s="62">
        <v>7368.8</v>
      </c>
      <c r="L52" s="62">
        <v>9253.0600000000013</v>
      </c>
      <c r="M52" s="62">
        <v>7066.43</v>
      </c>
      <c r="N52" s="100">
        <f t="shared" si="0"/>
        <v>168584.82999999996</v>
      </c>
      <c r="P52" s="239" t="s">
        <v>138</v>
      </c>
      <c r="Q52" s="62">
        <v>15090.060000000005</v>
      </c>
      <c r="R52" s="62">
        <v>16500.430000000004</v>
      </c>
      <c r="S52" s="62">
        <v>11704.680000000004</v>
      </c>
      <c r="T52" s="62">
        <v>8268.8500000000022</v>
      </c>
      <c r="U52" s="62">
        <v>10469.549999999999</v>
      </c>
      <c r="V52" s="62">
        <v>10194.439999999995</v>
      </c>
      <c r="W52" s="62">
        <v>13044.189999999999</v>
      </c>
      <c r="X52" s="62">
        <v>13647.69</v>
      </c>
      <c r="Y52" s="62">
        <v>16577.61</v>
      </c>
      <c r="Z52" s="62">
        <v>14807.32</v>
      </c>
      <c r="AA52" s="62">
        <v>15606</v>
      </c>
      <c r="AB52" s="62">
        <v>12716.259999999998</v>
      </c>
      <c r="AC52" s="100">
        <f t="shared" si="14"/>
        <v>158627.08000000002</v>
      </c>
      <c r="AE52" s="68">
        <f t="shared" si="28"/>
        <v>0.16625279985156435</v>
      </c>
      <c r="AF52" s="68">
        <f t="shared" si="29"/>
        <v>0.30305051765333801</v>
      </c>
      <c r="AG52" s="68">
        <f t="shared" si="30"/>
        <v>0.43997209001545395</v>
      </c>
      <c r="AH52" s="68">
        <f t="shared" si="31"/>
        <v>0.52530598393698891</v>
      </c>
      <c r="AI52" s="68">
        <f t="shared" si="32"/>
        <v>0.62638423635151519</v>
      </c>
      <c r="AJ52" s="68">
        <f t="shared" si="33"/>
        <v>0.69570275095333312</v>
      </c>
      <c r="AK52" s="68">
        <f t="shared" si="34"/>
        <v>0.75806417457608732</v>
      </c>
      <c r="AL52" s="68">
        <f t="shared" si="35"/>
        <v>0.82164172185599393</v>
      </c>
      <c r="AM52" s="68">
        <f t="shared" si="36"/>
        <v>0.85948741651309912</v>
      </c>
      <c r="AN52" s="68">
        <f t="shared" si="37"/>
        <v>0.90319716192732169</v>
      </c>
      <c r="AO52" s="68">
        <f t="shared" si="38"/>
        <v>0.95808383233532934</v>
      </c>
      <c r="AP52" s="68">
        <f t="shared" si="39"/>
        <v>1</v>
      </c>
      <c r="AQ52" s="92"/>
      <c r="AT52" s="68">
        <f t="shared" si="15"/>
        <v>9.5129154492410772E-2</v>
      </c>
      <c r="AU52" s="68">
        <f t="shared" si="16"/>
        <v>0.19914941383274537</v>
      </c>
      <c r="AV52" s="68">
        <f t="shared" si="17"/>
        <v>0.27293681507596312</v>
      </c>
      <c r="AW52" s="68">
        <f t="shared" si="18"/>
        <v>0.3250644215350873</v>
      </c>
      <c r="AX52" s="68">
        <f t="shared" si="19"/>
        <v>0.39106544733723914</v>
      </c>
      <c r="AY52" s="68">
        <f t="shared" si="20"/>
        <v>0.45533215387940068</v>
      </c>
      <c r="AZ52" s="68">
        <f t="shared" si="21"/>
        <v>0.53756395188009509</v>
      </c>
      <c r="BA52" s="68">
        <f t="shared" si="22"/>
        <v>0.62360027052127542</v>
      </c>
      <c r="BB52" s="68">
        <f t="shared" si="23"/>
        <v>0.72810707982521017</v>
      </c>
      <c r="BC52" s="68">
        <f t="shared" si="24"/>
        <v>0.82145381482152979</v>
      </c>
      <c r="BD52" s="68">
        <f t="shared" si="25"/>
        <v>0.91983550349662868</v>
      </c>
      <c r="BE52" s="68">
        <f t="shared" si="26"/>
        <v>1</v>
      </c>
      <c r="BG52" s="68">
        <f t="shared" si="40"/>
        <v>0.13069097717198758</v>
      </c>
      <c r="BH52" s="68">
        <f t="shared" si="40"/>
        <v>0.25109996574304172</v>
      </c>
      <c r="BI52" s="68">
        <f t="shared" si="40"/>
        <v>0.35645445254570851</v>
      </c>
      <c r="BJ52" s="68">
        <f t="shared" si="40"/>
        <v>0.4251852027360381</v>
      </c>
      <c r="BK52" s="68">
        <f t="shared" si="40"/>
        <v>0.50872484184437716</v>
      </c>
      <c r="BL52" s="68">
        <f t="shared" si="40"/>
        <v>0.57551745241636687</v>
      </c>
      <c r="BM52" s="68">
        <f t="shared" si="40"/>
        <v>0.64781406322809121</v>
      </c>
      <c r="BN52" s="68">
        <f t="shared" si="40"/>
        <v>0.72262099618863473</v>
      </c>
      <c r="BO52" s="68">
        <f t="shared" si="40"/>
        <v>0.79379724816915465</v>
      </c>
      <c r="BP52" s="68">
        <f t="shared" si="40"/>
        <v>0.8623254883744258</v>
      </c>
      <c r="BQ52" s="68">
        <f t="shared" si="40"/>
        <v>0.93895966791597907</v>
      </c>
      <c r="BR52" s="68">
        <f t="shared" si="40"/>
        <v>1</v>
      </c>
    </row>
    <row r="53" spans="1:70">
      <c r="A53" s="239" t="s">
        <v>139</v>
      </c>
      <c r="B53" s="62">
        <v>134423.82000000004</v>
      </c>
      <c r="C53" s="62">
        <v>102137.30999999994</v>
      </c>
      <c r="D53" s="62">
        <v>82749.279999999926</v>
      </c>
      <c r="E53" s="62">
        <v>86597.119999999966</v>
      </c>
      <c r="F53" s="62">
        <v>85091.150000000023</v>
      </c>
      <c r="G53" s="62">
        <v>72670.06</v>
      </c>
      <c r="H53" s="62">
        <v>85426.17</v>
      </c>
      <c r="I53" s="62">
        <v>70285.31</v>
      </c>
      <c r="J53" s="62">
        <v>52912.090000000004</v>
      </c>
      <c r="K53" s="62">
        <v>54941.229999999996</v>
      </c>
      <c r="L53" s="62">
        <v>61797.439999999995</v>
      </c>
      <c r="M53" s="62">
        <v>71763.060000000012</v>
      </c>
      <c r="N53" s="100">
        <f t="shared" si="0"/>
        <v>960794.03999999992</v>
      </c>
      <c r="P53" s="239" t="s">
        <v>139</v>
      </c>
      <c r="Q53" s="62">
        <v>95482.089999999967</v>
      </c>
      <c r="R53" s="62">
        <v>69530.140000000043</v>
      </c>
      <c r="S53" s="62">
        <v>57876.589999999989</v>
      </c>
      <c r="T53" s="62">
        <v>52070.710000000014</v>
      </c>
      <c r="U53" s="62">
        <v>59465.279999999955</v>
      </c>
      <c r="V53" s="62">
        <v>56698</v>
      </c>
      <c r="W53" s="62">
        <v>66105.459999999992</v>
      </c>
      <c r="X53" s="62">
        <v>62178.84</v>
      </c>
      <c r="Y53" s="62">
        <v>53467.79</v>
      </c>
      <c r="Z53" s="62">
        <v>73591.340000000011</v>
      </c>
      <c r="AA53" s="62">
        <v>68614.890000000014</v>
      </c>
      <c r="AB53" s="62">
        <v>58135.469999999994</v>
      </c>
      <c r="AC53" s="100">
        <f t="shared" si="14"/>
        <v>773216.6</v>
      </c>
      <c r="AE53" s="68">
        <f t="shared" si="28"/>
        <v>0.13990909019377351</v>
      </c>
      <c r="AF53" s="68">
        <f t="shared" si="29"/>
        <v>0.24621419383492429</v>
      </c>
      <c r="AG53" s="68">
        <f t="shared" si="30"/>
        <v>0.33234012359194065</v>
      </c>
      <c r="AH53" s="68">
        <f t="shared" si="31"/>
        <v>0.42247090750063349</v>
      </c>
      <c r="AI53" s="68">
        <f t="shared" si="32"/>
        <v>0.51103426911349281</v>
      </c>
      <c r="AJ53" s="68">
        <f t="shared" si="33"/>
        <v>0.58666968833403677</v>
      </c>
      <c r="AK53" s="68">
        <f t="shared" si="34"/>
        <v>0.67558174070272137</v>
      </c>
      <c r="AL53" s="68">
        <f t="shared" si="35"/>
        <v>0.7487350983151394</v>
      </c>
      <c r="AM53" s="68">
        <f t="shared" si="36"/>
        <v>0.80380630795753061</v>
      </c>
      <c r="AN53" s="68">
        <f t="shared" si="37"/>
        <v>0.86098945826100248</v>
      </c>
      <c r="AO53" s="68">
        <f t="shared" si="38"/>
        <v>0.92530859163114698</v>
      </c>
      <c r="AP53" s="68">
        <f t="shared" si="39"/>
        <v>1</v>
      </c>
      <c r="AQ53" s="92"/>
      <c r="AT53" s="68">
        <f t="shared" si="15"/>
        <v>0.12348685995618817</v>
      </c>
      <c r="AU53" s="68">
        <f t="shared" si="16"/>
        <v>0.21341009750695991</v>
      </c>
      <c r="AV53" s="68">
        <f t="shared" si="17"/>
        <v>0.28826181434801063</v>
      </c>
      <c r="AW53" s="68">
        <f t="shared" si="18"/>
        <v>0.35560479430989977</v>
      </c>
      <c r="AX53" s="68">
        <f t="shared" si="19"/>
        <v>0.43251116181416693</v>
      </c>
      <c r="AY53" s="68">
        <f t="shared" si="20"/>
        <v>0.50583860977635509</v>
      </c>
      <c r="AZ53" s="68">
        <f t="shared" si="21"/>
        <v>0.59133271323973136</v>
      </c>
      <c r="BA53" s="68">
        <f t="shared" si="22"/>
        <v>0.67174852428155318</v>
      </c>
      <c r="BB53" s="68">
        <f t="shared" si="23"/>
        <v>0.74089834594859971</v>
      </c>
      <c r="BC53" s="68">
        <f t="shared" si="24"/>
        <v>0.83607392805586433</v>
      </c>
      <c r="BD53" s="68">
        <f t="shared" si="25"/>
        <v>0.92481347399939429</v>
      </c>
      <c r="BE53" s="68">
        <f t="shared" si="26"/>
        <v>1</v>
      </c>
      <c r="BG53" s="68">
        <f t="shared" si="40"/>
        <v>0.13169797507498085</v>
      </c>
      <c r="BH53" s="68">
        <f t="shared" si="40"/>
        <v>0.2298121456709421</v>
      </c>
      <c r="BI53" s="68">
        <f t="shared" si="40"/>
        <v>0.31030096896997561</v>
      </c>
      <c r="BJ53" s="68">
        <f t="shared" si="40"/>
        <v>0.38903785090526666</v>
      </c>
      <c r="BK53" s="68">
        <f t="shared" si="40"/>
        <v>0.47177271546382987</v>
      </c>
      <c r="BL53" s="68">
        <f t="shared" si="40"/>
        <v>0.54625414905519598</v>
      </c>
      <c r="BM53" s="68">
        <f t="shared" si="40"/>
        <v>0.63345722697122642</v>
      </c>
      <c r="BN53" s="68">
        <f t="shared" si="40"/>
        <v>0.71024181129834629</v>
      </c>
      <c r="BO53" s="68">
        <f t="shared" si="40"/>
        <v>0.77235232695306522</v>
      </c>
      <c r="BP53" s="68">
        <f t="shared" si="40"/>
        <v>0.84853169315843346</v>
      </c>
      <c r="BQ53" s="68">
        <f t="shared" si="40"/>
        <v>0.92506103281527063</v>
      </c>
      <c r="BR53" s="68">
        <f t="shared" si="40"/>
        <v>1</v>
      </c>
    </row>
    <row r="54" spans="1:70">
      <c r="A54" s="239" t="s">
        <v>140</v>
      </c>
      <c r="B54" s="62">
        <v>6706.8199999999961</v>
      </c>
      <c r="C54" s="62">
        <v>3120.5999999999985</v>
      </c>
      <c r="D54" s="62">
        <v>4478.0600000000049</v>
      </c>
      <c r="E54" s="62">
        <v>3202.9200000000019</v>
      </c>
      <c r="F54" s="62">
        <v>2863.6299999999978</v>
      </c>
      <c r="G54" s="62">
        <v>2030.72</v>
      </c>
      <c r="H54" s="62">
        <v>1551.5600000000006</v>
      </c>
      <c r="I54" s="62">
        <v>1366.77</v>
      </c>
      <c r="J54" s="62">
        <v>790.55</v>
      </c>
      <c r="K54" s="62">
        <v>1818.12</v>
      </c>
      <c r="L54" s="62">
        <v>821.8</v>
      </c>
      <c r="M54" s="62">
        <v>885.06</v>
      </c>
      <c r="N54" s="100">
        <f t="shared" si="0"/>
        <v>29636.61</v>
      </c>
      <c r="P54" s="239" t="s">
        <v>140</v>
      </c>
      <c r="Q54" s="62">
        <v>3899.2100000000028</v>
      </c>
      <c r="R54" s="62">
        <v>1802.9700000000066</v>
      </c>
      <c r="S54" s="62">
        <v>2206.09</v>
      </c>
      <c r="T54" s="62">
        <v>940.43000000000075</v>
      </c>
      <c r="U54" s="62">
        <v>1336.449999999998</v>
      </c>
      <c r="V54" s="62">
        <v>1541.6299999999992</v>
      </c>
      <c r="W54" s="62">
        <v>1652.7500000000007</v>
      </c>
      <c r="X54" s="62">
        <v>1185.7799999999997</v>
      </c>
      <c r="Y54" s="62">
        <v>1289.9900000000005</v>
      </c>
      <c r="Z54" s="62">
        <v>634.02999999999952</v>
      </c>
      <c r="AA54" s="62">
        <v>1554.3199999999993</v>
      </c>
      <c r="AB54" s="62">
        <v>1162.4600000000009</v>
      </c>
      <c r="AC54" s="100">
        <f t="shared" si="14"/>
        <v>19206.110000000008</v>
      </c>
      <c r="AE54" s="68">
        <f t="shared" si="28"/>
        <v>0.22630186111029554</v>
      </c>
      <c r="AF54" s="68">
        <f t="shared" si="29"/>
        <v>0.33159730481995053</v>
      </c>
      <c r="AG54" s="68">
        <f t="shared" si="30"/>
        <v>0.4826962328012549</v>
      </c>
      <c r="AH54" s="68">
        <f t="shared" si="31"/>
        <v>0.59076932213232214</v>
      </c>
      <c r="AI54" s="68">
        <f t="shared" si="32"/>
        <v>0.68739407104928663</v>
      </c>
      <c r="AJ54" s="68">
        <f t="shared" si="33"/>
        <v>0.75591472843891383</v>
      </c>
      <c r="AK54" s="68">
        <f t="shared" si="34"/>
        <v>0.80826754476979656</v>
      </c>
      <c r="AL54" s="68">
        <f t="shared" si="35"/>
        <v>0.85438516753434357</v>
      </c>
      <c r="AM54" s="68">
        <f t="shared" si="36"/>
        <v>0.88105994579002123</v>
      </c>
      <c r="AN54" s="68">
        <f t="shared" si="37"/>
        <v>0.94240704318071467</v>
      </c>
      <c r="AO54" s="68">
        <f t="shared" si="38"/>
        <v>0.97013626052372381</v>
      </c>
      <c r="AP54" s="68">
        <f t="shared" si="39"/>
        <v>1</v>
      </c>
      <c r="AQ54" s="92"/>
      <c r="AT54" s="68">
        <f t="shared" si="15"/>
        <v>0.2030192475207109</v>
      </c>
      <c r="AU54" s="68">
        <f t="shared" si="16"/>
        <v>0.29689406131694585</v>
      </c>
      <c r="AV54" s="68">
        <f t="shared" si="17"/>
        <v>0.4117580290855361</v>
      </c>
      <c r="AW54" s="68">
        <f t="shared" si="18"/>
        <v>0.46072317611426811</v>
      </c>
      <c r="AX54" s="68">
        <f t="shared" si="19"/>
        <v>0.53030780308974612</v>
      </c>
      <c r="AY54" s="68">
        <f t="shared" si="20"/>
        <v>0.61057548873769873</v>
      </c>
      <c r="AZ54" s="68">
        <f t="shared" si="21"/>
        <v>0.69662883322026181</v>
      </c>
      <c r="BA54" s="68">
        <f t="shared" si="22"/>
        <v>0.75836856083819171</v>
      </c>
      <c r="BB54" s="68">
        <f t="shared" si="23"/>
        <v>0.82553416595031481</v>
      </c>
      <c r="BC54" s="68">
        <f t="shared" si="24"/>
        <v>0.85854605643724846</v>
      </c>
      <c r="BD54" s="68">
        <f t="shared" si="25"/>
        <v>0.93947446932252299</v>
      </c>
      <c r="BE54" s="68">
        <f t="shared" si="26"/>
        <v>1</v>
      </c>
      <c r="BG54" s="68">
        <f t="shared" si="40"/>
        <v>0.21466055431550324</v>
      </c>
      <c r="BH54" s="68">
        <f t="shared" si="40"/>
        <v>0.31424568306844819</v>
      </c>
      <c r="BI54" s="68">
        <f t="shared" si="40"/>
        <v>0.4472271309433955</v>
      </c>
      <c r="BJ54" s="68">
        <f t="shared" si="40"/>
        <v>0.52574624912329515</v>
      </c>
      <c r="BK54" s="68">
        <f t="shared" si="40"/>
        <v>0.60885093706951632</v>
      </c>
      <c r="BL54" s="68">
        <f t="shared" si="40"/>
        <v>0.68324510858830623</v>
      </c>
      <c r="BM54" s="68">
        <f t="shared" si="40"/>
        <v>0.75244818899502919</v>
      </c>
      <c r="BN54" s="68">
        <f t="shared" si="40"/>
        <v>0.80637686418626764</v>
      </c>
      <c r="BO54" s="68">
        <f t="shared" si="40"/>
        <v>0.85329705587016802</v>
      </c>
      <c r="BP54" s="68">
        <f t="shared" si="40"/>
        <v>0.90047654980898151</v>
      </c>
      <c r="BQ54" s="68">
        <f t="shared" si="40"/>
        <v>0.9548053649231234</v>
      </c>
      <c r="BR54" s="68">
        <f t="shared" si="40"/>
        <v>1</v>
      </c>
    </row>
    <row r="55" spans="1:70">
      <c r="A55" s="239" t="s">
        <v>141</v>
      </c>
      <c r="B55" s="62">
        <v>613.28000000000065</v>
      </c>
      <c r="C55" s="62">
        <v>770.71000000000095</v>
      </c>
      <c r="D55" s="62">
        <v>1235.2700000000004</v>
      </c>
      <c r="E55" s="62">
        <v>958.84000000000015</v>
      </c>
      <c r="F55" s="62">
        <v>267.69999999999982</v>
      </c>
      <c r="G55" s="62">
        <v>458.16</v>
      </c>
      <c r="H55" s="62">
        <v>1011.1700000000002</v>
      </c>
      <c r="I55" s="62">
        <v>0</v>
      </c>
      <c r="J55" s="62">
        <v>261.8</v>
      </c>
      <c r="K55" s="62">
        <v>0</v>
      </c>
      <c r="L55" s="62">
        <v>0</v>
      </c>
      <c r="M55" s="62">
        <v>0</v>
      </c>
      <c r="N55" s="100">
        <f t="shared" si="0"/>
        <v>5576.9300000000021</v>
      </c>
      <c r="P55" s="239" t="s">
        <v>141</v>
      </c>
      <c r="Q55" s="62">
        <v>1010.8200000000002</v>
      </c>
      <c r="R55" s="62">
        <v>690.06999999999994</v>
      </c>
      <c r="S55" s="62">
        <v>882.44000000000028</v>
      </c>
      <c r="T55" s="62">
        <v>234.02999999999997</v>
      </c>
      <c r="U55" s="62">
        <v>75.85000000000025</v>
      </c>
      <c r="V55" s="62">
        <v>267.75</v>
      </c>
      <c r="W55" s="62">
        <v>609.4699999999998</v>
      </c>
      <c r="X55" s="62">
        <v>195.03999999999996</v>
      </c>
      <c r="Y55" s="62">
        <v>287.77999999999997</v>
      </c>
      <c r="Z55" s="62">
        <v>443.94999999999982</v>
      </c>
      <c r="AA55" s="62">
        <v>677.63000000000011</v>
      </c>
      <c r="AB55" s="62">
        <v>556.77999999999975</v>
      </c>
      <c r="AC55" s="100">
        <f t="shared" si="14"/>
        <v>5931.6100000000006</v>
      </c>
      <c r="AE55" s="68">
        <f t="shared" si="28"/>
        <v>0.10996731176471651</v>
      </c>
      <c r="AF55" s="68">
        <f t="shared" si="29"/>
        <v>0.24816341607300094</v>
      </c>
      <c r="AG55" s="68">
        <f t="shared" si="30"/>
        <v>0.46965983076710682</v>
      </c>
      <c r="AH55" s="68">
        <f t="shared" si="31"/>
        <v>0.64158954837159532</v>
      </c>
      <c r="AI55" s="68">
        <f t="shared" si="32"/>
        <v>0.68959086809409487</v>
      </c>
      <c r="AJ55" s="68">
        <f t="shared" si="33"/>
        <v>0.77174359369760781</v>
      </c>
      <c r="AK55" s="68">
        <f t="shared" si="34"/>
        <v>0.95305660999869102</v>
      </c>
      <c r="AL55" s="68">
        <f t="shared" si="35"/>
        <v>0.95305660999869102</v>
      </c>
      <c r="AM55" s="68">
        <f t="shared" si="36"/>
        <v>1</v>
      </c>
      <c r="AN55" s="68">
        <f t="shared" si="37"/>
        <v>1</v>
      </c>
      <c r="AO55" s="68">
        <f t="shared" si="38"/>
        <v>1</v>
      </c>
      <c r="AP55" s="68">
        <f t="shared" si="39"/>
        <v>1</v>
      </c>
      <c r="AQ55" s="92"/>
      <c r="AT55" s="68">
        <f t="shared" si="15"/>
        <v>0.17041241753925157</v>
      </c>
      <c r="AU55" s="68">
        <f t="shared" si="16"/>
        <v>0.28675014034975327</v>
      </c>
      <c r="AV55" s="68">
        <f t="shared" si="17"/>
        <v>0.4355191929341275</v>
      </c>
      <c r="AW55" s="68">
        <f t="shared" si="18"/>
        <v>0.47497391096177938</v>
      </c>
      <c r="AX55" s="68">
        <f t="shared" si="19"/>
        <v>0.48776133292647372</v>
      </c>
      <c r="AY55" s="68">
        <f t="shared" si="20"/>
        <v>0.53290084816769823</v>
      </c>
      <c r="AZ55" s="68">
        <f t="shared" si="21"/>
        <v>0.6356503546254727</v>
      </c>
      <c r="BA55" s="68">
        <f t="shared" si="22"/>
        <v>0.66853181513956583</v>
      </c>
      <c r="BB55" s="68">
        <f t="shared" si="23"/>
        <v>0.71704815387390619</v>
      </c>
      <c r="BC55" s="68">
        <f t="shared" si="24"/>
        <v>0.79189292620384688</v>
      </c>
      <c r="BD55" s="68">
        <f t="shared" si="25"/>
        <v>0.90613341065916342</v>
      </c>
      <c r="BE55" s="68">
        <f t="shared" si="26"/>
        <v>1</v>
      </c>
      <c r="BG55" s="68">
        <f t="shared" si="40"/>
        <v>0.14018986465198405</v>
      </c>
      <c r="BH55" s="68">
        <f t="shared" si="40"/>
        <v>0.26745677821137709</v>
      </c>
      <c r="BI55" s="68">
        <f t="shared" si="40"/>
        <v>0.45258951185061713</v>
      </c>
      <c r="BJ55" s="68">
        <f t="shared" si="40"/>
        <v>0.55828172966668732</v>
      </c>
      <c r="BK55" s="68">
        <f t="shared" si="40"/>
        <v>0.58867610051028429</v>
      </c>
      <c r="BL55" s="68">
        <f t="shared" si="40"/>
        <v>0.65232222093265302</v>
      </c>
      <c r="BM55" s="68">
        <f t="shared" si="40"/>
        <v>0.79435348231208192</v>
      </c>
      <c r="BN55" s="68">
        <f t="shared" si="40"/>
        <v>0.81079421256912843</v>
      </c>
      <c r="BO55" s="68">
        <f t="shared" si="40"/>
        <v>0.8585240769369531</v>
      </c>
      <c r="BP55" s="68">
        <f t="shared" si="40"/>
        <v>0.89594646310192338</v>
      </c>
      <c r="BQ55" s="68">
        <f t="shared" si="40"/>
        <v>0.95306670532958171</v>
      </c>
      <c r="BR55" s="68">
        <f t="shared" si="40"/>
        <v>1</v>
      </c>
    </row>
    <row r="56" spans="1:70">
      <c r="A56" s="239" t="s">
        <v>142</v>
      </c>
      <c r="B56" s="62">
        <v>47917.010000000053</v>
      </c>
      <c r="C56" s="62">
        <v>39565.39</v>
      </c>
      <c r="D56" s="62">
        <v>28656.299999999992</v>
      </c>
      <c r="E56" s="62">
        <v>25725.500000000004</v>
      </c>
      <c r="F56" s="62">
        <v>24481.990000000013</v>
      </c>
      <c r="G56" s="62">
        <v>22641.469999999998</v>
      </c>
      <c r="H56" s="62">
        <v>16692.439999999999</v>
      </c>
      <c r="I56" s="62">
        <v>19539.490000000002</v>
      </c>
      <c r="J56" s="62">
        <v>9762.3700000000008</v>
      </c>
      <c r="K56" s="62">
        <v>18166.41</v>
      </c>
      <c r="L56" s="62">
        <v>10174.52</v>
      </c>
      <c r="M56" s="62">
        <v>20045.98</v>
      </c>
      <c r="N56" s="100">
        <f t="shared" si="0"/>
        <v>283368.87000000005</v>
      </c>
      <c r="P56" s="239" t="s">
        <v>142</v>
      </c>
      <c r="Q56" s="62">
        <v>30475.419999999984</v>
      </c>
      <c r="R56" s="62">
        <v>39317.629999999946</v>
      </c>
      <c r="S56" s="62">
        <v>37043.240000000013</v>
      </c>
      <c r="T56" s="62">
        <v>21827.360000000008</v>
      </c>
      <c r="U56" s="62">
        <v>26244.959999999999</v>
      </c>
      <c r="V56" s="62">
        <v>26994.380000000005</v>
      </c>
      <c r="W56" s="62">
        <v>22004.180000000004</v>
      </c>
      <c r="X56" s="62">
        <v>22847.360000000008</v>
      </c>
      <c r="Y56" s="62">
        <v>16615.149999999998</v>
      </c>
      <c r="Z56" s="62">
        <v>17535.250000000004</v>
      </c>
      <c r="AA56" s="62">
        <v>14456.410000000003</v>
      </c>
      <c r="AB56" s="62">
        <v>18683.160000000003</v>
      </c>
      <c r="AC56" s="100">
        <f t="shared" si="14"/>
        <v>294044.5</v>
      </c>
      <c r="AE56" s="68">
        <f t="shared" si="28"/>
        <v>0.1690976499994514</v>
      </c>
      <c r="AF56" s="68">
        <f t="shared" si="29"/>
        <v>0.308722690675232</v>
      </c>
      <c r="AG56" s="68">
        <f t="shared" si="30"/>
        <v>0.40984988929800237</v>
      </c>
      <c r="AH56" s="68">
        <f t="shared" si="31"/>
        <v>0.50063438513905922</v>
      </c>
      <c r="AI56" s="68">
        <f t="shared" si="32"/>
        <v>0.58703057255371782</v>
      </c>
      <c r="AJ56" s="68">
        <f t="shared" si="33"/>
        <v>0.66693162167036912</v>
      </c>
      <c r="AK56" s="68">
        <f t="shared" si="34"/>
        <v>0.72583872745090183</v>
      </c>
      <c r="AL56" s="68">
        <f t="shared" si="35"/>
        <v>0.79479298484692418</v>
      </c>
      <c r="AM56" s="68">
        <f t="shared" si="36"/>
        <v>0.8292440873974618</v>
      </c>
      <c r="AN56" s="68">
        <f t="shared" si="37"/>
        <v>0.8933527878344576</v>
      </c>
      <c r="AO56" s="68">
        <f t="shared" si="38"/>
        <v>0.92925835501973109</v>
      </c>
      <c r="AP56" s="68">
        <f t="shared" si="39"/>
        <v>1</v>
      </c>
      <c r="AQ56" s="92"/>
      <c r="AT56" s="68">
        <f t="shared" si="15"/>
        <v>0.103642203816089</v>
      </c>
      <c r="AU56" s="68">
        <f t="shared" si="16"/>
        <v>0.23735540028805141</v>
      </c>
      <c r="AV56" s="68">
        <f t="shared" si="17"/>
        <v>0.36333374710290434</v>
      </c>
      <c r="AW56" s="68">
        <f t="shared" si="18"/>
        <v>0.43756523247331597</v>
      </c>
      <c r="AX56" s="68">
        <f t="shared" si="19"/>
        <v>0.52682029420716914</v>
      </c>
      <c r="AY56" s="68">
        <f t="shared" si="20"/>
        <v>0.61862401779322507</v>
      </c>
      <c r="AZ56" s="68">
        <f t="shared" si="21"/>
        <v>0.69345684071628599</v>
      </c>
      <c r="BA56" s="68">
        <f t="shared" si="22"/>
        <v>0.77115718879285267</v>
      </c>
      <c r="BB56" s="68">
        <f t="shared" si="23"/>
        <v>0.82766275172635417</v>
      </c>
      <c r="BC56" s="68">
        <f t="shared" si="24"/>
        <v>0.88729743287155505</v>
      </c>
      <c r="BD56" s="68">
        <f t="shared" si="25"/>
        <v>0.93646145396360059</v>
      </c>
      <c r="BE56" s="68">
        <f t="shared" si="26"/>
        <v>1</v>
      </c>
      <c r="BG56" s="68">
        <f t="shared" si="40"/>
        <v>0.13636992690777019</v>
      </c>
      <c r="BH56" s="68">
        <f t="shared" si="40"/>
        <v>0.27303904548164171</v>
      </c>
      <c r="BI56" s="68">
        <f t="shared" si="40"/>
        <v>0.38659181820045335</v>
      </c>
      <c r="BJ56" s="68">
        <f t="shared" si="40"/>
        <v>0.46909980880618762</v>
      </c>
      <c r="BK56" s="68">
        <f t="shared" si="40"/>
        <v>0.55692543338044342</v>
      </c>
      <c r="BL56" s="68">
        <f t="shared" si="40"/>
        <v>0.64277781973179704</v>
      </c>
      <c r="BM56" s="68">
        <f t="shared" si="40"/>
        <v>0.70964778408359397</v>
      </c>
      <c r="BN56" s="68">
        <f t="shared" si="40"/>
        <v>0.78297508681988837</v>
      </c>
      <c r="BO56" s="68">
        <f t="shared" si="40"/>
        <v>0.82845341956190799</v>
      </c>
      <c r="BP56" s="68">
        <f t="shared" si="40"/>
        <v>0.89032511035300632</v>
      </c>
      <c r="BQ56" s="68">
        <f t="shared" si="40"/>
        <v>0.93285990449166589</v>
      </c>
      <c r="BR56" s="68">
        <f t="shared" si="40"/>
        <v>1</v>
      </c>
    </row>
    <row r="57" spans="1:70">
      <c r="A57" s="239" t="s">
        <v>143</v>
      </c>
      <c r="B57" s="62">
        <v>657489.8899999999</v>
      </c>
      <c r="C57" s="62">
        <v>377588.27</v>
      </c>
      <c r="D57" s="62">
        <v>177877.71</v>
      </c>
      <c r="E57" s="62">
        <v>349661.0500000001</v>
      </c>
      <c r="F57" s="62">
        <v>198602.43</v>
      </c>
      <c r="G57" s="62">
        <v>191806.25</v>
      </c>
      <c r="H57" s="62">
        <v>213242.04000000007</v>
      </c>
      <c r="I57" s="62">
        <v>188328.82</v>
      </c>
      <c r="J57" s="62">
        <v>154745.30000000002</v>
      </c>
      <c r="K57" s="62">
        <v>229216.39</v>
      </c>
      <c r="L57" s="62">
        <v>170213.44</v>
      </c>
      <c r="M57" s="62">
        <v>256316.98000000004</v>
      </c>
      <c r="N57" s="100">
        <f t="shared" si="0"/>
        <v>3165088.57</v>
      </c>
      <c r="P57" s="239" t="s">
        <v>143</v>
      </c>
      <c r="Q57" s="62">
        <v>663119.95999999938</v>
      </c>
      <c r="R57" s="62">
        <v>205948.24</v>
      </c>
      <c r="S57" s="62">
        <v>378341.80999999988</v>
      </c>
      <c r="T57" s="62">
        <v>140591.06000000003</v>
      </c>
      <c r="U57" s="62">
        <v>355687.2699999999</v>
      </c>
      <c r="V57" s="62">
        <v>259812.96999999991</v>
      </c>
      <c r="W57" s="62">
        <v>228125.20999999996</v>
      </c>
      <c r="X57" s="62">
        <v>271407.68</v>
      </c>
      <c r="Y57" s="62">
        <v>148912.01</v>
      </c>
      <c r="Z57" s="62">
        <v>375878.88</v>
      </c>
      <c r="AA57" s="62">
        <v>262653.37000000005</v>
      </c>
      <c r="AB57" s="62">
        <v>136525</v>
      </c>
      <c r="AC57" s="100">
        <f t="shared" si="14"/>
        <v>3427003.46</v>
      </c>
      <c r="AE57" s="68">
        <f t="shared" si="28"/>
        <v>0.20773190874718553</v>
      </c>
      <c r="AF57" s="68">
        <f t="shared" si="29"/>
        <v>0.32702976144519075</v>
      </c>
      <c r="AG57" s="68">
        <f t="shared" si="30"/>
        <v>0.38322967688705151</v>
      </c>
      <c r="AH57" s="68">
        <f t="shared" si="31"/>
        <v>0.49370401031147132</v>
      </c>
      <c r="AI57" s="68">
        <f t="shared" si="32"/>
        <v>0.55645183730198111</v>
      </c>
      <c r="AJ57" s="68">
        <f t="shared" si="33"/>
        <v>0.61705243212198635</v>
      </c>
      <c r="AK57" s="68">
        <f t="shared" si="34"/>
        <v>0.68442559887036603</v>
      </c>
      <c r="AL57" s="68">
        <f t="shared" si="35"/>
        <v>0.74392751037611571</v>
      </c>
      <c r="AM57" s="68">
        <f t="shared" si="36"/>
        <v>0.79281881201826843</v>
      </c>
      <c r="AN57" s="68">
        <f t="shared" si="37"/>
        <v>0.86523902552275178</v>
      </c>
      <c r="AO57" s="68">
        <f t="shared" si="38"/>
        <v>0.91901743842827122</v>
      </c>
      <c r="AP57" s="68">
        <f t="shared" si="39"/>
        <v>1</v>
      </c>
      <c r="AQ57" s="92"/>
      <c r="AT57" s="68">
        <f t="shared" si="15"/>
        <v>0.1934984798643884</v>
      </c>
      <c r="AU57" s="68">
        <f t="shared" si="16"/>
        <v>0.25359419975607478</v>
      </c>
      <c r="AV57" s="68">
        <f t="shared" si="17"/>
        <v>0.36399438301121506</v>
      </c>
      <c r="AW57" s="68">
        <f t="shared" si="18"/>
        <v>0.40501887033402628</v>
      </c>
      <c r="AX57" s="68">
        <f t="shared" si="19"/>
        <v>0.50880845623657456</v>
      </c>
      <c r="AY57" s="68">
        <f t="shared" si="20"/>
        <v>0.58462191047802425</v>
      </c>
      <c r="AZ57" s="68">
        <f t="shared" si="21"/>
        <v>0.65118887274190251</v>
      </c>
      <c r="BA57" s="68">
        <f t="shared" si="22"/>
        <v>0.73038566468211263</v>
      </c>
      <c r="BB57" s="68">
        <f t="shared" si="23"/>
        <v>0.77383820616276822</v>
      </c>
      <c r="BC57" s="68">
        <f t="shared" si="24"/>
        <v>0.88351970616335473</v>
      </c>
      <c r="BD57" s="68">
        <f t="shared" si="25"/>
        <v>0.96016198944835618</v>
      </c>
      <c r="BE57" s="68">
        <f t="shared" si="26"/>
        <v>1</v>
      </c>
      <c r="BG57" s="68">
        <f t="shared" si="40"/>
        <v>0.20061519430578695</v>
      </c>
      <c r="BH57" s="68">
        <f t="shared" si="40"/>
        <v>0.29031198060063279</v>
      </c>
      <c r="BI57" s="68">
        <f t="shared" si="40"/>
        <v>0.37361202994913328</v>
      </c>
      <c r="BJ57" s="68">
        <f t="shared" si="40"/>
        <v>0.44936144032274883</v>
      </c>
      <c r="BK57" s="68">
        <f t="shared" si="40"/>
        <v>0.53263014676927778</v>
      </c>
      <c r="BL57" s="68">
        <f t="shared" si="40"/>
        <v>0.60083717130000536</v>
      </c>
      <c r="BM57" s="68">
        <f t="shared" si="40"/>
        <v>0.66780723580613421</v>
      </c>
      <c r="BN57" s="68">
        <f t="shared" si="40"/>
        <v>0.73715658752911417</v>
      </c>
      <c r="BO57" s="68">
        <f t="shared" si="40"/>
        <v>0.78332850909051832</v>
      </c>
      <c r="BP57" s="68">
        <f t="shared" si="40"/>
        <v>0.8743793658430532</v>
      </c>
      <c r="BQ57" s="68">
        <f t="shared" si="40"/>
        <v>0.9395897139383137</v>
      </c>
      <c r="BR57" s="68">
        <f t="shared" si="40"/>
        <v>1</v>
      </c>
    </row>
    <row r="58" spans="1:70">
      <c r="A58" s="239" t="s">
        <v>144</v>
      </c>
      <c r="B58" s="62">
        <v>10302.539999999999</v>
      </c>
      <c r="C58" s="62">
        <v>5259.1599999999962</v>
      </c>
      <c r="D58" s="62">
        <v>6273.5500000000065</v>
      </c>
      <c r="E58" s="62">
        <v>3134.2100000000019</v>
      </c>
      <c r="F58" s="62">
        <v>3704.6099999999997</v>
      </c>
      <c r="G58" s="62">
        <v>4668.38</v>
      </c>
      <c r="H58" s="62">
        <v>4530.2299999999996</v>
      </c>
      <c r="I58" s="62">
        <v>1993.9499999999998</v>
      </c>
      <c r="J58" s="62">
        <v>2443.5500000000002</v>
      </c>
      <c r="K58" s="62">
        <v>2945.0099999999998</v>
      </c>
      <c r="L58" s="62">
        <v>1494.24</v>
      </c>
      <c r="M58" s="62">
        <v>3235.09</v>
      </c>
      <c r="N58" s="100">
        <f t="shared" si="0"/>
        <v>49984.520000000004</v>
      </c>
      <c r="P58" s="239" t="s">
        <v>144</v>
      </c>
      <c r="Q58" s="62">
        <v>7139.9999999999982</v>
      </c>
      <c r="R58" s="62">
        <v>4865.1500000000069</v>
      </c>
      <c r="S58" s="62">
        <v>3692.71</v>
      </c>
      <c r="T58" s="62">
        <v>2414.9900000000007</v>
      </c>
      <c r="U58" s="62">
        <v>4631.8400000000029</v>
      </c>
      <c r="V58" s="62">
        <v>2160.4500000000016</v>
      </c>
      <c r="W58" s="62">
        <v>3410.5900000000011</v>
      </c>
      <c r="X58" s="62">
        <v>2609.67</v>
      </c>
      <c r="Y58" s="62">
        <v>2978.9700000000003</v>
      </c>
      <c r="Z58" s="62">
        <v>1989.9600000000005</v>
      </c>
      <c r="AA58" s="62">
        <v>1713.6900000000005</v>
      </c>
      <c r="AB58" s="62">
        <v>2349.19</v>
      </c>
      <c r="AC58" s="100">
        <f t="shared" si="14"/>
        <v>39957.210000000014</v>
      </c>
      <c r="AE58" s="68">
        <f t="shared" si="28"/>
        <v>0.20611461308421083</v>
      </c>
      <c r="AF58" s="68">
        <f t="shared" si="29"/>
        <v>0.31133038788809003</v>
      </c>
      <c r="AG58" s="68">
        <f t="shared" si="30"/>
        <v>0.43684024574008107</v>
      </c>
      <c r="AH58" s="68">
        <f t="shared" si="31"/>
        <v>0.49954385877867791</v>
      </c>
      <c r="AI58" s="68">
        <f t="shared" si="32"/>
        <v>0.57365900482789478</v>
      </c>
      <c r="AJ58" s="68">
        <f t="shared" si="33"/>
        <v>0.66705552038911253</v>
      </c>
      <c r="AK58" s="68">
        <f t="shared" si="34"/>
        <v>0.7576881802606088</v>
      </c>
      <c r="AL58" s="68">
        <f t="shared" si="35"/>
        <v>0.79757953062268083</v>
      </c>
      <c r="AM58" s="68">
        <f t="shared" si="36"/>
        <v>0.8464656657701225</v>
      </c>
      <c r="AN58" s="68">
        <f t="shared" si="37"/>
        <v>0.90538410691950244</v>
      </c>
      <c r="AO58" s="68">
        <f t="shared" si="38"/>
        <v>0.93527816211899206</v>
      </c>
      <c r="AP58" s="68">
        <f t="shared" si="39"/>
        <v>1</v>
      </c>
      <c r="AQ58" s="92"/>
      <c r="AT58" s="68">
        <f t="shared" si="15"/>
        <v>0.17869115486291451</v>
      </c>
      <c r="AU58" s="68">
        <f t="shared" si="16"/>
        <v>0.3004501565549747</v>
      </c>
      <c r="AV58" s="68">
        <f t="shared" si="17"/>
        <v>0.39286676922637986</v>
      </c>
      <c r="AW58" s="68">
        <f t="shared" si="18"/>
        <v>0.45330617427993597</v>
      </c>
      <c r="AX58" s="68">
        <f t="shared" si="19"/>
        <v>0.5692261797057403</v>
      </c>
      <c r="AY58" s="68">
        <f t="shared" si="20"/>
        <v>0.6232952701152058</v>
      </c>
      <c r="AZ58" s="68">
        <f t="shared" si="21"/>
        <v>0.70865132976001077</v>
      </c>
      <c r="BA58" s="68">
        <f t="shared" si="22"/>
        <v>0.77396294686240596</v>
      </c>
      <c r="BB58" s="68">
        <f t="shared" si="23"/>
        <v>0.84851695100834112</v>
      </c>
      <c r="BC58" s="68">
        <f t="shared" si="24"/>
        <v>0.89831922699307576</v>
      </c>
      <c r="BD58" s="68">
        <f t="shared" si="25"/>
        <v>0.94120735656969035</v>
      </c>
      <c r="BE58" s="68">
        <f t="shared" si="26"/>
        <v>1</v>
      </c>
      <c r="BG58" s="68">
        <f t="shared" si="40"/>
        <v>0.19240288397356267</v>
      </c>
      <c r="BH58" s="68">
        <f t="shared" si="40"/>
        <v>0.30589027222153237</v>
      </c>
      <c r="BI58" s="68">
        <f t="shared" si="40"/>
        <v>0.41485350748323047</v>
      </c>
      <c r="BJ58" s="68">
        <f t="shared" si="40"/>
        <v>0.47642501652930691</v>
      </c>
      <c r="BK58" s="68">
        <f t="shared" si="40"/>
        <v>0.5714425922668176</v>
      </c>
      <c r="BL58" s="68">
        <f t="shared" si="40"/>
        <v>0.64517539525215917</v>
      </c>
      <c r="BM58" s="68">
        <f t="shared" si="40"/>
        <v>0.73316975501030979</v>
      </c>
      <c r="BN58" s="68">
        <f t="shared" si="40"/>
        <v>0.7857712387425434</v>
      </c>
      <c r="BO58" s="68">
        <f t="shared" si="40"/>
        <v>0.84749130838923181</v>
      </c>
      <c r="BP58" s="68">
        <f t="shared" si="40"/>
        <v>0.90185166695628904</v>
      </c>
      <c r="BQ58" s="68">
        <f t="shared" si="40"/>
        <v>0.9382427593443412</v>
      </c>
      <c r="BR58" s="68">
        <f t="shared" si="40"/>
        <v>1</v>
      </c>
    </row>
    <row r="59" spans="1:70">
      <c r="A59" s="239" t="s">
        <v>145</v>
      </c>
      <c r="B59" s="62">
        <v>3514.86</v>
      </c>
      <c r="C59" s="62">
        <v>2809.6199999999985</v>
      </c>
      <c r="D59" s="62">
        <v>2474.4600000000023</v>
      </c>
      <c r="E59" s="62">
        <v>3661.6000000000008</v>
      </c>
      <c r="F59" s="62">
        <v>2256.91</v>
      </c>
      <c r="G59" s="62">
        <v>4043.67</v>
      </c>
      <c r="H59" s="62">
        <v>3442.8999999999996</v>
      </c>
      <c r="I59" s="62">
        <v>3029.62</v>
      </c>
      <c r="J59" s="62">
        <v>2505.21</v>
      </c>
      <c r="K59" s="62">
        <v>3365.16</v>
      </c>
      <c r="L59" s="62">
        <v>3609.36</v>
      </c>
      <c r="M59" s="62">
        <v>3466.34</v>
      </c>
      <c r="N59" s="100">
        <f t="shared" si="0"/>
        <v>38179.710000000006</v>
      </c>
      <c r="P59" s="239" t="s">
        <v>145</v>
      </c>
      <c r="Q59" s="62">
        <v>4408.8099999999986</v>
      </c>
      <c r="R59" s="62">
        <v>3108.8999999999987</v>
      </c>
      <c r="S59" s="62">
        <v>2397.4600000000005</v>
      </c>
      <c r="T59" s="62">
        <v>1141.690000000001</v>
      </c>
      <c r="U59" s="62">
        <v>1565.87</v>
      </c>
      <c r="V59" s="62">
        <v>2051.8399999999983</v>
      </c>
      <c r="W59" s="62">
        <v>1946.5599999999997</v>
      </c>
      <c r="X59" s="62">
        <v>3441.42</v>
      </c>
      <c r="Y59" s="62">
        <v>939.18000000000052</v>
      </c>
      <c r="Z59" s="62">
        <v>2342.19</v>
      </c>
      <c r="AA59" s="62">
        <v>2376.3599999999997</v>
      </c>
      <c r="AB59" s="62">
        <v>1371.3999999999999</v>
      </c>
      <c r="AC59" s="100">
        <f t="shared" si="14"/>
        <v>27091.679999999997</v>
      </c>
      <c r="AE59" s="68">
        <f t="shared" si="28"/>
        <v>9.2060940221913676E-2</v>
      </c>
      <c r="AF59" s="68">
        <f t="shared" si="29"/>
        <v>0.16565028911953489</v>
      </c>
      <c r="AG59" s="68">
        <f t="shared" si="30"/>
        <v>0.23046115331939396</v>
      </c>
      <c r="AH59" s="68">
        <f t="shared" si="31"/>
        <v>0.32636549622823219</v>
      </c>
      <c r="AI59" s="68">
        <f t="shared" si="32"/>
        <v>0.38547830771894281</v>
      </c>
      <c r="AJ59" s="68">
        <f t="shared" si="33"/>
        <v>0.49138979840339281</v>
      </c>
      <c r="AK59" s="68">
        <f t="shared" si="34"/>
        <v>0.58156596789237003</v>
      </c>
      <c r="AL59" s="68">
        <f t="shared" si="35"/>
        <v>0.66091753970891864</v>
      </c>
      <c r="AM59" s="68">
        <f t="shared" si="36"/>
        <v>0.72653380552130953</v>
      </c>
      <c r="AN59" s="68">
        <f t="shared" si="37"/>
        <v>0.81467381496611668</v>
      </c>
      <c r="AO59" s="68">
        <f t="shared" si="38"/>
        <v>0.90920989185093326</v>
      </c>
      <c r="AP59" s="68">
        <f t="shared" si="39"/>
        <v>1</v>
      </c>
      <c r="AQ59" s="92"/>
      <c r="AT59" s="68">
        <f t="shared" si="15"/>
        <v>0.16273667782876511</v>
      </c>
      <c r="AU59" s="68">
        <f t="shared" si="16"/>
        <v>0.27749146601465829</v>
      </c>
      <c r="AV59" s="68">
        <f t="shared" si="17"/>
        <v>0.36598579342440185</v>
      </c>
      <c r="AW59" s="68">
        <f t="shared" si="18"/>
        <v>0.40812751368685884</v>
      </c>
      <c r="AX59" s="68">
        <f t="shared" si="19"/>
        <v>0.4659264394087041</v>
      </c>
      <c r="AY59" s="68">
        <f t="shared" si="20"/>
        <v>0.54166334461354926</v>
      </c>
      <c r="AZ59" s="68">
        <f t="shared" si="21"/>
        <v>0.61351418590504536</v>
      </c>
      <c r="BA59" s="68">
        <f t="shared" si="22"/>
        <v>0.74054285300874656</v>
      </c>
      <c r="BB59" s="68">
        <f t="shared" si="23"/>
        <v>0.77520958464000755</v>
      </c>
      <c r="BC59" s="68">
        <f t="shared" si="24"/>
        <v>0.86166380231864537</v>
      </c>
      <c r="BD59" s="68">
        <f t="shared" si="25"/>
        <v>0.94937929283086164</v>
      </c>
      <c r="BE59" s="68">
        <f t="shared" si="26"/>
        <v>1</v>
      </c>
      <c r="BG59" s="68">
        <f t="shared" si="40"/>
        <v>0.1273988090253394</v>
      </c>
      <c r="BH59" s="68">
        <f t="shared" si="40"/>
        <v>0.22157087756709659</v>
      </c>
      <c r="BI59" s="68">
        <f t="shared" si="40"/>
        <v>0.29822347337189792</v>
      </c>
      <c r="BJ59" s="68">
        <f t="shared" si="40"/>
        <v>0.36724650495754552</v>
      </c>
      <c r="BK59" s="68">
        <f t="shared" si="40"/>
        <v>0.42570237356382346</v>
      </c>
      <c r="BL59" s="68">
        <f t="shared" si="40"/>
        <v>0.51652657150847103</v>
      </c>
      <c r="BM59" s="68">
        <f t="shared" si="40"/>
        <v>0.59754007689870769</v>
      </c>
      <c r="BN59" s="68">
        <f t="shared" si="40"/>
        <v>0.7007301963588326</v>
      </c>
      <c r="BO59" s="68">
        <f t="shared" si="40"/>
        <v>0.75087169508065854</v>
      </c>
      <c r="BP59" s="68">
        <f t="shared" si="40"/>
        <v>0.83816880864238108</v>
      </c>
      <c r="BQ59" s="68">
        <f t="shared" si="40"/>
        <v>0.92929459234089751</v>
      </c>
      <c r="BR59" s="68">
        <f t="shared" si="40"/>
        <v>1</v>
      </c>
    </row>
    <row r="60" spans="1:70">
      <c r="N60" s="94">
        <f t="shared" si="0"/>
        <v>0</v>
      </c>
      <c r="AC60" s="94">
        <f t="shared" si="14"/>
        <v>0</v>
      </c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</row>
    <row r="61" spans="1:70">
      <c r="B61" s="317" t="s">
        <v>236</v>
      </c>
      <c r="C61" s="317"/>
      <c r="D61" s="317"/>
      <c r="E61" s="317"/>
      <c r="F61" s="317"/>
      <c r="G61" s="317"/>
      <c r="H61" s="317"/>
      <c r="I61" s="317"/>
      <c r="J61" s="317"/>
      <c r="K61" s="317"/>
      <c r="L61" s="317"/>
      <c r="M61" s="317"/>
      <c r="N61" s="317">
        <f t="shared" si="0"/>
        <v>0</v>
      </c>
      <c r="Q61" s="317" t="s">
        <v>203</v>
      </c>
      <c r="R61" s="317"/>
      <c r="S61" s="317"/>
      <c r="T61" s="317"/>
      <c r="U61" s="317"/>
      <c r="V61" s="317"/>
      <c r="W61" s="317"/>
      <c r="X61" s="317"/>
      <c r="Y61" s="317"/>
      <c r="Z61" s="317"/>
      <c r="AA61" s="317"/>
      <c r="AB61" s="317"/>
      <c r="AC61" s="317">
        <f t="shared" si="14"/>
        <v>0</v>
      </c>
      <c r="AE61" s="316" t="s">
        <v>177</v>
      </c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92"/>
      <c r="AT61" s="316" t="s">
        <v>178</v>
      </c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G61" s="316" t="s">
        <v>243</v>
      </c>
      <c r="BH61" s="316"/>
      <c r="BI61" s="316"/>
      <c r="BJ61" s="316"/>
      <c r="BK61" s="316"/>
      <c r="BL61" s="316"/>
      <c r="BM61" s="316"/>
      <c r="BN61" s="316"/>
      <c r="BO61" s="316"/>
      <c r="BP61" s="316"/>
      <c r="BQ61" s="316"/>
      <c r="BR61" s="316"/>
    </row>
    <row r="62" spans="1:70">
      <c r="B62" s="239" t="s">
        <v>163</v>
      </c>
      <c r="C62" s="239" t="s">
        <v>179</v>
      </c>
      <c r="D62" s="239" t="s">
        <v>180</v>
      </c>
      <c r="E62" s="239" t="s">
        <v>181</v>
      </c>
      <c r="F62" s="239" t="s">
        <v>182</v>
      </c>
      <c r="G62" s="239" t="s">
        <v>183</v>
      </c>
      <c r="H62" s="239" t="s">
        <v>184</v>
      </c>
      <c r="I62" s="239" t="s">
        <v>185</v>
      </c>
      <c r="J62" s="239" t="s">
        <v>186</v>
      </c>
      <c r="K62" s="239" t="s">
        <v>187</v>
      </c>
      <c r="L62" s="239" t="s">
        <v>188</v>
      </c>
      <c r="M62" s="239" t="s">
        <v>189</v>
      </c>
      <c r="N62" s="239" t="s">
        <v>160</v>
      </c>
      <c r="Q62" s="239" t="s">
        <v>163</v>
      </c>
      <c r="R62" s="239" t="s">
        <v>179</v>
      </c>
      <c r="S62" s="239" t="s">
        <v>180</v>
      </c>
      <c r="T62" s="239" t="s">
        <v>181</v>
      </c>
      <c r="U62" s="239" t="s">
        <v>182</v>
      </c>
      <c r="V62" s="239" t="s">
        <v>183</v>
      </c>
      <c r="W62" s="239" t="s">
        <v>184</v>
      </c>
      <c r="X62" s="239" t="s">
        <v>185</v>
      </c>
      <c r="Y62" s="239" t="s">
        <v>186</v>
      </c>
      <c r="Z62" s="239" t="s">
        <v>187</v>
      </c>
      <c r="AA62" s="239" t="s">
        <v>188</v>
      </c>
      <c r="AB62" s="239" t="s">
        <v>189</v>
      </c>
      <c r="AC62" s="239">
        <f t="shared" si="14"/>
        <v>0</v>
      </c>
      <c r="AE62" s="239" t="s">
        <v>190</v>
      </c>
      <c r="AF62" s="239" t="s">
        <v>191</v>
      </c>
      <c r="AG62" s="239" t="s">
        <v>192</v>
      </c>
      <c r="AH62" s="239" t="s">
        <v>193</v>
      </c>
      <c r="AI62" s="239" t="s">
        <v>194</v>
      </c>
      <c r="AJ62" s="239" t="s">
        <v>195</v>
      </c>
      <c r="AK62" s="239" t="s">
        <v>196</v>
      </c>
      <c r="AL62" s="239" t="s">
        <v>197</v>
      </c>
      <c r="AM62" s="239" t="s">
        <v>198</v>
      </c>
      <c r="AN62" s="239" t="s">
        <v>199</v>
      </c>
      <c r="AO62" s="239" t="s">
        <v>200</v>
      </c>
      <c r="AP62" s="239" t="s">
        <v>201</v>
      </c>
      <c r="AQ62" s="92"/>
      <c r="AT62" s="239" t="s">
        <v>190</v>
      </c>
      <c r="AU62" s="239" t="s">
        <v>191</v>
      </c>
      <c r="AV62" s="239" t="s">
        <v>238</v>
      </c>
      <c r="AW62" s="239" t="s">
        <v>239</v>
      </c>
      <c r="AX62" s="239" t="s">
        <v>240</v>
      </c>
      <c r="AY62" s="239" t="s">
        <v>195</v>
      </c>
      <c r="AZ62" s="239" t="s">
        <v>196</v>
      </c>
      <c r="BA62" s="239" t="s">
        <v>197</v>
      </c>
      <c r="BB62" s="239" t="s">
        <v>198</v>
      </c>
      <c r="BC62" s="239" t="s">
        <v>199</v>
      </c>
      <c r="BD62" s="239" t="s">
        <v>200</v>
      </c>
      <c r="BE62" s="239" t="s">
        <v>201</v>
      </c>
      <c r="BG62" s="239" t="s">
        <v>190</v>
      </c>
      <c r="BH62" s="239" t="s">
        <v>191</v>
      </c>
      <c r="BI62" s="239" t="s">
        <v>238</v>
      </c>
      <c r="BJ62" s="239" t="s">
        <v>239</v>
      </c>
      <c r="BK62" s="239" t="s">
        <v>240</v>
      </c>
      <c r="BL62" s="239" t="s">
        <v>195</v>
      </c>
      <c r="BM62" s="239" t="s">
        <v>196</v>
      </c>
      <c r="BN62" s="239" t="s">
        <v>197</v>
      </c>
      <c r="BO62" s="239" t="s">
        <v>198</v>
      </c>
      <c r="BP62" s="239" t="s">
        <v>199</v>
      </c>
      <c r="BQ62" s="239" t="s">
        <v>200</v>
      </c>
      <c r="BR62" s="239" t="s">
        <v>201</v>
      </c>
    </row>
    <row r="63" spans="1:70">
      <c r="A63" s="239" t="s">
        <v>119</v>
      </c>
      <c r="B63" s="62">
        <v>1547.96</v>
      </c>
      <c r="C63" s="62">
        <v>2882.39</v>
      </c>
      <c r="D63" s="62">
        <v>2188.4899999999998</v>
      </c>
      <c r="E63" s="62">
        <v>3349.49</v>
      </c>
      <c r="F63" s="62">
        <v>2571.0500000000002</v>
      </c>
      <c r="G63" s="62">
        <v>1583.57</v>
      </c>
      <c r="H63" s="62">
        <v>1211.68</v>
      </c>
      <c r="I63" s="62">
        <v>1254.3699999999999</v>
      </c>
      <c r="J63" s="62">
        <v>832.71</v>
      </c>
      <c r="K63" s="62">
        <v>1138.75</v>
      </c>
      <c r="L63" s="62">
        <v>384.32</v>
      </c>
      <c r="M63" s="62">
        <v>1263.27</v>
      </c>
      <c r="N63" s="100">
        <f t="shared" si="0"/>
        <v>20208.05</v>
      </c>
      <c r="P63" s="239" t="s">
        <v>119</v>
      </c>
      <c r="Q63" s="62">
        <v>2530.73</v>
      </c>
      <c r="R63" s="62">
        <v>2963.8</v>
      </c>
      <c r="S63" s="62">
        <v>1519.52</v>
      </c>
      <c r="T63" s="62">
        <v>1151.92</v>
      </c>
      <c r="U63" s="62">
        <v>2460.9499999999998</v>
      </c>
      <c r="V63" s="62">
        <v>1583.8700000000001</v>
      </c>
      <c r="W63" s="62">
        <v>910.19</v>
      </c>
      <c r="X63" s="62">
        <v>1677.27</v>
      </c>
      <c r="Y63" s="62">
        <v>907.57</v>
      </c>
      <c r="Z63" s="62">
        <v>314.15999999999997</v>
      </c>
      <c r="AA63" s="62">
        <v>628.32000000000005</v>
      </c>
      <c r="AB63" s="62">
        <v>1850.06</v>
      </c>
      <c r="AC63" s="100">
        <f t="shared" si="14"/>
        <v>18498.360000000004</v>
      </c>
      <c r="AE63" s="68">
        <f t="shared" ref="AE63:AE89" si="41">B63/N63</f>
        <v>7.660115646982267E-2</v>
      </c>
      <c r="AF63" s="68">
        <f t="shared" ref="AF63:AF89" si="42">SUM(B63:C63)/$N63</f>
        <v>0.21923688826977369</v>
      </c>
      <c r="AG63" s="68">
        <f t="shared" ref="AG63:AG89" si="43">SUM(B63:D63)/$N63</f>
        <v>0.32753481904488557</v>
      </c>
      <c r="AH63" s="68">
        <f t="shared" ref="AH63:AH89" si="44">SUM(B63:E63)/$N63</f>
        <v>0.49328510172926138</v>
      </c>
      <c r="AI63" s="68">
        <f t="shared" ref="AI63:AI89" si="45">SUM(B63:F63)/$N63</f>
        <v>0.62051410205338964</v>
      </c>
      <c r="AJ63" s="68">
        <f t="shared" ref="AJ63:AJ89" si="46">SUM(B63:G63)/$N63</f>
        <v>0.69887742755980919</v>
      </c>
      <c r="AK63" s="68">
        <f t="shared" ref="AK63:AK89" si="47">SUM(B63:H63)/$N63</f>
        <v>0.7588376909202027</v>
      </c>
      <c r="AL63" s="68">
        <f t="shared" ref="AL63:AL89" si="48">SUM(B63:I63)/$N63</f>
        <v>0.82091047874485668</v>
      </c>
      <c r="AM63" s="68">
        <f t="shared" ref="AM63:AM89" si="49">SUM(B63:J63)/$N63</f>
        <v>0.86211732453156042</v>
      </c>
      <c r="AN63" s="68">
        <f t="shared" ref="AN63:AN89" si="50">SUM(B63:K63)/$N63</f>
        <v>0.91846863007563817</v>
      </c>
      <c r="AO63" s="68">
        <f t="shared" ref="AO63:AO89" si="51">SUM(B63:L63)/$N63</f>
        <v>0.93748679362927145</v>
      </c>
      <c r="AP63" s="68">
        <f t="shared" ref="AP63:AP89" si="52">SUM(B63:M63)/$N63</f>
        <v>1</v>
      </c>
      <c r="AQ63" s="92"/>
      <c r="AT63" s="68">
        <f t="shared" si="15"/>
        <v>0.13680834409104373</v>
      </c>
      <c r="AU63" s="68">
        <f t="shared" si="16"/>
        <v>0.29702795274824362</v>
      </c>
      <c r="AV63" s="68">
        <f t="shared" si="17"/>
        <v>0.379171450874564</v>
      </c>
      <c r="AW63" s="68">
        <f t="shared" si="18"/>
        <v>0.44144291710184036</v>
      </c>
      <c r="AX63" s="68">
        <f t="shared" si="19"/>
        <v>0.57447903489822882</v>
      </c>
      <c r="AY63" s="68">
        <f t="shared" si="20"/>
        <v>0.66010121978380787</v>
      </c>
      <c r="AZ63" s="68">
        <f t="shared" si="21"/>
        <v>0.70930504109553494</v>
      </c>
      <c r="BA63" s="68">
        <f t="shared" si="22"/>
        <v>0.79997632222532156</v>
      </c>
      <c r="BB63" s="68">
        <f t="shared" si="23"/>
        <v>0.84903850935974867</v>
      </c>
      <c r="BC63" s="68">
        <f t="shared" si="24"/>
        <v>0.86602163651264219</v>
      </c>
      <c r="BD63" s="68">
        <f t="shared" si="25"/>
        <v>0.89998789081842923</v>
      </c>
      <c r="BE63" s="68">
        <f t="shared" si="26"/>
        <v>1</v>
      </c>
      <c r="BG63" s="68">
        <f t="shared" si="40"/>
        <v>0.10670475028043319</v>
      </c>
      <c r="BH63" s="68">
        <f t="shared" si="40"/>
        <v>0.25813242050900864</v>
      </c>
      <c r="BI63" s="68">
        <f t="shared" si="40"/>
        <v>0.35335313495972476</v>
      </c>
      <c r="BJ63" s="68">
        <f t="shared" si="40"/>
        <v>0.4673640094155509</v>
      </c>
      <c r="BK63" s="68">
        <f t="shared" si="40"/>
        <v>0.59749656847580923</v>
      </c>
      <c r="BL63" s="68">
        <f t="shared" si="40"/>
        <v>0.67948932367180848</v>
      </c>
      <c r="BM63" s="68">
        <f t="shared" si="40"/>
        <v>0.73407136600786882</v>
      </c>
      <c r="BN63" s="68">
        <f t="shared" si="40"/>
        <v>0.81044340048508912</v>
      </c>
      <c r="BO63" s="68">
        <f t="shared" si="40"/>
        <v>0.85557791694565455</v>
      </c>
      <c r="BP63" s="68">
        <f t="shared" si="40"/>
        <v>0.89224513329414012</v>
      </c>
      <c r="BQ63" s="68">
        <f t="shared" si="40"/>
        <v>0.91873734222385028</v>
      </c>
      <c r="BR63" s="68">
        <f t="shared" si="40"/>
        <v>1</v>
      </c>
    </row>
    <row r="64" spans="1:70">
      <c r="A64" s="239" t="s">
        <v>120</v>
      </c>
      <c r="B64" s="62">
        <v>2668.89</v>
      </c>
      <c r="C64" s="62">
        <v>7873.25</v>
      </c>
      <c r="D64" s="62">
        <v>2953.58</v>
      </c>
      <c r="E64" s="62">
        <v>2072.87</v>
      </c>
      <c r="F64" s="62">
        <v>2873.53</v>
      </c>
      <c r="G64" s="62">
        <v>2250.79</v>
      </c>
      <c r="H64" s="62">
        <v>1009.72</v>
      </c>
      <c r="I64" s="62">
        <v>969.7</v>
      </c>
      <c r="J64" s="62">
        <v>1218.79</v>
      </c>
      <c r="K64" s="62">
        <v>493.73</v>
      </c>
      <c r="L64" s="62">
        <v>346.96</v>
      </c>
      <c r="M64" s="62">
        <v>1307.77</v>
      </c>
      <c r="N64" s="100">
        <f t="shared" si="0"/>
        <v>26039.58</v>
      </c>
      <c r="P64" s="239" t="s">
        <v>120</v>
      </c>
      <c r="Q64" s="62">
        <v>5489.03</v>
      </c>
      <c r="R64" s="62">
        <v>8011.12</v>
      </c>
      <c r="S64" s="62">
        <v>2615.0700000000002</v>
      </c>
      <c r="T64" s="62">
        <v>1083.58</v>
      </c>
      <c r="U64" s="62">
        <v>2207.84</v>
      </c>
      <c r="V64" s="62">
        <v>1367.17</v>
      </c>
      <c r="W64" s="62">
        <v>523.6</v>
      </c>
      <c r="X64" s="62">
        <v>1762.78</v>
      </c>
      <c r="Y64" s="62">
        <v>65.45</v>
      </c>
      <c r="Z64" s="62">
        <v>104.72</v>
      </c>
      <c r="AA64" s="62">
        <v>104.72</v>
      </c>
      <c r="AB64" s="62">
        <v>261.8</v>
      </c>
      <c r="AC64" s="100">
        <f t="shared" si="14"/>
        <v>23596.879999999997</v>
      </c>
      <c r="AE64" s="68">
        <f t="shared" si="41"/>
        <v>0.10249358860626784</v>
      </c>
      <c r="AF64" s="68">
        <f t="shared" si="42"/>
        <v>0.40485061587014837</v>
      </c>
      <c r="AG64" s="68">
        <f t="shared" si="43"/>
        <v>0.51827717651359961</v>
      </c>
      <c r="AH64" s="68">
        <f t="shared" si="44"/>
        <v>0.59788176306991125</v>
      </c>
      <c r="AI64" s="68">
        <f t="shared" si="45"/>
        <v>0.70823415738656303</v>
      </c>
      <c r="AJ64" s="68">
        <f t="shared" si="46"/>
        <v>0.79467141943149611</v>
      </c>
      <c r="AK64" s="68">
        <f t="shared" si="47"/>
        <v>0.83344777450327534</v>
      </c>
      <c r="AL64" s="68">
        <f t="shared" si="48"/>
        <v>0.87068723842704066</v>
      </c>
      <c r="AM64" s="68">
        <f t="shared" si="49"/>
        <v>0.9174925248410305</v>
      </c>
      <c r="AN64" s="68">
        <f t="shared" si="50"/>
        <v>0.93645327612810958</v>
      </c>
      <c r="AO64" s="68">
        <f t="shared" si="51"/>
        <v>0.94977760778015619</v>
      </c>
      <c r="AP64" s="68">
        <f t="shared" si="52"/>
        <v>1</v>
      </c>
      <c r="AQ64" s="92"/>
      <c r="AT64" s="68">
        <f t="shared" si="15"/>
        <v>0.23261676967463496</v>
      </c>
      <c r="AU64" s="68">
        <f t="shared" si="16"/>
        <v>0.57211588989730855</v>
      </c>
      <c r="AV64" s="68">
        <f t="shared" si="17"/>
        <v>0.68293859188163863</v>
      </c>
      <c r="AW64" s="68">
        <f t="shared" si="18"/>
        <v>0.72885906950410395</v>
      </c>
      <c r="AX64" s="68">
        <f t="shared" si="19"/>
        <v>0.82242398147551721</v>
      </c>
      <c r="AY64" s="68">
        <f t="shared" si="20"/>
        <v>0.88036257335715573</v>
      </c>
      <c r="AZ64" s="68">
        <f t="shared" si="21"/>
        <v>0.90255194754560764</v>
      </c>
      <c r="BA64" s="68">
        <f t="shared" si="22"/>
        <v>0.97725589145683656</v>
      </c>
      <c r="BB64" s="68">
        <f t="shared" si="23"/>
        <v>0.98002956323039314</v>
      </c>
      <c r="BC64" s="68">
        <f t="shared" si="24"/>
        <v>0.98446743806808357</v>
      </c>
      <c r="BD64" s="68">
        <f t="shared" si="25"/>
        <v>0.98890531290577399</v>
      </c>
      <c r="BE64" s="68">
        <f t="shared" si="26"/>
        <v>1</v>
      </c>
      <c r="BG64" s="68">
        <f t="shared" si="40"/>
        <v>0.1675551791404514</v>
      </c>
      <c r="BH64" s="68">
        <f t="shared" si="40"/>
        <v>0.48848325288372846</v>
      </c>
      <c r="BI64" s="68">
        <f t="shared" si="40"/>
        <v>0.60060788419761912</v>
      </c>
      <c r="BJ64" s="68">
        <f t="shared" si="40"/>
        <v>0.66337041628700755</v>
      </c>
      <c r="BK64" s="68">
        <f t="shared" si="40"/>
        <v>0.76532906943104018</v>
      </c>
      <c r="BL64" s="68">
        <f t="shared" si="40"/>
        <v>0.83751699639432586</v>
      </c>
      <c r="BM64" s="68">
        <f t="shared" si="40"/>
        <v>0.86799986102444149</v>
      </c>
      <c r="BN64" s="68">
        <f t="shared" si="40"/>
        <v>0.92397156494193866</v>
      </c>
      <c r="BO64" s="68">
        <f t="shared" si="40"/>
        <v>0.94876104403571182</v>
      </c>
      <c r="BP64" s="68">
        <f t="shared" si="40"/>
        <v>0.96046035709809652</v>
      </c>
      <c r="BQ64" s="68">
        <f t="shared" si="40"/>
        <v>0.96934146034296509</v>
      </c>
      <c r="BR64" s="68">
        <f t="shared" si="40"/>
        <v>1</v>
      </c>
    </row>
    <row r="65" spans="1:70">
      <c r="A65" s="239" t="s">
        <v>121</v>
      </c>
      <c r="B65" s="62">
        <v>1583.53</v>
      </c>
      <c r="C65" s="62">
        <v>3053.66</v>
      </c>
      <c r="D65" s="62">
        <v>1003.81</v>
      </c>
      <c r="E65" s="62">
        <v>5320.03</v>
      </c>
      <c r="F65" s="62">
        <v>3101.8800000000006</v>
      </c>
      <c r="G65" s="62">
        <v>5574.91</v>
      </c>
      <c r="H65" s="62">
        <v>2464.3200000000002</v>
      </c>
      <c r="I65" s="62">
        <v>707.26</v>
      </c>
      <c r="J65" s="62">
        <v>1430.52</v>
      </c>
      <c r="K65" s="62">
        <v>1928.29</v>
      </c>
      <c r="L65" s="62">
        <v>1702.26</v>
      </c>
      <c r="M65" s="62">
        <v>696.13</v>
      </c>
      <c r="N65" s="100">
        <f t="shared" si="0"/>
        <v>28566.6</v>
      </c>
      <c r="P65" s="239" t="s">
        <v>121</v>
      </c>
      <c r="Q65" s="62">
        <v>1326.45</v>
      </c>
      <c r="R65" s="62">
        <v>2018.8700000000001</v>
      </c>
      <c r="S65" s="62">
        <v>707.43000000000006</v>
      </c>
      <c r="T65" s="62">
        <v>1994.92</v>
      </c>
      <c r="U65" s="62">
        <v>2985.21</v>
      </c>
      <c r="V65" s="62">
        <v>5981.61</v>
      </c>
      <c r="W65" s="62">
        <v>1923.36</v>
      </c>
      <c r="X65" s="62">
        <v>2375.39</v>
      </c>
      <c r="Y65" s="62">
        <v>1247.9100000000001</v>
      </c>
      <c r="Z65" s="62">
        <v>1926.83</v>
      </c>
      <c r="AA65" s="62">
        <v>748.59</v>
      </c>
      <c r="AB65" s="62">
        <v>1151.8800000000001</v>
      </c>
      <c r="AC65" s="100">
        <f t="shared" si="14"/>
        <v>24388.450000000004</v>
      </c>
      <c r="AE65" s="68">
        <f t="shared" si="41"/>
        <v>5.543291816316958E-2</v>
      </c>
      <c r="AF65" s="68">
        <f t="shared" si="42"/>
        <v>0.16232908361513096</v>
      </c>
      <c r="AG65" s="68">
        <f t="shared" si="43"/>
        <v>0.19746837215489418</v>
      </c>
      <c r="AH65" s="68">
        <f t="shared" si="44"/>
        <v>0.38370089545133124</v>
      </c>
      <c r="AI65" s="68">
        <f t="shared" si="45"/>
        <v>0.49228504617280322</v>
      </c>
      <c r="AJ65" s="68">
        <f t="shared" si="46"/>
        <v>0.68743987733927037</v>
      </c>
      <c r="AK65" s="68">
        <f t="shared" si="47"/>
        <v>0.77370565625590726</v>
      </c>
      <c r="AL65" s="68">
        <f t="shared" si="48"/>
        <v>0.79846394040592861</v>
      </c>
      <c r="AM65" s="68">
        <f t="shared" si="49"/>
        <v>0.84854060336196813</v>
      </c>
      <c r="AN65" s="68">
        <f t="shared" si="50"/>
        <v>0.91604216112523018</v>
      </c>
      <c r="AO65" s="68">
        <f t="shared" si="51"/>
        <v>0.97563133169505645</v>
      </c>
      <c r="AP65" s="68">
        <f t="shared" si="52"/>
        <v>1</v>
      </c>
      <c r="AQ65" s="92"/>
      <c r="AT65" s="68">
        <f t="shared" si="15"/>
        <v>5.4388450270517391E-2</v>
      </c>
      <c r="AU65" s="68">
        <f t="shared" si="16"/>
        <v>0.13716820872175148</v>
      </c>
      <c r="AV65" s="68">
        <f t="shared" si="17"/>
        <v>0.16617497216920302</v>
      </c>
      <c r="AW65" s="68">
        <f t="shared" si="18"/>
        <v>0.24797270839270225</v>
      </c>
      <c r="AX65" s="68">
        <f t="shared" si="19"/>
        <v>0.37037532110486726</v>
      </c>
      <c r="AY65" s="68">
        <f t="shared" si="20"/>
        <v>0.61563937027568372</v>
      </c>
      <c r="AZ65" s="68">
        <f t="shared" si="21"/>
        <v>0.69450293069055224</v>
      </c>
      <c r="BA65" s="68">
        <f t="shared" si="22"/>
        <v>0.79190108432475204</v>
      </c>
      <c r="BB65" s="68">
        <f t="shared" si="23"/>
        <v>0.84306915773655144</v>
      </c>
      <c r="BC65" s="68">
        <f t="shared" si="24"/>
        <v>0.92207499861614817</v>
      </c>
      <c r="BD65" s="68">
        <f t="shared" si="25"/>
        <v>0.95276944619276749</v>
      </c>
      <c r="BE65" s="68">
        <f t="shared" si="26"/>
        <v>1</v>
      </c>
      <c r="BG65" s="68">
        <f t="shared" si="40"/>
        <v>5.4910684216843489E-2</v>
      </c>
      <c r="BH65" s="68">
        <f t="shared" si="40"/>
        <v>0.14974864616844122</v>
      </c>
      <c r="BI65" s="68">
        <f t="shared" si="40"/>
        <v>0.18182167216204859</v>
      </c>
      <c r="BJ65" s="68">
        <f t="shared" si="40"/>
        <v>0.31583680192201674</v>
      </c>
      <c r="BK65" s="68">
        <f t="shared" si="40"/>
        <v>0.43133018363883524</v>
      </c>
      <c r="BL65" s="68">
        <f t="shared" si="40"/>
        <v>0.6515396238074771</v>
      </c>
      <c r="BM65" s="68">
        <f t="shared" si="40"/>
        <v>0.73410429347322981</v>
      </c>
      <c r="BN65" s="68">
        <f t="shared" si="40"/>
        <v>0.79518251236534032</v>
      </c>
      <c r="BO65" s="68">
        <f t="shared" si="40"/>
        <v>0.84580488054925973</v>
      </c>
      <c r="BP65" s="68">
        <f t="shared" si="40"/>
        <v>0.91905857987068917</v>
      </c>
      <c r="BQ65" s="68">
        <f t="shared" si="40"/>
        <v>0.96420038894391191</v>
      </c>
      <c r="BR65" s="68">
        <f t="shared" si="40"/>
        <v>1</v>
      </c>
    </row>
    <row r="66" spans="1:70">
      <c r="A66" s="239" t="s">
        <v>122</v>
      </c>
      <c r="B66" s="62">
        <v>5150.9799999999996</v>
      </c>
      <c r="C66" s="62">
        <v>4421.49</v>
      </c>
      <c r="D66" s="62">
        <v>7868.82</v>
      </c>
      <c r="E66" s="62">
        <v>4790.72</v>
      </c>
      <c r="F66" s="62">
        <v>4884.1200000000008</v>
      </c>
      <c r="G66" s="62">
        <v>5942.71</v>
      </c>
      <c r="H66" s="62">
        <v>3236.5200000000004</v>
      </c>
      <c r="I66" s="62">
        <v>2889.54</v>
      </c>
      <c r="J66" s="62">
        <v>2090.65</v>
      </c>
      <c r="K66" s="62">
        <v>2446.4899999999998</v>
      </c>
      <c r="L66" s="62">
        <v>661.87</v>
      </c>
      <c r="M66" s="62">
        <v>1476.83</v>
      </c>
      <c r="N66" s="100">
        <f t="shared" si="0"/>
        <v>45860.740000000005</v>
      </c>
      <c r="P66" s="239" t="s">
        <v>122</v>
      </c>
      <c r="Q66" s="62">
        <v>3780.3599999999997</v>
      </c>
      <c r="R66" s="62">
        <v>8620.23</v>
      </c>
      <c r="S66" s="62">
        <v>8765.0399999999991</v>
      </c>
      <c r="T66" s="62">
        <v>4372.07</v>
      </c>
      <c r="U66" s="62">
        <v>3672.1499999999996</v>
      </c>
      <c r="V66" s="62">
        <v>4239.45</v>
      </c>
      <c r="W66" s="62">
        <v>2652.91</v>
      </c>
      <c r="X66" s="62">
        <v>916.3</v>
      </c>
      <c r="Y66" s="62">
        <v>1169.6799999999998</v>
      </c>
      <c r="Z66" s="62">
        <v>694.64</v>
      </c>
      <c r="AA66" s="62">
        <v>506.15</v>
      </c>
      <c r="AB66" s="62">
        <v>1527.16</v>
      </c>
      <c r="AC66" s="100">
        <f t="shared" si="14"/>
        <v>40916.14</v>
      </c>
      <c r="AE66" s="68">
        <f t="shared" si="41"/>
        <v>0.11231785618810336</v>
      </c>
      <c r="AF66" s="68">
        <f t="shared" si="42"/>
        <v>0.20872907851029002</v>
      </c>
      <c r="AG66" s="68">
        <f t="shared" si="43"/>
        <v>0.3803098249177837</v>
      </c>
      <c r="AH66" s="68">
        <f t="shared" si="44"/>
        <v>0.48477216023989145</v>
      </c>
      <c r="AI66" s="68">
        <f t="shared" si="45"/>
        <v>0.59127109593085503</v>
      </c>
      <c r="AJ66" s="68">
        <f t="shared" si="46"/>
        <v>0.72085273809362871</v>
      </c>
      <c r="AK66" s="68">
        <f t="shared" si="47"/>
        <v>0.79142551995454058</v>
      </c>
      <c r="AL66" s="68">
        <f t="shared" si="48"/>
        <v>0.85443235325029643</v>
      </c>
      <c r="AM66" s="68">
        <f t="shared" si="49"/>
        <v>0.90001927574653173</v>
      </c>
      <c r="AN66" s="68">
        <f t="shared" si="50"/>
        <v>0.95336534037610376</v>
      </c>
      <c r="AO66" s="68">
        <f t="shared" si="51"/>
        <v>0.96779751046319795</v>
      </c>
      <c r="AP66" s="68">
        <f t="shared" si="52"/>
        <v>1</v>
      </c>
      <c r="AQ66" s="92"/>
      <c r="AT66" s="68">
        <f t="shared" si="15"/>
        <v>9.2392879680243539E-2</v>
      </c>
      <c r="AU66" s="68">
        <f t="shared" si="16"/>
        <v>0.30307331043446428</v>
      </c>
      <c r="AV66" s="68">
        <f t="shared" si="17"/>
        <v>0.51729293134689636</v>
      </c>
      <c r="AW66" s="68">
        <f t="shared" si="18"/>
        <v>0.62414734136700079</v>
      </c>
      <c r="AX66" s="68">
        <f t="shared" si="19"/>
        <v>0.71389554342125139</v>
      </c>
      <c r="AY66" s="68">
        <f t="shared" si="20"/>
        <v>0.817508689724886</v>
      </c>
      <c r="AZ66" s="68">
        <f t="shared" si="21"/>
        <v>0.88234642857317414</v>
      </c>
      <c r="BA66" s="68">
        <f t="shared" si="22"/>
        <v>0.90474101418168951</v>
      </c>
      <c r="BB66" s="68">
        <f t="shared" si="23"/>
        <v>0.93332826605833286</v>
      </c>
      <c r="BC66" s="68">
        <f t="shared" si="24"/>
        <v>0.95030542959330955</v>
      </c>
      <c r="BD66" s="68">
        <f t="shared" si="25"/>
        <v>0.96267585358736174</v>
      </c>
      <c r="BE66" s="68">
        <f t="shared" si="26"/>
        <v>1</v>
      </c>
      <c r="BG66" s="68">
        <f t="shared" si="40"/>
        <v>0.10235536793417345</v>
      </c>
      <c r="BH66" s="68">
        <f t="shared" si="40"/>
        <v>0.25590119447237714</v>
      </c>
      <c r="BI66" s="68">
        <f t="shared" si="40"/>
        <v>0.44880137813234</v>
      </c>
      <c r="BJ66" s="68">
        <f t="shared" ref="BJ66:BR97" si="53">(AH66+AW66)/2</f>
        <v>0.55445975080344612</v>
      </c>
      <c r="BK66" s="68">
        <f t="shared" si="53"/>
        <v>0.65258331967605321</v>
      </c>
      <c r="BL66" s="68">
        <f t="shared" si="53"/>
        <v>0.76918071390925735</v>
      </c>
      <c r="BM66" s="68">
        <f t="shared" si="53"/>
        <v>0.83688597426385736</v>
      </c>
      <c r="BN66" s="68">
        <f t="shared" si="53"/>
        <v>0.87958668371599291</v>
      </c>
      <c r="BO66" s="68">
        <f t="shared" si="53"/>
        <v>0.91667377090243229</v>
      </c>
      <c r="BP66" s="68">
        <f t="shared" si="53"/>
        <v>0.95183538498470666</v>
      </c>
      <c r="BQ66" s="68">
        <f t="shared" si="53"/>
        <v>0.96523668202527979</v>
      </c>
      <c r="BR66" s="68">
        <f t="shared" si="53"/>
        <v>1</v>
      </c>
    </row>
    <row r="67" spans="1:70">
      <c r="A67" s="239" t="s">
        <v>123</v>
      </c>
      <c r="B67" s="62">
        <v>31234.92</v>
      </c>
      <c r="C67" s="62">
        <v>47326.14</v>
      </c>
      <c r="D67" s="62">
        <v>24469.39</v>
      </c>
      <c r="E67" s="62">
        <v>15891.17</v>
      </c>
      <c r="F67" s="62">
        <v>27695.940000000002</v>
      </c>
      <c r="G67" s="62">
        <v>33178.17</v>
      </c>
      <c r="H67" s="62">
        <v>5204.3900000000012</v>
      </c>
      <c r="I67" s="62">
        <v>7570.8</v>
      </c>
      <c r="J67" s="62">
        <v>5462.35</v>
      </c>
      <c r="K67" s="62">
        <v>4492.6499999999996</v>
      </c>
      <c r="L67" s="62">
        <v>2063.91</v>
      </c>
      <c r="M67" s="62">
        <v>1770.34</v>
      </c>
      <c r="N67" s="100">
        <f t="shared" ref="N67:N130" si="54">SUM(B67:M67)</f>
        <v>206360.16999999998</v>
      </c>
      <c r="P67" s="239" t="s">
        <v>123</v>
      </c>
      <c r="Q67" s="62">
        <v>19083.32</v>
      </c>
      <c r="R67" s="62">
        <v>51126.59</v>
      </c>
      <c r="S67" s="62">
        <v>14530.61</v>
      </c>
      <c r="T67" s="62">
        <v>16867.39</v>
      </c>
      <c r="U67" s="62">
        <v>18300.309999999998</v>
      </c>
      <c r="V67" s="62">
        <v>23559.85</v>
      </c>
      <c r="W67" s="62">
        <v>10590.67</v>
      </c>
      <c r="X67" s="62">
        <v>10864.09</v>
      </c>
      <c r="Y67" s="62">
        <v>7692.9699999999993</v>
      </c>
      <c r="Z67" s="62">
        <v>6625.25</v>
      </c>
      <c r="AA67" s="62">
        <v>2579.63</v>
      </c>
      <c r="AB67" s="62">
        <v>2745.37</v>
      </c>
      <c r="AC67" s="100">
        <f t="shared" si="14"/>
        <v>184566.05000000002</v>
      </c>
      <c r="AE67" s="68">
        <f t="shared" si="41"/>
        <v>0.15136118563965129</v>
      </c>
      <c r="AF67" s="68">
        <f t="shared" si="42"/>
        <v>0.38069875596632818</v>
      </c>
      <c r="AG67" s="68">
        <f t="shared" si="43"/>
        <v>0.49927488429574374</v>
      </c>
      <c r="AH67" s="68">
        <f t="shared" si="44"/>
        <v>0.57628184741270572</v>
      </c>
      <c r="AI67" s="68">
        <f t="shared" si="45"/>
        <v>0.71049350269482725</v>
      </c>
      <c r="AJ67" s="68">
        <f t="shared" si="46"/>
        <v>0.87127147646757608</v>
      </c>
      <c r="AK67" s="68">
        <f t="shared" si="47"/>
        <v>0.8964914111090333</v>
      </c>
      <c r="AL67" s="68">
        <f t="shared" si="48"/>
        <v>0.93317872339415109</v>
      </c>
      <c r="AM67" s="68">
        <f t="shared" si="49"/>
        <v>0.95964870546481917</v>
      </c>
      <c r="AN67" s="68">
        <f t="shared" si="50"/>
        <v>0.98141962181946252</v>
      </c>
      <c r="AO67" s="68">
        <f t="shared" si="51"/>
        <v>0.99142111580931536</v>
      </c>
      <c r="AP67" s="68">
        <f t="shared" si="52"/>
        <v>1</v>
      </c>
      <c r="AQ67" s="92"/>
      <c r="AT67" s="68">
        <f t="shared" si="15"/>
        <v>0.10339561365700788</v>
      </c>
      <c r="AU67" s="68">
        <f t="shared" si="16"/>
        <v>0.38040533456721859</v>
      </c>
      <c r="AV67" s="68">
        <f t="shared" si="17"/>
        <v>0.4591338439545084</v>
      </c>
      <c r="AW67" s="68">
        <f t="shared" si="18"/>
        <v>0.55052329504803288</v>
      </c>
      <c r="AX67" s="68">
        <f t="shared" si="19"/>
        <v>0.6496764708352375</v>
      </c>
      <c r="AY67" s="68">
        <f t="shared" si="20"/>
        <v>0.77732643679593294</v>
      </c>
      <c r="AZ67" s="68">
        <f t="shared" si="21"/>
        <v>0.83470789996318395</v>
      </c>
      <c r="BA67" s="68">
        <f t="shared" si="22"/>
        <v>0.89357078400930179</v>
      </c>
      <c r="BB67" s="68">
        <f t="shared" si="23"/>
        <v>0.93525217665979199</v>
      </c>
      <c r="BC67" s="68">
        <f t="shared" si="24"/>
        <v>0.97114854004840001</v>
      </c>
      <c r="BD67" s="68">
        <f t="shared" si="25"/>
        <v>0.98512527087186408</v>
      </c>
      <c r="BE67" s="68">
        <f t="shared" si="26"/>
        <v>1</v>
      </c>
      <c r="BG67" s="68">
        <f t="shared" ref="BG67:BL129" si="55">(AE67+AT67)/2</f>
        <v>0.12737839964832959</v>
      </c>
      <c r="BH67" s="68">
        <f t="shared" si="55"/>
        <v>0.38055204526677339</v>
      </c>
      <c r="BI67" s="68">
        <f t="shared" si="55"/>
        <v>0.47920436412512607</v>
      </c>
      <c r="BJ67" s="68">
        <f t="shared" si="53"/>
        <v>0.5634025712303693</v>
      </c>
      <c r="BK67" s="68">
        <f t="shared" si="53"/>
        <v>0.68008498676503237</v>
      </c>
      <c r="BL67" s="68">
        <f t="shared" si="53"/>
        <v>0.82429895663175445</v>
      </c>
      <c r="BM67" s="68">
        <f t="shared" si="53"/>
        <v>0.86559965553610863</v>
      </c>
      <c r="BN67" s="68">
        <f t="shared" si="53"/>
        <v>0.91337475370172649</v>
      </c>
      <c r="BO67" s="68">
        <f t="shared" si="53"/>
        <v>0.94745044106230558</v>
      </c>
      <c r="BP67" s="68">
        <f t="shared" si="53"/>
        <v>0.97628408093393126</v>
      </c>
      <c r="BQ67" s="68">
        <f t="shared" si="53"/>
        <v>0.98827319334058972</v>
      </c>
      <c r="BR67" s="68">
        <f t="shared" si="53"/>
        <v>1</v>
      </c>
    </row>
    <row r="68" spans="1:70">
      <c r="A68" s="239" t="s">
        <v>124</v>
      </c>
      <c r="B68" s="62">
        <v>14959.14</v>
      </c>
      <c r="C68" s="62">
        <v>16687.259999999998</v>
      </c>
      <c r="D68" s="62">
        <v>15111.92</v>
      </c>
      <c r="E68" s="62">
        <v>7793.25</v>
      </c>
      <c r="F68" s="62">
        <v>9284.86</v>
      </c>
      <c r="G68" s="62">
        <v>9382.66</v>
      </c>
      <c r="H68" s="62">
        <v>2284.5700000000002</v>
      </c>
      <c r="I68" s="62">
        <v>1590.66</v>
      </c>
      <c r="J68" s="62">
        <v>1482.12</v>
      </c>
      <c r="K68" s="62">
        <v>2193.85</v>
      </c>
      <c r="L68" s="62">
        <v>1948.27</v>
      </c>
      <c r="M68" s="62">
        <v>784.65</v>
      </c>
      <c r="N68" s="100">
        <f t="shared" si="54"/>
        <v>83503.210000000006</v>
      </c>
      <c r="P68" s="239" t="s">
        <v>124</v>
      </c>
      <c r="Q68" s="62">
        <v>15341.420000000002</v>
      </c>
      <c r="R68" s="62">
        <v>19949.2</v>
      </c>
      <c r="S68" s="62">
        <v>6093.52</v>
      </c>
      <c r="T68" s="62">
        <v>6752.4500000000007</v>
      </c>
      <c r="U68" s="62">
        <v>7388.01</v>
      </c>
      <c r="V68" s="62">
        <v>8597.86</v>
      </c>
      <c r="W68" s="62">
        <v>1837.8400000000001</v>
      </c>
      <c r="X68" s="62">
        <v>1466.08</v>
      </c>
      <c r="Y68" s="62">
        <v>2312.56</v>
      </c>
      <c r="Z68" s="62">
        <v>1815.14</v>
      </c>
      <c r="AA68" s="62">
        <v>1125.75</v>
      </c>
      <c r="AB68" s="62">
        <v>2871.07</v>
      </c>
      <c r="AC68" s="100">
        <f t="shared" ref="AC68:AC131" si="56">SUM(Q68:AB68)</f>
        <v>75550.900000000009</v>
      </c>
      <c r="AE68" s="68">
        <f t="shared" si="41"/>
        <v>0.17914449037348382</v>
      </c>
      <c r="AF68" s="68">
        <f t="shared" si="42"/>
        <v>0.37898423306121998</v>
      </c>
      <c r="AG68" s="68">
        <f t="shared" si="43"/>
        <v>0.5599583536968219</v>
      </c>
      <c r="AH68" s="68">
        <f t="shared" si="44"/>
        <v>0.65328710117850552</v>
      </c>
      <c r="AI68" s="68">
        <f t="shared" si="45"/>
        <v>0.76447875476882854</v>
      </c>
      <c r="AJ68" s="68">
        <f t="shared" si="46"/>
        <v>0.87684162081912764</v>
      </c>
      <c r="AK68" s="68">
        <f t="shared" si="47"/>
        <v>0.90420068881184323</v>
      </c>
      <c r="AL68" s="68">
        <f t="shared" si="48"/>
        <v>0.92324977686486542</v>
      </c>
      <c r="AM68" s="68">
        <f t="shared" si="49"/>
        <v>0.94099903464788959</v>
      </c>
      <c r="AN68" s="68">
        <f t="shared" si="50"/>
        <v>0.96727167734030828</v>
      </c>
      <c r="AO68" s="68">
        <f t="shared" si="51"/>
        <v>0.99060335524825938</v>
      </c>
      <c r="AP68" s="68">
        <f t="shared" si="52"/>
        <v>1</v>
      </c>
      <c r="AQ68" s="92"/>
      <c r="AT68" s="68">
        <f t="shared" ref="AT68:AT131" si="57">Q68/AC68</f>
        <v>0.20306071800600656</v>
      </c>
      <c r="AU68" s="68">
        <f t="shared" ref="AU68:AU131" si="58">SUM(Q68:R68)/$AC68</f>
        <v>0.46711051754512517</v>
      </c>
      <c r="AV68" s="68">
        <f t="shared" ref="AV68:AV131" si="59">SUM(Q68:S68)/$AC68</f>
        <v>0.54776501669735234</v>
      </c>
      <c r="AW68" s="68">
        <f t="shared" ref="AW68:AW131" si="60">SUM(Q68:T68)/$AC68</f>
        <v>0.63714118561128974</v>
      </c>
      <c r="AX68" s="68">
        <f t="shared" ref="AX68:AX131" si="61">SUM(Q68:U68)/$AC68</f>
        <v>0.73492969640335182</v>
      </c>
      <c r="AY68" s="68">
        <f t="shared" ref="AY68:AY131" si="62">SUM(Q68:V68)/$AC68</f>
        <v>0.84873191451061458</v>
      </c>
      <c r="AZ68" s="68">
        <f t="shared" ref="AZ68:AZ131" si="63">SUM(Q68:W68)/$AC68</f>
        <v>0.87305776635354437</v>
      </c>
      <c r="BA68" s="68">
        <f t="shared" ref="BA68:BA131" si="64">SUM(Q68:X68)/$AC68</f>
        <v>0.89246296205604425</v>
      </c>
      <c r="BB68" s="68">
        <f t="shared" ref="BB68:BB131" si="65">SUM(Q68:Y68)/$AC68</f>
        <v>0.92307225989366104</v>
      </c>
      <c r="BC68" s="68">
        <f t="shared" ref="BC68:BC131" si="66">SUM(Q68:Z68)/$AC68</f>
        <v>0.94709765204650098</v>
      </c>
      <c r="BD68" s="68">
        <f t="shared" ref="BD68:BD131" si="67">SUM(Q68:AA68)/$AC68</f>
        <v>0.9619982025363033</v>
      </c>
      <c r="BE68" s="68">
        <f t="shared" ref="BE68:BE131" si="68">SUM(Q68:AB68)/$AC68</f>
        <v>1</v>
      </c>
      <c r="BG68" s="68">
        <f t="shared" si="55"/>
        <v>0.19110260418974517</v>
      </c>
      <c r="BH68" s="68">
        <f t="shared" si="55"/>
        <v>0.4230473753031726</v>
      </c>
      <c r="BI68" s="68">
        <f t="shared" si="55"/>
        <v>0.55386168519708712</v>
      </c>
      <c r="BJ68" s="68">
        <f t="shared" si="53"/>
        <v>0.64521414339489769</v>
      </c>
      <c r="BK68" s="68">
        <f t="shared" si="53"/>
        <v>0.74970422558609018</v>
      </c>
      <c r="BL68" s="68">
        <f t="shared" si="53"/>
        <v>0.86278676766487106</v>
      </c>
      <c r="BM68" s="68">
        <f t="shared" si="53"/>
        <v>0.8886292275826938</v>
      </c>
      <c r="BN68" s="68">
        <f t="shared" si="53"/>
        <v>0.90785636946045489</v>
      </c>
      <c r="BO68" s="68">
        <f t="shared" si="53"/>
        <v>0.93203564727077537</v>
      </c>
      <c r="BP68" s="68">
        <f t="shared" si="53"/>
        <v>0.95718466469340457</v>
      </c>
      <c r="BQ68" s="68">
        <f t="shared" si="53"/>
        <v>0.97630077889228128</v>
      </c>
      <c r="BR68" s="68">
        <f t="shared" si="53"/>
        <v>1</v>
      </c>
    </row>
    <row r="69" spans="1:70">
      <c r="A69" s="239" t="s">
        <v>125</v>
      </c>
      <c r="B69" s="62">
        <v>12597.15</v>
      </c>
      <c r="C69" s="62">
        <v>32040.05</v>
      </c>
      <c r="D69" s="62">
        <v>16081.57</v>
      </c>
      <c r="E69" s="62">
        <v>17107.72</v>
      </c>
      <c r="F69" s="62">
        <v>15112</v>
      </c>
      <c r="G69" s="62">
        <v>19408.919999999998</v>
      </c>
      <c r="H69" s="62">
        <v>9781.57</v>
      </c>
      <c r="I69" s="62">
        <v>4087.9</v>
      </c>
      <c r="J69" s="62">
        <v>3193.77</v>
      </c>
      <c r="K69" s="62">
        <v>2953.6</v>
      </c>
      <c r="L69" s="62">
        <v>2473.17</v>
      </c>
      <c r="M69" s="62">
        <v>1583.54</v>
      </c>
      <c r="N69" s="100">
        <f t="shared" si="54"/>
        <v>136420.96</v>
      </c>
      <c r="P69" s="239" t="s">
        <v>125</v>
      </c>
      <c r="Q69" s="62">
        <v>7738.6900000000005</v>
      </c>
      <c r="R69" s="62">
        <v>37788.32</v>
      </c>
      <c r="S69" s="62">
        <v>12685.380000000001</v>
      </c>
      <c r="T69" s="62">
        <v>13549.58</v>
      </c>
      <c r="U69" s="62">
        <v>9271.4500000000007</v>
      </c>
      <c r="V69" s="62">
        <v>14722.02</v>
      </c>
      <c r="W69" s="62">
        <v>5079.4400000000005</v>
      </c>
      <c r="X69" s="62">
        <v>5508.68</v>
      </c>
      <c r="Y69" s="62">
        <v>5535.52</v>
      </c>
      <c r="Z69" s="62">
        <v>3831.01</v>
      </c>
      <c r="AA69" s="62">
        <v>2068.23</v>
      </c>
      <c r="AB69" s="62">
        <v>5960.33</v>
      </c>
      <c r="AC69" s="100">
        <f t="shared" si="56"/>
        <v>123738.65</v>
      </c>
      <c r="AE69" s="68">
        <f t="shared" si="41"/>
        <v>9.23402826075993E-2</v>
      </c>
      <c r="AF69" s="68">
        <f t="shared" si="42"/>
        <v>0.32720191970500723</v>
      </c>
      <c r="AG69" s="68">
        <f t="shared" si="43"/>
        <v>0.4450838786063373</v>
      </c>
      <c r="AH69" s="68">
        <f t="shared" si="44"/>
        <v>0.57048777548552654</v>
      </c>
      <c r="AI69" s="68">
        <f t="shared" si="45"/>
        <v>0.68126254206098535</v>
      </c>
      <c r="AJ69" s="68">
        <f t="shared" si="46"/>
        <v>0.82353481459154076</v>
      </c>
      <c r="AK69" s="68">
        <f t="shared" si="47"/>
        <v>0.8952361865801266</v>
      </c>
      <c r="AL69" s="68">
        <f t="shared" si="48"/>
        <v>0.92520152328498484</v>
      </c>
      <c r="AM69" s="68">
        <f t="shared" si="49"/>
        <v>0.94861266186662219</v>
      </c>
      <c r="AN69" s="68">
        <f t="shared" si="50"/>
        <v>0.97026329385161914</v>
      </c>
      <c r="AO69" s="68">
        <f t="shared" si="51"/>
        <v>0.98839225292066546</v>
      </c>
      <c r="AP69" s="68">
        <f t="shared" si="52"/>
        <v>1</v>
      </c>
      <c r="AQ69" s="92"/>
      <c r="AT69" s="68">
        <f t="shared" si="57"/>
        <v>6.2540604734252395E-2</v>
      </c>
      <c r="AU69" s="68">
        <f t="shared" si="58"/>
        <v>0.36792877568972998</v>
      </c>
      <c r="AV69" s="68">
        <f t="shared" si="59"/>
        <v>0.47044629951918826</v>
      </c>
      <c r="AW69" s="68">
        <f t="shared" si="60"/>
        <v>0.57994789825167803</v>
      </c>
      <c r="AX69" s="68">
        <f t="shared" si="61"/>
        <v>0.65487557848740063</v>
      </c>
      <c r="AY69" s="68">
        <f t="shared" si="62"/>
        <v>0.77385230887843048</v>
      </c>
      <c r="AZ69" s="68">
        <f t="shared" si="63"/>
        <v>0.8149020536428998</v>
      </c>
      <c r="BA69" s="68">
        <f t="shared" si="64"/>
        <v>0.8594207226278936</v>
      </c>
      <c r="BB69" s="68">
        <f t="shared" si="65"/>
        <v>0.90415630039603634</v>
      </c>
      <c r="BC69" s="68">
        <f t="shared" si="66"/>
        <v>0.93511679657083702</v>
      </c>
      <c r="BD69" s="68">
        <f t="shared" si="67"/>
        <v>0.95183129927472132</v>
      </c>
      <c r="BE69" s="68">
        <f t="shared" si="68"/>
        <v>1</v>
      </c>
      <c r="BG69" s="68">
        <f t="shared" si="55"/>
        <v>7.744044367092584E-2</v>
      </c>
      <c r="BH69" s="68">
        <f t="shared" si="55"/>
        <v>0.34756534769736858</v>
      </c>
      <c r="BI69" s="68">
        <f t="shared" si="55"/>
        <v>0.45776508906276281</v>
      </c>
      <c r="BJ69" s="68">
        <f t="shared" si="53"/>
        <v>0.57521783686860228</v>
      </c>
      <c r="BK69" s="68">
        <f t="shared" si="53"/>
        <v>0.66806906027419299</v>
      </c>
      <c r="BL69" s="68">
        <f t="shared" si="53"/>
        <v>0.79869356173498562</v>
      </c>
      <c r="BM69" s="68">
        <f t="shared" si="53"/>
        <v>0.85506912011151326</v>
      </c>
      <c r="BN69" s="68">
        <f t="shared" si="53"/>
        <v>0.89231112295643922</v>
      </c>
      <c r="BO69" s="68">
        <f t="shared" si="53"/>
        <v>0.92638448113132932</v>
      </c>
      <c r="BP69" s="68">
        <f t="shared" si="53"/>
        <v>0.95269004521122813</v>
      </c>
      <c r="BQ69" s="68">
        <f t="shared" si="53"/>
        <v>0.97011177609769339</v>
      </c>
      <c r="BR69" s="68">
        <f t="shared" si="53"/>
        <v>1</v>
      </c>
    </row>
    <row r="70" spans="1:70">
      <c r="A70" s="239" t="s">
        <v>126</v>
      </c>
      <c r="B70" s="62">
        <v>9341.14</v>
      </c>
      <c r="C70" s="62">
        <v>17058.71</v>
      </c>
      <c r="D70" s="62">
        <v>13698.14</v>
      </c>
      <c r="E70" s="62">
        <v>9628.14</v>
      </c>
      <c r="F70" s="62">
        <v>12302.95</v>
      </c>
      <c r="G70" s="62">
        <v>15558.27</v>
      </c>
      <c r="H70" s="62">
        <v>3067.05</v>
      </c>
      <c r="I70" s="62">
        <v>9330.14</v>
      </c>
      <c r="J70" s="62">
        <v>9866</v>
      </c>
      <c r="K70" s="62">
        <v>4264.29</v>
      </c>
      <c r="L70" s="62">
        <v>6658.88</v>
      </c>
      <c r="M70" s="62">
        <v>5429.69</v>
      </c>
      <c r="N70" s="100">
        <f t="shared" si="54"/>
        <v>116203.40000000001</v>
      </c>
      <c r="P70" s="239" t="s">
        <v>126</v>
      </c>
      <c r="Q70" s="62">
        <v>8126.2000000000007</v>
      </c>
      <c r="R70" s="62">
        <v>23106.539999999997</v>
      </c>
      <c r="S70" s="62">
        <v>7863.66</v>
      </c>
      <c r="T70" s="62">
        <v>6202.33</v>
      </c>
      <c r="U70" s="62">
        <v>6735.2199999999993</v>
      </c>
      <c r="V70" s="62">
        <v>8698.18</v>
      </c>
      <c r="W70" s="62">
        <v>4857.26</v>
      </c>
      <c r="X70" s="62">
        <v>4642.57</v>
      </c>
      <c r="Y70" s="62">
        <v>9058.2800000000007</v>
      </c>
      <c r="Z70" s="62">
        <v>8150.6900000000005</v>
      </c>
      <c r="AA70" s="62">
        <v>6738.7300000000005</v>
      </c>
      <c r="AB70" s="62">
        <v>3368.4399999999996</v>
      </c>
      <c r="AC70" s="100">
        <f t="shared" si="56"/>
        <v>97548.099999999991</v>
      </c>
      <c r="AE70" s="68">
        <f t="shared" si="41"/>
        <v>8.0386116068892982E-2</v>
      </c>
      <c r="AF70" s="68">
        <f t="shared" si="42"/>
        <v>0.22718655392183015</v>
      </c>
      <c r="AG70" s="68">
        <f t="shared" si="43"/>
        <v>0.34506726997660991</v>
      </c>
      <c r="AH70" s="68">
        <f t="shared" si="44"/>
        <v>0.42792319329727008</v>
      </c>
      <c r="AI70" s="68">
        <f t="shared" si="45"/>
        <v>0.53379746203639478</v>
      </c>
      <c r="AJ70" s="68">
        <f t="shared" si="46"/>
        <v>0.6676857131546925</v>
      </c>
      <c r="AK70" s="68">
        <f t="shared" si="47"/>
        <v>0.69407951918790678</v>
      </c>
      <c r="AL70" s="68">
        <f t="shared" si="48"/>
        <v>0.77437097365481566</v>
      </c>
      <c r="AM70" s="68">
        <f t="shared" si="49"/>
        <v>0.85927382503437932</v>
      </c>
      <c r="AN70" s="68">
        <f t="shared" si="50"/>
        <v>0.89597059982754368</v>
      </c>
      <c r="AO70" s="68">
        <f t="shared" si="51"/>
        <v>0.95327425875662841</v>
      </c>
      <c r="AP70" s="68">
        <f t="shared" si="52"/>
        <v>1</v>
      </c>
      <c r="AQ70" s="92"/>
      <c r="AT70" s="68">
        <f t="shared" si="57"/>
        <v>8.3304544117209889E-2</v>
      </c>
      <c r="AU70" s="68">
        <f t="shared" si="58"/>
        <v>0.32017784047049608</v>
      </c>
      <c r="AV70" s="68">
        <f t="shared" si="59"/>
        <v>0.4007909943914848</v>
      </c>
      <c r="AW70" s="68">
        <f t="shared" si="60"/>
        <v>0.4643732681620657</v>
      </c>
      <c r="AX70" s="68">
        <f t="shared" si="61"/>
        <v>0.53341838539141206</v>
      </c>
      <c r="AY70" s="68">
        <f t="shared" si="62"/>
        <v>0.62258649835312019</v>
      </c>
      <c r="AZ70" s="68">
        <f t="shared" si="63"/>
        <v>0.67237998484850048</v>
      </c>
      <c r="BA70" s="68">
        <f t="shared" si="64"/>
        <v>0.71997260838499155</v>
      </c>
      <c r="BB70" s="68">
        <f t="shared" si="65"/>
        <v>0.81283223353402068</v>
      </c>
      <c r="BC70" s="68">
        <f t="shared" si="66"/>
        <v>0.89638783328429772</v>
      </c>
      <c r="BD70" s="68">
        <f t="shared" si="67"/>
        <v>0.96546893276240131</v>
      </c>
      <c r="BE70" s="68">
        <f t="shared" si="68"/>
        <v>1</v>
      </c>
      <c r="BG70" s="68">
        <f t="shared" si="55"/>
        <v>8.1845330093051435E-2</v>
      </c>
      <c r="BH70" s="68">
        <f t="shared" si="55"/>
        <v>0.2736821971961631</v>
      </c>
      <c r="BI70" s="68">
        <f t="shared" si="55"/>
        <v>0.37292913218404733</v>
      </c>
      <c r="BJ70" s="68">
        <f t="shared" si="53"/>
        <v>0.44614823072966792</v>
      </c>
      <c r="BK70" s="68">
        <f t="shared" si="53"/>
        <v>0.53360792371390342</v>
      </c>
      <c r="BL70" s="68">
        <f t="shared" si="53"/>
        <v>0.64513610575390634</v>
      </c>
      <c r="BM70" s="68">
        <f t="shared" si="53"/>
        <v>0.68322975201820357</v>
      </c>
      <c r="BN70" s="68">
        <f t="shared" si="53"/>
        <v>0.74717179101990361</v>
      </c>
      <c r="BO70" s="68">
        <f t="shared" si="53"/>
        <v>0.8360530292842</v>
      </c>
      <c r="BP70" s="68">
        <f t="shared" si="53"/>
        <v>0.8961792165559207</v>
      </c>
      <c r="BQ70" s="68">
        <f t="shared" si="53"/>
        <v>0.95937159575951481</v>
      </c>
      <c r="BR70" s="68">
        <f t="shared" si="53"/>
        <v>1</v>
      </c>
    </row>
    <row r="71" spans="1:70">
      <c r="A71" s="239" t="s">
        <v>127</v>
      </c>
      <c r="B71" s="62">
        <v>12561.59</v>
      </c>
      <c r="C71" s="62">
        <v>26019.52</v>
      </c>
      <c r="D71" s="62">
        <v>20001.97</v>
      </c>
      <c r="E71" s="62">
        <v>14815.47</v>
      </c>
      <c r="F71" s="62">
        <v>18147.080000000002</v>
      </c>
      <c r="G71" s="62">
        <v>20659.490000000002</v>
      </c>
      <c r="H71" s="62">
        <v>6948.07</v>
      </c>
      <c r="I71" s="62">
        <v>4059.7</v>
      </c>
      <c r="J71" s="62">
        <v>1983.88</v>
      </c>
      <c r="K71" s="62">
        <v>4154.5600000000004</v>
      </c>
      <c r="L71" s="62">
        <v>5742.6</v>
      </c>
      <c r="M71" s="62">
        <v>5186.57</v>
      </c>
      <c r="N71" s="100">
        <f t="shared" si="54"/>
        <v>140280.5</v>
      </c>
      <c r="P71" s="239" t="s">
        <v>127</v>
      </c>
      <c r="Q71" s="62">
        <v>10687.47</v>
      </c>
      <c r="R71" s="62">
        <v>42059.1</v>
      </c>
      <c r="S71" s="62">
        <v>10780.37</v>
      </c>
      <c r="T71" s="62">
        <v>8245.15</v>
      </c>
      <c r="U71" s="62">
        <v>13248.39</v>
      </c>
      <c r="V71" s="62">
        <v>16063.779999999999</v>
      </c>
      <c r="W71" s="62">
        <v>7785.93</v>
      </c>
      <c r="X71" s="62">
        <v>4649.5599999999995</v>
      </c>
      <c r="Y71" s="62">
        <v>4497.67</v>
      </c>
      <c r="Z71" s="62">
        <v>2933.2000000000003</v>
      </c>
      <c r="AA71" s="62">
        <v>1939.79</v>
      </c>
      <c r="AB71" s="62">
        <v>2569.12</v>
      </c>
      <c r="AC71" s="100">
        <f t="shared" si="56"/>
        <v>125459.52999999998</v>
      </c>
      <c r="AE71" s="68">
        <f t="shared" si="41"/>
        <v>8.9546230588000472E-2</v>
      </c>
      <c r="AF71" s="68">
        <f t="shared" si="42"/>
        <v>0.2750283182623387</v>
      </c>
      <c r="AG71" s="68">
        <f t="shared" si="43"/>
        <v>0.41761385224603564</v>
      </c>
      <c r="AH71" s="68">
        <f t="shared" si="44"/>
        <v>0.52322703440606499</v>
      </c>
      <c r="AI71" s="68">
        <f t="shared" si="45"/>
        <v>0.65258984677129039</v>
      </c>
      <c r="AJ71" s="68">
        <f t="shared" si="46"/>
        <v>0.79986256108297316</v>
      </c>
      <c r="AK71" s="68">
        <f t="shared" si="47"/>
        <v>0.84939239594954397</v>
      </c>
      <c r="AL71" s="68">
        <f t="shared" si="48"/>
        <v>0.87833226998763192</v>
      </c>
      <c r="AM71" s="68">
        <f t="shared" si="49"/>
        <v>0.89247450643532067</v>
      </c>
      <c r="AN71" s="68">
        <f t="shared" si="50"/>
        <v>0.92209059705376017</v>
      </c>
      <c r="AO71" s="68">
        <f t="shared" si="51"/>
        <v>0.96302714917611498</v>
      </c>
      <c r="AP71" s="68">
        <f t="shared" si="52"/>
        <v>1</v>
      </c>
      <c r="AQ71" s="92"/>
      <c r="AT71" s="68">
        <f t="shared" si="57"/>
        <v>8.5186593637007896E-2</v>
      </c>
      <c r="AU71" s="68">
        <f t="shared" si="58"/>
        <v>0.42042696955743425</v>
      </c>
      <c r="AV71" s="68">
        <f t="shared" si="59"/>
        <v>0.50635404102023984</v>
      </c>
      <c r="AW71" s="68">
        <f t="shared" si="60"/>
        <v>0.57207364000168026</v>
      </c>
      <c r="AX71" s="68">
        <f t="shared" si="61"/>
        <v>0.67767255305356244</v>
      </c>
      <c r="AY71" s="68">
        <f t="shared" si="62"/>
        <v>0.8057120889899716</v>
      </c>
      <c r="AZ71" s="68">
        <f t="shared" si="63"/>
        <v>0.86777138412681776</v>
      </c>
      <c r="BA71" s="68">
        <f t="shared" si="64"/>
        <v>0.90483162179867893</v>
      </c>
      <c r="BB71" s="68">
        <f t="shared" si="65"/>
        <v>0.94068119018140761</v>
      </c>
      <c r="BC71" s="68">
        <f t="shared" si="66"/>
        <v>0.96406084097397793</v>
      </c>
      <c r="BD71" s="68">
        <f t="shared" si="67"/>
        <v>0.97952232086315005</v>
      </c>
      <c r="BE71" s="68">
        <f t="shared" si="68"/>
        <v>1</v>
      </c>
      <c r="BG71" s="68">
        <f t="shared" si="55"/>
        <v>8.7366412112504177E-2</v>
      </c>
      <c r="BH71" s="68">
        <f t="shared" si="55"/>
        <v>0.34772764390988647</v>
      </c>
      <c r="BI71" s="68">
        <f t="shared" si="55"/>
        <v>0.46198394663313774</v>
      </c>
      <c r="BJ71" s="68">
        <f t="shared" si="53"/>
        <v>0.54765033720387257</v>
      </c>
      <c r="BK71" s="68">
        <f t="shared" si="53"/>
        <v>0.66513119991242642</v>
      </c>
      <c r="BL71" s="68">
        <f t="shared" si="53"/>
        <v>0.80278732503647232</v>
      </c>
      <c r="BM71" s="68">
        <f t="shared" si="53"/>
        <v>0.85858189003818086</v>
      </c>
      <c r="BN71" s="68">
        <f t="shared" si="53"/>
        <v>0.89158194589315543</v>
      </c>
      <c r="BO71" s="68">
        <f t="shared" si="53"/>
        <v>0.9165778483083642</v>
      </c>
      <c r="BP71" s="68">
        <f t="shared" si="53"/>
        <v>0.943075719013869</v>
      </c>
      <c r="BQ71" s="68">
        <f t="shared" si="53"/>
        <v>0.97127473501963246</v>
      </c>
      <c r="BR71" s="68">
        <f t="shared" si="53"/>
        <v>1</v>
      </c>
    </row>
    <row r="72" spans="1:70">
      <c r="A72" s="239" t="s">
        <v>128</v>
      </c>
      <c r="B72" s="62">
        <v>4950.79</v>
      </c>
      <c r="C72" s="62">
        <v>8055.64</v>
      </c>
      <c r="D72" s="62">
        <v>5217.68</v>
      </c>
      <c r="E72" s="62">
        <v>5324.46</v>
      </c>
      <c r="F72" s="62">
        <v>6013.92</v>
      </c>
      <c r="G72" s="62">
        <v>3576.34</v>
      </c>
      <c r="H72" s="62">
        <v>1485.71</v>
      </c>
      <c r="I72" s="62">
        <v>1636.92</v>
      </c>
      <c r="J72" s="62">
        <v>2019.46</v>
      </c>
      <c r="K72" s="62">
        <v>1565.76</v>
      </c>
      <c r="L72" s="62">
        <v>685.01</v>
      </c>
      <c r="M72" s="62">
        <v>1174.3399999999999</v>
      </c>
      <c r="N72" s="100">
        <f t="shared" si="54"/>
        <v>41706.03</v>
      </c>
      <c r="P72" s="239" t="s">
        <v>128</v>
      </c>
      <c r="Q72" s="62">
        <v>8452.6299999999992</v>
      </c>
      <c r="R72" s="62">
        <v>7927.32</v>
      </c>
      <c r="S72" s="62">
        <v>6726.71</v>
      </c>
      <c r="T72" s="62">
        <v>1728.33</v>
      </c>
      <c r="U72" s="62">
        <v>3574.4100000000003</v>
      </c>
      <c r="V72" s="62">
        <v>4671.26</v>
      </c>
      <c r="W72" s="62">
        <v>2042.0400000000002</v>
      </c>
      <c r="X72" s="62">
        <v>1469.3</v>
      </c>
      <c r="Y72" s="62">
        <v>2387.11</v>
      </c>
      <c r="Z72" s="62">
        <v>1610.46</v>
      </c>
      <c r="AA72" s="62">
        <v>790.13</v>
      </c>
      <c r="AB72" s="62">
        <v>366.51</v>
      </c>
      <c r="AC72" s="100">
        <f t="shared" si="56"/>
        <v>41746.21</v>
      </c>
      <c r="AE72" s="68">
        <f t="shared" si="41"/>
        <v>0.1187068152974522</v>
      </c>
      <c r="AF72" s="68">
        <f t="shared" si="42"/>
        <v>0.3118596999043064</v>
      </c>
      <c r="AG72" s="68">
        <f t="shared" si="43"/>
        <v>0.43696582964142117</v>
      </c>
      <c r="AH72" s="68">
        <f t="shared" si="44"/>
        <v>0.56463226061075578</v>
      </c>
      <c r="AI72" s="68">
        <f t="shared" si="45"/>
        <v>0.70883011401468798</v>
      </c>
      <c r="AJ72" s="68">
        <f t="shared" si="46"/>
        <v>0.7945812631890401</v>
      </c>
      <c r="AK72" s="68">
        <f t="shared" si="47"/>
        <v>0.83020464906393632</v>
      </c>
      <c r="AL72" s="68">
        <f t="shared" si="48"/>
        <v>0.86945364974801009</v>
      </c>
      <c r="AM72" s="68">
        <f t="shared" si="49"/>
        <v>0.9178749451817878</v>
      </c>
      <c r="AN72" s="68">
        <f t="shared" si="50"/>
        <v>0.95541771777366491</v>
      </c>
      <c r="AO72" s="68">
        <f t="shared" si="51"/>
        <v>0.97184244100912998</v>
      </c>
      <c r="AP72" s="68">
        <f t="shared" si="52"/>
        <v>1</v>
      </c>
      <c r="AQ72" s="92"/>
      <c r="AT72" s="68">
        <f t="shared" si="57"/>
        <v>0.20247658410188613</v>
      </c>
      <c r="AU72" s="68">
        <f t="shared" si="58"/>
        <v>0.39236975045159789</v>
      </c>
      <c r="AV72" s="68">
        <f t="shared" si="59"/>
        <v>0.55350318028870171</v>
      </c>
      <c r="AW72" s="68">
        <f t="shared" si="60"/>
        <v>0.59490406434500276</v>
      </c>
      <c r="AX72" s="68">
        <f t="shared" si="61"/>
        <v>0.68052644779011073</v>
      </c>
      <c r="AY72" s="68">
        <f t="shared" si="62"/>
        <v>0.79242307265737411</v>
      </c>
      <c r="AZ72" s="68">
        <f t="shared" si="63"/>
        <v>0.84133865086195847</v>
      </c>
      <c r="BA72" s="68">
        <f t="shared" si="64"/>
        <v>0.8765346602721541</v>
      </c>
      <c r="BB72" s="68">
        <f t="shared" si="65"/>
        <v>0.93371613854287616</v>
      </c>
      <c r="BC72" s="68">
        <f t="shared" si="66"/>
        <v>0.97229353275423092</v>
      </c>
      <c r="BD72" s="68">
        <f t="shared" si="67"/>
        <v>0.99122052037777797</v>
      </c>
      <c r="BE72" s="68">
        <f t="shared" si="68"/>
        <v>1</v>
      </c>
      <c r="BG72" s="68">
        <f t="shared" si="55"/>
        <v>0.16059169969966916</v>
      </c>
      <c r="BH72" s="68">
        <f t="shared" si="55"/>
        <v>0.35211472517795217</v>
      </c>
      <c r="BI72" s="68">
        <f t="shared" si="55"/>
        <v>0.49523450496506144</v>
      </c>
      <c r="BJ72" s="68">
        <f t="shared" si="53"/>
        <v>0.57976816247787921</v>
      </c>
      <c r="BK72" s="68">
        <f t="shared" si="53"/>
        <v>0.69467828090239936</v>
      </c>
      <c r="BL72" s="68">
        <f t="shared" si="53"/>
        <v>0.79350216792320705</v>
      </c>
      <c r="BM72" s="68">
        <f t="shared" si="53"/>
        <v>0.83577164996294739</v>
      </c>
      <c r="BN72" s="68">
        <f t="shared" si="53"/>
        <v>0.87299415501008215</v>
      </c>
      <c r="BO72" s="68">
        <f t="shared" si="53"/>
        <v>0.92579554186233204</v>
      </c>
      <c r="BP72" s="68">
        <f t="shared" si="53"/>
        <v>0.96385562526394786</v>
      </c>
      <c r="BQ72" s="68">
        <f t="shared" si="53"/>
        <v>0.98153148069345397</v>
      </c>
      <c r="BR72" s="68">
        <f t="shared" si="53"/>
        <v>1</v>
      </c>
    </row>
    <row r="73" spans="1:70">
      <c r="A73" s="239" t="s">
        <v>129</v>
      </c>
      <c r="B73" s="62">
        <v>10497.66</v>
      </c>
      <c r="C73" s="62">
        <v>15432.49</v>
      </c>
      <c r="D73" s="62">
        <v>15472.38</v>
      </c>
      <c r="E73" s="62">
        <v>9173.61</v>
      </c>
      <c r="F73" s="62">
        <v>10865.020000000002</v>
      </c>
      <c r="G73" s="62">
        <v>12588.37</v>
      </c>
      <c r="H73" s="62">
        <v>3106.6200000000003</v>
      </c>
      <c r="I73" s="62">
        <v>3414.43</v>
      </c>
      <c r="J73" s="62">
        <v>5111.8599999999997</v>
      </c>
      <c r="K73" s="62">
        <v>3416.24</v>
      </c>
      <c r="L73" s="62">
        <v>1799.28</v>
      </c>
      <c r="M73" s="62">
        <v>1876.1</v>
      </c>
      <c r="N73" s="100">
        <f t="shared" si="54"/>
        <v>92754.06</v>
      </c>
      <c r="P73" s="239" t="s">
        <v>129</v>
      </c>
      <c r="Q73" s="62">
        <v>7971.72</v>
      </c>
      <c r="R73" s="62">
        <v>16915.84</v>
      </c>
      <c r="S73" s="62">
        <v>11551.61</v>
      </c>
      <c r="T73" s="62">
        <v>7325.09</v>
      </c>
      <c r="U73" s="62">
        <v>11655.099999999999</v>
      </c>
      <c r="V73" s="62">
        <v>10958.039999999999</v>
      </c>
      <c r="W73" s="62">
        <v>4707.17</v>
      </c>
      <c r="X73" s="62">
        <v>3435.24</v>
      </c>
      <c r="Y73" s="62">
        <v>3875.21</v>
      </c>
      <c r="Z73" s="62">
        <v>3179.24</v>
      </c>
      <c r="AA73" s="62">
        <v>951.22</v>
      </c>
      <c r="AB73" s="62">
        <v>994.82</v>
      </c>
      <c r="AC73" s="100">
        <f t="shared" si="56"/>
        <v>83520.300000000017</v>
      </c>
      <c r="AE73" s="68">
        <f t="shared" si="41"/>
        <v>0.11317736388035197</v>
      </c>
      <c r="AF73" s="68">
        <f t="shared" si="42"/>
        <v>0.27955811314351092</v>
      </c>
      <c r="AG73" s="68">
        <f t="shared" si="43"/>
        <v>0.44636892444384646</v>
      </c>
      <c r="AH73" s="68">
        <f t="shared" si="44"/>
        <v>0.54527144148730522</v>
      </c>
      <c r="AI73" s="68">
        <f t="shared" si="45"/>
        <v>0.66240938671579452</v>
      </c>
      <c r="AJ73" s="68">
        <f t="shared" si="46"/>
        <v>0.79812711163263361</v>
      </c>
      <c r="AK73" s="68">
        <f t="shared" si="47"/>
        <v>0.83162020077611698</v>
      </c>
      <c r="AL73" s="68">
        <f t="shared" si="48"/>
        <v>0.8684318508537523</v>
      </c>
      <c r="AM73" s="68">
        <f t="shared" si="49"/>
        <v>0.92354383193576639</v>
      </c>
      <c r="AN73" s="68">
        <f t="shared" si="50"/>
        <v>0.96037499598400322</v>
      </c>
      <c r="AO73" s="68">
        <f t="shared" si="51"/>
        <v>0.9797733921296814</v>
      </c>
      <c r="AP73" s="68">
        <f t="shared" si="52"/>
        <v>1</v>
      </c>
      <c r="AQ73" s="92"/>
      <c r="AT73" s="68">
        <f t="shared" si="57"/>
        <v>9.5446496241033602E-2</v>
      </c>
      <c r="AU73" s="68">
        <f t="shared" si="58"/>
        <v>0.29798216720964837</v>
      </c>
      <c r="AV73" s="68">
        <f t="shared" si="59"/>
        <v>0.43629117711502463</v>
      </c>
      <c r="AW73" s="68">
        <f t="shared" si="60"/>
        <v>0.52399548373269711</v>
      </c>
      <c r="AX73" s="68">
        <f t="shared" si="61"/>
        <v>0.66354359359341364</v>
      </c>
      <c r="AY73" s="68">
        <f t="shared" si="62"/>
        <v>0.79474570852834558</v>
      </c>
      <c r="AZ73" s="68">
        <f t="shared" si="63"/>
        <v>0.85110530014858632</v>
      </c>
      <c r="BA73" s="68">
        <f t="shared" si="64"/>
        <v>0.89223589953580129</v>
      </c>
      <c r="BB73" s="68">
        <f t="shared" si="65"/>
        <v>0.93863432003955904</v>
      </c>
      <c r="BC73" s="68">
        <f t="shared" si="66"/>
        <v>0.97669979633693838</v>
      </c>
      <c r="BD73" s="68">
        <f t="shared" si="67"/>
        <v>0.98808888378035031</v>
      </c>
      <c r="BE73" s="68">
        <f t="shared" si="68"/>
        <v>1</v>
      </c>
      <c r="BG73" s="68">
        <f t="shared" si="55"/>
        <v>0.10431193006069278</v>
      </c>
      <c r="BH73" s="68">
        <f t="shared" si="55"/>
        <v>0.28877014017657965</v>
      </c>
      <c r="BI73" s="68">
        <f t="shared" si="55"/>
        <v>0.44133005077943555</v>
      </c>
      <c r="BJ73" s="68">
        <f t="shared" si="53"/>
        <v>0.53463346261000111</v>
      </c>
      <c r="BK73" s="68">
        <f t="shared" si="53"/>
        <v>0.66297649015460403</v>
      </c>
      <c r="BL73" s="68">
        <f t="shared" si="53"/>
        <v>0.7964364100804896</v>
      </c>
      <c r="BM73" s="68">
        <f t="shared" si="53"/>
        <v>0.84136275046235165</v>
      </c>
      <c r="BN73" s="68">
        <f t="shared" si="53"/>
        <v>0.88033387519477679</v>
      </c>
      <c r="BO73" s="68">
        <f t="shared" si="53"/>
        <v>0.93108907598766266</v>
      </c>
      <c r="BP73" s="68">
        <f t="shared" si="53"/>
        <v>0.96853739616047085</v>
      </c>
      <c r="BQ73" s="68">
        <f t="shared" si="53"/>
        <v>0.98393113795501586</v>
      </c>
      <c r="BR73" s="68">
        <f t="shared" si="53"/>
        <v>1</v>
      </c>
    </row>
    <row r="74" spans="1:70">
      <c r="A74" s="239" t="s">
        <v>130</v>
      </c>
      <c r="B74" s="62">
        <v>13010.83</v>
      </c>
      <c r="C74" s="62">
        <v>25777.1</v>
      </c>
      <c r="D74" s="62">
        <v>17883.91</v>
      </c>
      <c r="E74" s="62">
        <v>13512.93</v>
      </c>
      <c r="F74" s="62">
        <v>11389.64</v>
      </c>
      <c r="G74" s="62">
        <v>14786.48</v>
      </c>
      <c r="H74" s="62">
        <v>5457.92</v>
      </c>
      <c r="I74" s="62">
        <v>5755.97</v>
      </c>
      <c r="J74" s="62">
        <v>2753.68</v>
      </c>
      <c r="K74" s="62">
        <v>3282.78</v>
      </c>
      <c r="L74" s="62">
        <v>4298.63</v>
      </c>
      <c r="M74" s="62">
        <v>2837.97</v>
      </c>
      <c r="N74" s="100">
        <f t="shared" si="54"/>
        <v>120747.83999999998</v>
      </c>
      <c r="P74" s="239" t="s">
        <v>130</v>
      </c>
      <c r="Q74" s="62">
        <v>17793.670000000002</v>
      </c>
      <c r="R74" s="62">
        <v>26223.61</v>
      </c>
      <c r="S74" s="62">
        <v>12611.77</v>
      </c>
      <c r="T74" s="62">
        <v>8479.7100000000009</v>
      </c>
      <c r="U74" s="62">
        <v>18583.870000000003</v>
      </c>
      <c r="V74" s="62">
        <v>13927.81</v>
      </c>
      <c r="W74" s="62">
        <v>3993.33</v>
      </c>
      <c r="X74" s="62">
        <v>5813.73</v>
      </c>
      <c r="Y74" s="62">
        <v>2734.91</v>
      </c>
      <c r="Z74" s="62">
        <v>3541.26</v>
      </c>
      <c r="AA74" s="62">
        <v>2178.1699999999996</v>
      </c>
      <c r="AB74" s="62">
        <v>2911.28</v>
      </c>
      <c r="AC74" s="100">
        <f t="shared" si="56"/>
        <v>118793.12</v>
      </c>
      <c r="AE74" s="68">
        <f t="shared" si="41"/>
        <v>0.10775207241802422</v>
      </c>
      <c r="AF74" s="68">
        <f t="shared" si="42"/>
        <v>0.32123083940880437</v>
      </c>
      <c r="AG74" s="68">
        <f t="shared" si="43"/>
        <v>0.46934040393600418</v>
      </c>
      <c r="AH74" s="68">
        <f t="shared" si="44"/>
        <v>0.58125072879150463</v>
      </c>
      <c r="AI74" s="68">
        <f t="shared" si="45"/>
        <v>0.67557655689741536</v>
      </c>
      <c r="AJ74" s="68">
        <f t="shared" si="46"/>
        <v>0.79803406835269264</v>
      </c>
      <c r="AK74" s="68">
        <f t="shared" si="47"/>
        <v>0.84323504254817305</v>
      </c>
      <c r="AL74" s="68">
        <f t="shared" si="48"/>
        <v>0.89090438387966198</v>
      </c>
      <c r="AM74" s="68">
        <f t="shared" si="49"/>
        <v>0.91370959513644301</v>
      </c>
      <c r="AN74" s="68">
        <f t="shared" si="50"/>
        <v>0.94089666531508964</v>
      </c>
      <c r="AO74" s="68">
        <f t="shared" si="51"/>
        <v>0.97649672242584218</v>
      </c>
      <c r="AP74" s="68">
        <f t="shared" si="52"/>
        <v>1</v>
      </c>
      <c r="AQ74" s="92"/>
      <c r="AT74" s="68">
        <f t="shared" si="57"/>
        <v>0.14978704153910599</v>
      </c>
      <c r="AU74" s="68">
        <f t="shared" si="58"/>
        <v>0.37053728364066874</v>
      </c>
      <c r="AV74" s="68">
        <f t="shared" si="59"/>
        <v>0.47670311209942129</v>
      </c>
      <c r="AW74" s="68">
        <f t="shared" si="60"/>
        <v>0.5480852763190327</v>
      </c>
      <c r="AX74" s="68">
        <f t="shared" si="61"/>
        <v>0.70452421823755451</v>
      </c>
      <c r="AY74" s="68">
        <f t="shared" si="62"/>
        <v>0.82176846605257958</v>
      </c>
      <c r="AZ74" s="68">
        <f t="shared" si="63"/>
        <v>0.85538430171713653</v>
      </c>
      <c r="BA74" s="68">
        <f t="shared" si="64"/>
        <v>0.90432425716236764</v>
      </c>
      <c r="BB74" s="68">
        <f t="shared" si="65"/>
        <v>0.92734671839581284</v>
      </c>
      <c r="BC74" s="68">
        <f t="shared" si="66"/>
        <v>0.95715703064285207</v>
      </c>
      <c r="BD74" s="68">
        <f t="shared" si="67"/>
        <v>0.97549285682537845</v>
      </c>
      <c r="BE74" s="68">
        <f t="shared" si="68"/>
        <v>1</v>
      </c>
      <c r="BG74" s="68">
        <f t="shared" si="55"/>
        <v>0.1287695569785651</v>
      </c>
      <c r="BH74" s="68">
        <f t="shared" si="55"/>
        <v>0.34588406152473655</v>
      </c>
      <c r="BI74" s="68">
        <f t="shared" si="55"/>
        <v>0.47302175801771273</v>
      </c>
      <c r="BJ74" s="68">
        <f t="shared" si="53"/>
        <v>0.56466800255526861</v>
      </c>
      <c r="BK74" s="68">
        <f t="shared" si="53"/>
        <v>0.69005038756748494</v>
      </c>
      <c r="BL74" s="68">
        <f t="shared" si="53"/>
        <v>0.80990126720263611</v>
      </c>
      <c r="BM74" s="68">
        <f t="shared" si="53"/>
        <v>0.84930967213265474</v>
      </c>
      <c r="BN74" s="68">
        <f t="shared" si="53"/>
        <v>0.89761432052101475</v>
      </c>
      <c r="BO74" s="68">
        <f t="shared" si="53"/>
        <v>0.92052815676612787</v>
      </c>
      <c r="BP74" s="68">
        <f t="shared" si="53"/>
        <v>0.94902684797897086</v>
      </c>
      <c r="BQ74" s="68">
        <f t="shared" si="53"/>
        <v>0.97599478962561026</v>
      </c>
      <c r="BR74" s="68">
        <f t="shared" si="53"/>
        <v>1</v>
      </c>
    </row>
    <row r="75" spans="1:70">
      <c r="A75" s="239" t="s">
        <v>131</v>
      </c>
      <c r="B75" s="62">
        <v>67318.34</v>
      </c>
      <c r="C75" s="62">
        <v>106195.41</v>
      </c>
      <c r="D75" s="62">
        <v>50423.25</v>
      </c>
      <c r="E75" s="62">
        <v>33295.199999999997</v>
      </c>
      <c r="F75" s="62">
        <v>47818.470000000008</v>
      </c>
      <c r="G75" s="62">
        <v>56628.4</v>
      </c>
      <c r="H75" s="62">
        <v>12405.030000000002</v>
      </c>
      <c r="I75" s="62">
        <v>11169.35</v>
      </c>
      <c r="J75" s="62">
        <v>6500.61</v>
      </c>
      <c r="K75" s="62">
        <v>17959.11</v>
      </c>
      <c r="L75" s="62">
        <v>10257.59</v>
      </c>
      <c r="M75" s="62">
        <v>7638.45</v>
      </c>
      <c r="N75" s="100">
        <f t="shared" si="54"/>
        <v>427609.21000000008</v>
      </c>
      <c r="P75" s="239" t="s">
        <v>131</v>
      </c>
      <c r="Q75" s="62">
        <v>169527.77000000002</v>
      </c>
      <c r="R75" s="62">
        <v>37580.47</v>
      </c>
      <c r="S75" s="62">
        <v>51354.91</v>
      </c>
      <c r="T75" s="62">
        <v>12797.39</v>
      </c>
      <c r="U75" s="62">
        <v>62949.75</v>
      </c>
      <c r="V75" s="62">
        <v>28211.32</v>
      </c>
      <c r="W75" s="62">
        <v>12360.48</v>
      </c>
      <c r="X75" s="62">
        <v>11648.35</v>
      </c>
      <c r="Y75" s="62">
        <v>8611.6</v>
      </c>
      <c r="Z75" s="62">
        <v>10068.469999999999</v>
      </c>
      <c r="AA75" s="62">
        <v>7859.0300000000007</v>
      </c>
      <c r="AB75" s="62">
        <v>7295.48</v>
      </c>
      <c r="AC75" s="100">
        <f t="shared" si="56"/>
        <v>420265.01999999996</v>
      </c>
      <c r="AE75" s="68">
        <f t="shared" si="41"/>
        <v>0.15742958389507089</v>
      </c>
      <c r="AF75" s="68">
        <f t="shared" si="42"/>
        <v>0.4057764564986801</v>
      </c>
      <c r="AG75" s="68">
        <f t="shared" si="43"/>
        <v>0.52369545548375807</v>
      </c>
      <c r="AH75" s="68">
        <f t="shared" si="44"/>
        <v>0.6015590730611251</v>
      </c>
      <c r="AI75" s="68">
        <f t="shared" si="45"/>
        <v>0.71338657556042817</v>
      </c>
      <c r="AJ75" s="68">
        <f t="shared" si="46"/>
        <v>0.84581683822946652</v>
      </c>
      <c r="AK75" s="68">
        <f t="shared" si="47"/>
        <v>0.874827041260407</v>
      </c>
      <c r="AL75" s="68">
        <f t="shared" si="48"/>
        <v>0.900947502978245</v>
      </c>
      <c r="AM75" s="68">
        <f t="shared" si="49"/>
        <v>0.91614972465162758</v>
      </c>
      <c r="AN75" s="68">
        <f t="shared" si="50"/>
        <v>0.95814860956806791</v>
      </c>
      <c r="AO75" s="68">
        <f t="shared" si="51"/>
        <v>0.98213684405908841</v>
      </c>
      <c r="AP75" s="68">
        <f t="shared" si="52"/>
        <v>1</v>
      </c>
      <c r="AQ75" s="92"/>
      <c r="AT75" s="68">
        <f t="shared" si="57"/>
        <v>0.40338301293788392</v>
      </c>
      <c r="AU75" s="68">
        <f t="shared" si="58"/>
        <v>0.49280389788329287</v>
      </c>
      <c r="AV75" s="68">
        <f t="shared" si="59"/>
        <v>0.61500038713666927</v>
      </c>
      <c r="AW75" s="68">
        <f t="shared" si="60"/>
        <v>0.64545114889647504</v>
      </c>
      <c r="AX75" s="68">
        <f t="shared" si="61"/>
        <v>0.79523699117285584</v>
      </c>
      <c r="AY75" s="68">
        <f t="shared" si="62"/>
        <v>0.86236444327438933</v>
      </c>
      <c r="AZ75" s="68">
        <f t="shared" si="63"/>
        <v>0.89177559912076443</v>
      </c>
      <c r="BA75" s="68">
        <f t="shared" si="64"/>
        <v>0.91949227656396437</v>
      </c>
      <c r="BB75" s="68">
        <f t="shared" si="65"/>
        <v>0.93998315634263352</v>
      </c>
      <c r="BC75" s="68">
        <f t="shared" si="66"/>
        <v>0.96394058682304795</v>
      </c>
      <c r="BD75" s="68">
        <f t="shared" si="67"/>
        <v>0.98264076320222893</v>
      </c>
      <c r="BE75" s="68">
        <f t="shared" si="68"/>
        <v>1</v>
      </c>
      <c r="BG75" s="68">
        <f t="shared" si="55"/>
        <v>0.28040629841647741</v>
      </c>
      <c r="BH75" s="68">
        <f t="shared" si="55"/>
        <v>0.44929017719098652</v>
      </c>
      <c r="BI75" s="68">
        <f t="shared" si="55"/>
        <v>0.56934792131021372</v>
      </c>
      <c r="BJ75" s="68">
        <f t="shared" si="53"/>
        <v>0.62350511097880013</v>
      </c>
      <c r="BK75" s="68">
        <f t="shared" si="53"/>
        <v>0.75431178336664195</v>
      </c>
      <c r="BL75" s="68">
        <f t="shared" si="53"/>
        <v>0.85409064075192798</v>
      </c>
      <c r="BM75" s="68">
        <f t="shared" si="53"/>
        <v>0.88330132019058571</v>
      </c>
      <c r="BN75" s="68">
        <f t="shared" si="53"/>
        <v>0.91021988977110468</v>
      </c>
      <c r="BO75" s="68">
        <f t="shared" si="53"/>
        <v>0.92806644049713061</v>
      </c>
      <c r="BP75" s="68">
        <f t="shared" si="53"/>
        <v>0.96104459819555799</v>
      </c>
      <c r="BQ75" s="68">
        <f t="shared" si="53"/>
        <v>0.98238880363065872</v>
      </c>
      <c r="BR75" s="68">
        <f t="shared" si="53"/>
        <v>1</v>
      </c>
    </row>
    <row r="76" spans="1:70">
      <c r="A76" s="239" t="s">
        <v>132</v>
      </c>
      <c r="B76" s="62">
        <v>3149.29</v>
      </c>
      <c r="C76" s="62">
        <v>7125.97</v>
      </c>
      <c r="D76" s="62">
        <v>6118.43</v>
      </c>
      <c r="E76" s="62">
        <v>5368.96</v>
      </c>
      <c r="F76" s="62">
        <v>6347.5600000000013</v>
      </c>
      <c r="G76" s="62">
        <v>8249.1299999999992</v>
      </c>
      <c r="H76" s="62">
        <v>2953.59</v>
      </c>
      <c r="I76" s="62">
        <v>3269.43</v>
      </c>
      <c r="J76" s="62">
        <v>2571.06</v>
      </c>
      <c r="K76" s="62">
        <v>2072.86</v>
      </c>
      <c r="L76" s="62">
        <v>2464.2199999999998</v>
      </c>
      <c r="M76" s="62">
        <v>1031.97</v>
      </c>
      <c r="N76" s="100">
        <f t="shared" si="54"/>
        <v>50722.470000000008</v>
      </c>
      <c r="P76" s="239" t="s">
        <v>132</v>
      </c>
      <c r="Q76" s="62">
        <v>6709.03</v>
      </c>
      <c r="R76" s="62">
        <v>8265.9399999999987</v>
      </c>
      <c r="S76" s="62">
        <v>8309.5300000000007</v>
      </c>
      <c r="T76" s="62">
        <v>2528.9700000000003</v>
      </c>
      <c r="U76" s="62">
        <v>7684.7199999999993</v>
      </c>
      <c r="V76" s="62">
        <v>2780.87</v>
      </c>
      <c r="W76" s="62">
        <v>3306.83</v>
      </c>
      <c r="X76" s="62">
        <v>3312.64</v>
      </c>
      <c r="Y76" s="62">
        <v>3474.96</v>
      </c>
      <c r="Z76" s="62">
        <v>933.75</v>
      </c>
      <c r="AA76" s="62">
        <v>1143.2</v>
      </c>
      <c r="AB76" s="62">
        <v>575.95000000000005</v>
      </c>
      <c r="AC76" s="100">
        <f t="shared" si="56"/>
        <v>49026.39</v>
      </c>
      <c r="AE76" s="68">
        <f t="shared" si="41"/>
        <v>6.2088656171515294E-2</v>
      </c>
      <c r="AF76" s="68">
        <f t="shared" si="42"/>
        <v>0.20257806845762832</v>
      </c>
      <c r="AG76" s="68">
        <f t="shared" si="43"/>
        <v>0.32320370045070757</v>
      </c>
      <c r="AH76" s="68">
        <f t="shared" si="44"/>
        <v>0.42905343529209045</v>
      </c>
      <c r="AI76" s="68">
        <f t="shared" si="45"/>
        <v>0.55419639461564074</v>
      </c>
      <c r="AJ76" s="68">
        <f t="shared" si="46"/>
        <v>0.71682905032030175</v>
      </c>
      <c r="AK76" s="68">
        <f t="shared" si="47"/>
        <v>0.77505945589794822</v>
      </c>
      <c r="AL76" s="68">
        <f t="shared" si="48"/>
        <v>0.83951668757456022</v>
      </c>
      <c r="AM76" s="68">
        <f t="shared" si="49"/>
        <v>0.89020546515183507</v>
      </c>
      <c r="AN76" s="68">
        <f t="shared" si="50"/>
        <v>0.93107216584681307</v>
      </c>
      <c r="AO76" s="68">
        <f t="shared" si="51"/>
        <v>0.9796545791243999</v>
      </c>
      <c r="AP76" s="68">
        <f t="shared" si="52"/>
        <v>1</v>
      </c>
      <c r="AQ76" s="92"/>
      <c r="AT76" s="68">
        <f t="shared" si="57"/>
        <v>0.13684527863462922</v>
      </c>
      <c r="AU76" s="68">
        <f t="shared" si="58"/>
        <v>0.30544712755721964</v>
      </c>
      <c r="AV76" s="68">
        <f t="shared" si="59"/>
        <v>0.47493808946569388</v>
      </c>
      <c r="AW76" s="68">
        <f t="shared" si="60"/>
        <v>0.52652194053039603</v>
      </c>
      <c r="AX76" s="68">
        <f t="shared" si="61"/>
        <v>0.68326854169764495</v>
      </c>
      <c r="AY76" s="68">
        <f t="shared" si="62"/>
        <v>0.73999044188242302</v>
      </c>
      <c r="AZ76" s="68">
        <f t="shared" si="63"/>
        <v>0.80744044177023855</v>
      </c>
      <c r="BA76" s="68">
        <f t="shared" si="64"/>
        <v>0.87500894926181605</v>
      </c>
      <c r="BB76" s="68">
        <f t="shared" si="65"/>
        <v>0.94588832667467471</v>
      </c>
      <c r="BC76" s="68">
        <f t="shared" si="66"/>
        <v>0.96493419156499194</v>
      </c>
      <c r="BD76" s="68">
        <f t="shared" si="67"/>
        <v>0.98825224537233936</v>
      </c>
      <c r="BE76" s="68">
        <f t="shared" si="68"/>
        <v>1</v>
      </c>
      <c r="BG76" s="68">
        <f t="shared" si="55"/>
        <v>9.9466967403072259E-2</v>
      </c>
      <c r="BH76" s="68">
        <f t="shared" si="55"/>
        <v>0.25401259800742398</v>
      </c>
      <c r="BI76" s="68">
        <f t="shared" si="55"/>
        <v>0.39907089495820069</v>
      </c>
      <c r="BJ76" s="68">
        <f t="shared" si="53"/>
        <v>0.47778768791124326</v>
      </c>
      <c r="BK76" s="68">
        <f t="shared" si="53"/>
        <v>0.61873246815664285</v>
      </c>
      <c r="BL76" s="68">
        <f t="shared" si="53"/>
        <v>0.72840974610136233</v>
      </c>
      <c r="BM76" s="68">
        <f t="shared" si="53"/>
        <v>0.79124994883409339</v>
      </c>
      <c r="BN76" s="68">
        <f t="shared" si="53"/>
        <v>0.85726281841818808</v>
      </c>
      <c r="BO76" s="68">
        <f t="shared" si="53"/>
        <v>0.91804689591325483</v>
      </c>
      <c r="BP76" s="68">
        <f t="shared" si="53"/>
        <v>0.94800317870590245</v>
      </c>
      <c r="BQ76" s="68">
        <f t="shared" si="53"/>
        <v>0.98395341224836963</v>
      </c>
      <c r="BR76" s="68">
        <f t="shared" si="53"/>
        <v>1</v>
      </c>
    </row>
    <row r="77" spans="1:70">
      <c r="A77" s="239" t="s">
        <v>133</v>
      </c>
      <c r="B77" s="62">
        <v>9928.2800000000007</v>
      </c>
      <c r="C77" s="62">
        <v>18308.62</v>
      </c>
      <c r="D77" s="62">
        <v>4539.37</v>
      </c>
      <c r="E77" s="62">
        <v>6714.56</v>
      </c>
      <c r="F77" s="62">
        <v>5700.36</v>
      </c>
      <c r="G77" s="62">
        <v>10264.120000000001</v>
      </c>
      <c r="H77" s="62">
        <v>5204.41</v>
      </c>
      <c r="I77" s="62">
        <v>4955.28</v>
      </c>
      <c r="J77" s="62">
        <v>1749.62</v>
      </c>
      <c r="K77" s="62">
        <v>6073.28</v>
      </c>
      <c r="L77" s="62">
        <v>1165.42</v>
      </c>
      <c r="M77" s="62">
        <v>1343.35</v>
      </c>
      <c r="N77" s="100">
        <f t="shared" si="54"/>
        <v>75946.67</v>
      </c>
      <c r="P77" s="239" t="s">
        <v>133</v>
      </c>
      <c r="Q77" s="62">
        <v>4895.66</v>
      </c>
      <c r="R77" s="62">
        <v>13788.14</v>
      </c>
      <c r="S77" s="62">
        <v>4783.5200000000004</v>
      </c>
      <c r="T77" s="62">
        <v>3181.89</v>
      </c>
      <c r="U77" s="62">
        <v>7985.61</v>
      </c>
      <c r="V77" s="62">
        <v>6610.88</v>
      </c>
      <c r="W77" s="62">
        <v>3373.73</v>
      </c>
      <c r="X77" s="62">
        <v>4761.2800000000007</v>
      </c>
      <c r="Y77" s="62">
        <v>2937.39</v>
      </c>
      <c r="Z77" s="62">
        <v>2862.3199999999997</v>
      </c>
      <c r="AA77" s="62">
        <v>2940.89</v>
      </c>
      <c r="AB77" s="62">
        <v>2007.1100000000001</v>
      </c>
      <c r="AC77" s="100">
        <f t="shared" si="56"/>
        <v>60128.42</v>
      </c>
      <c r="AE77" s="68">
        <f t="shared" si="41"/>
        <v>0.1307269956668278</v>
      </c>
      <c r="AF77" s="68">
        <f t="shared" si="42"/>
        <v>0.37179905320404438</v>
      </c>
      <c r="AG77" s="68">
        <f t="shared" si="43"/>
        <v>0.43156954742057824</v>
      </c>
      <c r="AH77" s="68">
        <f t="shared" si="44"/>
        <v>0.51998106039408976</v>
      </c>
      <c r="AI77" s="68">
        <f t="shared" si="45"/>
        <v>0.59503846580765163</v>
      </c>
      <c r="AJ77" s="68">
        <f t="shared" si="46"/>
        <v>0.73018751184219144</v>
      </c>
      <c r="AK77" s="68">
        <f t="shared" si="47"/>
        <v>0.7987146770227056</v>
      </c>
      <c r="AL77" s="68">
        <f t="shared" si="48"/>
        <v>0.86396151404663302</v>
      </c>
      <c r="AM77" s="68">
        <f t="shared" si="49"/>
        <v>0.8869989954793277</v>
      </c>
      <c r="AN77" s="68">
        <f t="shared" si="50"/>
        <v>0.96696668859872326</v>
      </c>
      <c r="AO77" s="68">
        <f t="shared" si="51"/>
        <v>0.98231193020049457</v>
      </c>
      <c r="AP77" s="68">
        <f t="shared" si="52"/>
        <v>1</v>
      </c>
      <c r="AQ77" s="92"/>
      <c r="AT77" s="68">
        <f t="shared" si="57"/>
        <v>8.142006724939721E-2</v>
      </c>
      <c r="AU77" s="68">
        <f t="shared" si="58"/>
        <v>0.31073159747087981</v>
      </c>
      <c r="AV77" s="68">
        <f t="shared" si="59"/>
        <v>0.39028665645962424</v>
      </c>
      <c r="AW77" s="68">
        <f t="shared" si="60"/>
        <v>0.44320489379231981</v>
      </c>
      <c r="AX77" s="68">
        <f t="shared" si="61"/>
        <v>0.57601413774052268</v>
      </c>
      <c r="AY77" s="68">
        <f t="shared" si="62"/>
        <v>0.68596014995903765</v>
      </c>
      <c r="AZ77" s="68">
        <f t="shared" si="63"/>
        <v>0.74206889188174252</v>
      </c>
      <c r="BA77" s="68">
        <f t="shared" si="64"/>
        <v>0.82125407585963506</v>
      </c>
      <c r="BB77" s="68">
        <f t="shared" si="65"/>
        <v>0.87010601642284968</v>
      </c>
      <c r="BC77" s="68">
        <f t="shared" si="66"/>
        <v>0.91770946251373309</v>
      </c>
      <c r="BD77" s="68">
        <f t="shared" si="67"/>
        <v>0.96661961182415901</v>
      </c>
      <c r="BE77" s="68">
        <f t="shared" si="68"/>
        <v>1</v>
      </c>
      <c r="BG77" s="68">
        <f t="shared" si="55"/>
        <v>0.1060735314581125</v>
      </c>
      <c r="BH77" s="68">
        <f t="shared" si="55"/>
        <v>0.34126532533746212</v>
      </c>
      <c r="BI77" s="68">
        <f t="shared" si="55"/>
        <v>0.41092810194010121</v>
      </c>
      <c r="BJ77" s="68">
        <f t="shared" si="53"/>
        <v>0.48159297709320481</v>
      </c>
      <c r="BK77" s="68">
        <f t="shared" si="53"/>
        <v>0.58552630177408715</v>
      </c>
      <c r="BL77" s="68">
        <f t="shared" si="53"/>
        <v>0.70807383090061449</v>
      </c>
      <c r="BM77" s="68">
        <f t="shared" si="53"/>
        <v>0.77039178445222412</v>
      </c>
      <c r="BN77" s="68">
        <f t="shared" si="53"/>
        <v>0.84260779495313409</v>
      </c>
      <c r="BO77" s="68">
        <f t="shared" si="53"/>
        <v>0.87855250595108869</v>
      </c>
      <c r="BP77" s="68">
        <f t="shared" si="53"/>
        <v>0.94233807555622817</v>
      </c>
      <c r="BQ77" s="68">
        <f t="shared" si="53"/>
        <v>0.97446577101232679</v>
      </c>
      <c r="BR77" s="68">
        <f t="shared" si="53"/>
        <v>1</v>
      </c>
    </row>
    <row r="78" spans="1:70">
      <c r="A78" s="239" t="s">
        <v>134</v>
      </c>
      <c r="B78" s="62">
        <v>83954.55</v>
      </c>
      <c r="C78" s="62">
        <v>95070.8</v>
      </c>
      <c r="D78" s="62">
        <v>63509.81</v>
      </c>
      <c r="E78" s="62">
        <v>55363.37</v>
      </c>
      <c r="F78" s="62">
        <v>67107.009999999995</v>
      </c>
      <c r="G78" s="62">
        <v>88088.15</v>
      </c>
      <c r="H78" s="62">
        <v>34578.660000000003</v>
      </c>
      <c r="I78" s="62">
        <v>21034.080000000002</v>
      </c>
      <c r="J78" s="62">
        <v>19381.650000000001</v>
      </c>
      <c r="K78" s="62">
        <v>21653.65</v>
      </c>
      <c r="L78" s="62">
        <v>14707.82</v>
      </c>
      <c r="M78" s="62">
        <v>25732.73</v>
      </c>
      <c r="N78" s="100">
        <f t="shared" si="54"/>
        <v>590182.28</v>
      </c>
      <c r="P78" s="239" t="s">
        <v>134</v>
      </c>
      <c r="Q78" s="62">
        <v>79831.540000000008</v>
      </c>
      <c r="R78" s="62">
        <v>106357.46</v>
      </c>
      <c r="S78" s="62">
        <v>47207.72</v>
      </c>
      <c r="T78" s="62">
        <v>37224.980000000003</v>
      </c>
      <c r="U78" s="62">
        <v>65792.61</v>
      </c>
      <c r="V78" s="62">
        <v>54148.72</v>
      </c>
      <c r="W78" s="62">
        <v>26373.78</v>
      </c>
      <c r="X78" s="62">
        <v>22877.43</v>
      </c>
      <c r="Y78" s="62">
        <v>11358.56</v>
      </c>
      <c r="Z78" s="62">
        <v>17948.990000000002</v>
      </c>
      <c r="AA78" s="62">
        <v>12590.97</v>
      </c>
      <c r="AB78" s="62">
        <v>11059.57</v>
      </c>
      <c r="AC78" s="100">
        <f t="shared" si="56"/>
        <v>492772.33</v>
      </c>
      <c r="AE78" s="68">
        <f t="shared" si="41"/>
        <v>0.14225189885402861</v>
      </c>
      <c r="AF78" s="68">
        <f t="shared" si="42"/>
        <v>0.30333908025839068</v>
      </c>
      <c r="AG78" s="68">
        <f t="shared" si="43"/>
        <v>0.41094957984844954</v>
      </c>
      <c r="AH78" s="68">
        <f t="shared" si="44"/>
        <v>0.50475681852054255</v>
      </c>
      <c r="AI78" s="68">
        <f t="shared" si="45"/>
        <v>0.61846238419764143</v>
      </c>
      <c r="AJ78" s="68">
        <f t="shared" si="46"/>
        <v>0.76771822088592701</v>
      </c>
      <c r="AK78" s="68">
        <f t="shared" si="47"/>
        <v>0.82630801792286968</v>
      </c>
      <c r="AL78" s="68">
        <f t="shared" si="48"/>
        <v>0.86194799003453659</v>
      </c>
      <c r="AM78" s="68">
        <f t="shared" si="49"/>
        <v>0.89478809834819173</v>
      </c>
      <c r="AN78" s="68">
        <f t="shared" si="50"/>
        <v>0.93147786477086381</v>
      </c>
      <c r="AO78" s="68">
        <f t="shared" si="51"/>
        <v>0.9563986739825534</v>
      </c>
      <c r="AP78" s="68">
        <f t="shared" si="52"/>
        <v>1</v>
      </c>
      <c r="AQ78" s="92"/>
      <c r="AT78" s="68">
        <f t="shared" si="57"/>
        <v>0.16200491614454085</v>
      </c>
      <c r="AU78" s="68">
        <f t="shared" si="58"/>
        <v>0.37783980281522705</v>
      </c>
      <c r="AV78" s="68">
        <f t="shared" si="59"/>
        <v>0.47364006822379817</v>
      </c>
      <c r="AW78" s="68">
        <f t="shared" si="60"/>
        <v>0.54918201271568967</v>
      </c>
      <c r="AX78" s="68">
        <f t="shared" si="61"/>
        <v>0.68269724073184057</v>
      </c>
      <c r="AY78" s="68">
        <f t="shared" si="62"/>
        <v>0.79258311845553509</v>
      </c>
      <c r="AZ78" s="68">
        <f t="shared" si="63"/>
        <v>0.84610434599686235</v>
      </c>
      <c r="BA78" s="68">
        <f t="shared" si="64"/>
        <v>0.89253030907802811</v>
      </c>
      <c r="BB78" s="68">
        <f t="shared" si="65"/>
        <v>0.91558062929385675</v>
      </c>
      <c r="BC78" s="68">
        <f t="shared" si="66"/>
        <v>0.95200513795082609</v>
      </c>
      <c r="BD78" s="68">
        <f t="shared" si="67"/>
        <v>0.9775564305731208</v>
      </c>
      <c r="BE78" s="68">
        <f t="shared" si="68"/>
        <v>1</v>
      </c>
      <c r="BG78" s="68">
        <f t="shared" si="55"/>
        <v>0.15212840749928475</v>
      </c>
      <c r="BH78" s="68">
        <f t="shared" si="55"/>
        <v>0.34058944153680887</v>
      </c>
      <c r="BI78" s="68">
        <f t="shared" si="55"/>
        <v>0.44229482403612386</v>
      </c>
      <c r="BJ78" s="68">
        <f t="shared" si="53"/>
        <v>0.52696941561811617</v>
      </c>
      <c r="BK78" s="68">
        <f t="shared" si="53"/>
        <v>0.65057981246474106</v>
      </c>
      <c r="BL78" s="68">
        <f t="shared" si="53"/>
        <v>0.78015066967073099</v>
      </c>
      <c r="BM78" s="68">
        <f t="shared" si="53"/>
        <v>0.83620618195986607</v>
      </c>
      <c r="BN78" s="68">
        <f t="shared" si="53"/>
        <v>0.87723914955628235</v>
      </c>
      <c r="BO78" s="68">
        <f t="shared" si="53"/>
        <v>0.90518436382102418</v>
      </c>
      <c r="BP78" s="68">
        <f t="shared" si="53"/>
        <v>0.941741501360845</v>
      </c>
      <c r="BQ78" s="68">
        <f t="shared" si="53"/>
        <v>0.9669775522778371</v>
      </c>
      <c r="BR78" s="68">
        <f t="shared" si="53"/>
        <v>1</v>
      </c>
    </row>
    <row r="79" spans="1:70">
      <c r="A79" s="239" t="s">
        <v>135</v>
      </c>
      <c r="B79" s="62">
        <v>14812.37</v>
      </c>
      <c r="C79" s="62">
        <v>30836.87</v>
      </c>
      <c r="D79" s="62">
        <v>20218.46</v>
      </c>
      <c r="E79" s="62">
        <v>12213.27</v>
      </c>
      <c r="F79" s="62">
        <v>13719.760000000002</v>
      </c>
      <c r="G79" s="62">
        <v>15166.9</v>
      </c>
      <c r="H79" s="62">
        <v>2820.1500000000005</v>
      </c>
      <c r="I79" s="62">
        <v>4590.51</v>
      </c>
      <c r="J79" s="62">
        <v>5100.58</v>
      </c>
      <c r="K79" s="62">
        <v>3190.82</v>
      </c>
      <c r="L79" s="62">
        <v>4602.3599999999997</v>
      </c>
      <c r="M79" s="62">
        <v>1405.61</v>
      </c>
      <c r="N79" s="100">
        <f t="shared" si="54"/>
        <v>128677.66</v>
      </c>
      <c r="P79" s="239" t="s">
        <v>135</v>
      </c>
      <c r="Q79" s="62">
        <v>20714.349999999999</v>
      </c>
      <c r="R79" s="62">
        <v>38213.75</v>
      </c>
      <c r="S79" s="62">
        <v>15240.64</v>
      </c>
      <c r="T79" s="62">
        <v>11284.650000000001</v>
      </c>
      <c r="U79" s="62">
        <v>13137.09</v>
      </c>
      <c r="V79" s="62">
        <v>14304.77</v>
      </c>
      <c r="W79" s="62">
        <v>4128.6000000000004</v>
      </c>
      <c r="X79" s="62">
        <v>2029.8100000000002</v>
      </c>
      <c r="Y79" s="62">
        <v>2199.11</v>
      </c>
      <c r="Z79" s="62">
        <v>2460.92</v>
      </c>
      <c r="AA79" s="62">
        <v>1588.26</v>
      </c>
      <c r="AB79" s="62">
        <v>2696.54</v>
      </c>
      <c r="AC79" s="100">
        <f t="shared" si="56"/>
        <v>127998.48999999998</v>
      </c>
      <c r="AE79" s="68">
        <f t="shared" si="41"/>
        <v>0.11511221139706769</v>
      </c>
      <c r="AF79" s="68">
        <f t="shared" si="42"/>
        <v>0.35475652883336545</v>
      </c>
      <c r="AG79" s="68">
        <f t="shared" si="43"/>
        <v>0.51188139417518153</v>
      </c>
      <c r="AH79" s="68">
        <f t="shared" si="44"/>
        <v>0.60679507227594909</v>
      </c>
      <c r="AI79" s="68">
        <f t="shared" si="45"/>
        <v>0.71341622158811413</v>
      </c>
      <c r="AJ79" s="68">
        <f t="shared" si="46"/>
        <v>0.83128361208930912</v>
      </c>
      <c r="AK79" s="68">
        <f t="shared" si="47"/>
        <v>0.853200003792422</v>
      </c>
      <c r="AL79" s="68">
        <f t="shared" si="48"/>
        <v>0.88887449460924295</v>
      </c>
      <c r="AM79" s="68">
        <f t="shared" si="49"/>
        <v>0.9285129213571337</v>
      </c>
      <c r="AN79" s="68">
        <f t="shared" si="50"/>
        <v>0.95330992186211649</v>
      </c>
      <c r="AO79" s="68">
        <f t="shared" si="51"/>
        <v>0.98907650325627616</v>
      </c>
      <c r="AP79" s="68">
        <f t="shared" si="52"/>
        <v>1</v>
      </c>
      <c r="AQ79" s="92"/>
      <c r="AT79" s="68">
        <f t="shared" si="57"/>
        <v>0.16183276849594086</v>
      </c>
      <c r="AU79" s="68">
        <f t="shared" si="58"/>
        <v>0.46038121230961404</v>
      </c>
      <c r="AV79" s="68">
        <f t="shared" si="59"/>
        <v>0.57945011695059845</v>
      </c>
      <c r="AW79" s="68">
        <f t="shared" si="60"/>
        <v>0.66761248511603533</v>
      </c>
      <c r="AX79" s="68">
        <f t="shared" si="61"/>
        <v>0.77024721151007325</v>
      </c>
      <c r="AY79" s="68">
        <f t="shared" si="62"/>
        <v>0.88200454552237306</v>
      </c>
      <c r="AZ79" s="68">
        <f t="shared" si="63"/>
        <v>0.91425961353137852</v>
      </c>
      <c r="BA79" s="68">
        <f t="shared" si="64"/>
        <v>0.93011769123213883</v>
      </c>
      <c r="BB79" s="68">
        <f t="shared" si="65"/>
        <v>0.94729844078629377</v>
      </c>
      <c r="BC79" s="68">
        <f t="shared" si="66"/>
        <v>0.96652460509495086</v>
      </c>
      <c r="BD79" s="68">
        <f t="shared" si="67"/>
        <v>0.97893303272562049</v>
      </c>
      <c r="BE79" s="68">
        <f t="shared" si="68"/>
        <v>1</v>
      </c>
      <c r="BG79" s="68">
        <f t="shared" si="55"/>
        <v>0.13847248994650427</v>
      </c>
      <c r="BH79" s="68">
        <f t="shared" si="55"/>
        <v>0.40756887057148972</v>
      </c>
      <c r="BI79" s="68">
        <f t="shared" si="55"/>
        <v>0.54566575556288999</v>
      </c>
      <c r="BJ79" s="68">
        <f t="shared" si="53"/>
        <v>0.63720377869599221</v>
      </c>
      <c r="BK79" s="68">
        <f t="shared" si="53"/>
        <v>0.74183171654909374</v>
      </c>
      <c r="BL79" s="68">
        <f t="shared" si="53"/>
        <v>0.85664407880584115</v>
      </c>
      <c r="BM79" s="68">
        <f t="shared" si="53"/>
        <v>0.88372980866190032</v>
      </c>
      <c r="BN79" s="68">
        <f t="shared" si="53"/>
        <v>0.90949609292069089</v>
      </c>
      <c r="BO79" s="68">
        <f t="shared" si="53"/>
        <v>0.93790568107171368</v>
      </c>
      <c r="BP79" s="68">
        <f t="shared" si="53"/>
        <v>0.95991726347853368</v>
      </c>
      <c r="BQ79" s="68">
        <f t="shared" si="53"/>
        <v>0.98400476799094827</v>
      </c>
      <c r="BR79" s="68">
        <f t="shared" si="53"/>
        <v>1</v>
      </c>
    </row>
    <row r="80" spans="1:70">
      <c r="A80" s="239" t="s">
        <v>136</v>
      </c>
      <c r="B80" s="62">
        <v>5462.34</v>
      </c>
      <c r="C80" s="62">
        <v>9345.59</v>
      </c>
      <c r="D80" s="62">
        <v>7550.04</v>
      </c>
      <c r="E80" s="62">
        <v>4501.58</v>
      </c>
      <c r="F80" s="62">
        <v>4117.55</v>
      </c>
      <c r="G80" s="62">
        <v>6798.42</v>
      </c>
      <c r="H80" s="62">
        <v>2256.6999999999998</v>
      </c>
      <c r="I80" s="62">
        <v>3126.15</v>
      </c>
      <c r="J80" s="62">
        <v>2452.2600000000002</v>
      </c>
      <c r="K80" s="62">
        <v>1218.81</v>
      </c>
      <c r="L80" s="62">
        <v>707.46</v>
      </c>
      <c r="M80" s="62">
        <v>835.02</v>
      </c>
      <c r="N80" s="100">
        <f t="shared" si="54"/>
        <v>48371.92</v>
      </c>
      <c r="P80" s="239" t="s">
        <v>136</v>
      </c>
      <c r="Q80" s="62">
        <v>8702.2000000000007</v>
      </c>
      <c r="R80" s="62">
        <v>7794.6799999999994</v>
      </c>
      <c r="S80" s="62">
        <v>3246.24</v>
      </c>
      <c r="T80" s="62">
        <v>4392.99</v>
      </c>
      <c r="U80" s="62">
        <v>4257.7300000000005</v>
      </c>
      <c r="V80" s="62">
        <v>5078.93</v>
      </c>
      <c r="W80" s="62">
        <v>2678.2200000000003</v>
      </c>
      <c r="X80" s="62">
        <v>2548.2200000000003</v>
      </c>
      <c r="Y80" s="62">
        <v>1611.85</v>
      </c>
      <c r="Z80" s="62">
        <v>901.05000000000007</v>
      </c>
      <c r="AA80" s="62">
        <v>479.97</v>
      </c>
      <c r="AB80" s="62">
        <v>977.39</v>
      </c>
      <c r="AC80" s="100">
        <f t="shared" si="56"/>
        <v>42669.470000000008</v>
      </c>
      <c r="AE80" s="68">
        <f t="shared" si="41"/>
        <v>0.11292377891967076</v>
      </c>
      <c r="AF80" s="68">
        <f t="shared" si="42"/>
        <v>0.3061265709527346</v>
      </c>
      <c r="AG80" s="68">
        <f t="shared" si="43"/>
        <v>0.46220968694234177</v>
      </c>
      <c r="AH80" s="68">
        <f t="shared" si="44"/>
        <v>0.55527152943277847</v>
      </c>
      <c r="AI80" s="68">
        <f t="shared" si="45"/>
        <v>0.64039426179485959</v>
      </c>
      <c r="AJ80" s="68">
        <f t="shared" si="46"/>
        <v>0.78093902412804794</v>
      </c>
      <c r="AK80" s="68">
        <f t="shared" si="47"/>
        <v>0.82759212369490409</v>
      </c>
      <c r="AL80" s="68">
        <f t="shared" si="48"/>
        <v>0.89221949428511427</v>
      </c>
      <c r="AM80" s="68">
        <f t="shared" si="49"/>
        <v>0.94291543523597998</v>
      </c>
      <c r="AN80" s="68">
        <f t="shared" si="50"/>
        <v>0.96811207824704915</v>
      </c>
      <c r="AO80" s="68">
        <f t="shared" si="51"/>
        <v>0.98273750556107764</v>
      </c>
      <c r="AP80" s="68">
        <f t="shared" si="52"/>
        <v>1</v>
      </c>
      <c r="AQ80" s="92"/>
      <c r="AT80" s="68">
        <f t="shared" si="57"/>
        <v>0.20394441271475833</v>
      </c>
      <c r="AU80" s="68">
        <f t="shared" si="58"/>
        <v>0.38662022284317094</v>
      </c>
      <c r="AV80" s="68">
        <f t="shared" si="59"/>
        <v>0.46269897423145867</v>
      </c>
      <c r="AW80" s="68">
        <f t="shared" si="60"/>
        <v>0.56565291296095299</v>
      </c>
      <c r="AX80" s="68">
        <f t="shared" si="61"/>
        <v>0.66543690371593545</v>
      </c>
      <c r="AY80" s="68">
        <f t="shared" si="62"/>
        <v>0.78446650497416526</v>
      </c>
      <c r="AZ80" s="68">
        <f t="shared" si="63"/>
        <v>0.84723316225863599</v>
      </c>
      <c r="BA80" s="68">
        <f t="shared" si="64"/>
        <v>0.90695314471916333</v>
      </c>
      <c r="BB80" s="68">
        <f t="shared" si="65"/>
        <v>0.9447283971420315</v>
      </c>
      <c r="BC80" s="68">
        <f t="shared" si="66"/>
        <v>0.96584536906598562</v>
      </c>
      <c r="BD80" s="68">
        <f t="shared" si="67"/>
        <v>0.97709392687558572</v>
      </c>
      <c r="BE80" s="68">
        <f t="shared" si="68"/>
        <v>1</v>
      </c>
      <c r="BG80" s="68">
        <f t="shared" si="55"/>
        <v>0.15843409581721454</v>
      </c>
      <c r="BH80" s="68">
        <f t="shared" si="55"/>
        <v>0.34637339689795277</v>
      </c>
      <c r="BI80" s="68">
        <f t="shared" si="55"/>
        <v>0.46245433058690022</v>
      </c>
      <c r="BJ80" s="68">
        <f t="shared" si="53"/>
        <v>0.56046222119686573</v>
      </c>
      <c r="BK80" s="68">
        <f t="shared" si="53"/>
        <v>0.65291558275539752</v>
      </c>
      <c r="BL80" s="68">
        <f t="shared" si="53"/>
        <v>0.78270276455110666</v>
      </c>
      <c r="BM80" s="68">
        <f t="shared" si="53"/>
        <v>0.83741264297677009</v>
      </c>
      <c r="BN80" s="68">
        <f t="shared" si="53"/>
        <v>0.89958631950213874</v>
      </c>
      <c r="BO80" s="68">
        <f t="shared" si="53"/>
        <v>0.94382191618900579</v>
      </c>
      <c r="BP80" s="68">
        <f t="shared" si="53"/>
        <v>0.96697872365651738</v>
      </c>
      <c r="BQ80" s="68">
        <f t="shared" si="53"/>
        <v>0.97991571621833162</v>
      </c>
      <c r="BR80" s="68">
        <f t="shared" si="53"/>
        <v>1</v>
      </c>
    </row>
    <row r="81" spans="1:70">
      <c r="A81" s="239" t="s">
        <v>137</v>
      </c>
      <c r="B81" s="62">
        <v>129250.09</v>
      </c>
      <c r="C81" s="62">
        <v>154788.04</v>
      </c>
      <c r="D81" s="62">
        <v>87708.800000000003</v>
      </c>
      <c r="E81" s="62">
        <v>66696.899999999994</v>
      </c>
      <c r="F81" s="62">
        <v>80007.94</v>
      </c>
      <c r="G81" s="62">
        <v>76457.929999999993</v>
      </c>
      <c r="H81" s="62">
        <v>22016.14</v>
      </c>
      <c r="I81" s="62">
        <v>34284.82</v>
      </c>
      <c r="J81" s="62">
        <v>26261.61</v>
      </c>
      <c r="K81" s="62">
        <v>21462.080000000002</v>
      </c>
      <c r="L81" s="62">
        <v>22792.38</v>
      </c>
      <c r="M81" s="62">
        <v>14181.73</v>
      </c>
      <c r="N81" s="100">
        <f t="shared" si="54"/>
        <v>735908.45999999985</v>
      </c>
      <c r="P81" s="239" t="s">
        <v>137</v>
      </c>
      <c r="Q81" s="62">
        <v>135948.36000000002</v>
      </c>
      <c r="R81" s="62">
        <v>155312.91</v>
      </c>
      <c r="S81" s="62">
        <v>62656.729999999996</v>
      </c>
      <c r="T81" s="62">
        <v>46739.92</v>
      </c>
      <c r="U81" s="62">
        <v>70393.88</v>
      </c>
      <c r="V81" s="62">
        <v>104140.7</v>
      </c>
      <c r="W81" s="62">
        <v>25894.33</v>
      </c>
      <c r="X81" s="62">
        <v>37514.92</v>
      </c>
      <c r="Y81" s="62">
        <v>30510.16</v>
      </c>
      <c r="Z81" s="62">
        <v>33117.22</v>
      </c>
      <c r="AA81" s="62">
        <v>21500.010000000002</v>
      </c>
      <c r="AB81" s="62">
        <v>16711.36</v>
      </c>
      <c r="AC81" s="100">
        <f t="shared" si="56"/>
        <v>740440.5</v>
      </c>
      <c r="AE81" s="68">
        <f t="shared" si="41"/>
        <v>0.17563337972769061</v>
      </c>
      <c r="AF81" s="68">
        <f t="shared" si="42"/>
        <v>0.38596937722390101</v>
      </c>
      <c r="AG81" s="68">
        <f t="shared" si="43"/>
        <v>0.50515376599964634</v>
      </c>
      <c r="AH81" s="68">
        <f t="shared" si="44"/>
        <v>0.59578582640563749</v>
      </c>
      <c r="AI81" s="68">
        <f t="shared" si="45"/>
        <v>0.70450578866833524</v>
      </c>
      <c r="AJ81" s="68">
        <f t="shared" si="46"/>
        <v>0.80840176779595674</v>
      </c>
      <c r="AK81" s="68">
        <f t="shared" si="47"/>
        <v>0.83831872241283933</v>
      </c>
      <c r="AL81" s="68">
        <f t="shared" si="48"/>
        <v>0.8849071527184238</v>
      </c>
      <c r="AM81" s="68">
        <f t="shared" si="49"/>
        <v>0.92059312648749825</v>
      </c>
      <c r="AN81" s="68">
        <f t="shared" si="50"/>
        <v>0.94975718855032598</v>
      </c>
      <c r="AO81" s="68">
        <f t="shared" si="51"/>
        <v>0.98072894827163692</v>
      </c>
      <c r="AP81" s="68">
        <f t="shared" si="52"/>
        <v>1</v>
      </c>
      <c r="AQ81" s="92"/>
      <c r="AT81" s="68">
        <f t="shared" si="57"/>
        <v>0.18360470557728814</v>
      </c>
      <c r="AU81" s="68">
        <f t="shared" si="58"/>
        <v>0.39336215401507618</v>
      </c>
      <c r="AV81" s="68">
        <f t="shared" si="59"/>
        <v>0.4779830384750699</v>
      </c>
      <c r="AW81" s="68">
        <f t="shared" si="60"/>
        <v>0.5411075164040865</v>
      </c>
      <c r="AX81" s="68">
        <f t="shared" si="61"/>
        <v>0.63617778876223008</v>
      </c>
      <c r="AY81" s="68">
        <f t="shared" si="62"/>
        <v>0.7768247414883438</v>
      </c>
      <c r="AZ81" s="68">
        <f t="shared" si="63"/>
        <v>0.81179626181982212</v>
      </c>
      <c r="BA81" s="68">
        <f t="shared" si="64"/>
        <v>0.86246193988578423</v>
      </c>
      <c r="BB81" s="68">
        <f t="shared" si="65"/>
        <v>0.90366735747166727</v>
      </c>
      <c r="BC81" s="68">
        <f t="shared" si="66"/>
        <v>0.94839373318990516</v>
      </c>
      <c r="BD81" s="68">
        <f t="shared" si="67"/>
        <v>0.9774305160239074</v>
      </c>
      <c r="BE81" s="68">
        <f t="shared" si="68"/>
        <v>1</v>
      </c>
      <c r="BG81" s="68">
        <f t="shared" si="55"/>
        <v>0.17961904265248937</v>
      </c>
      <c r="BH81" s="68">
        <f t="shared" si="55"/>
        <v>0.38966576561948862</v>
      </c>
      <c r="BI81" s="68">
        <f t="shared" si="55"/>
        <v>0.49156840223735809</v>
      </c>
      <c r="BJ81" s="68">
        <f t="shared" si="53"/>
        <v>0.56844667140486194</v>
      </c>
      <c r="BK81" s="68">
        <f t="shared" si="53"/>
        <v>0.67034178871528272</v>
      </c>
      <c r="BL81" s="68">
        <f t="shared" si="53"/>
        <v>0.79261325464215027</v>
      </c>
      <c r="BM81" s="68">
        <f t="shared" si="53"/>
        <v>0.82505749211633073</v>
      </c>
      <c r="BN81" s="68">
        <f t="shared" si="53"/>
        <v>0.87368454630210401</v>
      </c>
      <c r="BO81" s="68">
        <f t="shared" si="53"/>
        <v>0.9121302419795827</v>
      </c>
      <c r="BP81" s="68">
        <f t="shared" si="53"/>
        <v>0.94907546087011552</v>
      </c>
      <c r="BQ81" s="68">
        <f t="shared" si="53"/>
        <v>0.97907973214777222</v>
      </c>
      <c r="BR81" s="68">
        <f t="shared" si="53"/>
        <v>1</v>
      </c>
    </row>
    <row r="82" spans="1:70">
      <c r="A82" s="239" t="s">
        <v>138</v>
      </c>
      <c r="B82" s="62">
        <v>2241.87</v>
      </c>
      <c r="C82" s="62">
        <v>6676.68</v>
      </c>
      <c r="D82" s="62">
        <v>10865.37</v>
      </c>
      <c r="E82" s="62">
        <v>5898.31</v>
      </c>
      <c r="F82" s="62">
        <v>5213.2700000000013</v>
      </c>
      <c r="G82" s="62">
        <v>5970.43</v>
      </c>
      <c r="H82" s="62">
        <v>2491.0100000000002</v>
      </c>
      <c r="I82" s="62">
        <v>4477.83</v>
      </c>
      <c r="J82" s="62">
        <v>2677.76</v>
      </c>
      <c r="K82" s="62">
        <v>1761.44</v>
      </c>
      <c r="L82" s="62">
        <v>1856.37</v>
      </c>
      <c r="M82" s="62">
        <v>702.8</v>
      </c>
      <c r="N82" s="100">
        <f t="shared" si="54"/>
        <v>50833.140000000014</v>
      </c>
      <c r="P82" s="239" t="s">
        <v>138</v>
      </c>
      <c r="Q82" s="62">
        <v>2680.8</v>
      </c>
      <c r="R82" s="62">
        <v>12784.52</v>
      </c>
      <c r="S82" s="62">
        <v>5503.92</v>
      </c>
      <c r="T82" s="62">
        <v>4702.6099999999997</v>
      </c>
      <c r="U82" s="62">
        <v>6363.46</v>
      </c>
      <c r="V82" s="62">
        <v>9562.85</v>
      </c>
      <c r="W82" s="62">
        <v>3463.88</v>
      </c>
      <c r="X82" s="62">
        <v>3584.92</v>
      </c>
      <c r="Y82" s="62">
        <v>1790.7200000000003</v>
      </c>
      <c r="Z82" s="62">
        <v>1491.98</v>
      </c>
      <c r="AA82" s="62">
        <v>1117.04</v>
      </c>
      <c r="AB82" s="62">
        <v>698.12</v>
      </c>
      <c r="AC82" s="100">
        <f t="shared" si="56"/>
        <v>53744.82</v>
      </c>
      <c r="AE82" s="68">
        <f t="shared" si="41"/>
        <v>4.4102528389944023E-2</v>
      </c>
      <c r="AF82" s="68">
        <f t="shared" si="42"/>
        <v>0.17544755252183902</v>
      </c>
      <c r="AG82" s="68">
        <f t="shared" si="43"/>
        <v>0.38919334906322911</v>
      </c>
      <c r="AH82" s="68">
        <f t="shared" si="44"/>
        <v>0.50522611823703967</v>
      </c>
      <c r="AI82" s="68">
        <f t="shared" si="45"/>
        <v>0.60778263943561206</v>
      </c>
      <c r="AJ82" s="68">
        <f t="shared" si="46"/>
        <v>0.7252341681037211</v>
      </c>
      <c r="AK82" s="68">
        <f t="shared" si="47"/>
        <v>0.77423782988813972</v>
      </c>
      <c r="AL82" s="68">
        <f t="shared" si="48"/>
        <v>0.86232662393076631</v>
      </c>
      <c r="AM82" s="68">
        <f t="shared" si="49"/>
        <v>0.91500407017941432</v>
      </c>
      <c r="AN82" s="68">
        <f t="shared" si="50"/>
        <v>0.94965548065690997</v>
      </c>
      <c r="AO82" s="68">
        <f t="shared" si="51"/>
        <v>0.98617437364679805</v>
      </c>
      <c r="AP82" s="68">
        <f t="shared" si="52"/>
        <v>1</v>
      </c>
      <c r="AQ82" s="92"/>
      <c r="AT82" s="68">
        <f t="shared" si="57"/>
        <v>4.9880155892232964E-2</v>
      </c>
      <c r="AU82" s="68">
        <f t="shared" si="58"/>
        <v>0.28775461523547757</v>
      </c>
      <c r="AV82" s="68">
        <f t="shared" si="59"/>
        <v>0.39016299617339861</v>
      </c>
      <c r="AW82" s="68">
        <f t="shared" si="60"/>
        <v>0.47766184722546284</v>
      </c>
      <c r="AX82" s="68">
        <f t="shared" si="61"/>
        <v>0.59606321130110762</v>
      </c>
      <c r="AY82" s="68">
        <f t="shared" si="62"/>
        <v>0.77399384722099718</v>
      </c>
      <c r="AZ82" s="68">
        <f t="shared" si="63"/>
        <v>0.83844433751941105</v>
      </c>
      <c r="BA82" s="68">
        <f t="shared" si="64"/>
        <v>0.90514695183647453</v>
      </c>
      <c r="BB82" s="68">
        <f t="shared" si="65"/>
        <v>0.93846588378191598</v>
      </c>
      <c r="BC82" s="68">
        <f t="shared" si="66"/>
        <v>0.96622632655574991</v>
      </c>
      <c r="BD82" s="68">
        <f t="shared" si="67"/>
        <v>0.98701046910195245</v>
      </c>
      <c r="BE82" s="68">
        <f t="shared" si="68"/>
        <v>1</v>
      </c>
      <c r="BG82" s="68">
        <f t="shared" si="55"/>
        <v>4.6991342141088494E-2</v>
      </c>
      <c r="BH82" s="68">
        <f t="shared" si="55"/>
        <v>0.2316010838786583</v>
      </c>
      <c r="BI82" s="68">
        <f t="shared" si="55"/>
        <v>0.38967817261831383</v>
      </c>
      <c r="BJ82" s="68">
        <f t="shared" si="53"/>
        <v>0.49144398273125123</v>
      </c>
      <c r="BK82" s="68">
        <f t="shared" si="53"/>
        <v>0.60192292536835978</v>
      </c>
      <c r="BL82" s="68">
        <f t="shared" si="53"/>
        <v>0.74961400766235919</v>
      </c>
      <c r="BM82" s="68">
        <f t="shared" si="53"/>
        <v>0.80634108370377544</v>
      </c>
      <c r="BN82" s="68">
        <f t="shared" si="53"/>
        <v>0.88373678788362042</v>
      </c>
      <c r="BO82" s="68">
        <f t="shared" si="53"/>
        <v>0.9267349769806652</v>
      </c>
      <c r="BP82" s="68">
        <f t="shared" si="53"/>
        <v>0.95794090360633</v>
      </c>
      <c r="BQ82" s="68">
        <f t="shared" si="53"/>
        <v>0.98659242137437531</v>
      </c>
      <c r="BR82" s="68">
        <f t="shared" si="53"/>
        <v>1</v>
      </c>
    </row>
    <row r="83" spans="1:70">
      <c r="A83" s="239" t="s">
        <v>139</v>
      </c>
      <c r="B83" s="62">
        <v>97565.85</v>
      </c>
      <c r="C83" s="62">
        <v>118881.62</v>
      </c>
      <c r="D83" s="62">
        <v>82919.28</v>
      </c>
      <c r="E83" s="62">
        <v>57330.96</v>
      </c>
      <c r="F83" s="62">
        <v>77333.460000000021</v>
      </c>
      <c r="G83" s="62">
        <v>88122.75</v>
      </c>
      <c r="H83" s="62">
        <v>33238.320000000007</v>
      </c>
      <c r="I83" s="62">
        <v>24451.29</v>
      </c>
      <c r="J83" s="62">
        <v>19061.599999999999</v>
      </c>
      <c r="K83" s="62">
        <v>17561.18</v>
      </c>
      <c r="L83" s="62">
        <v>13763.11</v>
      </c>
      <c r="M83" s="62">
        <v>18114.599999999999</v>
      </c>
      <c r="N83" s="100">
        <f t="shared" si="54"/>
        <v>648344.02</v>
      </c>
      <c r="P83" s="239" t="s">
        <v>139</v>
      </c>
      <c r="Q83" s="62">
        <v>71916.45</v>
      </c>
      <c r="R83" s="62">
        <v>156093.79999999999</v>
      </c>
      <c r="S83" s="62">
        <v>55904.31</v>
      </c>
      <c r="T83" s="62">
        <v>41037.54</v>
      </c>
      <c r="U83" s="62">
        <v>69912.41</v>
      </c>
      <c r="V83" s="62">
        <v>78989.27</v>
      </c>
      <c r="W83" s="62">
        <v>29616.929999999997</v>
      </c>
      <c r="X83" s="62">
        <v>24972.65</v>
      </c>
      <c r="Y83" s="62">
        <v>16512.54</v>
      </c>
      <c r="Z83" s="62">
        <v>20798.22</v>
      </c>
      <c r="AA83" s="62">
        <v>11562.33</v>
      </c>
      <c r="AB83" s="62">
        <v>12022.67</v>
      </c>
      <c r="AC83" s="100">
        <f t="shared" si="56"/>
        <v>589339.12</v>
      </c>
      <c r="AE83" s="68">
        <f t="shared" si="41"/>
        <v>0.15048469175361562</v>
      </c>
      <c r="AF83" s="68">
        <f t="shared" si="42"/>
        <v>0.33384663592640212</v>
      </c>
      <c r="AG83" s="68">
        <f t="shared" si="43"/>
        <v>0.46174058950987162</v>
      </c>
      <c r="AH83" s="68">
        <f t="shared" si="44"/>
        <v>0.55016734788422972</v>
      </c>
      <c r="AI83" s="68">
        <f t="shared" si="45"/>
        <v>0.66944578281141554</v>
      </c>
      <c r="AJ83" s="68">
        <f t="shared" si="46"/>
        <v>0.80536552184132126</v>
      </c>
      <c r="AK83" s="68">
        <f t="shared" si="47"/>
        <v>0.85663200842046783</v>
      </c>
      <c r="AL83" s="68">
        <f t="shared" si="48"/>
        <v>0.89434545875814508</v>
      </c>
      <c r="AM83" s="68">
        <f t="shared" si="49"/>
        <v>0.92374589959200981</v>
      </c>
      <c r="AN83" s="68">
        <f t="shared" si="50"/>
        <v>0.95083210607849833</v>
      </c>
      <c r="AO83" s="68">
        <f t="shared" si="51"/>
        <v>0.9720602034703737</v>
      </c>
      <c r="AP83" s="68">
        <f t="shared" si="52"/>
        <v>1</v>
      </c>
      <c r="AQ83" s="92"/>
      <c r="AT83" s="68">
        <f t="shared" si="57"/>
        <v>0.12202897713628784</v>
      </c>
      <c r="AU83" s="68">
        <f t="shared" si="58"/>
        <v>0.38689142169961499</v>
      </c>
      <c r="AV83" s="68">
        <f t="shared" si="59"/>
        <v>0.4817507448003791</v>
      </c>
      <c r="AW83" s="68">
        <f t="shared" si="60"/>
        <v>0.55138389591378212</v>
      </c>
      <c r="AX83" s="68">
        <f t="shared" si="61"/>
        <v>0.67001238607747604</v>
      </c>
      <c r="AY83" s="68">
        <f t="shared" si="62"/>
        <v>0.80404263677591947</v>
      </c>
      <c r="AZ83" s="68">
        <f t="shared" si="63"/>
        <v>0.85429711504642691</v>
      </c>
      <c r="BA83" s="68">
        <f t="shared" si="64"/>
        <v>0.89667110508462422</v>
      </c>
      <c r="BB83" s="68">
        <f t="shared" si="65"/>
        <v>0.92468984580558644</v>
      </c>
      <c r="BC83" s="68">
        <f t="shared" si="66"/>
        <v>0.95998059657061285</v>
      </c>
      <c r="BD83" s="68">
        <f t="shared" si="67"/>
        <v>0.97959974216542756</v>
      </c>
      <c r="BE83" s="68">
        <f t="shared" si="68"/>
        <v>1</v>
      </c>
      <c r="BG83" s="68">
        <f t="shared" si="55"/>
        <v>0.13625683444495174</v>
      </c>
      <c r="BH83" s="68">
        <f t="shared" si="55"/>
        <v>0.36036902881300859</v>
      </c>
      <c r="BI83" s="68">
        <f t="shared" si="55"/>
        <v>0.47174566715512534</v>
      </c>
      <c r="BJ83" s="68">
        <f t="shared" si="53"/>
        <v>0.55077562189900586</v>
      </c>
      <c r="BK83" s="68">
        <f t="shared" si="53"/>
        <v>0.66972908444444579</v>
      </c>
      <c r="BL83" s="68">
        <f t="shared" si="53"/>
        <v>0.80470407930862042</v>
      </c>
      <c r="BM83" s="68">
        <f t="shared" si="53"/>
        <v>0.85546456173344732</v>
      </c>
      <c r="BN83" s="68">
        <f t="shared" si="53"/>
        <v>0.89550828192138465</v>
      </c>
      <c r="BO83" s="68">
        <f t="shared" si="53"/>
        <v>0.92421787269879818</v>
      </c>
      <c r="BP83" s="68">
        <f t="shared" si="53"/>
        <v>0.95540635132455565</v>
      </c>
      <c r="BQ83" s="68">
        <f t="shared" si="53"/>
        <v>0.97582997281790063</v>
      </c>
      <c r="BR83" s="68">
        <f t="shared" si="53"/>
        <v>1</v>
      </c>
    </row>
    <row r="84" spans="1:70">
      <c r="A84" s="239" t="s">
        <v>140</v>
      </c>
      <c r="B84" s="62">
        <v>2989.16</v>
      </c>
      <c r="C84" s="62">
        <v>8263.2000000000007</v>
      </c>
      <c r="D84" s="62">
        <v>2615.5300000000002</v>
      </c>
      <c r="E84" s="62">
        <v>1788.17</v>
      </c>
      <c r="F84" s="62">
        <v>2241.88</v>
      </c>
      <c r="G84" s="62">
        <v>4857.45</v>
      </c>
      <c r="H84" s="62">
        <v>2232.98</v>
      </c>
      <c r="I84" s="62">
        <v>3069.24</v>
      </c>
      <c r="J84" s="62">
        <v>1441.21</v>
      </c>
      <c r="K84" s="62">
        <v>1156.51</v>
      </c>
      <c r="L84" s="62">
        <v>809.55</v>
      </c>
      <c r="M84" s="62">
        <v>1058.67</v>
      </c>
      <c r="N84" s="100">
        <f t="shared" si="54"/>
        <v>32523.549999999996</v>
      </c>
      <c r="P84" s="239" t="s">
        <v>140</v>
      </c>
      <c r="Q84" s="62">
        <v>3120.6400000000003</v>
      </c>
      <c r="R84" s="62">
        <v>5475.13</v>
      </c>
      <c r="S84" s="62">
        <v>603.89</v>
      </c>
      <c r="T84" s="62">
        <v>1367.47</v>
      </c>
      <c r="U84" s="62">
        <v>2036.79</v>
      </c>
      <c r="V84" s="62">
        <v>3139.31</v>
      </c>
      <c r="W84" s="62">
        <v>849.4</v>
      </c>
      <c r="X84" s="62">
        <v>2063</v>
      </c>
      <c r="Y84" s="62">
        <v>799.36</v>
      </c>
      <c r="Z84" s="62">
        <v>1525.4099999999999</v>
      </c>
      <c r="AA84" s="62">
        <v>1501.02</v>
      </c>
      <c r="AB84" s="62">
        <v>305.43</v>
      </c>
      <c r="AC84" s="100">
        <f t="shared" si="56"/>
        <v>22786.85</v>
      </c>
      <c r="AE84" s="68">
        <f t="shared" si="41"/>
        <v>9.1907556216956648E-2</v>
      </c>
      <c r="AF84" s="68">
        <f t="shared" si="42"/>
        <v>0.34597576217848303</v>
      </c>
      <c r="AG84" s="68">
        <f t="shared" si="43"/>
        <v>0.42639533507258598</v>
      </c>
      <c r="AH84" s="68">
        <f t="shared" si="44"/>
        <v>0.48137611054143853</v>
      </c>
      <c r="AI84" s="68">
        <f t="shared" si="45"/>
        <v>0.55030708517366667</v>
      </c>
      <c r="AJ84" s="68">
        <f t="shared" si="46"/>
        <v>0.69965886257803978</v>
      </c>
      <c r="AK84" s="68">
        <f t="shared" si="47"/>
        <v>0.7683161893458742</v>
      </c>
      <c r="AL84" s="68">
        <f t="shared" si="48"/>
        <v>0.86268596140335252</v>
      </c>
      <c r="AM84" s="68">
        <f t="shared" si="49"/>
        <v>0.90699877473400059</v>
      </c>
      <c r="AN84" s="68">
        <f t="shared" si="50"/>
        <v>0.94255793109915742</v>
      </c>
      <c r="AO84" s="68">
        <f t="shared" si="51"/>
        <v>0.96744912532610994</v>
      </c>
      <c r="AP84" s="68">
        <f t="shared" si="52"/>
        <v>1</v>
      </c>
      <c r="AQ84" s="92"/>
      <c r="AT84" s="68">
        <f t="shared" si="57"/>
        <v>0.13694916146812747</v>
      </c>
      <c r="AU84" s="68">
        <f t="shared" si="58"/>
        <v>0.37722502232647342</v>
      </c>
      <c r="AV84" s="68">
        <f t="shared" si="59"/>
        <v>0.40372671080030809</v>
      </c>
      <c r="AW84" s="68">
        <f t="shared" si="60"/>
        <v>0.46373807700493924</v>
      </c>
      <c r="AX84" s="68">
        <f t="shared" si="61"/>
        <v>0.55312252461397693</v>
      </c>
      <c r="AY84" s="68">
        <f t="shared" si="62"/>
        <v>0.69089101828466848</v>
      </c>
      <c r="AZ84" s="68">
        <f t="shared" si="63"/>
        <v>0.72816690327974243</v>
      </c>
      <c r="BA84" s="68">
        <f t="shared" si="64"/>
        <v>0.81870157568948754</v>
      </c>
      <c r="BB84" s="68">
        <f t="shared" si="65"/>
        <v>0.85378145728786559</v>
      </c>
      <c r="BC84" s="68">
        <f t="shared" si="66"/>
        <v>0.92072401406951809</v>
      </c>
      <c r="BD84" s="68">
        <f t="shared" si="67"/>
        <v>0.98659621667760133</v>
      </c>
      <c r="BE84" s="68">
        <f t="shared" si="68"/>
        <v>1</v>
      </c>
      <c r="BG84" s="68">
        <f t="shared" si="55"/>
        <v>0.11442835884254206</v>
      </c>
      <c r="BH84" s="68">
        <f t="shared" si="55"/>
        <v>0.3616003922524782</v>
      </c>
      <c r="BI84" s="68">
        <f t="shared" si="55"/>
        <v>0.41506102293644703</v>
      </c>
      <c r="BJ84" s="68">
        <f t="shared" si="53"/>
        <v>0.47255709377318889</v>
      </c>
      <c r="BK84" s="68">
        <f t="shared" si="53"/>
        <v>0.55171480489382185</v>
      </c>
      <c r="BL84" s="68">
        <f t="shared" si="53"/>
        <v>0.69527494043135407</v>
      </c>
      <c r="BM84" s="68">
        <f t="shared" si="53"/>
        <v>0.74824154631280826</v>
      </c>
      <c r="BN84" s="68">
        <f t="shared" si="53"/>
        <v>0.84069376854641997</v>
      </c>
      <c r="BO84" s="68">
        <f t="shared" si="53"/>
        <v>0.88039011601093309</v>
      </c>
      <c r="BP84" s="68">
        <f t="shared" si="53"/>
        <v>0.93164097258433776</v>
      </c>
      <c r="BQ84" s="68">
        <f t="shared" si="53"/>
        <v>0.97702267100185569</v>
      </c>
      <c r="BR84" s="68">
        <f t="shared" si="53"/>
        <v>1</v>
      </c>
    </row>
    <row r="85" spans="1:70">
      <c r="A85" s="239" t="s">
        <v>141</v>
      </c>
      <c r="B85" s="62">
        <v>2402</v>
      </c>
      <c r="C85" s="62">
        <v>106.76</v>
      </c>
      <c r="D85" s="62">
        <v>551.58000000000004</v>
      </c>
      <c r="E85" s="62">
        <v>106.76</v>
      </c>
      <c r="F85" s="62">
        <v>106.76000000000002</v>
      </c>
      <c r="G85" s="62">
        <v>106.76</v>
      </c>
      <c r="H85" s="62">
        <v>533.79</v>
      </c>
      <c r="I85" s="62">
        <v>533.78</v>
      </c>
      <c r="J85" s="62">
        <v>222.41</v>
      </c>
      <c r="K85" s="62">
        <v>0</v>
      </c>
      <c r="L85" s="62">
        <v>355.85</v>
      </c>
      <c r="M85" s="62">
        <v>266.89</v>
      </c>
      <c r="N85" s="100">
        <f t="shared" si="54"/>
        <v>5293.3400000000011</v>
      </c>
      <c r="P85" s="239" t="s">
        <v>141</v>
      </c>
      <c r="Q85" s="62">
        <v>1612.6799999999998</v>
      </c>
      <c r="R85" s="62">
        <v>1319.48</v>
      </c>
      <c r="S85" s="62">
        <v>0</v>
      </c>
      <c r="T85" s="62">
        <v>261.8</v>
      </c>
      <c r="U85" s="62">
        <v>523.6</v>
      </c>
      <c r="V85" s="62">
        <v>471.24</v>
      </c>
      <c r="W85" s="62">
        <v>0</v>
      </c>
      <c r="X85" s="62">
        <v>785.40000000000009</v>
      </c>
      <c r="Y85" s="62">
        <v>0</v>
      </c>
      <c r="Z85" s="62">
        <v>0</v>
      </c>
      <c r="AA85" s="62">
        <v>0</v>
      </c>
      <c r="AB85" s="62">
        <v>0</v>
      </c>
      <c r="AC85" s="100">
        <f t="shared" si="56"/>
        <v>4974.2000000000007</v>
      </c>
      <c r="AE85" s="68">
        <f t="shared" si="41"/>
        <v>0.4537777660229646</v>
      </c>
      <c r="AF85" s="68">
        <f t="shared" si="42"/>
        <v>0.47394650636460151</v>
      </c>
      <c r="AG85" s="68">
        <f t="shared" si="43"/>
        <v>0.57814914590787658</v>
      </c>
      <c r="AH85" s="68">
        <f t="shared" si="44"/>
        <v>0.59831788624951354</v>
      </c>
      <c r="AI85" s="68">
        <f t="shared" si="45"/>
        <v>0.61848662659115039</v>
      </c>
      <c r="AJ85" s="68">
        <f t="shared" si="46"/>
        <v>0.63865536693278724</v>
      </c>
      <c r="AK85" s="68">
        <f t="shared" si="47"/>
        <v>0.73949717947458504</v>
      </c>
      <c r="AL85" s="68">
        <f t="shared" si="48"/>
        <v>0.8403371028499963</v>
      </c>
      <c r="AM85" s="68">
        <f t="shared" si="49"/>
        <v>0.88235405245081544</v>
      </c>
      <c r="AN85" s="68">
        <f t="shared" si="50"/>
        <v>0.88235405245081544</v>
      </c>
      <c r="AO85" s="68">
        <f t="shared" si="51"/>
        <v>0.94958003831229432</v>
      </c>
      <c r="AP85" s="68">
        <f t="shared" si="52"/>
        <v>1</v>
      </c>
      <c r="AQ85" s="92"/>
      <c r="AT85" s="68">
        <f t="shared" si="57"/>
        <v>0.3242089180169675</v>
      </c>
      <c r="AU85" s="68">
        <f t="shared" si="58"/>
        <v>0.58947368421052615</v>
      </c>
      <c r="AV85" s="68">
        <f t="shared" si="59"/>
        <v>0.58947368421052615</v>
      </c>
      <c r="AW85" s="68">
        <f t="shared" si="60"/>
        <v>0.64210526315789462</v>
      </c>
      <c r="AX85" s="68">
        <f t="shared" si="61"/>
        <v>0.74736842105263146</v>
      </c>
      <c r="AY85" s="68">
        <f t="shared" si="62"/>
        <v>0.84210526315789469</v>
      </c>
      <c r="AZ85" s="68">
        <f t="shared" si="63"/>
        <v>0.84210526315789469</v>
      </c>
      <c r="BA85" s="68">
        <f t="shared" si="64"/>
        <v>1</v>
      </c>
      <c r="BB85" s="68">
        <f t="shared" si="65"/>
        <v>1</v>
      </c>
      <c r="BC85" s="68">
        <f t="shared" si="66"/>
        <v>1</v>
      </c>
      <c r="BD85" s="68">
        <f t="shared" si="67"/>
        <v>1</v>
      </c>
      <c r="BE85" s="68">
        <f t="shared" si="68"/>
        <v>1</v>
      </c>
      <c r="BG85" s="68">
        <f t="shared" si="55"/>
        <v>0.38899334201996605</v>
      </c>
      <c r="BH85" s="68">
        <f t="shared" si="55"/>
        <v>0.53171009528756386</v>
      </c>
      <c r="BI85" s="68">
        <f t="shared" si="55"/>
        <v>0.58381141505920131</v>
      </c>
      <c r="BJ85" s="68">
        <f t="shared" si="53"/>
        <v>0.62021157470370403</v>
      </c>
      <c r="BK85" s="68">
        <f t="shared" si="53"/>
        <v>0.68292752382189092</v>
      </c>
      <c r="BL85" s="68">
        <f t="shared" si="53"/>
        <v>0.74038031504534096</v>
      </c>
      <c r="BM85" s="68">
        <f t="shared" si="53"/>
        <v>0.79080122131623987</v>
      </c>
      <c r="BN85" s="68">
        <f t="shared" si="53"/>
        <v>0.9201685514249982</v>
      </c>
      <c r="BO85" s="68">
        <f t="shared" si="53"/>
        <v>0.94117702622540778</v>
      </c>
      <c r="BP85" s="68">
        <f t="shared" si="53"/>
        <v>0.94117702622540778</v>
      </c>
      <c r="BQ85" s="68">
        <f t="shared" si="53"/>
        <v>0.97479001915614716</v>
      </c>
      <c r="BR85" s="68">
        <f t="shared" si="53"/>
        <v>1</v>
      </c>
    </row>
    <row r="86" spans="1:70">
      <c r="A86" s="239" t="s">
        <v>142</v>
      </c>
      <c r="B86" s="62">
        <v>52599.040000000001</v>
      </c>
      <c r="C86" s="62">
        <v>101006.68</v>
      </c>
      <c r="D86" s="62">
        <v>44291.58</v>
      </c>
      <c r="E86" s="62">
        <v>37365.19</v>
      </c>
      <c r="F86" s="62">
        <v>41225.57</v>
      </c>
      <c r="G86" s="62">
        <v>49564.01</v>
      </c>
      <c r="H86" s="62">
        <v>15049.68</v>
      </c>
      <c r="I86" s="62">
        <v>16696.189999999999</v>
      </c>
      <c r="J86" s="62">
        <v>10900.17</v>
      </c>
      <c r="K86" s="62">
        <v>8400.33</v>
      </c>
      <c r="L86" s="62">
        <v>8017.78</v>
      </c>
      <c r="M86" s="62">
        <v>7309.77</v>
      </c>
      <c r="N86" s="100">
        <f t="shared" si="54"/>
        <v>392425.99000000005</v>
      </c>
      <c r="P86" s="239" t="s">
        <v>142</v>
      </c>
      <c r="Q86" s="62">
        <v>41117.9</v>
      </c>
      <c r="R86" s="62">
        <v>116277.06999999999</v>
      </c>
      <c r="S86" s="62">
        <v>39875.520000000004</v>
      </c>
      <c r="T86" s="62">
        <v>31984.79</v>
      </c>
      <c r="U86" s="62">
        <v>45387.25</v>
      </c>
      <c r="V86" s="62">
        <v>48505.25</v>
      </c>
      <c r="W86" s="62">
        <v>13173.220000000001</v>
      </c>
      <c r="X86" s="62">
        <v>9729.67</v>
      </c>
      <c r="Y86" s="62">
        <v>5021.2</v>
      </c>
      <c r="Z86" s="62">
        <v>10239.42</v>
      </c>
      <c r="AA86" s="62">
        <v>6706.5</v>
      </c>
      <c r="AB86" s="62">
        <v>3161.9399999999996</v>
      </c>
      <c r="AC86" s="100">
        <f t="shared" si="56"/>
        <v>371179.73</v>
      </c>
      <c r="AE86" s="68">
        <f t="shared" si="41"/>
        <v>0.13403556680840634</v>
      </c>
      <c r="AF86" s="68">
        <f t="shared" si="42"/>
        <v>0.39142596034477734</v>
      </c>
      <c r="AG86" s="68">
        <f t="shared" si="43"/>
        <v>0.50429203223772201</v>
      </c>
      <c r="AH86" s="68">
        <f t="shared" si="44"/>
        <v>0.59950792250023999</v>
      </c>
      <c r="AI86" s="68">
        <f t="shared" si="45"/>
        <v>0.70456103073091558</v>
      </c>
      <c r="AJ86" s="68">
        <f t="shared" si="46"/>
        <v>0.83086257869923441</v>
      </c>
      <c r="AK86" s="68">
        <f t="shared" si="47"/>
        <v>0.8692129438215852</v>
      </c>
      <c r="AL86" s="68">
        <f t="shared" si="48"/>
        <v>0.91175903002754721</v>
      </c>
      <c r="AM86" s="68">
        <f t="shared" si="49"/>
        <v>0.93953540131223201</v>
      </c>
      <c r="AN86" s="68">
        <f t="shared" si="50"/>
        <v>0.96094155231665457</v>
      </c>
      <c r="AO86" s="68">
        <f t="shared" si="51"/>
        <v>0.9813728698244476</v>
      </c>
      <c r="AP86" s="68">
        <f t="shared" si="52"/>
        <v>1</v>
      </c>
      <c r="AQ86" s="92"/>
      <c r="AT86" s="68">
        <f t="shared" si="57"/>
        <v>0.11077625386494032</v>
      </c>
      <c r="AU86" s="68">
        <f t="shared" si="58"/>
        <v>0.4240397771720994</v>
      </c>
      <c r="AV86" s="68">
        <f t="shared" si="59"/>
        <v>0.53146891938307084</v>
      </c>
      <c r="AW86" s="68">
        <f t="shared" si="60"/>
        <v>0.61763954621121153</v>
      </c>
      <c r="AX86" s="68">
        <f t="shared" si="61"/>
        <v>0.73991790984922601</v>
      </c>
      <c r="AY86" s="68">
        <f t="shared" si="62"/>
        <v>0.87059651667939963</v>
      </c>
      <c r="AZ86" s="68">
        <f t="shared" si="63"/>
        <v>0.90608665510910313</v>
      </c>
      <c r="BA86" s="68">
        <f t="shared" si="64"/>
        <v>0.93229948197871693</v>
      </c>
      <c r="BB86" s="68">
        <f t="shared" si="65"/>
        <v>0.94582716033550651</v>
      </c>
      <c r="BC86" s="68">
        <f t="shared" si="66"/>
        <v>0.97341331112019502</v>
      </c>
      <c r="BD86" s="68">
        <f t="shared" si="67"/>
        <v>0.99148137749871201</v>
      </c>
      <c r="BE86" s="68">
        <f t="shared" si="68"/>
        <v>1</v>
      </c>
      <c r="BG86" s="68">
        <f t="shared" si="55"/>
        <v>0.12240591033667333</v>
      </c>
      <c r="BH86" s="68">
        <f t="shared" si="55"/>
        <v>0.40773286875843839</v>
      </c>
      <c r="BI86" s="68">
        <f t="shared" si="55"/>
        <v>0.51788047581039642</v>
      </c>
      <c r="BJ86" s="68">
        <f t="shared" si="53"/>
        <v>0.60857373435572581</v>
      </c>
      <c r="BK86" s="68">
        <f t="shared" si="53"/>
        <v>0.72223947029007074</v>
      </c>
      <c r="BL86" s="68">
        <f t="shared" si="53"/>
        <v>0.85072954768931708</v>
      </c>
      <c r="BM86" s="68">
        <f t="shared" si="53"/>
        <v>0.88764979946534417</v>
      </c>
      <c r="BN86" s="68">
        <f t="shared" si="53"/>
        <v>0.92202925600313201</v>
      </c>
      <c r="BO86" s="68">
        <f t="shared" si="53"/>
        <v>0.94268128082386926</v>
      </c>
      <c r="BP86" s="68">
        <f t="shared" si="53"/>
        <v>0.96717743171842474</v>
      </c>
      <c r="BQ86" s="68">
        <f t="shared" si="53"/>
        <v>0.98642712366157981</v>
      </c>
      <c r="BR86" s="68">
        <f t="shared" si="53"/>
        <v>1</v>
      </c>
    </row>
    <row r="87" spans="1:70">
      <c r="A87" s="239" t="s">
        <v>143</v>
      </c>
      <c r="B87" s="62">
        <v>638293.59</v>
      </c>
      <c r="C87" s="62">
        <v>360292.5</v>
      </c>
      <c r="D87" s="62">
        <v>62830.879999999997</v>
      </c>
      <c r="E87" s="62">
        <v>259789.19</v>
      </c>
      <c r="F87" s="62">
        <v>200999.32</v>
      </c>
      <c r="G87" s="62">
        <v>140171.41</v>
      </c>
      <c r="H87" s="62">
        <v>55942.98000000001</v>
      </c>
      <c r="I87" s="62">
        <v>45717.05</v>
      </c>
      <c r="J87" s="62">
        <v>32526.18</v>
      </c>
      <c r="K87" s="62">
        <v>43150.18</v>
      </c>
      <c r="L87" s="62">
        <v>35850.69</v>
      </c>
      <c r="M87" s="62">
        <v>30694.080000000002</v>
      </c>
      <c r="N87" s="100">
        <f t="shared" si="54"/>
        <v>1906258.0499999998</v>
      </c>
      <c r="P87" s="239" t="s">
        <v>143</v>
      </c>
      <c r="Q87" s="62">
        <v>725175.12</v>
      </c>
      <c r="R87" s="62">
        <v>182746.23999999999</v>
      </c>
      <c r="S87" s="62">
        <v>241990.71</v>
      </c>
      <c r="T87" s="62">
        <v>70264.639999999999</v>
      </c>
      <c r="U87" s="62">
        <v>261352.52000000002</v>
      </c>
      <c r="V87" s="62">
        <v>85195.14</v>
      </c>
      <c r="W87" s="62">
        <v>60087.920000000006</v>
      </c>
      <c r="X87" s="62">
        <v>54276.75</v>
      </c>
      <c r="Y87" s="62">
        <v>21822.36</v>
      </c>
      <c r="Z87" s="62">
        <v>53651.39</v>
      </c>
      <c r="AA87" s="62">
        <v>29994.26</v>
      </c>
      <c r="AB87" s="62">
        <v>16822.509999999998</v>
      </c>
      <c r="AC87" s="100">
        <f t="shared" si="56"/>
        <v>1803379.5599999998</v>
      </c>
      <c r="AE87" s="68">
        <f t="shared" si="41"/>
        <v>0.33484112499879021</v>
      </c>
      <c r="AF87" s="68">
        <f t="shared" si="42"/>
        <v>0.52384622847887785</v>
      </c>
      <c r="AG87" s="68">
        <f t="shared" si="43"/>
        <v>0.55680655092840137</v>
      </c>
      <c r="AH87" s="68">
        <f t="shared" si="44"/>
        <v>0.69308882918553449</v>
      </c>
      <c r="AI87" s="68">
        <f t="shared" si="45"/>
        <v>0.79853065013941849</v>
      </c>
      <c r="AJ87" s="68">
        <f t="shared" si="46"/>
        <v>0.87206288256723696</v>
      </c>
      <c r="AK87" s="68">
        <f t="shared" si="47"/>
        <v>0.90140989568542418</v>
      </c>
      <c r="AL87" s="68">
        <f t="shared" si="48"/>
        <v>0.92539250916212534</v>
      </c>
      <c r="AM87" s="68">
        <f t="shared" si="49"/>
        <v>0.94245535120494317</v>
      </c>
      <c r="AN87" s="68">
        <f t="shared" si="50"/>
        <v>0.96509141561395639</v>
      </c>
      <c r="AO87" s="68">
        <f t="shared" si="51"/>
        <v>0.98389825553785859</v>
      </c>
      <c r="AP87" s="68">
        <f t="shared" si="52"/>
        <v>1</v>
      </c>
      <c r="AQ87" s="92"/>
      <c r="AT87" s="68">
        <f t="shared" si="57"/>
        <v>0.40212007282593359</v>
      </c>
      <c r="AU87" s="68">
        <f t="shared" si="58"/>
        <v>0.50345550107044579</v>
      </c>
      <c r="AV87" s="68">
        <f t="shared" si="59"/>
        <v>0.63764284319602704</v>
      </c>
      <c r="AW87" s="68">
        <f t="shared" si="60"/>
        <v>0.67660560043166962</v>
      </c>
      <c r="AX87" s="68">
        <f t="shared" si="61"/>
        <v>0.82152934571355574</v>
      </c>
      <c r="AY87" s="68">
        <f t="shared" si="62"/>
        <v>0.86877128073914733</v>
      </c>
      <c r="AZ87" s="68">
        <f t="shared" si="63"/>
        <v>0.90209089982144408</v>
      </c>
      <c r="BA87" s="68">
        <f t="shared" si="64"/>
        <v>0.93218814124742544</v>
      </c>
      <c r="BB87" s="68">
        <f t="shared" si="65"/>
        <v>0.94428895489976616</v>
      </c>
      <c r="BC87" s="68">
        <f t="shared" si="66"/>
        <v>0.97403942517791431</v>
      </c>
      <c r="BD87" s="68">
        <f t="shared" si="67"/>
        <v>0.99067167535158263</v>
      </c>
      <c r="BE87" s="68">
        <f t="shared" si="68"/>
        <v>1</v>
      </c>
      <c r="BG87" s="68">
        <f t="shared" si="55"/>
        <v>0.3684805989123619</v>
      </c>
      <c r="BH87" s="68">
        <f t="shared" si="55"/>
        <v>0.51365086477466182</v>
      </c>
      <c r="BI87" s="68">
        <f t="shared" si="55"/>
        <v>0.59722469706221415</v>
      </c>
      <c r="BJ87" s="68">
        <f t="shared" si="53"/>
        <v>0.684847214808602</v>
      </c>
      <c r="BK87" s="68">
        <f t="shared" si="53"/>
        <v>0.81002999792648711</v>
      </c>
      <c r="BL87" s="68">
        <f t="shared" si="53"/>
        <v>0.8704170816531922</v>
      </c>
      <c r="BM87" s="68">
        <f t="shared" si="53"/>
        <v>0.90175039775343413</v>
      </c>
      <c r="BN87" s="68">
        <f t="shared" si="53"/>
        <v>0.92879032520477534</v>
      </c>
      <c r="BO87" s="68">
        <f t="shared" si="53"/>
        <v>0.94337215305235467</v>
      </c>
      <c r="BP87" s="68">
        <f t="shared" si="53"/>
        <v>0.96956542039593541</v>
      </c>
      <c r="BQ87" s="68">
        <f t="shared" si="53"/>
        <v>0.98728496544472066</v>
      </c>
      <c r="BR87" s="68">
        <f t="shared" si="53"/>
        <v>1</v>
      </c>
    </row>
    <row r="88" spans="1:70">
      <c r="A88" s="239" t="s">
        <v>144</v>
      </c>
      <c r="B88" s="62">
        <v>7810.96</v>
      </c>
      <c r="C88" s="62">
        <v>4127.92</v>
      </c>
      <c r="D88" s="62">
        <v>6759.03</v>
      </c>
      <c r="E88" s="62">
        <v>2794.21</v>
      </c>
      <c r="F88" s="62">
        <v>3959.61</v>
      </c>
      <c r="G88" s="62">
        <v>2611.8200000000002</v>
      </c>
      <c r="H88" s="62">
        <v>943.0200000000001</v>
      </c>
      <c r="I88" s="62">
        <v>1690.3</v>
      </c>
      <c r="J88" s="62">
        <v>427.01</v>
      </c>
      <c r="K88" s="62">
        <v>1156.54</v>
      </c>
      <c r="L88" s="62">
        <v>1588</v>
      </c>
      <c r="M88" s="62">
        <v>320.29000000000002</v>
      </c>
      <c r="N88" s="100">
        <f t="shared" si="54"/>
        <v>34188.71</v>
      </c>
      <c r="P88" s="239" t="s">
        <v>144</v>
      </c>
      <c r="Q88" s="62">
        <v>3473.16</v>
      </c>
      <c r="R88" s="62">
        <v>8342.74</v>
      </c>
      <c r="S88" s="62">
        <v>4180.05</v>
      </c>
      <c r="T88" s="62">
        <v>5227.26</v>
      </c>
      <c r="U88" s="62">
        <v>2527.2400000000002</v>
      </c>
      <c r="V88" s="62">
        <v>3241.67</v>
      </c>
      <c r="W88" s="62">
        <v>267.62</v>
      </c>
      <c r="X88" s="62">
        <v>1255.49</v>
      </c>
      <c r="Y88" s="62">
        <v>1666.7900000000002</v>
      </c>
      <c r="Z88" s="62">
        <v>488.69000000000005</v>
      </c>
      <c r="AA88" s="62">
        <v>802.90000000000009</v>
      </c>
      <c r="AB88" s="62">
        <v>279.25</v>
      </c>
      <c r="AC88" s="100">
        <f t="shared" si="56"/>
        <v>31752.860000000004</v>
      </c>
      <c r="AE88" s="68">
        <f t="shared" si="41"/>
        <v>0.2284660637970839</v>
      </c>
      <c r="AF88" s="68">
        <f t="shared" si="42"/>
        <v>0.34920533708349927</v>
      </c>
      <c r="AG88" s="68">
        <f t="shared" si="43"/>
        <v>0.54690305659382876</v>
      </c>
      <c r="AH88" s="68">
        <f t="shared" si="44"/>
        <v>0.6286320835152891</v>
      </c>
      <c r="AI88" s="68">
        <f t="shared" si="45"/>
        <v>0.74444838661651758</v>
      </c>
      <c r="AJ88" s="68">
        <f t="shared" si="46"/>
        <v>0.82084261149367732</v>
      </c>
      <c r="AK88" s="68">
        <f t="shared" si="47"/>
        <v>0.84842540125088084</v>
      </c>
      <c r="AL88" s="68">
        <f t="shared" si="48"/>
        <v>0.89786569893979618</v>
      </c>
      <c r="AM88" s="68">
        <f t="shared" si="49"/>
        <v>0.91035549454776143</v>
      </c>
      <c r="AN88" s="68">
        <f t="shared" si="50"/>
        <v>0.94418362085027485</v>
      </c>
      <c r="AO88" s="68">
        <f t="shared" si="51"/>
        <v>0.99063170268781708</v>
      </c>
      <c r="AP88" s="68">
        <f t="shared" si="52"/>
        <v>1</v>
      </c>
      <c r="AQ88" s="92"/>
      <c r="AT88" s="68">
        <f t="shared" si="57"/>
        <v>0.10938101323786265</v>
      </c>
      <c r="AU88" s="68">
        <f t="shared" si="58"/>
        <v>0.37212081053486201</v>
      </c>
      <c r="AV88" s="68">
        <f t="shared" si="59"/>
        <v>0.5037640703861006</v>
      </c>
      <c r="AW88" s="68">
        <f t="shared" si="60"/>
        <v>0.66838735156455187</v>
      </c>
      <c r="AX88" s="68">
        <f t="shared" si="61"/>
        <v>0.74797829234909852</v>
      </c>
      <c r="AY88" s="68">
        <f t="shared" si="62"/>
        <v>0.85006893867198097</v>
      </c>
      <c r="AZ88" s="68">
        <f t="shared" si="63"/>
        <v>0.85849715584674891</v>
      </c>
      <c r="BA88" s="68">
        <f t="shared" si="64"/>
        <v>0.89803658631065042</v>
      </c>
      <c r="BB88" s="68">
        <f t="shared" si="65"/>
        <v>0.95052918067852787</v>
      </c>
      <c r="BC88" s="68">
        <f t="shared" si="66"/>
        <v>0.96591960535208476</v>
      </c>
      <c r="BD88" s="68">
        <f t="shared" si="67"/>
        <v>0.99120551660543332</v>
      </c>
      <c r="BE88" s="68">
        <f t="shared" si="68"/>
        <v>1</v>
      </c>
      <c r="BG88" s="68">
        <f t="shared" si="55"/>
        <v>0.16892353851747327</v>
      </c>
      <c r="BH88" s="68">
        <f t="shared" si="55"/>
        <v>0.36066307380918061</v>
      </c>
      <c r="BI88" s="68">
        <f t="shared" si="55"/>
        <v>0.52533356348996474</v>
      </c>
      <c r="BJ88" s="68">
        <f t="shared" si="53"/>
        <v>0.64850971753992048</v>
      </c>
      <c r="BK88" s="68">
        <f t="shared" si="53"/>
        <v>0.7462133394828081</v>
      </c>
      <c r="BL88" s="68">
        <f t="shared" si="53"/>
        <v>0.83545577508282909</v>
      </c>
      <c r="BM88" s="68">
        <f t="shared" si="53"/>
        <v>0.85346127854881493</v>
      </c>
      <c r="BN88" s="68">
        <f t="shared" si="53"/>
        <v>0.89795114262522335</v>
      </c>
      <c r="BO88" s="68">
        <f t="shared" si="53"/>
        <v>0.93044233761314465</v>
      </c>
      <c r="BP88" s="68">
        <f t="shared" si="53"/>
        <v>0.95505161310117981</v>
      </c>
      <c r="BQ88" s="68">
        <f t="shared" si="53"/>
        <v>0.99091860964662515</v>
      </c>
      <c r="BR88" s="68">
        <f t="shared" si="53"/>
        <v>1</v>
      </c>
    </row>
    <row r="89" spans="1:70">
      <c r="A89" s="239" t="s">
        <v>145</v>
      </c>
      <c r="B89" s="62">
        <v>1547.95</v>
      </c>
      <c r="C89" s="62">
        <v>3803.18</v>
      </c>
      <c r="D89" s="62">
        <v>2766.75</v>
      </c>
      <c r="E89" s="62">
        <v>1316.7</v>
      </c>
      <c r="F89" s="62">
        <v>1997.23</v>
      </c>
      <c r="G89" s="62">
        <v>5675.91</v>
      </c>
      <c r="H89" s="62">
        <v>2464.3000000000002</v>
      </c>
      <c r="I89" s="62">
        <v>2050.59</v>
      </c>
      <c r="J89" s="62">
        <v>729.51</v>
      </c>
      <c r="K89" s="62">
        <v>2028.38</v>
      </c>
      <c r="L89" s="62">
        <v>1227.7</v>
      </c>
      <c r="M89" s="62">
        <v>1094.21</v>
      </c>
      <c r="N89" s="100">
        <f t="shared" si="54"/>
        <v>26702.41</v>
      </c>
      <c r="P89" s="239" t="s">
        <v>145</v>
      </c>
      <c r="Q89" s="62">
        <v>3769.92</v>
      </c>
      <c r="R89" s="62">
        <v>3560.49</v>
      </c>
      <c r="S89" s="62">
        <v>2199.59</v>
      </c>
      <c r="T89" s="62">
        <v>1021.02</v>
      </c>
      <c r="U89" s="62">
        <v>2357.96</v>
      </c>
      <c r="V89" s="62">
        <v>2997.62</v>
      </c>
      <c r="W89" s="62">
        <v>2188.66</v>
      </c>
      <c r="X89" s="62">
        <v>750.49</v>
      </c>
      <c r="Y89" s="62">
        <v>1500.98</v>
      </c>
      <c r="Z89" s="62">
        <v>733.01</v>
      </c>
      <c r="AA89" s="62">
        <v>846.49</v>
      </c>
      <c r="AB89" s="62">
        <v>1108.28</v>
      </c>
      <c r="AC89" s="100">
        <f t="shared" si="56"/>
        <v>23034.51</v>
      </c>
      <c r="AE89" s="68">
        <f t="shared" si="41"/>
        <v>5.7970422894412905E-2</v>
      </c>
      <c r="AF89" s="68">
        <f t="shared" si="42"/>
        <v>0.20039876550468666</v>
      </c>
      <c r="AG89" s="68">
        <f t="shared" si="43"/>
        <v>0.30401300856364649</v>
      </c>
      <c r="AH89" s="68">
        <f t="shared" si="44"/>
        <v>0.35332316446343232</v>
      </c>
      <c r="AI89" s="68">
        <f t="shared" si="45"/>
        <v>0.42811903494853082</v>
      </c>
      <c r="AJ89" s="68">
        <f t="shared" si="46"/>
        <v>0.64068074754301207</v>
      </c>
      <c r="AK89" s="68">
        <f t="shared" si="47"/>
        <v>0.73296829761808013</v>
      </c>
      <c r="AL89" s="68">
        <f t="shared" si="48"/>
        <v>0.80976248960299846</v>
      </c>
      <c r="AM89" s="68">
        <f t="shared" si="49"/>
        <v>0.83708249555002712</v>
      </c>
      <c r="AN89" s="68">
        <f t="shared" si="50"/>
        <v>0.91304492740542897</v>
      </c>
      <c r="AO89" s="68">
        <f t="shared" si="51"/>
        <v>0.95902205081863401</v>
      </c>
      <c r="AP89" s="68">
        <f t="shared" si="52"/>
        <v>1</v>
      </c>
      <c r="AQ89" s="92"/>
      <c r="AT89" s="68">
        <f t="shared" si="57"/>
        <v>0.16366399806203824</v>
      </c>
      <c r="AU89" s="68">
        <f t="shared" si="58"/>
        <v>0.31823598591851965</v>
      </c>
      <c r="AV89" s="68">
        <f t="shared" si="59"/>
        <v>0.41372705562219475</v>
      </c>
      <c r="AW89" s="68">
        <f t="shared" si="60"/>
        <v>0.45805272176399675</v>
      </c>
      <c r="AX89" s="68">
        <f t="shared" si="61"/>
        <v>0.5604191276480377</v>
      </c>
      <c r="AY89" s="68">
        <f t="shared" si="62"/>
        <v>0.69055517134942312</v>
      </c>
      <c r="AZ89" s="68">
        <f t="shared" si="63"/>
        <v>0.78557173562624083</v>
      </c>
      <c r="BA89" s="68">
        <f t="shared" si="64"/>
        <v>0.81815284978929448</v>
      </c>
      <c r="BB89" s="68">
        <f t="shared" si="65"/>
        <v>0.88331507811540166</v>
      </c>
      <c r="BC89" s="68">
        <f t="shared" si="66"/>
        <v>0.9151373309004619</v>
      </c>
      <c r="BD89" s="68">
        <f t="shared" si="67"/>
        <v>0.95188610480535518</v>
      </c>
      <c r="BE89" s="68">
        <f t="shared" si="68"/>
        <v>1</v>
      </c>
      <c r="BG89" s="68">
        <f t="shared" si="55"/>
        <v>0.11081721047822557</v>
      </c>
      <c r="BH89" s="68">
        <f t="shared" si="55"/>
        <v>0.25931737571160318</v>
      </c>
      <c r="BI89" s="68">
        <f t="shared" si="55"/>
        <v>0.35887003209292062</v>
      </c>
      <c r="BJ89" s="68">
        <f t="shared" si="53"/>
        <v>0.40568794311371453</v>
      </c>
      <c r="BK89" s="68">
        <f t="shared" si="53"/>
        <v>0.49426908129828429</v>
      </c>
      <c r="BL89" s="68">
        <f t="shared" si="53"/>
        <v>0.6656179594462176</v>
      </c>
      <c r="BM89" s="68">
        <f t="shared" si="53"/>
        <v>0.75927001662216043</v>
      </c>
      <c r="BN89" s="68">
        <f t="shared" si="53"/>
        <v>0.81395766969614647</v>
      </c>
      <c r="BO89" s="68">
        <f t="shared" si="53"/>
        <v>0.86019878683271433</v>
      </c>
      <c r="BP89" s="68">
        <f t="shared" si="53"/>
        <v>0.91409112915294544</v>
      </c>
      <c r="BQ89" s="68">
        <f t="shared" si="53"/>
        <v>0.95545407781199465</v>
      </c>
      <c r="BR89" s="68">
        <f t="shared" si="53"/>
        <v>1</v>
      </c>
    </row>
    <row r="90" spans="1:70">
      <c r="N90" s="94">
        <f t="shared" si="54"/>
        <v>0</v>
      </c>
      <c r="AC90" s="94">
        <f t="shared" si="56"/>
        <v>0</v>
      </c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</row>
    <row r="91" spans="1:70">
      <c r="B91" s="317" t="s">
        <v>237</v>
      </c>
      <c r="C91" s="317"/>
      <c r="D91" s="317"/>
      <c r="E91" s="317"/>
      <c r="F91" s="317"/>
      <c r="G91" s="317"/>
      <c r="H91" s="317"/>
      <c r="I91" s="317"/>
      <c r="J91" s="317"/>
      <c r="K91" s="317"/>
      <c r="L91" s="317"/>
      <c r="M91" s="317"/>
      <c r="N91" s="317">
        <f t="shared" si="54"/>
        <v>0</v>
      </c>
      <c r="Q91" s="317" t="s">
        <v>204</v>
      </c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7">
        <f t="shared" si="56"/>
        <v>0</v>
      </c>
      <c r="AE91" s="316" t="s">
        <v>177</v>
      </c>
      <c r="AF91" s="316"/>
      <c r="AG91" s="316"/>
      <c r="AH91" s="316"/>
      <c r="AI91" s="316"/>
      <c r="AJ91" s="316"/>
      <c r="AK91" s="316"/>
      <c r="AL91" s="316"/>
      <c r="AM91" s="316"/>
      <c r="AN91" s="316"/>
      <c r="AO91" s="316"/>
      <c r="AP91" s="316"/>
      <c r="AQ91" s="92"/>
      <c r="AT91" s="316" t="s">
        <v>178</v>
      </c>
      <c r="AU91" s="316"/>
      <c r="AV91" s="316"/>
      <c r="AW91" s="316"/>
      <c r="AX91" s="316"/>
      <c r="AY91" s="316"/>
      <c r="AZ91" s="316"/>
      <c r="BA91" s="316"/>
      <c r="BB91" s="316"/>
      <c r="BC91" s="316"/>
      <c r="BD91" s="316"/>
      <c r="BE91" s="316"/>
      <c r="BG91" s="316" t="s">
        <v>244</v>
      </c>
      <c r="BH91" s="316"/>
      <c r="BI91" s="316"/>
      <c r="BJ91" s="316"/>
      <c r="BK91" s="316"/>
      <c r="BL91" s="316"/>
      <c r="BM91" s="316"/>
      <c r="BN91" s="316"/>
      <c r="BO91" s="316"/>
      <c r="BP91" s="316"/>
      <c r="BQ91" s="316"/>
      <c r="BR91" s="316"/>
    </row>
    <row r="92" spans="1:70">
      <c r="B92" s="239" t="s">
        <v>163</v>
      </c>
      <c r="C92" s="239" t="s">
        <v>179</v>
      </c>
      <c r="D92" s="239" t="s">
        <v>180</v>
      </c>
      <c r="E92" s="239" t="s">
        <v>181</v>
      </c>
      <c r="F92" s="239" t="s">
        <v>182</v>
      </c>
      <c r="G92" s="239" t="s">
        <v>183</v>
      </c>
      <c r="H92" s="239" t="s">
        <v>184</v>
      </c>
      <c r="I92" s="239" t="s">
        <v>185</v>
      </c>
      <c r="J92" s="239" t="s">
        <v>186</v>
      </c>
      <c r="K92" s="239" t="s">
        <v>187</v>
      </c>
      <c r="L92" s="239" t="s">
        <v>188</v>
      </c>
      <c r="M92" s="239" t="s">
        <v>189</v>
      </c>
      <c r="N92" s="239" t="s">
        <v>160</v>
      </c>
      <c r="Q92" s="239" t="s">
        <v>163</v>
      </c>
      <c r="R92" s="239" t="s">
        <v>179</v>
      </c>
      <c r="S92" s="239" t="s">
        <v>180</v>
      </c>
      <c r="T92" s="239" t="s">
        <v>181</v>
      </c>
      <c r="U92" s="239" t="s">
        <v>182</v>
      </c>
      <c r="V92" s="239" t="s">
        <v>183</v>
      </c>
      <c r="W92" s="239" t="s">
        <v>184</v>
      </c>
      <c r="X92" s="239" t="s">
        <v>185</v>
      </c>
      <c r="Y92" s="239" t="s">
        <v>186</v>
      </c>
      <c r="Z92" s="239" t="s">
        <v>187</v>
      </c>
      <c r="AA92" s="239" t="s">
        <v>188</v>
      </c>
      <c r="AB92" s="239" t="s">
        <v>189</v>
      </c>
      <c r="AC92" s="239">
        <f t="shared" si="56"/>
        <v>0</v>
      </c>
      <c r="AE92" s="239" t="s">
        <v>190</v>
      </c>
      <c r="AF92" s="239" t="s">
        <v>191</v>
      </c>
      <c r="AG92" s="239" t="s">
        <v>192</v>
      </c>
      <c r="AH92" s="239" t="s">
        <v>193</v>
      </c>
      <c r="AI92" s="239" t="s">
        <v>194</v>
      </c>
      <c r="AJ92" s="239" t="s">
        <v>195</v>
      </c>
      <c r="AK92" s="239" t="s">
        <v>196</v>
      </c>
      <c r="AL92" s="239" t="s">
        <v>197</v>
      </c>
      <c r="AM92" s="239" t="s">
        <v>198</v>
      </c>
      <c r="AN92" s="239" t="s">
        <v>199</v>
      </c>
      <c r="AO92" s="239" t="s">
        <v>200</v>
      </c>
      <c r="AP92" s="239" t="s">
        <v>201</v>
      </c>
      <c r="AQ92" s="92"/>
      <c r="AT92" s="239" t="s">
        <v>190</v>
      </c>
      <c r="AU92" s="239" t="s">
        <v>191</v>
      </c>
      <c r="AV92" s="239" t="s">
        <v>238</v>
      </c>
      <c r="AW92" s="239" t="s">
        <v>239</v>
      </c>
      <c r="AX92" s="239" t="s">
        <v>240</v>
      </c>
      <c r="AY92" s="239" t="s">
        <v>195</v>
      </c>
      <c r="AZ92" s="239" t="s">
        <v>196</v>
      </c>
      <c r="BA92" s="239" t="s">
        <v>197</v>
      </c>
      <c r="BB92" s="239" t="s">
        <v>198</v>
      </c>
      <c r="BC92" s="239" t="s">
        <v>199</v>
      </c>
      <c r="BD92" s="239" t="s">
        <v>200</v>
      </c>
      <c r="BE92" s="239" t="s">
        <v>201</v>
      </c>
      <c r="BG92" s="239" t="s">
        <v>190</v>
      </c>
      <c r="BH92" s="239" t="s">
        <v>191</v>
      </c>
      <c r="BI92" s="239" t="s">
        <v>238</v>
      </c>
      <c r="BJ92" s="239" t="s">
        <v>239</v>
      </c>
      <c r="BK92" s="239" t="s">
        <v>240</v>
      </c>
      <c r="BL92" s="239" t="s">
        <v>195</v>
      </c>
      <c r="BM92" s="239" t="s">
        <v>196</v>
      </c>
      <c r="BN92" s="239" t="s">
        <v>197</v>
      </c>
      <c r="BO92" s="239" t="s">
        <v>198</v>
      </c>
      <c r="BP92" s="239" t="s">
        <v>199</v>
      </c>
      <c r="BQ92" s="239" t="s">
        <v>200</v>
      </c>
      <c r="BR92" s="239" t="s">
        <v>201</v>
      </c>
    </row>
    <row r="93" spans="1:70">
      <c r="A93" s="239" t="s">
        <v>119</v>
      </c>
      <c r="B93" s="62">
        <v>0</v>
      </c>
      <c r="C93" s="62">
        <v>333.78999999999996</v>
      </c>
      <c r="D93" s="62">
        <v>1119.19</v>
      </c>
      <c r="E93" s="62">
        <v>595.59000000000015</v>
      </c>
      <c r="F93" s="62">
        <v>71.989999999999782</v>
      </c>
      <c r="G93" s="62">
        <v>333.8</v>
      </c>
      <c r="H93" s="62">
        <v>0</v>
      </c>
      <c r="I93" s="62">
        <v>0</v>
      </c>
      <c r="J93" s="62">
        <v>0</v>
      </c>
      <c r="K93" s="62">
        <v>395.82</v>
      </c>
      <c r="L93" s="62">
        <v>186.38</v>
      </c>
      <c r="M93" s="62">
        <v>0</v>
      </c>
      <c r="N93" s="100">
        <f t="shared" si="54"/>
        <v>3036.5600000000004</v>
      </c>
      <c r="P93" s="239" t="s">
        <v>119</v>
      </c>
      <c r="Q93" s="62">
        <v>40.629999999999939</v>
      </c>
      <c r="R93" s="62">
        <v>278.08000000000015</v>
      </c>
      <c r="S93" s="62">
        <v>258.5299999999998</v>
      </c>
      <c r="T93" s="62">
        <v>165.82999999999998</v>
      </c>
      <c r="U93" s="62">
        <v>92.700000000000045</v>
      </c>
      <c r="V93" s="62">
        <v>571.77</v>
      </c>
      <c r="W93" s="62">
        <v>0</v>
      </c>
      <c r="X93" s="62">
        <v>0</v>
      </c>
      <c r="Y93" s="62">
        <v>0</v>
      </c>
      <c r="Z93" s="62">
        <v>0</v>
      </c>
      <c r="AA93" s="62">
        <v>0</v>
      </c>
      <c r="AB93" s="62">
        <v>219.38999999999987</v>
      </c>
      <c r="AC93" s="100">
        <f t="shared" si="56"/>
        <v>1626.9299999999998</v>
      </c>
      <c r="AE93" s="68">
        <f t="shared" ref="AE93:AE119" si="69">B93/N93</f>
        <v>0</v>
      </c>
      <c r="AF93" s="68">
        <f t="shared" ref="AF93:AF119" si="70">SUM(B93:C93)/$N93</f>
        <v>0.10992372948336272</v>
      </c>
      <c r="AG93" s="68">
        <f t="shared" ref="AG93:AG119" si="71">SUM(B93:D93)/$N93</f>
        <v>0.47849540269252044</v>
      </c>
      <c r="AH93" s="68">
        <f t="shared" ref="AH93:AH119" si="72">SUM(B93:E93)/$N93</f>
        <v>0.6746351134178149</v>
      </c>
      <c r="AI93" s="68">
        <f t="shared" ref="AI93:AI119" si="73">SUM(B93:F93)/$N93</f>
        <v>0.69834286165924586</v>
      </c>
      <c r="AJ93" s="68">
        <f t="shared" ref="AJ93:AJ119" si="74">SUM(B93:G93)/$N93</f>
        <v>0.80826988434280889</v>
      </c>
      <c r="AK93" s="68">
        <f t="shared" ref="AK93:AK119" si="75">SUM(B93:H93)/$N93</f>
        <v>0.80826988434280889</v>
      </c>
      <c r="AL93" s="68">
        <f t="shared" ref="AL93:AL119" si="76">SUM(B93:I93)/$N93</f>
        <v>0.80826988434280889</v>
      </c>
      <c r="AM93" s="68">
        <f t="shared" ref="AM93:AM119" si="77">SUM(B93:J93)/$N93</f>
        <v>0.80826988434280889</v>
      </c>
      <c r="AN93" s="68">
        <f t="shared" ref="AN93:AN119" si="78">SUM(B93:K93)/$N93</f>
        <v>0.9386213346681771</v>
      </c>
      <c r="AO93" s="68">
        <f t="shared" ref="AO93:AO119" si="79">SUM(B93:L93)/$N93</f>
        <v>1</v>
      </c>
      <c r="AP93" s="68">
        <f t="shared" ref="AP93:AP119" si="80">SUM(B93:M93)/$N93</f>
        <v>1</v>
      </c>
      <c r="AQ93" s="92"/>
      <c r="AT93" s="68">
        <f t="shared" si="57"/>
        <v>2.4973416188772683E-2</v>
      </c>
      <c r="AU93" s="68">
        <f t="shared" si="58"/>
        <v>0.19589656592477864</v>
      </c>
      <c r="AV93" s="68">
        <f t="shared" si="59"/>
        <v>0.35480321833145861</v>
      </c>
      <c r="AW93" s="68">
        <f t="shared" si="60"/>
        <v>0.45673138979550443</v>
      </c>
      <c r="AX93" s="68">
        <f t="shared" si="61"/>
        <v>0.51370987073813879</v>
      </c>
      <c r="AY93" s="68">
        <f t="shared" si="62"/>
        <v>0.86515092843576558</v>
      </c>
      <c r="AZ93" s="68">
        <f t="shared" si="63"/>
        <v>0.86515092843576558</v>
      </c>
      <c r="BA93" s="68">
        <f t="shared" si="64"/>
        <v>0.86515092843576558</v>
      </c>
      <c r="BB93" s="68">
        <f t="shared" si="65"/>
        <v>0.86515092843576558</v>
      </c>
      <c r="BC93" s="68">
        <f t="shared" si="66"/>
        <v>0.86515092843576558</v>
      </c>
      <c r="BD93" s="68">
        <f t="shared" si="67"/>
        <v>0.86515092843576558</v>
      </c>
      <c r="BE93" s="68">
        <f t="shared" si="68"/>
        <v>1</v>
      </c>
      <c r="BG93" s="68">
        <f t="shared" si="55"/>
        <v>1.2486708094386342E-2</v>
      </c>
      <c r="BH93" s="68">
        <f t="shared" si="55"/>
        <v>0.15291014770407069</v>
      </c>
      <c r="BI93" s="68">
        <f t="shared" si="55"/>
        <v>0.4166493105119895</v>
      </c>
      <c r="BJ93" s="68">
        <f t="shared" si="53"/>
        <v>0.56568325160665967</v>
      </c>
      <c r="BK93" s="68">
        <f t="shared" si="53"/>
        <v>0.60602636619869232</v>
      </c>
      <c r="BL93" s="68">
        <f t="shared" si="53"/>
        <v>0.83671040638928718</v>
      </c>
      <c r="BM93" s="68">
        <f t="shared" si="53"/>
        <v>0.83671040638928718</v>
      </c>
      <c r="BN93" s="68">
        <f t="shared" si="53"/>
        <v>0.83671040638928718</v>
      </c>
      <c r="BO93" s="68">
        <f t="shared" si="53"/>
        <v>0.83671040638928718</v>
      </c>
      <c r="BP93" s="68">
        <f t="shared" si="53"/>
        <v>0.90188613155197128</v>
      </c>
      <c r="BQ93" s="68">
        <f t="shared" si="53"/>
        <v>0.93257546421788273</v>
      </c>
      <c r="BR93" s="68">
        <f t="shared" si="53"/>
        <v>1</v>
      </c>
    </row>
    <row r="94" spans="1:70">
      <c r="A94" s="239" t="s">
        <v>120</v>
      </c>
      <c r="B94" s="62">
        <v>703.84999999999991</v>
      </c>
      <c r="C94" s="62">
        <v>759.21999999999935</v>
      </c>
      <c r="D94" s="62">
        <v>523.59999999999991</v>
      </c>
      <c r="E94" s="62">
        <v>1396.27</v>
      </c>
      <c r="F94" s="62">
        <v>523.59999999999991</v>
      </c>
      <c r="G94" s="62">
        <v>1256.6500000000001</v>
      </c>
      <c r="H94" s="62">
        <v>0</v>
      </c>
      <c r="I94" s="62">
        <v>0</v>
      </c>
      <c r="J94" s="62">
        <v>1001.53</v>
      </c>
      <c r="K94" s="62">
        <v>0</v>
      </c>
      <c r="L94" s="62">
        <v>0</v>
      </c>
      <c r="M94" s="62">
        <v>0</v>
      </c>
      <c r="N94" s="100">
        <f t="shared" si="54"/>
        <v>6164.7199999999984</v>
      </c>
      <c r="P94" s="239" t="s">
        <v>120</v>
      </c>
      <c r="Q94" s="62">
        <v>568.83999999999992</v>
      </c>
      <c r="R94" s="62">
        <v>406.32000000000039</v>
      </c>
      <c r="S94" s="62">
        <v>376.80999999999995</v>
      </c>
      <c r="T94" s="62">
        <v>279.3</v>
      </c>
      <c r="U94" s="62">
        <v>121.88999999999999</v>
      </c>
      <c r="V94" s="62">
        <v>0</v>
      </c>
      <c r="W94" s="62">
        <v>163.41999999999996</v>
      </c>
      <c r="X94" s="62">
        <v>0</v>
      </c>
      <c r="Y94" s="62">
        <v>0</v>
      </c>
      <c r="Z94" s="62">
        <v>0</v>
      </c>
      <c r="AA94" s="62">
        <v>0</v>
      </c>
      <c r="AB94" s="62">
        <v>0</v>
      </c>
      <c r="AC94" s="100">
        <f t="shared" si="56"/>
        <v>1916.5800000000004</v>
      </c>
      <c r="AE94" s="68">
        <f t="shared" si="69"/>
        <v>0.11417387975447386</v>
      </c>
      <c r="AF94" s="68">
        <f t="shared" si="70"/>
        <v>0.23732951374920511</v>
      </c>
      <c r="AG94" s="68">
        <f t="shared" si="71"/>
        <v>0.32226443374557151</v>
      </c>
      <c r="AH94" s="68">
        <f t="shared" si="72"/>
        <v>0.54875809444711199</v>
      </c>
      <c r="AI94" s="68">
        <f t="shared" si="73"/>
        <v>0.63369301444347836</v>
      </c>
      <c r="AJ94" s="68">
        <f t="shared" si="74"/>
        <v>0.8375384445684475</v>
      </c>
      <c r="AK94" s="68">
        <f t="shared" si="75"/>
        <v>0.8375384445684475</v>
      </c>
      <c r="AL94" s="68">
        <f t="shared" si="76"/>
        <v>0.8375384445684475</v>
      </c>
      <c r="AM94" s="68">
        <f t="shared" si="77"/>
        <v>1</v>
      </c>
      <c r="AN94" s="68">
        <f t="shared" si="78"/>
        <v>1</v>
      </c>
      <c r="AO94" s="68">
        <f t="shared" si="79"/>
        <v>1</v>
      </c>
      <c r="AP94" s="68">
        <f t="shared" si="80"/>
        <v>1</v>
      </c>
      <c r="AQ94" s="92"/>
      <c r="AT94" s="68">
        <f t="shared" si="57"/>
        <v>0.29679950745598921</v>
      </c>
      <c r="AU94" s="68">
        <f t="shared" si="58"/>
        <v>0.50880213714011424</v>
      </c>
      <c r="AV94" s="68">
        <f t="shared" si="59"/>
        <v>0.70540754886307899</v>
      </c>
      <c r="AW94" s="68">
        <f t="shared" si="60"/>
        <v>0.85113587744837149</v>
      </c>
      <c r="AX94" s="68">
        <f t="shared" si="61"/>
        <v>0.9147335357772699</v>
      </c>
      <c r="AY94" s="68">
        <f t="shared" si="62"/>
        <v>0.9147335357772699</v>
      </c>
      <c r="AZ94" s="68">
        <f t="shared" si="63"/>
        <v>1</v>
      </c>
      <c r="BA94" s="68">
        <f t="shared" si="64"/>
        <v>1</v>
      </c>
      <c r="BB94" s="68">
        <f t="shared" si="65"/>
        <v>1</v>
      </c>
      <c r="BC94" s="68">
        <f t="shared" si="66"/>
        <v>1</v>
      </c>
      <c r="BD94" s="68">
        <f t="shared" si="67"/>
        <v>1</v>
      </c>
      <c r="BE94" s="68">
        <f t="shared" si="68"/>
        <v>1</v>
      </c>
      <c r="BG94" s="68">
        <f t="shared" si="55"/>
        <v>0.20548669360523153</v>
      </c>
      <c r="BH94" s="68">
        <f t="shared" si="55"/>
        <v>0.37306582544465966</v>
      </c>
      <c r="BI94" s="68">
        <f t="shared" si="55"/>
        <v>0.51383599130432522</v>
      </c>
      <c r="BJ94" s="68">
        <f t="shared" si="53"/>
        <v>0.69994698594774174</v>
      </c>
      <c r="BK94" s="68">
        <f t="shared" si="53"/>
        <v>0.77421327511037408</v>
      </c>
      <c r="BL94" s="68">
        <f t="shared" si="53"/>
        <v>0.8761359901728587</v>
      </c>
      <c r="BM94" s="68">
        <f t="shared" si="53"/>
        <v>0.91876922228422375</v>
      </c>
      <c r="BN94" s="68">
        <f t="shared" si="53"/>
        <v>0.91876922228422375</v>
      </c>
      <c r="BO94" s="68">
        <f t="shared" si="53"/>
        <v>1</v>
      </c>
      <c r="BP94" s="68">
        <f t="shared" si="53"/>
        <v>1</v>
      </c>
      <c r="BQ94" s="68">
        <f t="shared" si="53"/>
        <v>1</v>
      </c>
      <c r="BR94" s="68">
        <f t="shared" si="53"/>
        <v>1</v>
      </c>
    </row>
    <row r="95" spans="1:70">
      <c r="A95" s="239" t="s">
        <v>121</v>
      </c>
      <c r="B95" s="62">
        <v>1151.9100000000001</v>
      </c>
      <c r="C95" s="62">
        <v>523.60000000000036</v>
      </c>
      <c r="D95" s="62">
        <v>759.22</v>
      </c>
      <c r="E95" s="62">
        <v>733.15999999999985</v>
      </c>
      <c r="F95" s="62">
        <v>894.69</v>
      </c>
      <c r="G95" s="62">
        <v>272.54000000000002</v>
      </c>
      <c r="H95" s="62">
        <v>0</v>
      </c>
      <c r="I95" s="62">
        <v>0</v>
      </c>
      <c r="J95" s="62">
        <v>0</v>
      </c>
      <c r="K95" s="62">
        <v>540</v>
      </c>
      <c r="L95" s="62">
        <v>603.36</v>
      </c>
      <c r="M95" s="62">
        <v>262.02</v>
      </c>
      <c r="N95" s="100">
        <f t="shared" si="54"/>
        <v>5740.5</v>
      </c>
      <c r="P95" s="239" t="s">
        <v>121</v>
      </c>
      <c r="Q95" s="62">
        <v>495.85000000000008</v>
      </c>
      <c r="R95" s="62">
        <v>231.74999999999983</v>
      </c>
      <c r="S95" s="62">
        <v>73.139999999999986</v>
      </c>
      <c r="T95" s="62">
        <v>357.5499999999999</v>
      </c>
      <c r="U95" s="62">
        <v>73.129999999999768</v>
      </c>
      <c r="V95" s="62">
        <v>658.22</v>
      </c>
      <c r="W95" s="62">
        <v>251.92000000000019</v>
      </c>
      <c r="X95" s="62">
        <v>162.5300000000002</v>
      </c>
      <c r="Y95" s="62">
        <v>481.12999999999994</v>
      </c>
      <c r="Z95" s="62">
        <v>65.009999999999991</v>
      </c>
      <c r="AA95" s="62">
        <v>137.12999999999994</v>
      </c>
      <c r="AB95" s="62">
        <v>156.08999999999992</v>
      </c>
      <c r="AC95" s="100">
        <f t="shared" si="56"/>
        <v>3143.4500000000007</v>
      </c>
      <c r="AE95" s="68">
        <f t="shared" si="69"/>
        <v>0.20066370525215574</v>
      </c>
      <c r="AF95" s="68">
        <f t="shared" si="70"/>
        <v>0.2918752721888338</v>
      </c>
      <c r="AG95" s="68">
        <f t="shared" si="71"/>
        <v>0.42413204424701689</v>
      </c>
      <c r="AH95" s="68">
        <f t="shared" si="72"/>
        <v>0.55184914206079616</v>
      </c>
      <c r="AI95" s="68">
        <f t="shared" si="73"/>
        <v>0.7077049037540285</v>
      </c>
      <c r="AJ95" s="68">
        <f t="shared" si="74"/>
        <v>0.7551816043898617</v>
      </c>
      <c r="AK95" s="68">
        <f t="shared" si="75"/>
        <v>0.7551816043898617</v>
      </c>
      <c r="AL95" s="68">
        <f t="shared" si="76"/>
        <v>0.7551816043898617</v>
      </c>
      <c r="AM95" s="68">
        <f t="shared" si="77"/>
        <v>0.7551816043898617</v>
      </c>
      <c r="AN95" s="68">
        <f t="shared" si="78"/>
        <v>0.84925006532532021</v>
      </c>
      <c r="AO95" s="68">
        <f t="shared" si="79"/>
        <v>0.95435589234387252</v>
      </c>
      <c r="AP95" s="68">
        <f t="shared" si="80"/>
        <v>1</v>
      </c>
      <c r="AQ95" s="92"/>
      <c r="AT95" s="68">
        <f t="shared" si="57"/>
        <v>0.157740698913614</v>
      </c>
      <c r="AU95" s="68">
        <f t="shared" si="58"/>
        <v>0.23146542811242415</v>
      </c>
      <c r="AV95" s="68">
        <f t="shared" si="59"/>
        <v>0.25473285721102601</v>
      </c>
      <c r="AW95" s="68">
        <f t="shared" si="60"/>
        <v>0.3684773099619843</v>
      </c>
      <c r="AX95" s="68">
        <f t="shared" si="61"/>
        <v>0.3917415578424977</v>
      </c>
      <c r="AY95" s="68">
        <f t="shared" si="62"/>
        <v>0.60113569485756069</v>
      </c>
      <c r="AZ95" s="68">
        <f t="shared" si="63"/>
        <v>0.68127694094068603</v>
      </c>
      <c r="BA95" s="68">
        <f t="shared" si="64"/>
        <v>0.7329812785315496</v>
      </c>
      <c r="BB95" s="68">
        <f t="shared" si="65"/>
        <v>0.88603922441902994</v>
      </c>
      <c r="BC95" s="68">
        <f t="shared" si="66"/>
        <v>0.90672032321175777</v>
      </c>
      <c r="BD95" s="68">
        <f t="shared" si="67"/>
        <v>0.95034436685806989</v>
      </c>
      <c r="BE95" s="68">
        <f t="shared" si="68"/>
        <v>1</v>
      </c>
      <c r="BG95" s="68">
        <f t="shared" si="55"/>
        <v>0.17920220208288487</v>
      </c>
      <c r="BH95" s="68">
        <f t="shared" si="55"/>
        <v>0.26167035015062901</v>
      </c>
      <c r="BI95" s="68">
        <f t="shared" si="55"/>
        <v>0.33943245072902145</v>
      </c>
      <c r="BJ95" s="68">
        <f t="shared" si="53"/>
        <v>0.46016322601139026</v>
      </c>
      <c r="BK95" s="68">
        <f t="shared" si="53"/>
        <v>0.54972323079826313</v>
      </c>
      <c r="BL95" s="68">
        <f t="shared" si="53"/>
        <v>0.6781586496237112</v>
      </c>
      <c r="BM95" s="68">
        <f t="shared" si="53"/>
        <v>0.71822927266527392</v>
      </c>
      <c r="BN95" s="68">
        <f t="shared" si="53"/>
        <v>0.74408144146070565</v>
      </c>
      <c r="BO95" s="68">
        <f t="shared" si="53"/>
        <v>0.82061041440444582</v>
      </c>
      <c r="BP95" s="68">
        <f t="shared" si="53"/>
        <v>0.87798519426853905</v>
      </c>
      <c r="BQ95" s="68">
        <f t="shared" si="53"/>
        <v>0.95235012960097121</v>
      </c>
      <c r="BR95" s="68">
        <f t="shared" si="53"/>
        <v>1</v>
      </c>
    </row>
    <row r="96" spans="1:70">
      <c r="A96" s="239" t="s">
        <v>122</v>
      </c>
      <c r="B96" s="62">
        <v>2573.0200000000004</v>
      </c>
      <c r="C96" s="62">
        <v>2121.4700000000003</v>
      </c>
      <c r="D96" s="62">
        <v>3382.59</v>
      </c>
      <c r="E96" s="62">
        <v>1613.3499999999995</v>
      </c>
      <c r="F96" s="62">
        <v>1551.88</v>
      </c>
      <c r="G96" s="62">
        <v>2929.96</v>
      </c>
      <c r="H96" s="62">
        <v>1288.98</v>
      </c>
      <c r="I96" s="62">
        <v>936.78</v>
      </c>
      <c r="J96" s="62">
        <v>810.02</v>
      </c>
      <c r="K96" s="62">
        <v>725.83</v>
      </c>
      <c r="L96" s="62">
        <v>374.03</v>
      </c>
      <c r="M96" s="62">
        <v>3668.49</v>
      </c>
      <c r="N96" s="100">
        <f t="shared" si="54"/>
        <v>21976.400000000001</v>
      </c>
      <c r="P96" s="239" t="s">
        <v>122</v>
      </c>
      <c r="Q96" s="62">
        <v>3263.19</v>
      </c>
      <c r="R96" s="62">
        <v>2585.71</v>
      </c>
      <c r="S96" s="62">
        <v>3208.86</v>
      </c>
      <c r="T96" s="62">
        <v>3547.8700000000003</v>
      </c>
      <c r="U96" s="62">
        <v>3504.45</v>
      </c>
      <c r="V96" s="62">
        <v>2647.3300000000004</v>
      </c>
      <c r="W96" s="62">
        <v>597.29999999999995</v>
      </c>
      <c r="X96" s="62">
        <v>3665.1499999999996</v>
      </c>
      <c r="Y96" s="62">
        <v>461.40999999999997</v>
      </c>
      <c r="Z96" s="62">
        <v>286.33000000000004</v>
      </c>
      <c r="AA96" s="62">
        <v>2014.5</v>
      </c>
      <c r="AB96" s="62">
        <v>779.2399999999999</v>
      </c>
      <c r="AC96" s="100">
        <f t="shared" si="56"/>
        <v>26561.340000000004</v>
      </c>
      <c r="AE96" s="68">
        <f t="shared" si="69"/>
        <v>0.11708105058153292</v>
      </c>
      <c r="AF96" s="68">
        <f t="shared" si="70"/>
        <v>0.21361505979141263</v>
      </c>
      <c r="AG96" s="68">
        <f t="shared" si="71"/>
        <v>0.36753426402868533</v>
      </c>
      <c r="AH96" s="68">
        <f t="shared" si="72"/>
        <v>0.44094710689648897</v>
      </c>
      <c r="AI96" s="68">
        <f t="shared" si="73"/>
        <v>0.51156285833894544</v>
      </c>
      <c r="AJ96" s="68">
        <f t="shared" si="74"/>
        <v>0.64488587757776517</v>
      </c>
      <c r="AK96" s="68">
        <f t="shared" si="75"/>
        <v>0.70353879616315684</v>
      </c>
      <c r="AL96" s="68">
        <f t="shared" si="76"/>
        <v>0.74616543200888219</v>
      </c>
      <c r="AM96" s="68">
        <f t="shared" si="77"/>
        <v>0.78302406217578846</v>
      </c>
      <c r="AN96" s="68">
        <f t="shared" si="78"/>
        <v>0.81605176462022899</v>
      </c>
      <c r="AO96" s="68">
        <f t="shared" si="79"/>
        <v>0.83307138566826222</v>
      </c>
      <c r="AP96" s="68">
        <f t="shared" si="80"/>
        <v>1</v>
      </c>
      <c r="AQ96" s="92"/>
      <c r="AT96" s="68">
        <f t="shared" si="57"/>
        <v>0.12285487102683824</v>
      </c>
      <c r="AU96" s="68">
        <f t="shared" si="58"/>
        <v>0.22020349876926384</v>
      </c>
      <c r="AV96" s="68">
        <f t="shared" si="59"/>
        <v>0.34101291576403897</v>
      </c>
      <c r="AW96" s="68">
        <f t="shared" si="60"/>
        <v>0.47458561955082085</v>
      </c>
      <c r="AX96" s="68">
        <f t="shared" si="61"/>
        <v>0.60652361665488264</v>
      </c>
      <c r="AY96" s="68">
        <f t="shared" si="62"/>
        <v>0.7061921574739829</v>
      </c>
      <c r="AZ96" s="68">
        <f t="shared" si="63"/>
        <v>0.72867972775469914</v>
      </c>
      <c r="BA96" s="68">
        <f t="shared" si="64"/>
        <v>0.86666787142516144</v>
      </c>
      <c r="BB96" s="68">
        <f t="shared" si="65"/>
        <v>0.8840393594600271</v>
      </c>
      <c r="BC96" s="68">
        <f t="shared" si="66"/>
        <v>0.89481931257986225</v>
      </c>
      <c r="BD96" s="68">
        <f t="shared" si="67"/>
        <v>0.97066262470191633</v>
      </c>
      <c r="BE96" s="68">
        <f t="shared" si="68"/>
        <v>1</v>
      </c>
      <c r="BG96" s="68">
        <f t="shared" si="55"/>
        <v>0.11996796080418559</v>
      </c>
      <c r="BH96" s="68">
        <f t="shared" si="55"/>
        <v>0.21690927928033824</v>
      </c>
      <c r="BI96" s="68">
        <f t="shared" si="55"/>
        <v>0.35427358989636215</v>
      </c>
      <c r="BJ96" s="68">
        <f t="shared" si="53"/>
        <v>0.45776636322365494</v>
      </c>
      <c r="BK96" s="68">
        <f t="shared" si="53"/>
        <v>0.55904323749691409</v>
      </c>
      <c r="BL96" s="68">
        <f t="shared" si="53"/>
        <v>0.67553901752587397</v>
      </c>
      <c r="BM96" s="68">
        <f t="shared" si="53"/>
        <v>0.71610926195892799</v>
      </c>
      <c r="BN96" s="68">
        <f t="shared" si="53"/>
        <v>0.80641665171702182</v>
      </c>
      <c r="BO96" s="68">
        <f t="shared" si="53"/>
        <v>0.83353171081790778</v>
      </c>
      <c r="BP96" s="68">
        <f t="shared" si="53"/>
        <v>0.85543553860004562</v>
      </c>
      <c r="BQ96" s="68">
        <f t="shared" si="53"/>
        <v>0.90186700518508922</v>
      </c>
      <c r="BR96" s="68">
        <f t="shared" si="53"/>
        <v>1</v>
      </c>
    </row>
    <row r="97" spans="1:70">
      <c r="A97" s="239" t="s">
        <v>123</v>
      </c>
      <c r="B97" s="62">
        <v>4167.29</v>
      </c>
      <c r="C97" s="62">
        <v>6240.630000000001</v>
      </c>
      <c r="D97" s="62">
        <v>3113.48</v>
      </c>
      <c r="E97" s="62">
        <v>2672.57</v>
      </c>
      <c r="F97" s="62">
        <v>7408.0700000000006</v>
      </c>
      <c r="G97" s="62">
        <v>8761.0400000000009</v>
      </c>
      <c r="H97" s="62">
        <v>3660.4299999999994</v>
      </c>
      <c r="I97" s="62">
        <v>4804.63</v>
      </c>
      <c r="J97" s="62">
        <v>2169.67</v>
      </c>
      <c r="K97" s="62">
        <v>1607.29</v>
      </c>
      <c r="L97" s="62">
        <v>1257.58</v>
      </c>
      <c r="M97" s="62">
        <v>1653.88</v>
      </c>
      <c r="N97" s="100">
        <f t="shared" si="54"/>
        <v>47516.56</v>
      </c>
      <c r="P97" s="239" t="s">
        <v>123</v>
      </c>
      <c r="Q97" s="62">
        <v>6527.3700000000017</v>
      </c>
      <c r="R97" s="62">
        <v>7348.0700000000033</v>
      </c>
      <c r="S97" s="62">
        <v>3359.1799999999989</v>
      </c>
      <c r="T97" s="62">
        <v>1616.1300000000006</v>
      </c>
      <c r="U97" s="62">
        <v>3418.76</v>
      </c>
      <c r="V97" s="62">
        <v>1135.0999999999985</v>
      </c>
      <c r="W97" s="62">
        <v>3106.3299999999995</v>
      </c>
      <c r="X97" s="62">
        <v>2240.5300000000002</v>
      </c>
      <c r="Y97" s="62">
        <v>2718.09</v>
      </c>
      <c r="Z97" s="62">
        <v>2200.12</v>
      </c>
      <c r="AA97" s="62">
        <v>1419.3799999999999</v>
      </c>
      <c r="AB97" s="62">
        <v>913.04000000000019</v>
      </c>
      <c r="AC97" s="100">
        <f t="shared" si="56"/>
        <v>36002.100000000006</v>
      </c>
      <c r="AE97" s="68">
        <f t="shared" si="69"/>
        <v>8.770184541978629E-2</v>
      </c>
      <c r="AF97" s="68">
        <f t="shared" si="70"/>
        <v>0.21903774178938884</v>
      </c>
      <c r="AG97" s="68">
        <f t="shared" si="71"/>
        <v>0.28456184538611384</v>
      </c>
      <c r="AH97" s="68">
        <f t="shared" si="72"/>
        <v>0.34080686817395878</v>
      </c>
      <c r="AI97" s="68">
        <f t="shared" si="73"/>
        <v>0.49671188318346282</v>
      </c>
      <c r="AJ97" s="68">
        <f t="shared" si="74"/>
        <v>0.68109055032603383</v>
      </c>
      <c r="AK97" s="68">
        <f t="shared" si="75"/>
        <v>0.75812537776303679</v>
      </c>
      <c r="AL97" s="68">
        <f t="shared" si="76"/>
        <v>0.85924023119518755</v>
      </c>
      <c r="AM97" s="68">
        <f t="shared" si="77"/>
        <v>0.9049015753665669</v>
      </c>
      <c r="AN97" s="68">
        <f t="shared" si="78"/>
        <v>0.93872746680315244</v>
      </c>
      <c r="AO97" s="68">
        <f t="shared" si="79"/>
        <v>0.96519360829150935</v>
      </c>
      <c r="AP97" s="68">
        <f t="shared" si="80"/>
        <v>1</v>
      </c>
      <c r="AQ97" s="92"/>
      <c r="AT97" s="68">
        <f t="shared" si="57"/>
        <v>0.1813052571933304</v>
      </c>
      <c r="AU97" s="68">
        <f t="shared" si="58"/>
        <v>0.38540640684848948</v>
      </c>
      <c r="AV97" s="68">
        <f t="shared" si="59"/>
        <v>0.47871151960580088</v>
      </c>
      <c r="AW97" s="68">
        <f t="shared" si="60"/>
        <v>0.52360140102938446</v>
      </c>
      <c r="AX97" s="68">
        <f t="shared" si="61"/>
        <v>0.61856141725066049</v>
      </c>
      <c r="AY97" s="68">
        <f t="shared" si="62"/>
        <v>0.6500901336310938</v>
      </c>
      <c r="AZ97" s="68">
        <f t="shared" si="63"/>
        <v>0.73637204496404385</v>
      </c>
      <c r="BA97" s="68">
        <f t="shared" si="64"/>
        <v>0.7986053591318284</v>
      </c>
      <c r="BB97" s="68">
        <f t="shared" si="65"/>
        <v>0.87410345507623166</v>
      </c>
      <c r="BC97" s="68">
        <f t="shared" si="66"/>
        <v>0.93521433471936366</v>
      </c>
      <c r="BD97" s="68">
        <f t="shared" si="67"/>
        <v>0.97463925715444377</v>
      </c>
      <c r="BE97" s="68">
        <f t="shared" si="68"/>
        <v>1</v>
      </c>
      <c r="BG97" s="68">
        <f t="shared" si="55"/>
        <v>0.13450355130655833</v>
      </c>
      <c r="BH97" s="68">
        <f t="shared" si="55"/>
        <v>0.30222207431893916</v>
      </c>
      <c r="BI97" s="68">
        <f t="shared" si="55"/>
        <v>0.38163668249595739</v>
      </c>
      <c r="BJ97" s="68">
        <f t="shared" si="53"/>
        <v>0.43220413460167162</v>
      </c>
      <c r="BK97" s="68">
        <f t="shared" si="53"/>
        <v>0.55763665021706166</v>
      </c>
      <c r="BL97" s="68">
        <f t="shared" si="53"/>
        <v>0.66559034197856382</v>
      </c>
      <c r="BM97" s="68">
        <f t="shared" ref="BM97:BR142" si="81">(AK97+AZ97)/2</f>
        <v>0.74724871136354032</v>
      </c>
      <c r="BN97" s="68">
        <f t="shared" si="81"/>
        <v>0.82892279516350797</v>
      </c>
      <c r="BO97" s="68">
        <f t="shared" si="81"/>
        <v>0.88950251522139934</v>
      </c>
      <c r="BP97" s="68">
        <f t="shared" si="81"/>
        <v>0.93697090076125811</v>
      </c>
      <c r="BQ97" s="68">
        <f t="shared" si="81"/>
        <v>0.96991643272297656</v>
      </c>
      <c r="BR97" s="68">
        <f t="shared" si="81"/>
        <v>1</v>
      </c>
    </row>
    <row r="98" spans="1:70">
      <c r="A98" s="239" t="s">
        <v>124</v>
      </c>
      <c r="B98" s="62">
        <v>1585.4399999999989</v>
      </c>
      <c r="C98" s="62">
        <v>1605.3800000000024</v>
      </c>
      <c r="D98" s="62">
        <v>2290.2800000000016</v>
      </c>
      <c r="E98" s="62">
        <v>2880.97</v>
      </c>
      <c r="F98" s="62">
        <v>1891.3899999999994</v>
      </c>
      <c r="G98" s="62">
        <v>854.69</v>
      </c>
      <c r="H98" s="62">
        <v>1277.1599999999999</v>
      </c>
      <c r="I98" s="62">
        <v>1378.77</v>
      </c>
      <c r="J98" s="62">
        <v>1957.81</v>
      </c>
      <c r="K98" s="62">
        <v>2670.7</v>
      </c>
      <c r="L98" s="62">
        <v>2554.86</v>
      </c>
      <c r="M98" s="62">
        <v>794.91</v>
      </c>
      <c r="N98" s="100">
        <f t="shared" si="54"/>
        <v>21742.360000000004</v>
      </c>
      <c r="P98" s="239" t="s">
        <v>124</v>
      </c>
      <c r="Q98" s="62">
        <v>688.06999999999925</v>
      </c>
      <c r="R98" s="62">
        <v>1710.4300000000021</v>
      </c>
      <c r="S98" s="62">
        <v>5471.48</v>
      </c>
      <c r="T98" s="62">
        <v>2612.1299999999992</v>
      </c>
      <c r="U98" s="62">
        <v>1824.3899999999999</v>
      </c>
      <c r="V98" s="62">
        <v>2320.2700000000009</v>
      </c>
      <c r="W98" s="62">
        <v>923.94999999999982</v>
      </c>
      <c r="X98" s="62">
        <v>1130.9099999999999</v>
      </c>
      <c r="Y98" s="62">
        <v>164.76000000000002</v>
      </c>
      <c r="Z98" s="62">
        <v>301.41999999999996</v>
      </c>
      <c r="AA98" s="62">
        <v>359.79999999999995</v>
      </c>
      <c r="AB98" s="62">
        <v>1302.1699999999996</v>
      </c>
      <c r="AC98" s="100">
        <f t="shared" si="56"/>
        <v>18809.779999999995</v>
      </c>
      <c r="AE98" s="68">
        <f t="shared" si="69"/>
        <v>7.2919407092882221E-2</v>
      </c>
      <c r="AF98" s="68">
        <f t="shared" si="70"/>
        <v>0.14675591794083076</v>
      </c>
      <c r="AG98" s="68">
        <f t="shared" si="71"/>
        <v>0.25209314904177843</v>
      </c>
      <c r="AH98" s="68">
        <f t="shared" si="72"/>
        <v>0.38459808410862489</v>
      </c>
      <c r="AI98" s="68">
        <f t="shared" si="73"/>
        <v>0.4715891007231966</v>
      </c>
      <c r="AJ98" s="68">
        <f t="shared" si="74"/>
        <v>0.51089900084443463</v>
      </c>
      <c r="AK98" s="68">
        <f t="shared" si="75"/>
        <v>0.56963963433592313</v>
      </c>
      <c r="AL98" s="68">
        <f t="shared" si="76"/>
        <v>0.63305363355219957</v>
      </c>
      <c r="AM98" s="68">
        <f t="shared" si="77"/>
        <v>0.72309951633585312</v>
      </c>
      <c r="AN98" s="68">
        <f t="shared" si="78"/>
        <v>0.84593346812397552</v>
      </c>
      <c r="AO98" s="68">
        <f t="shared" si="79"/>
        <v>0.96343957141727021</v>
      </c>
      <c r="AP98" s="68">
        <f t="shared" si="80"/>
        <v>1</v>
      </c>
      <c r="AQ98" s="92"/>
      <c r="AT98" s="68">
        <f t="shared" si="57"/>
        <v>3.6580438474027845E-2</v>
      </c>
      <c r="AU98" s="68">
        <f t="shared" si="58"/>
        <v>0.1275134531079046</v>
      </c>
      <c r="AV98" s="68">
        <f t="shared" si="59"/>
        <v>0.41839830130921274</v>
      </c>
      <c r="AW98" s="68">
        <f t="shared" si="60"/>
        <v>0.55726914403039285</v>
      </c>
      <c r="AX98" s="68">
        <f t="shared" si="61"/>
        <v>0.65426070905667177</v>
      </c>
      <c r="AY98" s="68">
        <f t="shared" si="62"/>
        <v>0.77761515552016047</v>
      </c>
      <c r="AZ98" s="68">
        <f t="shared" si="63"/>
        <v>0.82673587888853595</v>
      </c>
      <c r="BA98" s="68">
        <f t="shared" si="64"/>
        <v>0.88685938910502971</v>
      </c>
      <c r="BB98" s="68">
        <f t="shared" si="65"/>
        <v>0.89561866220657571</v>
      </c>
      <c r="BC98" s="68">
        <f t="shared" si="66"/>
        <v>0.91164330470638155</v>
      </c>
      <c r="BD98" s="68">
        <f t="shared" si="67"/>
        <v>0.93077165176838861</v>
      </c>
      <c r="BE98" s="68">
        <f t="shared" si="68"/>
        <v>1</v>
      </c>
      <c r="BG98" s="68">
        <f t="shared" si="55"/>
        <v>5.4749922783455029E-2</v>
      </c>
      <c r="BH98" s="68">
        <f t="shared" si="55"/>
        <v>0.13713468552436769</v>
      </c>
      <c r="BI98" s="68">
        <f t="shared" si="55"/>
        <v>0.33524572517549556</v>
      </c>
      <c r="BJ98" s="68">
        <f t="shared" si="55"/>
        <v>0.47093361406950884</v>
      </c>
      <c r="BK98" s="68">
        <f t="shared" si="55"/>
        <v>0.56292490488993419</v>
      </c>
      <c r="BL98" s="68">
        <f t="shared" si="55"/>
        <v>0.6442570781822976</v>
      </c>
      <c r="BM98" s="68">
        <f t="shared" si="81"/>
        <v>0.69818775661222954</v>
      </c>
      <c r="BN98" s="68">
        <f t="shared" si="81"/>
        <v>0.75995651132861464</v>
      </c>
      <c r="BO98" s="68">
        <f t="shared" si="81"/>
        <v>0.80935908927121436</v>
      </c>
      <c r="BP98" s="68">
        <f t="shared" si="81"/>
        <v>0.87878838641517854</v>
      </c>
      <c r="BQ98" s="68">
        <f t="shared" si="81"/>
        <v>0.94710561159282936</v>
      </c>
      <c r="BR98" s="68">
        <f t="shared" si="81"/>
        <v>1</v>
      </c>
    </row>
    <row r="99" spans="1:70">
      <c r="A99" s="239" t="s">
        <v>125</v>
      </c>
      <c r="B99" s="62">
        <v>7338.9299999999994</v>
      </c>
      <c r="C99" s="62">
        <v>2279.0900000000038</v>
      </c>
      <c r="D99" s="62">
        <v>3110.119999999999</v>
      </c>
      <c r="E99" s="62">
        <v>3230.8899999999985</v>
      </c>
      <c r="F99" s="62">
        <v>3119.5200000000013</v>
      </c>
      <c r="G99" s="62">
        <v>4198.95</v>
      </c>
      <c r="H99" s="62">
        <v>3405.2500000000005</v>
      </c>
      <c r="I99" s="62">
        <v>428.40000000000003</v>
      </c>
      <c r="J99" s="62">
        <v>1534.78</v>
      </c>
      <c r="K99" s="62">
        <v>1913.46</v>
      </c>
      <c r="L99" s="62">
        <v>2613.8000000000002</v>
      </c>
      <c r="M99" s="62">
        <v>732.16</v>
      </c>
      <c r="N99" s="100">
        <f t="shared" si="54"/>
        <v>33905.350000000006</v>
      </c>
      <c r="P99" s="239" t="s">
        <v>125</v>
      </c>
      <c r="Q99" s="62">
        <v>1554.85</v>
      </c>
      <c r="R99" s="62">
        <v>1360.2899999999991</v>
      </c>
      <c r="S99" s="62">
        <v>870.56999999999971</v>
      </c>
      <c r="T99" s="62">
        <v>2848.1200000000003</v>
      </c>
      <c r="U99" s="62">
        <v>2872.7</v>
      </c>
      <c r="V99" s="62">
        <v>859.95999999999958</v>
      </c>
      <c r="W99" s="62">
        <v>2176.6999999999994</v>
      </c>
      <c r="X99" s="62">
        <v>2153.14</v>
      </c>
      <c r="Y99" s="62">
        <v>2744.5</v>
      </c>
      <c r="Z99" s="62">
        <v>3174.21</v>
      </c>
      <c r="AA99" s="62">
        <v>593.86999999999989</v>
      </c>
      <c r="AB99" s="62">
        <v>1531.49</v>
      </c>
      <c r="AC99" s="100">
        <f t="shared" si="56"/>
        <v>22740.399999999994</v>
      </c>
      <c r="AE99" s="68">
        <f t="shared" si="69"/>
        <v>0.21645345056163698</v>
      </c>
      <c r="AF99" s="68">
        <f t="shared" si="70"/>
        <v>0.28367263573447854</v>
      </c>
      <c r="AG99" s="68">
        <f t="shared" si="71"/>
        <v>0.375402112056062</v>
      </c>
      <c r="AH99" s="68">
        <f t="shared" si="72"/>
        <v>0.47069356311024663</v>
      </c>
      <c r="AI99" s="68">
        <f t="shared" si="73"/>
        <v>0.56270028181393206</v>
      </c>
      <c r="AJ99" s="68">
        <f t="shared" si="74"/>
        <v>0.68654356908275538</v>
      </c>
      <c r="AK99" s="68">
        <f t="shared" si="75"/>
        <v>0.78697757138622659</v>
      </c>
      <c r="AL99" s="68">
        <f t="shared" si="76"/>
        <v>0.79961274548117034</v>
      </c>
      <c r="AM99" s="68">
        <f t="shared" si="77"/>
        <v>0.84487934794951236</v>
      </c>
      <c r="AN99" s="68">
        <f t="shared" si="78"/>
        <v>0.90131468927470137</v>
      </c>
      <c r="AO99" s="68">
        <f t="shared" si="79"/>
        <v>0.9784057678213024</v>
      </c>
      <c r="AP99" s="68">
        <f t="shared" si="80"/>
        <v>1</v>
      </c>
      <c r="AQ99" s="92"/>
      <c r="AT99" s="68">
        <f t="shared" si="57"/>
        <v>6.8373907231183279E-2</v>
      </c>
      <c r="AU99" s="68">
        <f t="shared" si="58"/>
        <v>0.12819211623366342</v>
      </c>
      <c r="AV99" s="68">
        <f t="shared" si="59"/>
        <v>0.1664750839914865</v>
      </c>
      <c r="AW99" s="68">
        <f t="shared" si="60"/>
        <v>0.29172002251499535</v>
      </c>
      <c r="AX99" s="68">
        <f t="shared" si="61"/>
        <v>0.41804585671316252</v>
      </c>
      <c r="AY99" s="68">
        <f t="shared" si="62"/>
        <v>0.4558622539621115</v>
      </c>
      <c r="AZ99" s="68">
        <f t="shared" si="63"/>
        <v>0.55158176637174372</v>
      </c>
      <c r="BA99" s="68">
        <f t="shared" si="64"/>
        <v>0.64626523719899387</v>
      </c>
      <c r="BB99" s="68">
        <f t="shared" si="65"/>
        <v>0.76695352764243363</v>
      </c>
      <c r="BC99" s="68">
        <f t="shared" si="66"/>
        <v>0.90653814356827489</v>
      </c>
      <c r="BD99" s="68">
        <f t="shared" si="67"/>
        <v>0.93265333943114448</v>
      </c>
      <c r="BE99" s="68">
        <f t="shared" si="68"/>
        <v>1</v>
      </c>
      <c r="BG99" s="68">
        <f t="shared" si="55"/>
        <v>0.14241367889641013</v>
      </c>
      <c r="BH99" s="68">
        <f t="shared" si="55"/>
        <v>0.20593237598407099</v>
      </c>
      <c r="BI99" s="68">
        <f t="shared" si="55"/>
        <v>0.27093859802377424</v>
      </c>
      <c r="BJ99" s="68">
        <f t="shared" si="55"/>
        <v>0.38120679281262099</v>
      </c>
      <c r="BK99" s="68">
        <f t="shared" si="55"/>
        <v>0.49037306926354729</v>
      </c>
      <c r="BL99" s="68">
        <f t="shared" si="55"/>
        <v>0.57120291152243341</v>
      </c>
      <c r="BM99" s="68">
        <f t="shared" si="81"/>
        <v>0.66927966887898516</v>
      </c>
      <c r="BN99" s="68">
        <f t="shared" si="81"/>
        <v>0.7229389913400821</v>
      </c>
      <c r="BO99" s="68">
        <f t="shared" si="81"/>
        <v>0.805916437795973</v>
      </c>
      <c r="BP99" s="68">
        <f t="shared" si="81"/>
        <v>0.90392641642148819</v>
      </c>
      <c r="BQ99" s="68">
        <f t="shared" si="81"/>
        <v>0.95552955362622338</v>
      </c>
      <c r="BR99" s="68">
        <f t="shared" si="81"/>
        <v>1</v>
      </c>
    </row>
    <row r="100" spans="1:70">
      <c r="A100" s="239" t="s">
        <v>126</v>
      </c>
      <c r="B100" s="62">
        <v>4108.2800000000007</v>
      </c>
      <c r="C100" s="62">
        <v>2879.7800000000025</v>
      </c>
      <c r="D100" s="62">
        <v>1172.1100000000006</v>
      </c>
      <c r="E100" s="62">
        <v>1979.4600000000009</v>
      </c>
      <c r="F100" s="62">
        <v>654.5</v>
      </c>
      <c r="G100" s="62">
        <v>1802.89</v>
      </c>
      <c r="H100" s="62">
        <v>1570.8099999999995</v>
      </c>
      <c r="I100" s="62">
        <v>3645.75</v>
      </c>
      <c r="J100" s="62">
        <v>2673.8799999999997</v>
      </c>
      <c r="K100" s="62">
        <v>3042.6</v>
      </c>
      <c r="L100" s="62">
        <v>3406.92</v>
      </c>
      <c r="M100" s="62">
        <v>4779.04</v>
      </c>
      <c r="N100" s="100">
        <f t="shared" si="54"/>
        <v>31716.020000000004</v>
      </c>
      <c r="P100" s="239" t="s">
        <v>126</v>
      </c>
      <c r="Q100" s="62">
        <v>3074.4199999999996</v>
      </c>
      <c r="R100" s="62">
        <v>560.70000000000346</v>
      </c>
      <c r="S100" s="62">
        <v>1213.5800000000004</v>
      </c>
      <c r="T100" s="62">
        <v>390.05000000000018</v>
      </c>
      <c r="U100" s="62">
        <v>753.8299999999997</v>
      </c>
      <c r="V100" s="62">
        <v>1297.6999999999994</v>
      </c>
      <c r="W100" s="62">
        <v>2375.4499999999998</v>
      </c>
      <c r="X100" s="62">
        <v>1973.4400000000005</v>
      </c>
      <c r="Y100" s="62">
        <v>4634.7899999999991</v>
      </c>
      <c r="Z100" s="62">
        <v>4471.2999999999993</v>
      </c>
      <c r="AA100" s="62">
        <v>5392.57</v>
      </c>
      <c r="AB100" s="62">
        <v>2999.94</v>
      </c>
      <c r="AC100" s="100">
        <f t="shared" si="56"/>
        <v>29137.77</v>
      </c>
      <c r="AE100" s="68">
        <f t="shared" si="69"/>
        <v>0.12953327687395833</v>
      </c>
      <c r="AF100" s="68">
        <f t="shared" si="70"/>
        <v>0.22033218543814773</v>
      </c>
      <c r="AG100" s="68">
        <f t="shared" si="71"/>
        <v>0.25728858791235476</v>
      </c>
      <c r="AH100" s="68">
        <f t="shared" si="72"/>
        <v>0.31970058033763388</v>
      </c>
      <c r="AI100" s="68">
        <f t="shared" si="73"/>
        <v>0.34033683923771024</v>
      </c>
      <c r="AJ100" s="68">
        <f t="shared" si="74"/>
        <v>0.39718161358203213</v>
      </c>
      <c r="AK100" s="68">
        <f t="shared" si="75"/>
        <v>0.44670895024028873</v>
      </c>
      <c r="AL100" s="68">
        <f t="shared" si="76"/>
        <v>0.56165874532807081</v>
      </c>
      <c r="AM100" s="68">
        <f t="shared" si="77"/>
        <v>0.64596566656219789</v>
      </c>
      <c r="AN100" s="68">
        <f t="shared" si="78"/>
        <v>0.74189825835650247</v>
      </c>
      <c r="AO100" s="68">
        <f t="shared" si="79"/>
        <v>0.84931778955871506</v>
      </c>
      <c r="AP100" s="68">
        <f t="shared" si="80"/>
        <v>1</v>
      </c>
      <c r="AQ100" s="92"/>
      <c r="AT100" s="68">
        <f t="shared" si="57"/>
        <v>0.10551322218550011</v>
      </c>
      <c r="AU100" s="68">
        <f t="shared" si="58"/>
        <v>0.1247562871146283</v>
      </c>
      <c r="AV100" s="68">
        <f t="shared" si="59"/>
        <v>0.1664060084213721</v>
      </c>
      <c r="AW100" s="68">
        <f t="shared" si="60"/>
        <v>0.17979241376399099</v>
      </c>
      <c r="AX100" s="68">
        <f t="shared" si="61"/>
        <v>0.20566364550204094</v>
      </c>
      <c r="AY100" s="68">
        <f t="shared" si="62"/>
        <v>0.2502003413438984</v>
      </c>
      <c r="AZ100" s="68">
        <f t="shared" si="63"/>
        <v>0.33172511142753902</v>
      </c>
      <c r="BA100" s="68">
        <f t="shared" si="64"/>
        <v>0.39945301236161873</v>
      </c>
      <c r="BB100" s="68">
        <f t="shared" si="65"/>
        <v>0.55851769026936526</v>
      </c>
      <c r="BC100" s="68">
        <f t="shared" si="66"/>
        <v>0.71197143775930694</v>
      </c>
      <c r="BD100" s="68">
        <f t="shared" si="67"/>
        <v>0.89704291028448646</v>
      </c>
      <c r="BE100" s="68">
        <f t="shared" si="68"/>
        <v>1</v>
      </c>
      <c r="BG100" s="68">
        <f t="shared" si="55"/>
        <v>0.11752324952972922</v>
      </c>
      <c r="BH100" s="68">
        <f t="shared" si="55"/>
        <v>0.17254423627638801</v>
      </c>
      <c r="BI100" s="68">
        <f t="shared" si="55"/>
        <v>0.21184729816686343</v>
      </c>
      <c r="BJ100" s="68">
        <f t="shared" si="55"/>
        <v>0.24974649705081242</v>
      </c>
      <c r="BK100" s="68">
        <f t="shared" si="55"/>
        <v>0.27300024236987558</v>
      </c>
      <c r="BL100" s="68">
        <f t="shared" si="55"/>
        <v>0.32369097746296527</v>
      </c>
      <c r="BM100" s="68">
        <f t="shared" si="81"/>
        <v>0.3892170308339139</v>
      </c>
      <c r="BN100" s="68">
        <f t="shared" si="81"/>
        <v>0.48055587884484474</v>
      </c>
      <c r="BO100" s="68">
        <f t="shared" si="81"/>
        <v>0.60224167841578158</v>
      </c>
      <c r="BP100" s="68">
        <f t="shared" si="81"/>
        <v>0.72693484805790476</v>
      </c>
      <c r="BQ100" s="68">
        <f t="shared" si="81"/>
        <v>0.87318034992160076</v>
      </c>
      <c r="BR100" s="68">
        <f t="shared" si="81"/>
        <v>1</v>
      </c>
    </row>
    <row r="101" spans="1:70">
      <c r="A101" s="239" t="s">
        <v>127</v>
      </c>
      <c r="B101" s="62">
        <v>3484.2299999999996</v>
      </c>
      <c r="C101" s="62">
        <v>5436.24</v>
      </c>
      <c r="D101" s="62">
        <v>2276.8599999999992</v>
      </c>
      <c r="E101" s="62">
        <v>2453.0400000000013</v>
      </c>
      <c r="F101" s="62">
        <v>2159.7999999999993</v>
      </c>
      <c r="G101" s="62">
        <v>1638.53</v>
      </c>
      <c r="H101" s="62">
        <v>1398.4600000000009</v>
      </c>
      <c r="I101" s="62">
        <v>3622.1</v>
      </c>
      <c r="J101" s="62">
        <v>1719.55</v>
      </c>
      <c r="K101" s="62">
        <v>1385.92</v>
      </c>
      <c r="L101" s="62">
        <v>1346.63</v>
      </c>
      <c r="M101" s="62">
        <v>5432.07</v>
      </c>
      <c r="N101" s="100">
        <f t="shared" si="54"/>
        <v>32353.429999999997</v>
      </c>
      <c r="P101" s="239" t="s">
        <v>127</v>
      </c>
      <c r="Q101" s="62">
        <v>2030.5300000000007</v>
      </c>
      <c r="R101" s="62">
        <v>2860.4000000000033</v>
      </c>
      <c r="S101" s="62">
        <v>1802.29</v>
      </c>
      <c r="T101" s="62">
        <v>2079.4800000000005</v>
      </c>
      <c r="U101" s="62">
        <v>1715.7099999999996</v>
      </c>
      <c r="V101" s="62">
        <v>2698.0599999999995</v>
      </c>
      <c r="W101" s="62">
        <v>2636.7799999999997</v>
      </c>
      <c r="X101" s="62">
        <v>2369.4300000000007</v>
      </c>
      <c r="Y101" s="62">
        <v>1715.16</v>
      </c>
      <c r="Z101" s="62">
        <v>1867.76</v>
      </c>
      <c r="AA101" s="62">
        <v>1013.38</v>
      </c>
      <c r="AB101" s="62">
        <v>693.19</v>
      </c>
      <c r="AC101" s="100">
        <f t="shared" si="56"/>
        <v>23482.170000000002</v>
      </c>
      <c r="AE101" s="68">
        <f t="shared" si="69"/>
        <v>0.10769275467856113</v>
      </c>
      <c r="AF101" s="68">
        <f t="shared" si="70"/>
        <v>0.27571945231154782</v>
      </c>
      <c r="AG101" s="68">
        <f t="shared" si="71"/>
        <v>0.34609406174244894</v>
      </c>
      <c r="AH101" s="68">
        <f t="shared" si="72"/>
        <v>0.42191415253344083</v>
      </c>
      <c r="AI101" s="68">
        <f t="shared" si="73"/>
        <v>0.48867059844968525</v>
      </c>
      <c r="AJ101" s="68">
        <f t="shared" si="74"/>
        <v>0.53931530598146782</v>
      </c>
      <c r="AK101" s="68">
        <f t="shared" si="75"/>
        <v>0.58253978017168495</v>
      </c>
      <c r="AL101" s="68">
        <f t="shared" si="76"/>
        <v>0.69449390682842582</v>
      </c>
      <c r="AM101" s="68">
        <f t="shared" si="77"/>
        <v>0.74764283106922502</v>
      </c>
      <c r="AN101" s="68">
        <f t="shared" si="78"/>
        <v>0.79047971111563742</v>
      </c>
      <c r="AO101" s="68">
        <f t="shared" si="79"/>
        <v>0.83210219132870922</v>
      </c>
      <c r="AP101" s="68">
        <f t="shared" si="80"/>
        <v>1</v>
      </c>
      <c r="AQ101" s="92"/>
      <c r="AT101" s="68">
        <f t="shared" si="57"/>
        <v>8.6471139592294938E-2</v>
      </c>
      <c r="AU101" s="68">
        <f t="shared" si="58"/>
        <v>0.20828270981770439</v>
      </c>
      <c r="AV101" s="68">
        <f t="shared" si="59"/>
        <v>0.2850341344092136</v>
      </c>
      <c r="AW101" s="68">
        <f t="shared" si="60"/>
        <v>0.37358983432962128</v>
      </c>
      <c r="AX101" s="68">
        <f t="shared" si="61"/>
        <v>0.4466542061487504</v>
      </c>
      <c r="AY101" s="68">
        <f t="shared" si="62"/>
        <v>0.56155244596219178</v>
      </c>
      <c r="AZ101" s="68">
        <f t="shared" si="63"/>
        <v>0.6738410462065475</v>
      </c>
      <c r="BA101" s="68">
        <f t="shared" si="64"/>
        <v>0.77474441246273251</v>
      </c>
      <c r="BB101" s="68">
        <f t="shared" si="65"/>
        <v>0.847785362255703</v>
      </c>
      <c r="BC101" s="68">
        <f t="shared" si="66"/>
        <v>0.92732485967012424</v>
      </c>
      <c r="BD101" s="68">
        <f t="shared" si="67"/>
        <v>0.97048015579480096</v>
      </c>
      <c r="BE101" s="68">
        <f t="shared" si="68"/>
        <v>1</v>
      </c>
      <c r="BG101" s="68">
        <f t="shared" si="55"/>
        <v>9.7081947135428032E-2</v>
      </c>
      <c r="BH101" s="68">
        <f t="shared" si="55"/>
        <v>0.24200108106462609</v>
      </c>
      <c r="BI101" s="68">
        <f t="shared" si="55"/>
        <v>0.3155640980758313</v>
      </c>
      <c r="BJ101" s="68">
        <f t="shared" si="55"/>
        <v>0.39775199343153106</v>
      </c>
      <c r="BK101" s="68">
        <f t="shared" si="55"/>
        <v>0.46766240229921785</v>
      </c>
      <c r="BL101" s="68">
        <f t="shared" si="55"/>
        <v>0.5504338759718298</v>
      </c>
      <c r="BM101" s="68">
        <f t="shared" si="81"/>
        <v>0.62819041318911628</v>
      </c>
      <c r="BN101" s="68">
        <f t="shared" si="81"/>
        <v>0.73461915964557911</v>
      </c>
      <c r="BO101" s="68">
        <f t="shared" si="81"/>
        <v>0.79771409666246407</v>
      </c>
      <c r="BP101" s="68">
        <f t="shared" si="81"/>
        <v>0.85890228539288083</v>
      </c>
      <c r="BQ101" s="68">
        <f t="shared" si="81"/>
        <v>0.90129117356175503</v>
      </c>
      <c r="BR101" s="68">
        <f t="shared" si="81"/>
        <v>1</v>
      </c>
    </row>
    <row r="102" spans="1:70">
      <c r="A102" s="239" t="s">
        <v>128</v>
      </c>
      <c r="B102" s="62">
        <v>628.31999999999971</v>
      </c>
      <c r="C102" s="62">
        <v>681.05000000000018</v>
      </c>
      <c r="D102" s="62">
        <v>358.17999999999938</v>
      </c>
      <c r="E102" s="62">
        <v>881.76999999999953</v>
      </c>
      <c r="F102" s="62">
        <v>148.64999999999964</v>
      </c>
      <c r="G102" s="62">
        <v>253.37</v>
      </c>
      <c r="H102" s="62">
        <v>716.7199999999998</v>
      </c>
      <c r="I102" s="62">
        <v>542.17999999999995</v>
      </c>
      <c r="J102" s="62">
        <v>782.62</v>
      </c>
      <c r="K102" s="62">
        <v>1329.43</v>
      </c>
      <c r="L102" s="62">
        <v>202.24</v>
      </c>
      <c r="M102" s="62">
        <v>1404.51</v>
      </c>
      <c r="N102" s="100">
        <f t="shared" si="54"/>
        <v>7929.0399999999981</v>
      </c>
      <c r="P102" s="239" t="s">
        <v>128</v>
      </c>
      <c r="Q102" s="62">
        <v>1949.2800000000004</v>
      </c>
      <c r="R102" s="62">
        <v>1621.5700000000008</v>
      </c>
      <c r="S102" s="62">
        <v>659.13999999999987</v>
      </c>
      <c r="T102" s="62">
        <v>629.93000000000006</v>
      </c>
      <c r="U102" s="62">
        <v>1061.4399999999996</v>
      </c>
      <c r="V102" s="62">
        <v>453.48000000000025</v>
      </c>
      <c r="W102" s="62">
        <v>281.80000000000007</v>
      </c>
      <c r="X102" s="62">
        <v>106.73999999999998</v>
      </c>
      <c r="Y102" s="62">
        <v>0</v>
      </c>
      <c r="Z102" s="62">
        <v>97.509999999999991</v>
      </c>
      <c r="AA102" s="62">
        <v>0</v>
      </c>
      <c r="AB102" s="62">
        <v>0</v>
      </c>
      <c r="AC102" s="100">
        <f t="shared" si="56"/>
        <v>6860.8900000000021</v>
      </c>
      <c r="AE102" s="68">
        <f t="shared" si="69"/>
        <v>7.9242884384490411E-2</v>
      </c>
      <c r="AF102" s="68">
        <f t="shared" si="70"/>
        <v>0.16513600637656012</v>
      </c>
      <c r="AG102" s="68">
        <f t="shared" si="71"/>
        <v>0.21030919253781033</v>
      </c>
      <c r="AH102" s="68">
        <f t="shared" si="72"/>
        <v>0.3215168544994097</v>
      </c>
      <c r="AI102" s="68">
        <f t="shared" si="73"/>
        <v>0.34026439518529344</v>
      </c>
      <c r="AJ102" s="68">
        <f t="shared" si="74"/>
        <v>0.37221908326859227</v>
      </c>
      <c r="AK102" s="68">
        <f t="shared" si="75"/>
        <v>0.46261085831323828</v>
      </c>
      <c r="AL102" s="68">
        <f t="shared" si="76"/>
        <v>0.53098988023770832</v>
      </c>
      <c r="AM102" s="68">
        <f t="shared" si="77"/>
        <v>0.62969287580842059</v>
      </c>
      <c r="AN102" s="68">
        <f t="shared" si="78"/>
        <v>0.79735882275786218</v>
      </c>
      <c r="AO102" s="68">
        <f t="shared" si="79"/>
        <v>0.82286506310978369</v>
      </c>
      <c r="AP102" s="68">
        <f t="shared" si="80"/>
        <v>1</v>
      </c>
      <c r="AQ102" s="92"/>
      <c r="AT102" s="68">
        <f t="shared" si="57"/>
        <v>0.28411474313099316</v>
      </c>
      <c r="AU102" s="68">
        <f t="shared" si="58"/>
        <v>0.52046454614488791</v>
      </c>
      <c r="AV102" s="68">
        <f t="shared" si="59"/>
        <v>0.61653663008735027</v>
      </c>
      <c r="AW102" s="68">
        <f t="shared" si="60"/>
        <v>0.70835124889045009</v>
      </c>
      <c r="AX102" s="68">
        <f t="shared" si="61"/>
        <v>0.86306004031546923</v>
      </c>
      <c r="AY102" s="68">
        <f t="shared" si="62"/>
        <v>0.92915642139722399</v>
      </c>
      <c r="AZ102" s="68">
        <f t="shared" si="63"/>
        <v>0.97022980983516716</v>
      </c>
      <c r="BA102" s="68">
        <f t="shared" si="64"/>
        <v>0.98578755817393948</v>
      </c>
      <c r="BB102" s="68">
        <f t="shared" si="65"/>
        <v>0.98578755817393948</v>
      </c>
      <c r="BC102" s="68">
        <f t="shared" si="66"/>
        <v>1</v>
      </c>
      <c r="BD102" s="68">
        <f t="shared" si="67"/>
        <v>1</v>
      </c>
      <c r="BE102" s="68">
        <f t="shared" si="68"/>
        <v>1</v>
      </c>
      <c r="BG102" s="68">
        <f t="shared" si="55"/>
        <v>0.18167881375774178</v>
      </c>
      <c r="BH102" s="68">
        <f t="shared" si="55"/>
        <v>0.34280027626072401</v>
      </c>
      <c r="BI102" s="68">
        <f t="shared" si="55"/>
        <v>0.4134229113125803</v>
      </c>
      <c r="BJ102" s="68">
        <f t="shared" si="55"/>
        <v>0.5149340516949299</v>
      </c>
      <c r="BK102" s="68">
        <f t="shared" si="55"/>
        <v>0.60166221775038131</v>
      </c>
      <c r="BL102" s="68">
        <f t="shared" si="55"/>
        <v>0.6506877523329081</v>
      </c>
      <c r="BM102" s="68">
        <f t="shared" si="81"/>
        <v>0.71642033407420269</v>
      </c>
      <c r="BN102" s="68">
        <f t="shared" si="81"/>
        <v>0.75838871920582385</v>
      </c>
      <c r="BO102" s="68">
        <f t="shared" si="81"/>
        <v>0.80774021699118004</v>
      </c>
      <c r="BP102" s="68">
        <f t="shared" si="81"/>
        <v>0.89867941137893115</v>
      </c>
      <c r="BQ102" s="68">
        <f t="shared" si="81"/>
        <v>0.9114325315548919</v>
      </c>
      <c r="BR102" s="68">
        <f t="shared" si="81"/>
        <v>1</v>
      </c>
    </row>
    <row r="103" spans="1:70">
      <c r="A103" s="239" t="s">
        <v>129</v>
      </c>
      <c r="B103" s="62">
        <v>1204.9099999999999</v>
      </c>
      <c r="C103" s="62">
        <v>2091.7100000000009</v>
      </c>
      <c r="D103" s="62">
        <v>4171.3999999999996</v>
      </c>
      <c r="E103" s="62">
        <v>2119.5699999999997</v>
      </c>
      <c r="F103" s="62">
        <v>1797.8500000000006</v>
      </c>
      <c r="G103" s="62">
        <v>677.01</v>
      </c>
      <c r="H103" s="62">
        <v>1702.6500000000008</v>
      </c>
      <c r="I103" s="62">
        <v>259.12</v>
      </c>
      <c r="J103" s="62">
        <v>1166.98</v>
      </c>
      <c r="K103" s="62">
        <v>1055.2</v>
      </c>
      <c r="L103" s="62">
        <v>650.48</v>
      </c>
      <c r="M103" s="62">
        <v>1829.23</v>
      </c>
      <c r="N103" s="100">
        <f t="shared" si="54"/>
        <v>18726.110000000004</v>
      </c>
      <c r="P103" s="239" t="s">
        <v>129</v>
      </c>
      <c r="Q103" s="62">
        <v>808.54999999999973</v>
      </c>
      <c r="R103" s="62">
        <v>1909.9299999999994</v>
      </c>
      <c r="S103" s="62">
        <v>913.60999999999967</v>
      </c>
      <c r="T103" s="62">
        <v>2473.25</v>
      </c>
      <c r="U103" s="62">
        <v>1383.7100000000014</v>
      </c>
      <c r="V103" s="62">
        <v>1329.1799999999996</v>
      </c>
      <c r="W103" s="62">
        <v>593.77999999999986</v>
      </c>
      <c r="X103" s="62">
        <v>1202.6100000000001</v>
      </c>
      <c r="Y103" s="62">
        <v>768.80000000000018</v>
      </c>
      <c r="Z103" s="62">
        <v>624.73</v>
      </c>
      <c r="AA103" s="62">
        <v>780.9</v>
      </c>
      <c r="AB103" s="62">
        <v>1270.44</v>
      </c>
      <c r="AC103" s="100">
        <f t="shared" si="56"/>
        <v>14059.490000000002</v>
      </c>
      <c r="AE103" s="68">
        <f t="shared" si="69"/>
        <v>6.4343849309867321E-2</v>
      </c>
      <c r="AF103" s="68">
        <f t="shared" si="70"/>
        <v>0.17604403690889353</v>
      </c>
      <c r="AG103" s="68">
        <f t="shared" si="71"/>
        <v>0.39880252759382478</v>
      </c>
      <c r="AH103" s="68">
        <f t="shared" si="72"/>
        <v>0.5119904774670232</v>
      </c>
      <c r="AI103" s="68">
        <f t="shared" si="73"/>
        <v>0.60799813736008157</v>
      </c>
      <c r="AJ103" s="68">
        <f t="shared" si="74"/>
        <v>0.64415140143895333</v>
      </c>
      <c r="AK103" s="68">
        <f t="shared" si="75"/>
        <v>0.73507525054589551</v>
      </c>
      <c r="AL103" s="68">
        <f t="shared" si="76"/>
        <v>0.74891261452592128</v>
      </c>
      <c r="AM103" s="68">
        <f t="shared" si="77"/>
        <v>0.81123094972741261</v>
      </c>
      <c r="AN103" s="68">
        <f t="shared" si="78"/>
        <v>0.86758007936512171</v>
      </c>
      <c r="AO103" s="68">
        <f t="shared" si="79"/>
        <v>0.90231660499698019</v>
      </c>
      <c r="AP103" s="68">
        <f t="shared" si="80"/>
        <v>1</v>
      </c>
      <c r="AQ103" s="92"/>
      <c r="AT103" s="68">
        <f t="shared" si="57"/>
        <v>5.7509198413313686E-2</v>
      </c>
      <c r="AU103" s="68">
        <f t="shared" si="58"/>
        <v>0.19335552000819367</v>
      </c>
      <c r="AV103" s="68">
        <f t="shared" si="59"/>
        <v>0.25833725120896978</v>
      </c>
      <c r="AW103" s="68">
        <f t="shared" si="60"/>
        <v>0.43425046000957346</v>
      </c>
      <c r="AX103" s="68">
        <f t="shared" si="61"/>
        <v>0.53266868143865809</v>
      </c>
      <c r="AY103" s="68">
        <f t="shared" si="62"/>
        <v>0.62720838380339528</v>
      </c>
      <c r="AZ103" s="68">
        <f t="shared" si="63"/>
        <v>0.66944177918260184</v>
      </c>
      <c r="BA103" s="68">
        <f t="shared" si="64"/>
        <v>0.75497902128740091</v>
      </c>
      <c r="BB103" s="68">
        <f t="shared" si="65"/>
        <v>0.8096609478722202</v>
      </c>
      <c r="BC103" s="68">
        <f t="shared" si="66"/>
        <v>0.85409570332921037</v>
      </c>
      <c r="BD103" s="68">
        <f t="shared" si="67"/>
        <v>0.9096382585712568</v>
      </c>
      <c r="BE103" s="68">
        <f t="shared" si="68"/>
        <v>1</v>
      </c>
      <c r="BG103" s="68">
        <f t="shared" si="55"/>
        <v>6.0926523861590504E-2</v>
      </c>
      <c r="BH103" s="68">
        <f t="shared" si="55"/>
        <v>0.1846997784585436</v>
      </c>
      <c r="BI103" s="68">
        <f t="shared" si="55"/>
        <v>0.32856988940139731</v>
      </c>
      <c r="BJ103" s="68">
        <f t="shared" si="55"/>
        <v>0.47312046873829833</v>
      </c>
      <c r="BK103" s="68">
        <f t="shared" si="55"/>
        <v>0.57033340939936983</v>
      </c>
      <c r="BL103" s="68">
        <f t="shared" si="55"/>
        <v>0.6356798926211743</v>
      </c>
      <c r="BM103" s="68">
        <f t="shared" si="81"/>
        <v>0.70225851486424862</v>
      </c>
      <c r="BN103" s="68">
        <f t="shared" si="81"/>
        <v>0.75194581790666115</v>
      </c>
      <c r="BO103" s="68">
        <f t="shared" si="81"/>
        <v>0.81044594879981635</v>
      </c>
      <c r="BP103" s="68">
        <f t="shared" si="81"/>
        <v>0.86083789134716604</v>
      </c>
      <c r="BQ103" s="68">
        <f t="shared" si="81"/>
        <v>0.90597743178411849</v>
      </c>
      <c r="BR103" s="68">
        <f t="shared" si="81"/>
        <v>1</v>
      </c>
    </row>
    <row r="104" spans="1:70">
      <c r="A104" s="239" t="s">
        <v>130</v>
      </c>
      <c r="B104" s="62">
        <v>1911.0900000000001</v>
      </c>
      <c r="C104" s="62">
        <v>1700.5600000000013</v>
      </c>
      <c r="D104" s="62">
        <v>2983.4700000000012</v>
      </c>
      <c r="E104" s="62">
        <v>3152.8100000000013</v>
      </c>
      <c r="F104" s="62">
        <v>813.70000000000073</v>
      </c>
      <c r="G104" s="62">
        <v>713.13</v>
      </c>
      <c r="H104" s="62">
        <v>1672.3500000000004</v>
      </c>
      <c r="I104" s="62">
        <v>3871.7</v>
      </c>
      <c r="J104" s="62">
        <v>1171.5999999999999</v>
      </c>
      <c r="K104" s="62">
        <v>926.8</v>
      </c>
      <c r="L104" s="62">
        <v>438.65999999999997</v>
      </c>
      <c r="M104" s="62">
        <v>741.59999999999991</v>
      </c>
      <c r="N104" s="100">
        <f t="shared" si="54"/>
        <v>20097.47</v>
      </c>
      <c r="P104" s="239" t="s">
        <v>130</v>
      </c>
      <c r="Q104" s="62">
        <v>3147.400000000001</v>
      </c>
      <c r="R104" s="62">
        <v>3880.3300000000027</v>
      </c>
      <c r="S104" s="62">
        <v>2664.03</v>
      </c>
      <c r="T104" s="62">
        <v>1957.5800000000002</v>
      </c>
      <c r="U104" s="62">
        <v>2390.2399999999998</v>
      </c>
      <c r="V104" s="62">
        <v>1651.7299999999991</v>
      </c>
      <c r="W104" s="62">
        <v>800.23</v>
      </c>
      <c r="X104" s="62">
        <v>1429.7100000000005</v>
      </c>
      <c r="Y104" s="62">
        <v>1497.51</v>
      </c>
      <c r="Z104" s="62">
        <v>1486.0899999999997</v>
      </c>
      <c r="AA104" s="62">
        <v>625.61000000000013</v>
      </c>
      <c r="AB104" s="62">
        <v>3322.78</v>
      </c>
      <c r="AC104" s="100">
        <f t="shared" si="56"/>
        <v>24853.24</v>
      </c>
      <c r="AE104" s="68">
        <f t="shared" si="69"/>
        <v>9.5091073652554273E-2</v>
      </c>
      <c r="AF104" s="68">
        <f t="shared" si="70"/>
        <v>0.17970669940047188</v>
      </c>
      <c r="AG104" s="68">
        <f t="shared" si="71"/>
        <v>0.32815672818518959</v>
      </c>
      <c r="AH104" s="68">
        <f t="shared" si="72"/>
        <v>0.48503269316983699</v>
      </c>
      <c r="AI104" s="68">
        <f t="shared" si="73"/>
        <v>0.52552037644539362</v>
      </c>
      <c r="AJ104" s="68">
        <f t="shared" si="74"/>
        <v>0.56100394726301384</v>
      </c>
      <c r="AK104" s="68">
        <f t="shared" si="75"/>
        <v>0.64421591374436704</v>
      </c>
      <c r="AL104" s="68">
        <f t="shared" si="76"/>
        <v>0.83686205278574888</v>
      </c>
      <c r="AM104" s="68">
        <f t="shared" si="77"/>
        <v>0.895157947741681</v>
      </c>
      <c r="AN104" s="68">
        <f t="shared" si="78"/>
        <v>0.94127320503526068</v>
      </c>
      <c r="AO104" s="68">
        <f t="shared" si="79"/>
        <v>0.96309983296404977</v>
      </c>
      <c r="AP104" s="68">
        <f t="shared" si="80"/>
        <v>1</v>
      </c>
      <c r="AQ104" s="92"/>
      <c r="AT104" s="68">
        <f t="shared" si="57"/>
        <v>0.12663942407509043</v>
      </c>
      <c r="AU104" s="68">
        <f t="shared" si="58"/>
        <v>0.28276916812455855</v>
      </c>
      <c r="AV104" s="68">
        <f t="shared" si="59"/>
        <v>0.38995961894706699</v>
      </c>
      <c r="AW104" s="68">
        <f t="shared" si="60"/>
        <v>0.46872520444014554</v>
      </c>
      <c r="AX104" s="68">
        <f t="shared" si="61"/>
        <v>0.56489938535176909</v>
      </c>
      <c r="AY104" s="68">
        <f t="shared" si="62"/>
        <v>0.63135872827848616</v>
      </c>
      <c r="AZ104" s="68">
        <f t="shared" si="63"/>
        <v>0.66355694468809712</v>
      </c>
      <c r="BA104" s="68">
        <f t="shared" si="64"/>
        <v>0.72108304591272621</v>
      </c>
      <c r="BB104" s="68">
        <f t="shared" si="65"/>
        <v>0.78133716167389045</v>
      </c>
      <c r="BC104" s="68">
        <f t="shared" si="66"/>
        <v>0.84113178000131983</v>
      </c>
      <c r="BD104" s="68">
        <f t="shared" si="67"/>
        <v>0.86630395071226129</v>
      </c>
      <c r="BE104" s="68">
        <f t="shared" si="68"/>
        <v>1</v>
      </c>
      <c r="BG104" s="68">
        <f t="shared" si="55"/>
        <v>0.11086524886382235</v>
      </c>
      <c r="BH104" s="68">
        <f t="shared" si="55"/>
        <v>0.23123793376251522</v>
      </c>
      <c r="BI104" s="68">
        <f t="shared" si="55"/>
        <v>0.35905817356612829</v>
      </c>
      <c r="BJ104" s="68">
        <f t="shared" si="55"/>
        <v>0.47687894880499127</v>
      </c>
      <c r="BK104" s="68">
        <f t="shared" si="55"/>
        <v>0.54520988089858136</v>
      </c>
      <c r="BL104" s="68">
        <f t="shared" si="55"/>
        <v>0.59618133777075</v>
      </c>
      <c r="BM104" s="68">
        <f t="shared" si="81"/>
        <v>0.65388642921623208</v>
      </c>
      <c r="BN104" s="68">
        <f t="shared" si="81"/>
        <v>0.77897254934923754</v>
      </c>
      <c r="BO104" s="68">
        <f t="shared" si="81"/>
        <v>0.83824755470778567</v>
      </c>
      <c r="BP104" s="68">
        <f t="shared" si="81"/>
        <v>0.8912024925182902</v>
      </c>
      <c r="BQ104" s="68">
        <f t="shared" si="81"/>
        <v>0.91470189183815553</v>
      </c>
      <c r="BR104" s="68">
        <f t="shared" si="81"/>
        <v>1</v>
      </c>
    </row>
    <row r="105" spans="1:70">
      <c r="A105" s="239" t="s">
        <v>131</v>
      </c>
      <c r="B105" s="62">
        <v>11238.419999999998</v>
      </c>
      <c r="C105" s="62">
        <v>10943.809999999994</v>
      </c>
      <c r="D105" s="62">
        <v>3917.7200000000016</v>
      </c>
      <c r="E105" s="62">
        <v>6128.2900000000027</v>
      </c>
      <c r="F105" s="62">
        <v>7519.6499999999969</v>
      </c>
      <c r="G105" s="62">
        <v>10373.92</v>
      </c>
      <c r="H105" s="62">
        <v>6544.9099999999989</v>
      </c>
      <c r="I105" s="62">
        <v>7358.27</v>
      </c>
      <c r="J105" s="62">
        <v>8912.07</v>
      </c>
      <c r="K105" s="62">
        <v>20386.91</v>
      </c>
      <c r="L105" s="62">
        <v>15135.95</v>
      </c>
      <c r="M105" s="62">
        <v>8739.1200000000008</v>
      </c>
      <c r="N105" s="100">
        <f t="shared" si="54"/>
        <v>117199.03999999999</v>
      </c>
      <c r="P105" s="239" t="s">
        <v>131</v>
      </c>
      <c r="Q105" s="62">
        <v>20641.869999999984</v>
      </c>
      <c r="R105" s="62">
        <v>4700.1400000000031</v>
      </c>
      <c r="S105" s="62">
        <v>8630.2800000000007</v>
      </c>
      <c r="T105" s="62">
        <v>4741.43</v>
      </c>
      <c r="U105" s="62">
        <v>8576.4599999999937</v>
      </c>
      <c r="V105" s="62">
        <v>4080.6400000000031</v>
      </c>
      <c r="W105" s="62">
        <v>1460.5299999999997</v>
      </c>
      <c r="X105" s="62">
        <v>6508.17</v>
      </c>
      <c r="Y105" s="62">
        <v>2392.2600000000002</v>
      </c>
      <c r="Z105" s="62">
        <v>3852</v>
      </c>
      <c r="AA105" s="62">
        <v>2900.59</v>
      </c>
      <c r="AB105" s="62">
        <v>6160.3</v>
      </c>
      <c r="AC105" s="100">
        <f t="shared" si="56"/>
        <v>74644.669999999969</v>
      </c>
      <c r="AE105" s="68">
        <f t="shared" si="69"/>
        <v>9.5891741092759789E-2</v>
      </c>
      <c r="AF105" s="68">
        <f t="shared" si="70"/>
        <v>0.18926972439364687</v>
      </c>
      <c r="AG105" s="68">
        <f t="shared" si="71"/>
        <v>0.22269764325714608</v>
      </c>
      <c r="AH105" s="68">
        <f t="shared" si="72"/>
        <v>0.27498723539032399</v>
      </c>
      <c r="AI105" s="68">
        <f t="shared" si="73"/>
        <v>0.3391485971216146</v>
      </c>
      <c r="AJ105" s="68">
        <f t="shared" si="74"/>
        <v>0.42766399793035842</v>
      </c>
      <c r="AK105" s="68">
        <f t="shared" si="75"/>
        <v>0.48350839733840817</v>
      </c>
      <c r="AL105" s="68">
        <f t="shared" si="76"/>
        <v>0.5462927853333952</v>
      </c>
      <c r="AM105" s="68">
        <f t="shared" si="77"/>
        <v>0.62233496110548348</v>
      </c>
      <c r="AN105" s="68">
        <f t="shared" si="78"/>
        <v>0.79628612998877812</v>
      </c>
      <c r="AO105" s="68">
        <f t="shared" si="79"/>
        <v>0.92543351890936998</v>
      </c>
      <c r="AP105" s="68">
        <f t="shared" si="80"/>
        <v>1</v>
      </c>
      <c r="AQ105" s="92"/>
      <c r="AT105" s="68">
        <f t="shared" si="57"/>
        <v>0.27653508281301253</v>
      </c>
      <c r="AU105" s="68">
        <f t="shared" si="58"/>
        <v>0.33950193630703973</v>
      </c>
      <c r="AV105" s="68">
        <f t="shared" si="59"/>
        <v>0.45512010435574302</v>
      </c>
      <c r="AW105" s="68">
        <f t="shared" si="60"/>
        <v>0.51864011187938808</v>
      </c>
      <c r="AX105" s="68">
        <f t="shared" si="61"/>
        <v>0.63353726394664212</v>
      </c>
      <c r="AY105" s="68">
        <f t="shared" si="62"/>
        <v>0.68820479747582775</v>
      </c>
      <c r="AZ105" s="68">
        <f t="shared" si="63"/>
        <v>0.70777123135516573</v>
      </c>
      <c r="BA105" s="68">
        <f t="shared" si="64"/>
        <v>0.79495990805505601</v>
      </c>
      <c r="BB105" s="68">
        <f t="shared" si="65"/>
        <v>0.82700854595512319</v>
      </c>
      <c r="BC105" s="68">
        <f t="shared" si="66"/>
        <v>0.87861303425951243</v>
      </c>
      <c r="BD105" s="68">
        <f t="shared" si="67"/>
        <v>0.91747166944404734</v>
      </c>
      <c r="BE105" s="68">
        <f t="shared" si="68"/>
        <v>1</v>
      </c>
      <c r="BG105" s="68">
        <f t="shared" si="55"/>
        <v>0.18621341195288615</v>
      </c>
      <c r="BH105" s="68">
        <f t="shared" si="55"/>
        <v>0.2643858303503433</v>
      </c>
      <c r="BI105" s="68">
        <f t="shared" si="55"/>
        <v>0.33890887380644452</v>
      </c>
      <c r="BJ105" s="68">
        <f t="shared" si="55"/>
        <v>0.39681367363485603</v>
      </c>
      <c r="BK105" s="68">
        <f t="shared" si="55"/>
        <v>0.48634293053412836</v>
      </c>
      <c r="BL105" s="68">
        <f t="shared" si="55"/>
        <v>0.55793439770309305</v>
      </c>
      <c r="BM105" s="68">
        <f t="shared" si="81"/>
        <v>0.59563981434678692</v>
      </c>
      <c r="BN105" s="68">
        <f t="shared" si="81"/>
        <v>0.67062634669422561</v>
      </c>
      <c r="BO105" s="68">
        <f t="shared" si="81"/>
        <v>0.72467175353030333</v>
      </c>
      <c r="BP105" s="68">
        <f t="shared" si="81"/>
        <v>0.83744958212414522</v>
      </c>
      <c r="BQ105" s="68">
        <f t="shared" si="81"/>
        <v>0.92145259417670866</v>
      </c>
      <c r="BR105" s="68">
        <f t="shared" si="81"/>
        <v>1</v>
      </c>
    </row>
    <row r="106" spans="1:70">
      <c r="A106" s="239" t="s">
        <v>132</v>
      </c>
      <c r="B106" s="62">
        <v>654.49000000000024</v>
      </c>
      <c r="C106" s="62">
        <v>2639.2900000000004</v>
      </c>
      <c r="D106" s="62">
        <v>1735.3999999999996</v>
      </c>
      <c r="E106" s="62">
        <v>371.05000000000018</v>
      </c>
      <c r="F106" s="62">
        <v>421.55999999999949</v>
      </c>
      <c r="G106" s="62">
        <v>469.4</v>
      </c>
      <c r="H106" s="62">
        <v>565.38999999999987</v>
      </c>
      <c r="I106" s="62">
        <v>2697.36</v>
      </c>
      <c r="J106" s="62">
        <v>798.67</v>
      </c>
      <c r="K106" s="62">
        <v>1137.1600000000001</v>
      </c>
      <c r="L106" s="62">
        <v>677.9</v>
      </c>
      <c r="M106" s="62">
        <v>287.02999999999997</v>
      </c>
      <c r="N106" s="100">
        <f t="shared" si="54"/>
        <v>12454.7</v>
      </c>
      <c r="P106" s="239" t="s">
        <v>132</v>
      </c>
      <c r="Q106" s="62">
        <v>1398.0500000000004</v>
      </c>
      <c r="R106" s="62">
        <v>1818.4500000000005</v>
      </c>
      <c r="S106" s="62">
        <v>943.21999999999935</v>
      </c>
      <c r="T106" s="62">
        <v>197.30000000000007</v>
      </c>
      <c r="U106" s="62">
        <v>377.05000000000018</v>
      </c>
      <c r="V106" s="62">
        <v>673.69</v>
      </c>
      <c r="W106" s="62">
        <v>1194.8599999999997</v>
      </c>
      <c r="X106" s="62">
        <v>271.74000000000024</v>
      </c>
      <c r="Y106" s="62">
        <v>415.10999999999967</v>
      </c>
      <c r="Z106" s="62">
        <v>1281.9099999999999</v>
      </c>
      <c r="AA106" s="62">
        <v>837.31</v>
      </c>
      <c r="AB106" s="62">
        <v>185.38</v>
      </c>
      <c r="AC106" s="100">
        <f t="shared" si="56"/>
        <v>9594.07</v>
      </c>
      <c r="AE106" s="68">
        <f t="shared" si="69"/>
        <v>5.2549639894979419E-2</v>
      </c>
      <c r="AF106" s="68">
        <f t="shared" si="70"/>
        <v>0.26446080596080196</v>
      </c>
      <c r="AG106" s="68">
        <f t="shared" si="71"/>
        <v>0.40379776309345067</v>
      </c>
      <c r="AH106" s="68">
        <f t="shared" si="72"/>
        <v>0.43358972917854305</v>
      </c>
      <c r="AI106" s="68">
        <f t="shared" si="73"/>
        <v>0.46743719238520393</v>
      </c>
      <c r="AJ106" s="68">
        <f t="shared" si="74"/>
        <v>0.50512577581154094</v>
      </c>
      <c r="AK106" s="68">
        <f t="shared" si="75"/>
        <v>0.55052148987932259</v>
      </c>
      <c r="AL106" s="68">
        <f t="shared" si="76"/>
        <v>0.76709515283386998</v>
      </c>
      <c r="AM106" s="68">
        <f t="shared" si="77"/>
        <v>0.83122114543104209</v>
      </c>
      <c r="AN106" s="68">
        <f t="shared" si="78"/>
        <v>0.92252482998386154</v>
      </c>
      <c r="AO106" s="68">
        <f t="shared" si="79"/>
        <v>0.97695408159168817</v>
      </c>
      <c r="AP106" s="68">
        <f t="shared" si="80"/>
        <v>1</v>
      </c>
      <c r="AQ106" s="92"/>
      <c r="AT106" s="68">
        <f t="shared" si="57"/>
        <v>0.14572022092813586</v>
      </c>
      <c r="AU106" s="68">
        <f t="shared" si="58"/>
        <v>0.33525917572000213</v>
      </c>
      <c r="AV106" s="68">
        <f t="shared" si="59"/>
        <v>0.4335719876965668</v>
      </c>
      <c r="AW106" s="68">
        <f t="shared" si="60"/>
        <v>0.45413677406981612</v>
      </c>
      <c r="AX106" s="68">
        <f t="shared" si="61"/>
        <v>0.49343709187029078</v>
      </c>
      <c r="AY106" s="68">
        <f t="shared" si="62"/>
        <v>0.56365650865586769</v>
      </c>
      <c r="AZ106" s="68">
        <f t="shared" si="63"/>
        <v>0.68819802232003724</v>
      </c>
      <c r="BA106" s="68">
        <f t="shared" si="64"/>
        <v>0.71652176813385782</v>
      </c>
      <c r="BB106" s="68">
        <f t="shared" si="65"/>
        <v>0.75978911973750463</v>
      </c>
      <c r="BC106" s="68">
        <f t="shared" si="66"/>
        <v>0.89340394639605525</v>
      </c>
      <c r="BD106" s="68">
        <f t="shared" si="67"/>
        <v>0.98067764775533228</v>
      </c>
      <c r="BE106" s="68">
        <f t="shared" si="68"/>
        <v>1</v>
      </c>
      <c r="BG106" s="68">
        <f t="shared" si="55"/>
        <v>9.9134930411557631E-2</v>
      </c>
      <c r="BH106" s="68">
        <f t="shared" si="55"/>
        <v>0.29985999084040205</v>
      </c>
      <c r="BI106" s="68">
        <f t="shared" si="55"/>
        <v>0.41868487539500876</v>
      </c>
      <c r="BJ106" s="68">
        <f t="shared" si="55"/>
        <v>0.44386325162417961</v>
      </c>
      <c r="BK106" s="68">
        <f t="shared" si="55"/>
        <v>0.48043714212774735</v>
      </c>
      <c r="BL106" s="68">
        <f t="shared" si="55"/>
        <v>0.53439114223370432</v>
      </c>
      <c r="BM106" s="68">
        <f t="shared" si="81"/>
        <v>0.61935975609967997</v>
      </c>
      <c r="BN106" s="68">
        <f t="shared" si="81"/>
        <v>0.74180846048386395</v>
      </c>
      <c r="BO106" s="68">
        <f t="shared" si="81"/>
        <v>0.79550513258427336</v>
      </c>
      <c r="BP106" s="68">
        <f t="shared" si="81"/>
        <v>0.90796438818995839</v>
      </c>
      <c r="BQ106" s="68">
        <f t="shared" si="81"/>
        <v>0.97881586467351023</v>
      </c>
      <c r="BR106" s="68">
        <f t="shared" si="81"/>
        <v>1</v>
      </c>
    </row>
    <row r="107" spans="1:70">
      <c r="A107" s="239" t="s">
        <v>133</v>
      </c>
      <c r="B107" s="62">
        <v>4175.01</v>
      </c>
      <c r="C107" s="62">
        <v>2560.0800000000017</v>
      </c>
      <c r="D107" s="62">
        <v>5648.0199999999995</v>
      </c>
      <c r="E107" s="62">
        <v>1397.79</v>
      </c>
      <c r="F107" s="62">
        <v>2736.5900000000011</v>
      </c>
      <c r="G107" s="62">
        <v>1161.18</v>
      </c>
      <c r="H107" s="62">
        <v>3231.9300000000003</v>
      </c>
      <c r="I107" s="62">
        <v>2043.09</v>
      </c>
      <c r="J107" s="62">
        <v>1423.33</v>
      </c>
      <c r="K107" s="62">
        <v>3013.39</v>
      </c>
      <c r="L107" s="62">
        <v>2029.28</v>
      </c>
      <c r="M107" s="62">
        <v>4256.68</v>
      </c>
      <c r="N107" s="100">
        <f t="shared" si="54"/>
        <v>33676.370000000003</v>
      </c>
      <c r="P107" s="239" t="s">
        <v>133</v>
      </c>
      <c r="Q107" s="62">
        <v>1162.5900000000001</v>
      </c>
      <c r="R107" s="62">
        <v>779.69000000000051</v>
      </c>
      <c r="S107" s="62">
        <v>2575.91</v>
      </c>
      <c r="T107" s="62">
        <v>441.59000000000015</v>
      </c>
      <c r="U107" s="62">
        <v>1764.62</v>
      </c>
      <c r="V107" s="62">
        <v>2908.9199999999992</v>
      </c>
      <c r="W107" s="62">
        <v>2942.5499999999997</v>
      </c>
      <c r="X107" s="62">
        <v>1818.6499999999996</v>
      </c>
      <c r="Y107" s="62">
        <v>1308.23</v>
      </c>
      <c r="Z107" s="62">
        <v>1942.5300000000002</v>
      </c>
      <c r="AA107" s="62">
        <v>3209.8999999999996</v>
      </c>
      <c r="AB107" s="62">
        <v>363.34999999999968</v>
      </c>
      <c r="AC107" s="100">
        <f t="shared" si="56"/>
        <v>21218.53</v>
      </c>
      <c r="AE107" s="68">
        <f t="shared" si="69"/>
        <v>0.12397446636914845</v>
      </c>
      <c r="AF107" s="68">
        <f t="shared" si="70"/>
        <v>0.1999945362282218</v>
      </c>
      <c r="AG107" s="68">
        <f t="shared" si="71"/>
        <v>0.36770916817934951</v>
      </c>
      <c r="AH107" s="68">
        <f t="shared" si="72"/>
        <v>0.40921572010284957</v>
      </c>
      <c r="AI107" s="68">
        <f t="shared" si="73"/>
        <v>0.49047715059550662</v>
      </c>
      <c r="AJ107" s="68">
        <f t="shared" si="74"/>
        <v>0.52495770773393924</v>
      </c>
      <c r="AK107" s="68">
        <f t="shared" si="75"/>
        <v>0.6209279681865949</v>
      </c>
      <c r="AL107" s="68">
        <f t="shared" si="76"/>
        <v>0.68159632406936976</v>
      </c>
      <c r="AM107" s="68">
        <f t="shared" si="77"/>
        <v>0.7238612712712208</v>
      </c>
      <c r="AN107" s="68">
        <f t="shared" si="78"/>
        <v>0.81334211496072772</v>
      </c>
      <c r="AO107" s="68">
        <f t="shared" si="79"/>
        <v>0.87360039101601505</v>
      </c>
      <c r="AP107" s="68">
        <f t="shared" si="80"/>
        <v>1</v>
      </c>
      <c r="AQ107" s="92"/>
      <c r="AT107" s="68">
        <f t="shared" si="57"/>
        <v>5.4791260280518971E-2</v>
      </c>
      <c r="AU107" s="68">
        <f t="shared" si="58"/>
        <v>9.1536972636653002E-2</v>
      </c>
      <c r="AV107" s="68">
        <f t="shared" si="59"/>
        <v>0.21293605164919535</v>
      </c>
      <c r="AW107" s="68">
        <f t="shared" si="60"/>
        <v>0.23374757817813019</v>
      </c>
      <c r="AX107" s="68">
        <f t="shared" si="61"/>
        <v>0.31691168049813068</v>
      </c>
      <c r="AY107" s="68">
        <f t="shared" si="62"/>
        <v>0.45400506067102669</v>
      </c>
      <c r="AZ107" s="68">
        <f t="shared" si="63"/>
        <v>0.59268337627535927</v>
      </c>
      <c r="BA107" s="68">
        <f t="shared" si="64"/>
        <v>0.67839383783890772</v>
      </c>
      <c r="BB107" s="68">
        <f t="shared" si="65"/>
        <v>0.74004891008001017</v>
      </c>
      <c r="BC107" s="68">
        <f t="shared" si="66"/>
        <v>0.83159766487122344</v>
      </c>
      <c r="BD107" s="68">
        <f t="shared" si="67"/>
        <v>0.98287581656222189</v>
      </c>
      <c r="BE107" s="68">
        <f t="shared" si="68"/>
        <v>1</v>
      </c>
      <c r="BG107" s="68">
        <f t="shared" si="55"/>
        <v>8.9382863324833708E-2</v>
      </c>
      <c r="BH107" s="68">
        <f t="shared" si="55"/>
        <v>0.14576575443243739</v>
      </c>
      <c r="BI107" s="68">
        <f t="shared" si="55"/>
        <v>0.29032260991427244</v>
      </c>
      <c r="BJ107" s="68">
        <f t="shared" si="55"/>
        <v>0.32148164914048988</v>
      </c>
      <c r="BK107" s="68">
        <f t="shared" si="55"/>
        <v>0.40369441554681862</v>
      </c>
      <c r="BL107" s="68">
        <f t="shared" si="55"/>
        <v>0.48948138420248299</v>
      </c>
      <c r="BM107" s="68">
        <f t="shared" si="81"/>
        <v>0.60680567223097714</v>
      </c>
      <c r="BN107" s="68">
        <f t="shared" si="81"/>
        <v>0.67999508095413874</v>
      </c>
      <c r="BO107" s="68">
        <f t="shared" si="81"/>
        <v>0.73195509067561548</v>
      </c>
      <c r="BP107" s="68">
        <f t="shared" si="81"/>
        <v>0.82246988991597558</v>
      </c>
      <c r="BQ107" s="68">
        <f t="shared" si="81"/>
        <v>0.92823810378911853</v>
      </c>
      <c r="BR107" s="68">
        <f t="shared" si="81"/>
        <v>1</v>
      </c>
    </row>
    <row r="108" spans="1:70">
      <c r="A108" s="239" t="s">
        <v>134</v>
      </c>
      <c r="B108" s="62">
        <v>22366.500000000004</v>
      </c>
      <c r="C108" s="62">
        <v>16733.409999999993</v>
      </c>
      <c r="D108" s="62">
        <v>10133.200000000006</v>
      </c>
      <c r="E108" s="62">
        <v>13399.550000000005</v>
      </c>
      <c r="F108" s="62">
        <v>11648.550000000012</v>
      </c>
      <c r="G108" s="62">
        <v>11835.5</v>
      </c>
      <c r="H108" s="62">
        <v>11179.489999999996</v>
      </c>
      <c r="I108" s="62">
        <v>7201.43</v>
      </c>
      <c r="J108" s="62">
        <v>6752.28</v>
      </c>
      <c r="K108" s="62">
        <v>6533.66</v>
      </c>
      <c r="L108" s="62">
        <v>7635.32</v>
      </c>
      <c r="M108" s="62">
        <v>12257.55</v>
      </c>
      <c r="N108" s="100">
        <f t="shared" si="54"/>
        <v>137676.44</v>
      </c>
      <c r="P108" s="239" t="s">
        <v>134</v>
      </c>
      <c r="Q108" s="62">
        <v>12719.08</v>
      </c>
      <c r="R108" s="62">
        <v>9953.09</v>
      </c>
      <c r="S108" s="62">
        <v>11727.56</v>
      </c>
      <c r="T108" s="62">
        <v>5938.340000000002</v>
      </c>
      <c r="U108" s="62">
        <v>7960.2700000000023</v>
      </c>
      <c r="V108" s="62">
        <v>8482.3599999999988</v>
      </c>
      <c r="W108" s="62">
        <v>6685.43</v>
      </c>
      <c r="X108" s="62">
        <v>6524.4300000000021</v>
      </c>
      <c r="Y108" s="62">
        <v>9387.68</v>
      </c>
      <c r="Z108" s="62">
        <v>7332.37</v>
      </c>
      <c r="AA108" s="62">
        <v>6150.27</v>
      </c>
      <c r="AB108" s="62">
        <v>8934.5800000000017</v>
      </c>
      <c r="AC108" s="100">
        <f t="shared" si="56"/>
        <v>101795.46000000002</v>
      </c>
      <c r="AE108" s="68">
        <f t="shared" si="69"/>
        <v>0.16245698973622505</v>
      </c>
      <c r="AF108" s="68">
        <f t="shared" si="70"/>
        <v>0.28399855487256931</v>
      </c>
      <c r="AG108" s="68">
        <f t="shared" si="71"/>
        <v>0.3576001093578538</v>
      </c>
      <c r="AH108" s="68">
        <f t="shared" si="72"/>
        <v>0.45492649286980402</v>
      </c>
      <c r="AI108" s="68">
        <f t="shared" si="73"/>
        <v>0.53953465095407771</v>
      </c>
      <c r="AJ108" s="68">
        <f t="shared" si="74"/>
        <v>0.62550070295251692</v>
      </c>
      <c r="AK108" s="68">
        <f t="shared" si="75"/>
        <v>0.70670188741080175</v>
      </c>
      <c r="AL108" s="68">
        <f t="shared" si="76"/>
        <v>0.7590088035396616</v>
      </c>
      <c r="AM108" s="68">
        <f t="shared" si="77"/>
        <v>0.80805336047329523</v>
      </c>
      <c r="AN108" s="68">
        <f t="shared" si="78"/>
        <v>0.85550999139722095</v>
      </c>
      <c r="AO108" s="68">
        <f t="shared" si="79"/>
        <v>0.91096842713248549</v>
      </c>
      <c r="AP108" s="68">
        <f t="shared" si="80"/>
        <v>1</v>
      </c>
      <c r="AQ108" s="92"/>
      <c r="AT108" s="68">
        <f t="shared" si="57"/>
        <v>0.12494741906957341</v>
      </c>
      <c r="AU108" s="68">
        <f t="shared" si="58"/>
        <v>0.22272280119368776</v>
      </c>
      <c r="AV108" s="68">
        <f t="shared" si="59"/>
        <v>0.33792990375012782</v>
      </c>
      <c r="AW108" s="68">
        <f t="shared" si="60"/>
        <v>0.3962659041965132</v>
      </c>
      <c r="AX108" s="68">
        <f t="shared" si="61"/>
        <v>0.47446457828276423</v>
      </c>
      <c r="AY108" s="68">
        <f t="shared" si="62"/>
        <v>0.55779206656171099</v>
      </c>
      <c r="AZ108" s="68">
        <f t="shared" si="63"/>
        <v>0.62346719588476729</v>
      </c>
      <c r="BA108" s="68">
        <f t="shared" si="64"/>
        <v>0.68756072225617915</v>
      </c>
      <c r="BB108" s="68">
        <f t="shared" si="65"/>
        <v>0.77978173093377645</v>
      </c>
      <c r="BC108" s="68">
        <f t="shared" si="66"/>
        <v>0.85181215350861417</v>
      </c>
      <c r="BD108" s="68">
        <f t="shared" si="67"/>
        <v>0.91223007391488775</v>
      </c>
      <c r="BE108" s="68">
        <f t="shared" si="68"/>
        <v>1</v>
      </c>
      <c r="BG108" s="68">
        <f t="shared" si="55"/>
        <v>0.14370220440289921</v>
      </c>
      <c r="BH108" s="68">
        <f t="shared" si="55"/>
        <v>0.25336067803312856</v>
      </c>
      <c r="BI108" s="68">
        <f t="shared" si="55"/>
        <v>0.34776500655399079</v>
      </c>
      <c r="BJ108" s="68">
        <f t="shared" si="55"/>
        <v>0.42559619853315861</v>
      </c>
      <c r="BK108" s="68">
        <f t="shared" si="55"/>
        <v>0.50699961461842102</v>
      </c>
      <c r="BL108" s="68">
        <f t="shared" si="55"/>
        <v>0.59164638475711395</v>
      </c>
      <c r="BM108" s="68">
        <f t="shared" si="81"/>
        <v>0.66508454164778452</v>
      </c>
      <c r="BN108" s="68">
        <f t="shared" si="81"/>
        <v>0.72328476289792043</v>
      </c>
      <c r="BO108" s="68">
        <f t="shared" si="81"/>
        <v>0.7939175457035359</v>
      </c>
      <c r="BP108" s="68">
        <f t="shared" si="81"/>
        <v>0.85366107245291756</v>
      </c>
      <c r="BQ108" s="68">
        <f t="shared" si="81"/>
        <v>0.91159925052368662</v>
      </c>
      <c r="BR108" s="68">
        <f t="shared" si="81"/>
        <v>1</v>
      </c>
    </row>
    <row r="109" spans="1:70">
      <c r="A109" s="239" t="s">
        <v>135</v>
      </c>
      <c r="B109" s="62">
        <v>2397.7900000000009</v>
      </c>
      <c r="C109" s="62">
        <v>1752.4400000000026</v>
      </c>
      <c r="D109" s="62">
        <v>1621</v>
      </c>
      <c r="E109" s="62">
        <v>2022.4199999999992</v>
      </c>
      <c r="F109" s="62">
        <v>2923.7100000000005</v>
      </c>
      <c r="G109" s="62">
        <v>856.58</v>
      </c>
      <c r="H109" s="62">
        <v>3663.78</v>
      </c>
      <c r="I109" s="62">
        <v>1918.49</v>
      </c>
      <c r="J109" s="62">
        <v>1736.1499999999999</v>
      </c>
      <c r="K109" s="62">
        <v>337.83</v>
      </c>
      <c r="L109" s="62">
        <v>2901.57</v>
      </c>
      <c r="M109" s="62">
        <v>1316.75</v>
      </c>
      <c r="N109" s="100">
        <f t="shared" si="54"/>
        <v>23448.510000000006</v>
      </c>
      <c r="P109" s="239" t="s">
        <v>135</v>
      </c>
      <c r="Q109" s="62">
        <v>4757.28</v>
      </c>
      <c r="R109" s="62">
        <v>3462.6899999999996</v>
      </c>
      <c r="S109" s="62">
        <v>6104.3200000000015</v>
      </c>
      <c r="T109" s="62">
        <v>4091.4599999999996</v>
      </c>
      <c r="U109" s="62">
        <v>3283.4100000000012</v>
      </c>
      <c r="V109" s="62">
        <v>4588.9900000000007</v>
      </c>
      <c r="W109" s="62">
        <v>2570.48</v>
      </c>
      <c r="X109" s="62">
        <v>1780.9499999999996</v>
      </c>
      <c r="Y109" s="62">
        <v>1168.7300000000002</v>
      </c>
      <c r="Z109" s="62">
        <v>1192.6500000000003</v>
      </c>
      <c r="AA109" s="62">
        <v>836.58</v>
      </c>
      <c r="AB109" s="62">
        <v>628.19000000000017</v>
      </c>
      <c r="AC109" s="100">
        <f t="shared" si="56"/>
        <v>34465.730000000003</v>
      </c>
      <c r="AE109" s="68">
        <f t="shared" si="69"/>
        <v>0.10225767010355884</v>
      </c>
      <c r="AF109" s="68">
        <f t="shared" si="70"/>
        <v>0.17699333561066363</v>
      </c>
      <c r="AG109" s="68">
        <f t="shared" si="71"/>
        <v>0.24612352767830459</v>
      </c>
      <c r="AH109" s="68">
        <f t="shared" si="72"/>
        <v>0.33237293115852568</v>
      </c>
      <c r="AI109" s="68">
        <f t="shared" si="73"/>
        <v>0.45705931848121695</v>
      </c>
      <c r="AJ109" s="68">
        <f t="shared" si="74"/>
        <v>0.4935895713629565</v>
      </c>
      <c r="AK109" s="68">
        <f t="shared" si="75"/>
        <v>0.64983745235838009</v>
      </c>
      <c r="AL109" s="68">
        <f t="shared" si="76"/>
        <v>0.73165459127253707</v>
      </c>
      <c r="AM109" s="68">
        <f t="shared" si="77"/>
        <v>0.8056955431283267</v>
      </c>
      <c r="AN109" s="68">
        <f t="shared" si="78"/>
        <v>0.82010285514943171</v>
      </c>
      <c r="AO109" s="68">
        <f t="shared" si="79"/>
        <v>0.94384504601784935</v>
      </c>
      <c r="AP109" s="68">
        <f t="shared" si="80"/>
        <v>1</v>
      </c>
      <c r="AQ109" s="92"/>
      <c r="AT109" s="68">
        <f t="shared" si="57"/>
        <v>0.13802928300082429</v>
      </c>
      <c r="AU109" s="68">
        <f t="shared" si="58"/>
        <v>0.23849690692754799</v>
      </c>
      <c r="AV109" s="68">
        <f t="shared" si="59"/>
        <v>0.41560965051371318</v>
      </c>
      <c r="AW109" s="68">
        <f t="shared" si="60"/>
        <v>0.53432061354858862</v>
      </c>
      <c r="AX109" s="68">
        <f t="shared" si="61"/>
        <v>0.62958654872535702</v>
      </c>
      <c r="AY109" s="68">
        <f t="shared" si="62"/>
        <v>0.76273301044254682</v>
      </c>
      <c r="AZ109" s="68">
        <f t="shared" si="63"/>
        <v>0.83731376065442398</v>
      </c>
      <c r="BA109" s="68">
        <f t="shared" si="64"/>
        <v>0.88898682836545173</v>
      </c>
      <c r="BB109" s="68">
        <f t="shared" si="65"/>
        <v>0.92289674409913847</v>
      </c>
      <c r="BC109" s="68">
        <f t="shared" si="66"/>
        <v>0.95750068256206955</v>
      </c>
      <c r="BD109" s="68">
        <f t="shared" si="67"/>
        <v>0.98177348920217267</v>
      </c>
      <c r="BE109" s="68">
        <f t="shared" si="68"/>
        <v>1</v>
      </c>
      <c r="BG109" s="68">
        <f t="shared" si="55"/>
        <v>0.12014347655219157</v>
      </c>
      <c r="BH109" s="68">
        <f t="shared" si="55"/>
        <v>0.20774512126910583</v>
      </c>
      <c r="BI109" s="68">
        <f t="shared" si="55"/>
        <v>0.33086658909600886</v>
      </c>
      <c r="BJ109" s="68">
        <f t="shared" si="55"/>
        <v>0.43334677235355712</v>
      </c>
      <c r="BK109" s="68">
        <f t="shared" si="55"/>
        <v>0.54332293360328698</v>
      </c>
      <c r="BL109" s="68">
        <f t="shared" si="55"/>
        <v>0.62816129090275163</v>
      </c>
      <c r="BM109" s="68">
        <f t="shared" si="81"/>
        <v>0.74357560650640209</v>
      </c>
      <c r="BN109" s="68">
        <f t="shared" si="81"/>
        <v>0.8103207098189944</v>
      </c>
      <c r="BO109" s="68">
        <f t="shared" si="81"/>
        <v>0.86429614361373264</v>
      </c>
      <c r="BP109" s="68">
        <f t="shared" si="81"/>
        <v>0.88880176885575057</v>
      </c>
      <c r="BQ109" s="68">
        <f t="shared" si="81"/>
        <v>0.96280926761001107</v>
      </c>
      <c r="BR109" s="68">
        <f t="shared" si="81"/>
        <v>1</v>
      </c>
    </row>
    <row r="110" spans="1:70">
      <c r="A110" s="239" t="s">
        <v>136</v>
      </c>
      <c r="B110" s="62">
        <v>671.94999999999982</v>
      </c>
      <c r="C110" s="62">
        <v>993.20000000000073</v>
      </c>
      <c r="D110" s="62">
        <v>854.64000000000033</v>
      </c>
      <c r="E110" s="62">
        <v>1848.9099999999999</v>
      </c>
      <c r="F110" s="62">
        <v>306.94999999999982</v>
      </c>
      <c r="G110" s="62">
        <v>1050.18</v>
      </c>
      <c r="H110" s="62">
        <v>628.32000000000016</v>
      </c>
      <c r="I110" s="62">
        <v>680.68</v>
      </c>
      <c r="J110" s="62">
        <v>411.68</v>
      </c>
      <c r="K110" s="62">
        <v>985.39</v>
      </c>
      <c r="L110" s="62">
        <v>494.42</v>
      </c>
      <c r="M110" s="62">
        <v>233.66</v>
      </c>
      <c r="N110" s="100">
        <f t="shared" si="54"/>
        <v>9159.9800000000014</v>
      </c>
      <c r="P110" s="239" t="s">
        <v>136</v>
      </c>
      <c r="Q110" s="62">
        <v>1445.6200000000003</v>
      </c>
      <c r="R110" s="62">
        <v>649.54999999999995</v>
      </c>
      <c r="S110" s="62">
        <v>197.37999999999988</v>
      </c>
      <c r="T110" s="62">
        <v>466.89000000000021</v>
      </c>
      <c r="U110" s="62">
        <v>571.0599999999996</v>
      </c>
      <c r="V110" s="62">
        <v>92.049999999999955</v>
      </c>
      <c r="W110" s="62">
        <v>310.84000000000009</v>
      </c>
      <c r="X110" s="62">
        <v>0</v>
      </c>
      <c r="Y110" s="62">
        <v>357.73</v>
      </c>
      <c r="Z110" s="62">
        <v>308.96999999999991</v>
      </c>
      <c r="AA110" s="62">
        <v>357.74</v>
      </c>
      <c r="AB110" s="62">
        <v>0</v>
      </c>
      <c r="AC110" s="100">
        <f t="shared" si="56"/>
        <v>4757.83</v>
      </c>
      <c r="AE110" s="68">
        <f t="shared" si="69"/>
        <v>7.3357147068006667E-2</v>
      </c>
      <c r="AF110" s="68">
        <f t="shared" si="70"/>
        <v>0.18178533140902059</v>
      </c>
      <c r="AG110" s="68">
        <f t="shared" si="71"/>
        <v>0.27508684516778426</v>
      </c>
      <c r="AH110" s="68">
        <f t="shared" si="72"/>
        <v>0.47693335574968504</v>
      </c>
      <c r="AI110" s="68">
        <f t="shared" si="73"/>
        <v>0.51044325424291315</v>
      </c>
      <c r="AJ110" s="68">
        <f t="shared" si="74"/>
        <v>0.6250919761833541</v>
      </c>
      <c r="AK110" s="68">
        <f t="shared" si="75"/>
        <v>0.69368601241487438</v>
      </c>
      <c r="AL110" s="68">
        <f t="shared" si="76"/>
        <v>0.76799621833235454</v>
      </c>
      <c r="AM110" s="68">
        <f t="shared" si="77"/>
        <v>0.81293954790294309</v>
      </c>
      <c r="AN110" s="68">
        <f t="shared" si="78"/>
        <v>0.92051511029500066</v>
      </c>
      <c r="AO110" s="68">
        <f t="shared" si="79"/>
        <v>0.97449121067949929</v>
      </c>
      <c r="AP110" s="68">
        <f t="shared" si="80"/>
        <v>1</v>
      </c>
      <c r="AQ110" s="92"/>
      <c r="AT110" s="68">
        <f t="shared" si="57"/>
        <v>0.30384019605576501</v>
      </c>
      <c r="AU110" s="68">
        <f t="shared" si="58"/>
        <v>0.44036251820682959</v>
      </c>
      <c r="AV110" s="68">
        <f t="shared" si="59"/>
        <v>0.48184781717715852</v>
      </c>
      <c r="AW110" s="68">
        <f t="shared" si="60"/>
        <v>0.57997868776311901</v>
      </c>
      <c r="AX110" s="68">
        <f t="shared" si="61"/>
        <v>0.70000399341716713</v>
      </c>
      <c r="AY110" s="68">
        <f t="shared" si="62"/>
        <v>0.7193510486923661</v>
      </c>
      <c r="AZ110" s="68">
        <f t="shared" si="63"/>
        <v>0.78468335354562913</v>
      </c>
      <c r="BA110" s="68">
        <f t="shared" si="64"/>
        <v>0.78468335354562913</v>
      </c>
      <c r="BB110" s="68">
        <f t="shared" si="65"/>
        <v>0.85987099160751868</v>
      </c>
      <c r="BC110" s="68">
        <f t="shared" si="66"/>
        <v>0.92481026013960155</v>
      </c>
      <c r="BD110" s="68">
        <f t="shared" si="67"/>
        <v>1</v>
      </c>
      <c r="BE110" s="68">
        <f t="shared" si="68"/>
        <v>1</v>
      </c>
      <c r="BG110" s="68">
        <f t="shared" si="55"/>
        <v>0.18859867156188584</v>
      </c>
      <c r="BH110" s="68">
        <f t="shared" si="55"/>
        <v>0.31107392480792506</v>
      </c>
      <c r="BI110" s="68">
        <f t="shared" si="55"/>
        <v>0.37846733117247139</v>
      </c>
      <c r="BJ110" s="68">
        <f t="shared" si="55"/>
        <v>0.52845602175640205</v>
      </c>
      <c r="BK110" s="68">
        <f t="shared" si="55"/>
        <v>0.60522362383004014</v>
      </c>
      <c r="BL110" s="68">
        <f t="shared" si="55"/>
        <v>0.6722215124378601</v>
      </c>
      <c r="BM110" s="68">
        <f t="shared" si="81"/>
        <v>0.73918468298025175</v>
      </c>
      <c r="BN110" s="68">
        <f t="shared" si="81"/>
        <v>0.77633978593899178</v>
      </c>
      <c r="BO110" s="68">
        <f t="shared" si="81"/>
        <v>0.83640526975523088</v>
      </c>
      <c r="BP110" s="68">
        <f t="shared" si="81"/>
        <v>0.9226626852173011</v>
      </c>
      <c r="BQ110" s="68">
        <f t="shared" si="81"/>
        <v>0.98724560533974959</v>
      </c>
      <c r="BR110" s="68">
        <f t="shared" si="81"/>
        <v>1</v>
      </c>
    </row>
    <row r="111" spans="1:70">
      <c r="A111" s="239" t="s">
        <v>137</v>
      </c>
      <c r="B111" s="62">
        <v>29500.19</v>
      </c>
      <c r="C111" s="62">
        <v>22511.47</v>
      </c>
      <c r="D111" s="62">
        <v>16513.239999999991</v>
      </c>
      <c r="E111" s="62">
        <v>12906.880000000003</v>
      </c>
      <c r="F111" s="62">
        <v>13672.160000000002</v>
      </c>
      <c r="G111" s="62">
        <v>6618.6</v>
      </c>
      <c r="H111" s="62">
        <v>8775.2200000000012</v>
      </c>
      <c r="I111" s="62">
        <v>11864.24</v>
      </c>
      <c r="J111" s="62">
        <v>6028.1</v>
      </c>
      <c r="K111" s="62">
        <v>10408.480000000001</v>
      </c>
      <c r="L111" s="62">
        <v>6150.7800000000007</v>
      </c>
      <c r="M111" s="62">
        <v>8234.880000000001</v>
      </c>
      <c r="N111" s="100">
        <f t="shared" si="54"/>
        <v>153184.24000000002</v>
      </c>
      <c r="P111" s="239" t="s">
        <v>137</v>
      </c>
      <c r="Q111" s="62">
        <v>13207.139999999996</v>
      </c>
      <c r="R111" s="62">
        <v>11923.710000000017</v>
      </c>
      <c r="S111" s="62">
        <v>9534.7400000000052</v>
      </c>
      <c r="T111" s="62">
        <v>18162.390000000007</v>
      </c>
      <c r="U111" s="62">
        <v>13957.430000000002</v>
      </c>
      <c r="V111" s="62">
        <v>37185.240000000005</v>
      </c>
      <c r="W111" s="62">
        <v>16613.89</v>
      </c>
      <c r="X111" s="62">
        <v>18569.64</v>
      </c>
      <c r="Y111" s="62">
        <v>20804.529999999995</v>
      </c>
      <c r="Z111" s="62">
        <v>21544.690000000002</v>
      </c>
      <c r="AA111" s="62">
        <v>19148.45</v>
      </c>
      <c r="AB111" s="62">
        <v>23740.260000000002</v>
      </c>
      <c r="AC111" s="100">
        <f t="shared" si="56"/>
        <v>224392.11000000007</v>
      </c>
      <c r="AE111" s="68">
        <f t="shared" si="69"/>
        <v>0.19257979802621988</v>
      </c>
      <c r="AF111" s="68">
        <f t="shared" si="70"/>
        <v>0.33953662596099965</v>
      </c>
      <c r="AG111" s="68">
        <f t="shared" si="71"/>
        <v>0.44733648840115658</v>
      </c>
      <c r="AH111" s="68">
        <f t="shared" si="72"/>
        <v>0.53159372008504258</v>
      </c>
      <c r="AI111" s="68">
        <f t="shared" si="73"/>
        <v>0.62084676595973576</v>
      </c>
      <c r="AJ111" s="68">
        <f t="shared" si="74"/>
        <v>0.6640535606012733</v>
      </c>
      <c r="AK111" s="68">
        <f t="shared" si="75"/>
        <v>0.72133895758467059</v>
      </c>
      <c r="AL111" s="68">
        <f t="shared" si="76"/>
        <v>0.79878974495026378</v>
      </c>
      <c r="AM111" s="68">
        <f t="shared" si="77"/>
        <v>0.83814170439465574</v>
      </c>
      <c r="AN111" s="68">
        <f t="shared" si="78"/>
        <v>0.90608916426389552</v>
      </c>
      <c r="AO111" s="68">
        <f t="shared" si="79"/>
        <v>0.94624198938480875</v>
      </c>
      <c r="AP111" s="68">
        <f t="shared" si="80"/>
        <v>1</v>
      </c>
      <c r="AQ111" s="92"/>
      <c r="AT111" s="68">
        <f t="shared" si="57"/>
        <v>5.8857417045545812E-2</v>
      </c>
      <c r="AU111" s="68">
        <f t="shared" si="58"/>
        <v>0.11199524796125855</v>
      </c>
      <c r="AV111" s="68">
        <f t="shared" si="59"/>
        <v>0.15448667067661162</v>
      </c>
      <c r="AW111" s="68">
        <f t="shared" si="60"/>
        <v>0.23542708342107041</v>
      </c>
      <c r="AX111" s="68">
        <f t="shared" si="61"/>
        <v>0.29762815635540846</v>
      </c>
      <c r="AY111" s="68">
        <f t="shared" si="62"/>
        <v>0.46334360865005458</v>
      </c>
      <c r="AZ111" s="68">
        <f t="shared" si="63"/>
        <v>0.53738315487117616</v>
      </c>
      <c r="BA111" s="68">
        <f t="shared" si="64"/>
        <v>0.62013847100060693</v>
      </c>
      <c r="BB111" s="68">
        <f t="shared" si="65"/>
        <v>0.71285354017126534</v>
      </c>
      <c r="BC111" s="68">
        <f t="shared" si="66"/>
        <v>0.80886712104093139</v>
      </c>
      <c r="BD111" s="68">
        <f t="shared" si="67"/>
        <v>0.89420189506663139</v>
      </c>
      <c r="BE111" s="68">
        <f t="shared" si="68"/>
        <v>1</v>
      </c>
      <c r="BG111" s="68">
        <f t="shared" si="55"/>
        <v>0.12571860753588285</v>
      </c>
      <c r="BH111" s="68">
        <f t="shared" si="55"/>
        <v>0.22576593696112909</v>
      </c>
      <c r="BI111" s="68">
        <f t="shared" si="55"/>
        <v>0.30091157953888409</v>
      </c>
      <c r="BJ111" s="68">
        <f t="shared" si="55"/>
        <v>0.38351040175305651</v>
      </c>
      <c r="BK111" s="68">
        <f t="shared" si="55"/>
        <v>0.45923746115757214</v>
      </c>
      <c r="BL111" s="68">
        <f t="shared" si="55"/>
        <v>0.56369858462566391</v>
      </c>
      <c r="BM111" s="68">
        <f t="shared" si="81"/>
        <v>0.62936105622792338</v>
      </c>
      <c r="BN111" s="68">
        <f t="shared" si="81"/>
        <v>0.70946410797543535</v>
      </c>
      <c r="BO111" s="68">
        <f t="shared" si="81"/>
        <v>0.7754976222829606</v>
      </c>
      <c r="BP111" s="68">
        <f t="shared" si="81"/>
        <v>0.8574781426524134</v>
      </c>
      <c r="BQ111" s="68">
        <f t="shared" si="81"/>
        <v>0.92022194222572007</v>
      </c>
      <c r="BR111" s="68">
        <f t="shared" si="81"/>
        <v>1</v>
      </c>
    </row>
    <row r="112" spans="1:70">
      <c r="A112" s="239" t="s">
        <v>138</v>
      </c>
      <c r="B112" s="62">
        <v>1140.4300000000003</v>
      </c>
      <c r="C112" s="62">
        <v>1437.12</v>
      </c>
      <c r="D112" s="62">
        <v>837.7599999999984</v>
      </c>
      <c r="E112" s="62">
        <v>0</v>
      </c>
      <c r="F112" s="62">
        <v>959.92999999999938</v>
      </c>
      <c r="G112" s="62">
        <v>1139.9000000000001</v>
      </c>
      <c r="H112" s="62">
        <v>1324.8399999999997</v>
      </c>
      <c r="I112" s="62">
        <v>2456.2800000000002</v>
      </c>
      <c r="J112" s="62">
        <v>745.49</v>
      </c>
      <c r="K112" s="62">
        <v>1754.07</v>
      </c>
      <c r="L112" s="62">
        <v>1391.1</v>
      </c>
      <c r="M112" s="62">
        <v>253.25</v>
      </c>
      <c r="N112" s="100">
        <f t="shared" si="54"/>
        <v>13440.169999999998</v>
      </c>
      <c r="P112" s="239" t="s">
        <v>138</v>
      </c>
      <c r="Q112" s="62">
        <v>1387.7899999999997</v>
      </c>
      <c r="R112" s="62">
        <v>1756.9199999999996</v>
      </c>
      <c r="S112" s="62">
        <v>1698.2199999999993</v>
      </c>
      <c r="T112" s="62">
        <v>1032.0899999999997</v>
      </c>
      <c r="U112" s="62">
        <v>1576.9599999999994</v>
      </c>
      <c r="V112" s="62">
        <v>1522.4299999999994</v>
      </c>
      <c r="W112" s="62">
        <v>1595.84</v>
      </c>
      <c r="X112" s="62">
        <v>1103.67</v>
      </c>
      <c r="Y112" s="62">
        <v>1338.6899999999998</v>
      </c>
      <c r="Z112" s="62">
        <v>18.539999999999992</v>
      </c>
      <c r="AA112" s="62">
        <v>1093.81</v>
      </c>
      <c r="AB112" s="62">
        <v>0</v>
      </c>
      <c r="AC112" s="100">
        <f t="shared" si="56"/>
        <v>14124.959999999997</v>
      </c>
      <c r="AE112" s="68">
        <f t="shared" si="69"/>
        <v>8.4852349337843233E-2</v>
      </c>
      <c r="AF112" s="68">
        <f t="shared" si="70"/>
        <v>0.19177956826438955</v>
      </c>
      <c r="AG112" s="68">
        <f t="shared" si="71"/>
        <v>0.25411211316523519</v>
      </c>
      <c r="AH112" s="68">
        <f t="shared" si="72"/>
        <v>0.25411211316523519</v>
      </c>
      <c r="AI112" s="68">
        <f t="shared" si="73"/>
        <v>0.32553457285138493</v>
      </c>
      <c r="AJ112" s="68">
        <f t="shared" si="74"/>
        <v>0.41034748816421207</v>
      </c>
      <c r="AK112" s="68">
        <f t="shared" si="75"/>
        <v>0.50892064609301801</v>
      </c>
      <c r="AL112" s="68">
        <f t="shared" si="76"/>
        <v>0.69167726301081012</v>
      </c>
      <c r="AM112" s="68">
        <f t="shared" si="77"/>
        <v>0.74714456736782342</v>
      </c>
      <c r="AN112" s="68">
        <f t="shared" si="78"/>
        <v>0.87765407729217704</v>
      </c>
      <c r="AO112" s="68">
        <f t="shared" si="79"/>
        <v>0.98115723238619745</v>
      </c>
      <c r="AP112" s="68">
        <f t="shared" si="80"/>
        <v>1</v>
      </c>
      <c r="AQ112" s="92"/>
      <c r="AT112" s="68">
        <f t="shared" si="57"/>
        <v>9.8250897701657208E-2</v>
      </c>
      <c r="AU112" s="68">
        <f t="shared" si="58"/>
        <v>0.22263496675388814</v>
      </c>
      <c r="AV112" s="68">
        <f t="shared" si="59"/>
        <v>0.34286327182519449</v>
      </c>
      <c r="AW112" s="68">
        <f t="shared" si="60"/>
        <v>0.41593179732898355</v>
      </c>
      <c r="AX112" s="68">
        <f t="shared" si="61"/>
        <v>0.52757529932828118</v>
      </c>
      <c r="AY112" s="68">
        <f t="shared" si="62"/>
        <v>0.6353582594216195</v>
      </c>
      <c r="AZ112" s="68">
        <f t="shared" si="63"/>
        <v>0.74833840237423666</v>
      </c>
      <c r="BA112" s="68">
        <f t="shared" si="64"/>
        <v>0.82647455284829119</v>
      </c>
      <c r="BB112" s="68">
        <f t="shared" si="65"/>
        <v>0.92124933451138968</v>
      </c>
      <c r="BC112" s="68">
        <f t="shared" si="66"/>
        <v>0.9225619046000838</v>
      </c>
      <c r="BD112" s="68">
        <f t="shared" si="67"/>
        <v>1</v>
      </c>
      <c r="BE112" s="68">
        <f t="shared" si="68"/>
        <v>1</v>
      </c>
      <c r="BG112" s="68">
        <f t="shared" si="55"/>
        <v>9.1551623519750214E-2</v>
      </c>
      <c r="BH112" s="68">
        <f t="shared" si="55"/>
        <v>0.20720726750913884</v>
      </c>
      <c r="BI112" s="68">
        <f t="shared" si="55"/>
        <v>0.29848769249521484</v>
      </c>
      <c r="BJ112" s="68">
        <f t="shared" si="55"/>
        <v>0.33502195524710937</v>
      </c>
      <c r="BK112" s="68">
        <f t="shared" si="55"/>
        <v>0.42655493608983308</v>
      </c>
      <c r="BL112" s="68">
        <f t="shared" si="55"/>
        <v>0.52285287379291578</v>
      </c>
      <c r="BM112" s="68">
        <f t="shared" si="81"/>
        <v>0.62862952423362728</v>
      </c>
      <c r="BN112" s="68">
        <f t="shared" si="81"/>
        <v>0.7590759079295506</v>
      </c>
      <c r="BO112" s="68">
        <f t="shared" si="81"/>
        <v>0.83419695093960655</v>
      </c>
      <c r="BP112" s="68">
        <f t="shared" si="81"/>
        <v>0.90010799094613048</v>
      </c>
      <c r="BQ112" s="68">
        <f t="shared" si="81"/>
        <v>0.99057861619309873</v>
      </c>
      <c r="BR112" s="68">
        <f t="shared" si="81"/>
        <v>1</v>
      </c>
    </row>
    <row r="113" spans="1:70">
      <c r="A113" s="239" t="s">
        <v>139</v>
      </c>
      <c r="B113" s="62">
        <v>21506.789999999997</v>
      </c>
      <c r="C113" s="62">
        <v>19907.72</v>
      </c>
      <c r="D113" s="62">
        <v>19253.960000000003</v>
      </c>
      <c r="E113" s="62">
        <v>19337.470000000005</v>
      </c>
      <c r="F113" s="62">
        <v>16480.709999999992</v>
      </c>
      <c r="G113" s="62">
        <v>12641.189999999999</v>
      </c>
      <c r="H113" s="62">
        <v>18088.059999999998</v>
      </c>
      <c r="I113" s="62">
        <v>9612.380000000001</v>
      </c>
      <c r="J113" s="62">
        <v>9664.52</v>
      </c>
      <c r="K113" s="62">
        <v>13122.19</v>
      </c>
      <c r="L113" s="62">
        <v>14842.050000000001</v>
      </c>
      <c r="M113" s="62">
        <v>20365.62</v>
      </c>
      <c r="N113" s="100">
        <f t="shared" si="54"/>
        <v>194822.65999999997</v>
      </c>
      <c r="P113" s="239" t="s">
        <v>139</v>
      </c>
      <c r="Q113" s="62">
        <v>10640.759999999995</v>
      </c>
      <c r="R113" s="62">
        <v>10200.679999999993</v>
      </c>
      <c r="S113" s="62">
        <v>12644.900000000005</v>
      </c>
      <c r="T113" s="62">
        <v>6118.6200000000008</v>
      </c>
      <c r="U113" s="62">
        <v>5362.1999999999953</v>
      </c>
      <c r="V113" s="62">
        <v>9345.2300000000032</v>
      </c>
      <c r="W113" s="62">
        <v>7603.8900000000021</v>
      </c>
      <c r="X113" s="62">
        <v>10944.82</v>
      </c>
      <c r="Y113" s="62">
        <v>7014.83</v>
      </c>
      <c r="Z113" s="62">
        <v>5822.619999999999</v>
      </c>
      <c r="AA113" s="62">
        <v>3975.62</v>
      </c>
      <c r="AB113" s="62">
        <v>10678.38</v>
      </c>
      <c r="AC113" s="100">
        <f t="shared" si="56"/>
        <v>100352.55</v>
      </c>
      <c r="AE113" s="68">
        <f t="shared" si="69"/>
        <v>0.11039162487566898</v>
      </c>
      <c r="AF113" s="68">
        <f t="shared" si="70"/>
        <v>0.21257542628768131</v>
      </c>
      <c r="AG113" s="68">
        <f t="shared" si="71"/>
        <v>0.31140356055091339</v>
      </c>
      <c r="AH113" s="68">
        <f t="shared" si="72"/>
        <v>0.41066034105067661</v>
      </c>
      <c r="AI113" s="68">
        <f t="shared" si="73"/>
        <v>0.49525373485815255</v>
      </c>
      <c r="AJ113" s="68">
        <f t="shared" si="74"/>
        <v>0.56013935955909855</v>
      </c>
      <c r="AK113" s="68">
        <f t="shared" si="75"/>
        <v>0.65298307701989089</v>
      </c>
      <c r="AL113" s="68">
        <f t="shared" si="76"/>
        <v>0.70232220420355629</v>
      </c>
      <c r="AM113" s="68">
        <f t="shared" si="77"/>
        <v>0.75192895939312199</v>
      </c>
      <c r="AN113" s="68">
        <f t="shared" si="78"/>
        <v>0.81928349607792039</v>
      </c>
      <c r="AO113" s="68">
        <f t="shared" si="79"/>
        <v>0.89546585597383799</v>
      </c>
      <c r="AP113" s="68">
        <f t="shared" si="80"/>
        <v>1</v>
      </c>
      <c r="AQ113" s="92"/>
      <c r="AT113" s="68">
        <f t="shared" si="57"/>
        <v>0.10603377791595724</v>
      </c>
      <c r="AU113" s="68">
        <f t="shared" si="58"/>
        <v>0.2076822163462711</v>
      </c>
      <c r="AV113" s="68">
        <f t="shared" si="59"/>
        <v>0.33368698652899198</v>
      </c>
      <c r="AW113" s="68">
        <f t="shared" si="60"/>
        <v>0.39465823240166792</v>
      </c>
      <c r="AX113" s="68">
        <f t="shared" si="61"/>
        <v>0.44809185217515646</v>
      </c>
      <c r="AY113" s="68">
        <f t="shared" si="62"/>
        <v>0.54121584354358709</v>
      </c>
      <c r="AZ113" s="68">
        <f t="shared" si="63"/>
        <v>0.61698761018030934</v>
      </c>
      <c r="BA113" s="68">
        <f t="shared" si="64"/>
        <v>0.72605130612027302</v>
      </c>
      <c r="BB113" s="68">
        <f t="shared" si="65"/>
        <v>0.79595316710935604</v>
      </c>
      <c r="BC113" s="68">
        <f t="shared" si="66"/>
        <v>0.85397481180099555</v>
      </c>
      <c r="BD113" s="68">
        <f t="shared" si="67"/>
        <v>0.89359134371772309</v>
      </c>
      <c r="BE113" s="68">
        <f t="shared" si="68"/>
        <v>1</v>
      </c>
      <c r="BG113" s="68">
        <f t="shared" si="55"/>
        <v>0.1082127013958131</v>
      </c>
      <c r="BH113" s="68">
        <f t="shared" si="55"/>
        <v>0.21012882131697619</v>
      </c>
      <c r="BI113" s="68">
        <f t="shared" si="55"/>
        <v>0.32254527353995266</v>
      </c>
      <c r="BJ113" s="68">
        <f t="shared" si="55"/>
        <v>0.40265928672617224</v>
      </c>
      <c r="BK113" s="68">
        <f t="shared" si="55"/>
        <v>0.47167279351665448</v>
      </c>
      <c r="BL113" s="68">
        <f t="shared" si="55"/>
        <v>0.55067760155134282</v>
      </c>
      <c r="BM113" s="68">
        <f t="shared" si="81"/>
        <v>0.63498534360010006</v>
      </c>
      <c r="BN113" s="68">
        <f t="shared" si="81"/>
        <v>0.71418675516191465</v>
      </c>
      <c r="BO113" s="68">
        <f t="shared" si="81"/>
        <v>0.77394106325123901</v>
      </c>
      <c r="BP113" s="68">
        <f t="shared" si="81"/>
        <v>0.83662915393945791</v>
      </c>
      <c r="BQ113" s="68">
        <f t="shared" si="81"/>
        <v>0.89452859984578059</v>
      </c>
      <c r="BR113" s="68">
        <f t="shared" si="81"/>
        <v>1</v>
      </c>
    </row>
    <row r="114" spans="1:70">
      <c r="A114" s="239" t="s">
        <v>140</v>
      </c>
      <c r="B114" s="62">
        <v>785.40000000000009</v>
      </c>
      <c r="C114" s="62">
        <v>465.40999999999985</v>
      </c>
      <c r="D114" s="62">
        <v>0</v>
      </c>
      <c r="E114" s="62">
        <v>0</v>
      </c>
      <c r="F114" s="62">
        <v>1011.18</v>
      </c>
      <c r="G114" s="62">
        <v>43.64</v>
      </c>
      <c r="H114" s="62">
        <v>551.29</v>
      </c>
      <c r="I114" s="62">
        <v>494.68</v>
      </c>
      <c r="J114" s="62">
        <v>90.19</v>
      </c>
      <c r="K114" s="62">
        <v>215.76</v>
      </c>
      <c r="L114" s="62">
        <v>202.23</v>
      </c>
      <c r="M114" s="62">
        <v>559.35</v>
      </c>
      <c r="N114" s="100">
        <f t="shared" si="54"/>
        <v>4419.1299999999992</v>
      </c>
      <c r="P114" s="239" t="s">
        <v>140</v>
      </c>
      <c r="Q114" s="62">
        <v>243.77999999999975</v>
      </c>
      <c r="R114" s="62">
        <v>295.7800000000002</v>
      </c>
      <c r="S114" s="62">
        <v>0</v>
      </c>
      <c r="T114" s="62">
        <v>191.70999999999987</v>
      </c>
      <c r="U114" s="62">
        <v>433.1</v>
      </c>
      <c r="V114" s="62">
        <v>710.67</v>
      </c>
      <c r="W114" s="62">
        <v>446.15000000000003</v>
      </c>
      <c r="X114" s="62">
        <v>253.52999999999997</v>
      </c>
      <c r="Y114" s="62">
        <v>341.29999999999995</v>
      </c>
      <c r="Z114" s="62">
        <v>360.78999999999996</v>
      </c>
      <c r="AA114" s="62">
        <v>524.95000000000005</v>
      </c>
      <c r="AB114" s="62">
        <v>0</v>
      </c>
      <c r="AC114" s="100">
        <f t="shared" si="56"/>
        <v>3801.76</v>
      </c>
      <c r="AE114" s="68">
        <f t="shared" si="69"/>
        <v>0.17772729021323208</v>
      </c>
      <c r="AF114" s="68">
        <f t="shared" si="70"/>
        <v>0.28304440014210946</v>
      </c>
      <c r="AG114" s="68">
        <f t="shared" si="71"/>
        <v>0.28304440014210946</v>
      </c>
      <c r="AH114" s="68">
        <f t="shared" si="72"/>
        <v>0.28304440014210946</v>
      </c>
      <c r="AI114" s="68">
        <f t="shared" si="73"/>
        <v>0.51186319479173503</v>
      </c>
      <c r="AJ114" s="68">
        <f t="shared" si="74"/>
        <v>0.5217384417294807</v>
      </c>
      <c r="AK114" s="68">
        <f t="shared" si="75"/>
        <v>0.64648924109496664</v>
      </c>
      <c r="AL114" s="68">
        <f t="shared" si="76"/>
        <v>0.75842982668534309</v>
      </c>
      <c r="AM114" s="68">
        <f t="shared" si="77"/>
        <v>0.77883882121594072</v>
      </c>
      <c r="AN114" s="68">
        <f t="shared" si="78"/>
        <v>0.82766291102547329</v>
      </c>
      <c r="AO114" s="68">
        <f t="shared" si="79"/>
        <v>0.87342531222208897</v>
      </c>
      <c r="AP114" s="68">
        <f t="shared" si="80"/>
        <v>1</v>
      </c>
      <c r="AQ114" s="92"/>
      <c r="AT114" s="68">
        <f t="shared" si="57"/>
        <v>6.4122932536509331E-2</v>
      </c>
      <c r="AU114" s="68">
        <f t="shared" si="58"/>
        <v>0.14192374058330876</v>
      </c>
      <c r="AV114" s="68">
        <f t="shared" si="59"/>
        <v>0.14192374058330876</v>
      </c>
      <c r="AW114" s="68">
        <f t="shared" si="60"/>
        <v>0.19235038508480276</v>
      </c>
      <c r="AX114" s="68">
        <f t="shared" si="61"/>
        <v>0.3062713059214679</v>
      </c>
      <c r="AY114" s="68">
        <f t="shared" si="62"/>
        <v>0.49320314801565585</v>
      </c>
      <c r="AZ114" s="68">
        <f t="shared" si="63"/>
        <v>0.6105566895332688</v>
      </c>
      <c r="BA114" s="68">
        <f t="shared" si="64"/>
        <v>0.67724422372795756</v>
      </c>
      <c r="BB114" s="68">
        <f t="shared" si="65"/>
        <v>0.7670184335676109</v>
      </c>
      <c r="BC114" s="68">
        <f t="shared" si="66"/>
        <v>0.86191921636294777</v>
      </c>
      <c r="BD114" s="68">
        <f t="shared" si="67"/>
        <v>1</v>
      </c>
      <c r="BE114" s="68">
        <f t="shared" si="68"/>
        <v>1</v>
      </c>
      <c r="BG114" s="68">
        <f t="shared" si="55"/>
        <v>0.12092511137487071</v>
      </c>
      <c r="BH114" s="68">
        <f t="shared" si="55"/>
        <v>0.21248407036270911</v>
      </c>
      <c r="BI114" s="68">
        <f t="shared" si="55"/>
        <v>0.21248407036270911</v>
      </c>
      <c r="BJ114" s="68">
        <f t="shared" si="55"/>
        <v>0.23769739261345613</v>
      </c>
      <c r="BK114" s="68">
        <f t="shared" si="55"/>
        <v>0.40906725035660146</v>
      </c>
      <c r="BL114" s="68">
        <f t="shared" si="55"/>
        <v>0.5074707948725683</v>
      </c>
      <c r="BM114" s="68">
        <f t="shared" si="81"/>
        <v>0.62852296531411778</v>
      </c>
      <c r="BN114" s="68">
        <f t="shared" si="81"/>
        <v>0.71783702520665038</v>
      </c>
      <c r="BO114" s="68">
        <f t="shared" si="81"/>
        <v>0.77292862739177581</v>
      </c>
      <c r="BP114" s="68">
        <f t="shared" si="81"/>
        <v>0.84479106369421053</v>
      </c>
      <c r="BQ114" s="68">
        <f t="shared" si="81"/>
        <v>0.93671265611104448</v>
      </c>
      <c r="BR114" s="68">
        <f t="shared" si="81"/>
        <v>1</v>
      </c>
    </row>
    <row r="115" spans="1:70">
      <c r="A115" s="239" t="s">
        <v>141</v>
      </c>
      <c r="B115" s="62">
        <v>0</v>
      </c>
      <c r="C115" s="62">
        <v>0</v>
      </c>
      <c r="D115" s="62">
        <v>0</v>
      </c>
      <c r="E115" s="62">
        <v>0</v>
      </c>
      <c r="F115" s="62">
        <v>290.12</v>
      </c>
      <c r="G115" s="62">
        <v>0</v>
      </c>
      <c r="H115" s="62">
        <v>0</v>
      </c>
      <c r="I115" s="62">
        <v>0</v>
      </c>
      <c r="J115" s="62">
        <v>0</v>
      </c>
      <c r="K115" s="62">
        <v>0</v>
      </c>
      <c r="L115" s="62">
        <v>0</v>
      </c>
      <c r="M115" s="62">
        <v>0</v>
      </c>
      <c r="N115" s="100">
        <f t="shared" si="54"/>
        <v>290.12</v>
      </c>
      <c r="P115" s="239" t="s">
        <v>141</v>
      </c>
      <c r="Q115" s="62">
        <v>548.43000000000006</v>
      </c>
      <c r="R115" s="62">
        <v>0</v>
      </c>
      <c r="S115" s="62">
        <v>0</v>
      </c>
      <c r="T115" s="62">
        <v>215.80999999999997</v>
      </c>
      <c r="U115" s="62">
        <v>0</v>
      </c>
      <c r="V115" s="62">
        <v>0</v>
      </c>
      <c r="W115" s="62">
        <v>351.82</v>
      </c>
      <c r="X115" s="62">
        <v>0</v>
      </c>
      <c r="Y115" s="62">
        <v>147.69999999999999</v>
      </c>
      <c r="Z115" s="62">
        <v>0</v>
      </c>
      <c r="AA115" s="62">
        <v>0</v>
      </c>
      <c r="AB115" s="62">
        <v>0</v>
      </c>
      <c r="AC115" s="100">
        <f t="shared" si="56"/>
        <v>1263.76</v>
      </c>
      <c r="AE115" s="68">
        <f t="shared" si="69"/>
        <v>0</v>
      </c>
      <c r="AF115" s="68">
        <f t="shared" si="70"/>
        <v>0</v>
      </c>
      <c r="AG115" s="68">
        <f t="shared" si="71"/>
        <v>0</v>
      </c>
      <c r="AH115" s="68">
        <f t="shared" si="72"/>
        <v>0</v>
      </c>
      <c r="AI115" s="68">
        <f t="shared" si="73"/>
        <v>1</v>
      </c>
      <c r="AJ115" s="68">
        <f t="shared" si="74"/>
        <v>1</v>
      </c>
      <c r="AK115" s="68">
        <f t="shared" si="75"/>
        <v>1</v>
      </c>
      <c r="AL115" s="68">
        <f t="shared" si="76"/>
        <v>1</v>
      </c>
      <c r="AM115" s="68">
        <f t="shared" si="77"/>
        <v>1</v>
      </c>
      <c r="AN115" s="68">
        <f t="shared" si="78"/>
        <v>1</v>
      </c>
      <c r="AO115" s="68">
        <f t="shared" si="79"/>
        <v>1</v>
      </c>
      <c r="AP115" s="68">
        <f t="shared" si="80"/>
        <v>1</v>
      </c>
      <c r="AQ115" s="92"/>
      <c r="AT115" s="68">
        <f t="shared" si="57"/>
        <v>0.43396689244793318</v>
      </c>
      <c r="AU115" s="68">
        <f t="shared" si="58"/>
        <v>0.43396689244793318</v>
      </c>
      <c r="AV115" s="68">
        <f t="shared" si="59"/>
        <v>0.43396689244793318</v>
      </c>
      <c r="AW115" s="68">
        <f t="shared" si="60"/>
        <v>0.60473507628030643</v>
      </c>
      <c r="AX115" s="68">
        <f t="shared" si="61"/>
        <v>0.60473507628030643</v>
      </c>
      <c r="AY115" s="68">
        <f t="shared" si="62"/>
        <v>0.60473507628030643</v>
      </c>
      <c r="AZ115" s="68">
        <f t="shared" si="63"/>
        <v>0.88312654301449633</v>
      </c>
      <c r="BA115" s="68">
        <f t="shared" si="64"/>
        <v>0.88312654301449633</v>
      </c>
      <c r="BB115" s="68">
        <f t="shared" si="65"/>
        <v>1</v>
      </c>
      <c r="BC115" s="68">
        <f t="shared" si="66"/>
        <v>1</v>
      </c>
      <c r="BD115" s="68">
        <f t="shared" si="67"/>
        <v>1</v>
      </c>
      <c r="BE115" s="68">
        <f t="shared" si="68"/>
        <v>1</v>
      </c>
      <c r="BG115" s="68">
        <f t="shared" si="55"/>
        <v>0.21698344622396659</v>
      </c>
      <c r="BH115" s="68">
        <f t="shared" si="55"/>
        <v>0.21698344622396659</v>
      </c>
      <c r="BI115" s="68">
        <f t="shared" si="55"/>
        <v>0.21698344622396659</v>
      </c>
      <c r="BJ115" s="68">
        <f t="shared" si="55"/>
        <v>0.30236753814015321</v>
      </c>
      <c r="BK115" s="68">
        <f t="shared" si="55"/>
        <v>0.80236753814015316</v>
      </c>
      <c r="BL115" s="68">
        <f t="shared" si="55"/>
        <v>0.80236753814015316</v>
      </c>
      <c r="BM115" s="68">
        <f t="shared" si="81"/>
        <v>0.94156327150724817</v>
      </c>
      <c r="BN115" s="68">
        <f t="shared" si="81"/>
        <v>0.94156327150724817</v>
      </c>
      <c r="BO115" s="68">
        <f t="shared" si="81"/>
        <v>1</v>
      </c>
      <c r="BP115" s="68">
        <f t="shared" si="81"/>
        <v>1</v>
      </c>
      <c r="BQ115" s="68">
        <f t="shared" si="81"/>
        <v>1</v>
      </c>
      <c r="BR115" s="68">
        <f t="shared" si="81"/>
        <v>1</v>
      </c>
    </row>
    <row r="116" spans="1:70">
      <c r="A116" s="239" t="s">
        <v>142</v>
      </c>
      <c r="B116" s="62">
        <v>5412.74</v>
      </c>
      <c r="C116" s="62">
        <v>7274.9100000000062</v>
      </c>
      <c r="D116" s="62">
        <v>4434.5399999999972</v>
      </c>
      <c r="E116" s="62">
        <v>7124.9599999999955</v>
      </c>
      <c r="F116" s="62">
        <v>4121.0300000000007</v>
      </c>
      <c r="G116" s="62">
        <v>5849.08</v>
      </c>
      <c r="H116" s="62">
        <v>5207.51</v>
      </c>
      <c r="I116" s="62">
        <v>5353.8099999999995</v>
      </c>
      <c r="J116" s="62">
        <v>5814.3399999999992</v>
      </c>
      <c r="K116" s="62">
        <v>2178.15</v>
      </c>
      <c r="L116" s="62">
        <v>4030.3</v>
      </c>
      <c r="M116" s="62">
        <v>2989.03</v>
      </c>
      <c r="N116" s="100">
        <f t="shared" si="54"/>
        <v>59790.400000000001</v>
      </c>
      <c r="P116" s="239" t="s">
        <v>142</v>
      </c>
      <c r="Q116" s="62">
        <v>6204.0599999999959</v>
      </c>
      <c r="R116" s="62">
        <v>5823.1099999999969</v>
      </c>
      <c r="S116" s="62">
        <v>7923.9800000000014</v>
      </c>
      <c r="T116" s="62">
        <v>13102.970000000001</v>
      </c>
      <c r="U116" s="62">
        <v>5918.5099999999929</v>
      </c>
      <c r="V116" s="62">
        <v>6903.2200000000012</v>
      </c>
      <c r="W116" s="62">
        <v>4597.12</v>
      </c>
      <c r="X116" s="62">
        <v>3774.76</v>
      </c>
      <c r="Y116" s="62">
        <v>1774.0700000000002</v>
      </c>
      <c r="Z116" s="62">
        <v>2220.3700000000003</v>
      </c>
      <c r="AA116" s="62">
        <v>2222.48</v>
      </c>
      <c r="AB116" s="62">
        <v>1954.06</v>
      </c>
      <c r="AC116" s="100">
        <f t="shared" si="56"/>
        <v>62418.71</v>
      </c>
      <c r="AE116" s="68">
        <f t="shared" si="69"/>
        <v>9.0528579838903903E-2</v>
      </c>
      <c r="AF116" s="68">
        <f t="shared" si="70"/>
        <v>0.21220212609382116</v>
      </c>
      <c r="AG116" s="68">
        <f t="shared" si="71"/>
        <v>0.28637021996842305</v>
      </c>
      <c r="AH116" s="68">
        <f t="shared" si="72"/>
        <v>0.40553583852926217</v>
      </c>
      <c r="AI116" s="68">
        <f t="shared" si="73"/>
        <v>0.47446044850009367</v>
      </c>
      <c r="AJ116" s="68">
        <f t="shared" si="74"/>
        <v>0.57228685541491608</v>
      </c>
      <c r="AK116" s="68">
        <f t="shared" si="75"/>
        <v>0.659382944419171</v>
      </c>
      <c r="AL116" s="68">
        <f t="shared" si="76"/>
        <v>0.74892591452808477</v>
      </c>
      <c r="AM116" s="68">
        <f t="shared" si="77"/>
        <v>0.84617129171238192</v>
      </c>
      <c r="AN116" s="68">
        <f t="shared" si="78"/>
        <v>0.88260105301185476</v>
      </c>
      <c r="AO116" s="68">
        <f t="shared" si="79"/>
        <v>0.9500081952955659</v>
      </c>
      <c r="AP116" s="68">
        <f t="shared" si="80"/>
        <v>1</v>
      </c>
      <c r="AQ116" s="92"/>
      <c r="AT116" s="68">
        <f t="shared" si="57"/>
        <v>9.9394236119266094E-2</v>
      </c>
      <c r="AU116" s="68">
        <f t="shared" si="58"/>
        <v>0.19268533425314288</v>
      </c>
      <c r="AV116" s="68">
        <f t="shared" si="59"/>
        <v>0.31963412893345594</v>
      </c>
      <c r="AW116" s="68">
        <f t="shared" si="60"/>
        <v>0.52955467999899386</v>
      </c>
      <c r="AX116" s="68">
        <f t="shared" si="61"/>
        <v>0.62437416601528595</v>
      </c>
      <c r="AY116" s="68">
        <f t="shared" si="62"/>
        <v>0.7349695307705012</v>
      </c>
      <c r="AZ116" s="68">
        <f t="shared" si="63"/>
        <v>0.80861924253160622</v>
      </c>
      <c r="BA116" s="68">
        <f t="shared" si="64"/>
        <v>0.86909405849624255</v>
      </c>
      <c r="BB116" s="68">
        <f t="shared" si="65"/>
        <v>0.89751614539935221</v>
      </c>
      <c r="BC116" s="68">
        <f t="shared" si="66"/>
        <v>0.93308833200814301</v>
      </c>
      <c r="BD116" s="68">
        <f t="shared" si="67"/>
        <v>0.96869432258372534</v>
      </c>
      <c r="BE116" s="68">
        <f t="shared" si="68"/>
        <v>1</v>
      </c>
      <c r="BG116" s="68">
        <f t="shared" si="55"/>
        <v>9.4961407979085005E-2</v>
      </c>
      <c r="BH116" s="68">
        <f t="shared" si="55"/>
        <v>0.20244373017348202</v>
      </c>
      <c r="BI116" s="68">
        <f t="shared" si="55"/>
        <v>0.30300217445093947</v>
      </c>
      <c r="BJ116" s="68">
        <f t="shared" si="55"/>
        <v>0.46754525926412804</v>
      </c>
      <c r="BK116" s="68">
        <f t="shared" si="55"/>
        <v>0.54941730725768978</v>
      </c>
      <c r="BL116" s="68">
        <f t="shared" si="55"/>
        <v>0.65362819309270859</v>
      </c>
      <c r="BM116" s="68">
        <f t="shared" si="81"/>
        <v>0.73400109347538867</v>
      </c>
      <c r="BN116" s="68">
        <f t="shared" si="81"/>
        <v>0.8090099865121636</v>
      </c>
      <c r="BO116" s="68">
        <f t="shared" si="81"/>
        <v>0.87184371855586706</v>
      </c>
      <c r="BP116" s="68">
        <f t="shared" si="81"/>
        <v>0.90784469250999889</v>
      </c>
      <c r="BQ116" s="68">
        <f t="shared" si="81"/>
        <v>0.95935125893964557</v>
      </c>
      <c r="BR116" s="68">
        <f t="shared" si="81"/>
        <v>1</v>
      </c>
    </row>
    <row r="117" spans="1:70">
      <c r="A117" s="239" t="s">
        <v>143</v>
      </c>
      <c r="B117" s="62">
        <v>75184.530000000028</v>
      </c>
      <c r="C117" s="62">
        <v>49514.25999999998</v>
      </c>
      <c r="D117" s="62">
        <v>17098.22</v>
      </c>
      <c r="E117" s="62">
        <v>38583.119999999966</v>
      </c>
      <c r="F117" s="62">
        <v>22504.799999999985</v>
      </c>
      <c r="G117" s="62">
        <v>22109.11</v>
      </c>
      <c r="H117" s="62">
        <v>23716.43</v>
      </c>
      <c r="I117" s="62">
        <v>25776.57</v>
      </c>
      <c r="J117" s="62">
        <v>24703.95</v>
      </c>
      <c r="K117" s="62">
        <v>25138.46</v>
      </c>
      <c r="L117" s="62">
        <v>26113.68</v>
      </c>
      <c r="M117" s="62">
        <v>27447.439999999999</v>
      </c>
      <c r="N117" s="100">
        <f t="shared" si="54"/>
        <v>377890.57</v>
      </c>
      <c r="P117" s="239" t="s">
        <v>143</v>
      </c>
      <c r="Q117" s="62">
        <v>91900.59</v>
      </c>
      <c r="R117" s="62">
        <v>40915.409999999989</v>
      </c>
      <c r="S117" s="62">
        <v>65265.820000000007</v>
      </c>
      <c r="T117" s="62">
        <v>22472.079999999998</v>
      </c>
      <c r="U117" s="62">
        <v>51852.909999999974</v>
      </c>
      <c r="V117" s="62">
        <v>30825.260000000009</v>
      </c>
      <c r="W117" s="62">
        <v>33929.259999999995</v>
      </c>
      <c r="X117" s="62">
        <v>38859.440000000002</v>
      </c>
      <c r="Y117" s="62">
        <v>14783.78</v>
      </c>
      <c r="Z117" s="62">
        <v>39525.26</v>
      </c>
      <c r="AA117" s="62">
        <v>29090.5</v>
      </c>
      <c r="AB117" s="62">
        <v>12681.739999999998</v>
      </c>
      <c r="AC117" s="100">
        <f t="shared" si="56"/>
        <v>472102.05</v>
      </c>
      <c r="AE117" s="68">
        <f t="shared" si="69"/>
        <v>0.19895847096687283</v>
      </c>
      <c r="AF117" s="68">
        <f t="shared" si="70"/>
        <v>0.32998650905737076</v>
      </c>
      <c r="AG117" s="68">
        <f t="shared" si="71"/>
        <v>0.37523299403845933</v>
      </c>
      <c r="AH117" s="68">
        <f t="shared" si="72"/>
        <v>0.47733429812762984</v>
      </c>
      <c r="AI117" s="68">
        <f t="shared" si="73"/>
        <v>0.53688804671680468</v>
      </c>
      <c r="AJ117" s="68">
        <f t="shared" si="74"/>
        <v>0.59539469323090011</v>
      </c>
      <c r="AK117" s="68">
        <f t="shared" si="75"/>
        <v>0.65815474040540356</v>
      </c>
      <c r="AL117" s="68">
        <f t="shared" si="76"/>
        <v>0.72636647164812806</v>
      </c>
      <c r="AM117" s="68">
        <f t="shared" si="77"/>
        <v>0.79173976212214026</v>
      </c>
      <c r="AN117" s="68">
        <f t="shared" si="78"/>
        <v>0.85826288282345864</v>
      </c>
      <c r="AO117" s="68">
        <f t="shared" si="79"/>
        <v>0.92736669771886604</v>
      </c>
      <c r="AP117" s="68">
        <f t="shared" si="80"/>
        <v>1</v>
      </c>
      <c r="AQ117" s="92"/>
      <c r="AT117" s="68">
        <f t="shared" si="57"/>
        <v>0.1946625523019864</v>
      </c>
      <c r="AU117" s="68">
        <f t="shared" si="58"/>
        <v>0.28132900503185698</v>
      </c>
      <c r="AV117" s="68">
        <f t="shared" si="59"/>
        <v>0.41957415774830892</v>
      </c>
      <c r="AW117" s="68">
        <f t="shared" si="60"/>
        <v>0.46717420523804121</v>
      </c>
      <c r="AX117" s="68">
        <f t="shared" si="61"/>
        <v>0.5770083184345417</v>
      </c>
      <c r="AY117" s="68">
        <f t="shared" si="62"/>
        <v>0.64230195568945303</v>
      </c>
      <c r="AZ117" s="68">
        <f t="shared" si="63"/>
        <v>0.71417044259816276</v>
      </c>
      <c r="BA117" s="68">
        <f t="shared" si="64"/>
        <v>0.79648196825241491</v>
      </c>
      <c r="BB117" s="68">
        <f t="shared" si="65"/>
        <v>0.82779676555100745</v>
      </c>
      <c r="BC117" s="68">
        <f t="shared" si="66"/>
        <v>0.91151862187423249</v>
      </c>
      <c r="BD117" s="68">
        <f t="shared" si="67"/>
        <v>0.97313771461064402</v>
      </c>
      <c r="BE117" s="68">
        <f t="shared" si="68"/>
        <v>1</v>
      </c>
      <c r="BG117" s="68">
        <f t="shared" si="55"/>
        <v>0.19681051163442961</v>
      </c>
      <c r="BH117" s="68">
        <f t="shared" si="55"/>
        <v>0.30565775704461384</v>
      </c>
      <c r="BI117" s="68">
        <f t="shared" si="55"/>
        <v>0.39740357589338415</v>
      </c>
      <c r="BJ117" s="68">
        <f t="shared" si="55"/>
        <v>0.47225425168283552</v>
      </c>
      <c r="BK117" s="68">
        <f t="shared" si="55"/>
        <v>0.55694818257567325</v>
      </c>
      <c r="BL117" s="68">
        <f t="shared" si="55"/>
        <v>0.61884832446017657</v>
      </c>
      <c r="BM117" s="68">
        <f t="shared" si="81"/>
        <v>0.68616259150178316</v>
      </c>
      <c r="BN117" s="68">
        <f t="shared" si="81"/>
        <v>0.76142421995027143</v>
      </c>
      <c r="BO117" s="68">
        <f t="shared" si="81"/>
        <v>0.80976826383657385</v>
      </c>
      <c r="BP117" s="68">
        <f t="shared" si="81"/>
        <v>0.88489075234884562</v>
      </c>
      <c r="BQ117" s="68">
        <f t="shared" si="81"/>
        <v>0.95025220616475503</v>
      </c>
      <c r="BR117" s="68">
        <f t="shared" si="81"/>
        <v>1</v>
      </c>
    </row>
    <row r="118" spans="1:70">
      <c r="A118" s="239" t="s">
        <v>144</v>
      </c>
      <c r="B118" s="62">
        <v>2223.2799999999997</v>
      </c>
      <c r="C118" s="62">
        <v>934.39999999999964</v>
      </c>
      <c r="D118" s="62">
        <v>1713.3100000000004</v>
      </c>
      <c r="E118" s="62">
        <v>1124.58</v>
      </c>
      <c r="F118" s="62">
        <v>338.5300000000002</v>
      </c>
      <c r="G118" s="62">
        <v>306.95</v>
      </c>
      <c r="H118" s="62">
        <v>104.72000000000003</v>
      </c>
      <c r="I118" s="62">
        <v>306.95</v>
      </c>
      <c r="J118" s="62">
        <v>306.95999999999998</v>
      </c>
      <c r="K118" s="62">
        <v>621.12</v>
      </c>
      <c r="L118" s="62">
        <v>628.36</v>
      </c>
      <c r="M118" s="62">
        <v>104.72</v>
      </c>
      <c r="N118" s="100">
        <f t="shared" si="54"/>
        <v>8713.8799999999992</v>
      </c>
      <c r="P118" s="239" t="s">
        <v>144</v>
      </c>
      <c r="Q118" s="62">
        <v>1360.7400000000002</v>
      </c>
      <c r="R118" s="62">
        <v>525.24</v>
      </c>
      <c r="S118" s="62">
        <v>1723.6099999999997</v>
      </c>
      <c r="T118" s="62">
        <v>687.46000000000015</v>
      </c>
      <c r="U118" s="62">
        <v>263.28000000000003</v>
      </c>
      <c r="V118" s="62">
        <v>188.53999999999996</v>
      </c>
      <c r="W118" s="62">
        <v>182.02999999999997</v>
      </c>
      <c r="X118" s="62">
        <v>0</v>
      </c>
      <c r="Y118" s="62">
        <v>16.25</v>
      </c>
      <c r="Z118" s="62">
        <v>16.25</v>
      </c>
      <c r="AA118" s="62">
        <v>533.52</v>
      </c>
      <c r="AB118" s="62">
        <v>598.95000000000005</v>
      </c>
      <c r="AC118" s="100">
        <f t="shared" si="56"/>
        <v>6095.87</v>
      </c>
      <c r="AE118" s="68">
        <f t="shared" si="69"/>
        <v>0.25514237056282618</v>
      </c>
      <c r="AF118" s="68">
        <f t="shared" si="70"/>
        <v>0.36237359247545292</v>
      </c>
      <c r="AG118" s="68">
        <f t="shared" si="71"/>
        <v>0.55899209077930845</v>
      </c>
      <c r="AH118" s="68">
        <f t="shared" si="72"/>
        <v>0.68804826323061596</v>
      </c>
      <c r="AI118" s="68">
        <f t="shared" si="73"/>
        <v>0.72689777688010404</v>
      </c>
      <c r="AJ118" s="68">
        <f t="shared" si="74"/>
        <v>0.76212318737462537</v>
      </c>
      <c r="AK118" s="68">
        <f t="shared" si="75"/>
        <v>0.77414079606329222</v>
      </c>
      <c r="AL118" s="68">
        <f t="shared" si="76"/>
        <v>0.80936620655781366</v>
      </c>
      <c r="AM118" s="68">
        <f t="shared" si="77"/>
        <v>0.8445927646467476</v>
      </c>
      <c r="AN118" s="68">
        <f t="shared" si="78"/>
        <v>0.915872148801682</v>
      </c>
      <c r="AO118" s="68">
        <f t="shared" si="79"/>
        <v>0.98798239131133325</v>
      </c>
      <c r="AP118" s="68">
        <f t="shared" si="80"/>
        <v>1</v>
      </c>
      <c r="AQ118" s="92"/>
      <c r="AT118" s="68">
        <f t="shared" si="57"/>
        <v>0.22322326427564895</v>
      </c>
      <c r="AU118" s="68">
        <f t="shared" si="58"/>
        <v>0.3093865190694684</v>
      </c>
      <c r="AV118" s="68">
        <f t="shared" si="59"/>
        <v>0.59213697142491561</v>
      </c>
      <c r="AW118" s="68">
        <f t="shared" si="60"/>
        <v>0.70491168610879174</v>
      </c>
      <c r="AX118" s="68">
        <f t="shared" si="61"/>
        <v>0.74810158353114486</v>
      </c>
      <c r="AY118" s="68">
        <f t="shared" si="62"/>
        <v>0.77903072079949209</v>
      </c>
      <c r="AZ118" s="68">
        <f t="shared" si="63"/>
        <v>0.80889192190778347</v>
      </c>
      <c r="BA118" s="68">
        <f t="shared" si="64"/>
        <v>0.80889192190778347</v>
      </c>
      <c r="BB118" s="68">
        <f t="shared" si="65"/>
        <v>0.8115576611705958</v>
      </c>
      <c r="BC118" s="68">
        <f t="shared" si="66"/>
        <v>0.81422340043340813</v>
      </c>
      <c r="BD118" s="68">
        <f t="shared" si="67"/>
        <v>0.90174495191006376</v>
      </c>
      <c r="BE118" s="68">
        <f t="shared" si="68"/>
        <v>1</v>
      </c>
      <c r="BG118" s="68">
        <f t="shared" si="55"/>
        <v>0.23918281741923758</v>
      </c>
      <c r="BH118" s="68">
        <f t="shared" si="55"/>
        <v>0.33588005577246066</v>
      </c>
      <c r="BI118" s="68">
        <f t="shared" si="55"/>
        <v>0.57556453110211203</v>
      </c>
      <c r="BJ118" s="68">
        <f t="shared" si="55"/>
        <v>0.69647997466970391</v>
      </c>
      <c r="BK118" s="68">
        <f t="shared" si="55"/>
        <v>0.7374996802056244</v>
      </c>
      <c r="BL118" s="68">
        <f t="shared" si="55"/>
        <v>0.77057695408705873</v>
      </c>
      <c r="BM118" s="68">
        <f t="shared" si="81"/>
        <v>0.79151635898553785</v>
      </c>
      <c r="BN118" s="68">
        <f t="shared" si="81"/>
        <v>0.80912906423279862</v>
      </c>
      <c r="BO118" s="68">
        <f t="shared" si="81"/>
        <v>0.8280752129086717</v>
      </c>
      <c r="BP118" s="68">
        <f t="shared" si="81"/>
        <v>0.86504777461754512</v>
      </c>
      <c r="BQ118" s="68">
        <f t="shared" si="81"/>
        <v>0.94486367161069851</v>
      </c>
      <c r="BR118" s="68">
        <f t="shared" si="81"/>
        <v>1</v>
      </c>
    </row>
    <row r="119" spans="1:70">
      <c r="A119" s="239" t="s">
        <v>145</v>
      </c>
      <c r="B119" s="62">
        <v>837.74999999999977</v>
      </c>
      <c r="C119" s="62">
        <v>1772.5800000000004</v>
      </c>
      <c r="D119" s="62">
        <v>909.07999999999993</v>
      </c>
      <c r="E119" s="62">
        <v>824.31999999999994</v>
      </c>
      <c r="F119" s="62">
        <v>209.44000000000005</v>
      </c>
      <c r="G119" s="62">
        <v>1474.32</v>
      </c>
      <c r="H119" s="62">
        <v>761.1</v>
      </c>
      <c r="I119" s="62">
        <v>2539.0100000000002</v>
      </c>
      <c r="J119" s="62">
        <v>173.24</v>
      </c>
      <c r="K119" s="62">
        <v>1019.27</v>
      </c>
      <c r="L119" s="62">
        <v>1910.1100000000001</v>
      </c>
      <c r="M119" s="62">
        <v>503.93999999999994</v>
      </c>
      <c r="N119" s="100">
        <f t="shared" si="54"/>
        <v>12934.160000000002</v>
      </c>
      <c r="P119" s="239" t="s">
        <v>145</v>
      </c>
      <c r="Q119" s="62">
        <v>1670.12</v>
      </c>
      <c r="R119" s="62">
        <v>439.38</v>
      </c>
      <c r="S119" s="62">
        <v>621.50999999999976</v>
      </c>
      <c r="T119" s="62">
        <v>114.67000000000002</v>
      </c>
      <c r="U119" s="62">
        <v>567.13</v>
      </c>
      <c r="V119" s="62">
        <v>370.76</v>
      </c>
      <c r="W119" s="62">
        <v>1649.2000000000003</v>
      </c>
      <c r="X119" s="62">
        <v>671.94</v>
      </c>
      <c r="Y119" s="62">
        <v>436.11999999999989</v>
      </c>
      <c r="Z119" s="62">
        <v>97.509999999999991</v>
      </c>
      <c r="AA119" s="62">
        <v>371.76</v>
      </c>
      <c r="AB119" s="62">
        <v>422.54999999999995</v>
      </c>
      <c r="AC119" s="100">
        <f t="shared" si="56"/>
        <v>7432.6500000000015</v>
      </c>
      <c r="AE119" s="68">
        <f t="shared" si="69"/>
        <v>6.4770344575913685E-2</v>
      </c>
      <c r="AF119" s="68">
        <f t="shared" si="70"/>
        <v>0.20181673954860613</v>
      </c>
      <c r="AG119" s="68">
        <f t="shared" si="71"/>
        <v>0.27210193781428399</v>
      </c>
      <c r="AH119" s="68">
        <f t="shared" si="72"/>
        <v>0.33583394669619049</v>
      </c>
      <c r="AI119" s="68">
        <f t="shared" si="73"/>
        <v>0.3520267261267836</v>
      </c>
      <c r="AJ119" s="68">
        <f t="shared" si="74"/>
        <v>0.46601325482288752</v>
      </c>
      <c r="AK119" s="68">
        <f t="shared" si="75"/>
        <v>0.52485743179301936</v>
      </c>
      <c r="AL119" s="68">
        <f t="shared" si="76"/>
        <v>0.72116009079832</v>
      </c>
      <c r="AM119" s="68">
        <f t="shared" si="77"/>
        <v>0.73455408004849165</v>
      </c>
      <c r="AN119" s="68">
        <f t="shared" si="78"/>
        <v>0.81335857914236409</v>
      </c>
      <c r="AO119" s="68">
        <f t="shared" si="79"/>
        <v>0.96103805736128201</v>
      </c>
      <c r="AP119" s="68">
        <f t="shared" si="80"/>
        <v>1</v>
      </c>
      <c r="AQ119" s="92"/>
      <c r="AT119" s="68">
        <f t="shared" si="57"/>
        <v>0.22470047694967468</v>
      </c>
      <c r="AU119" s="68">
        <f t="shared" si="58"/>
        <v>0.28381532831493472</v>
      </c>
      <c r="AV119" s="68">
        <f t="shared" si="59"/>
        <v>0.36743422601629289</v>
      </c>
      <c r="AW119" s="68">
        <f t="shared" si="60"/>
        <v>0.38286210167302365</v>
      </c>
      <c r="AX119" s="68">
        <f t="shared" si="61"/>
        <v>0.45916463172623484</v>
      </c>
      <c r="AY119" s="68">
        <f t="shared" si="62"/>
        <v>0.50904724425339531</v>
      </c>
      <c r="AZ119" s="68">
        <f t="shared" si="63"/>
        <v>0.73093311268524674</v>
      </c>
      <c r="BA119" s="68">
        <f t="shared" si="64"/>
        <v>0.82133693904596605</v>
      </c>
      <c r="BB119" s="68">
        <f t="shared" si="65"/>
        <v>0.8800131850685825</v>
      </c>
      <c r="BC119" s="68">
        <f t="shared" si="66"/>
        <v>0.89313232830820766</v>
      </c>
      <c r="BD119" s="68">
        <f t="shared" si="67"/>
        <v>0.94314948235151663</v>
      </c>
      <c r="BE119" s="68">
        <f t="shared" si="68"/>
        <v>1</v>
      </c>
      <c r="BG119" s="68">
        <f t="shared" si="55"/>
        <v>0.14473541076279417</v>
      </c>
      <c r="BH119" s="68">
        <f t="shared" si="55"/>
        <v>0.24281603393177043</v>
      </c>
      <c r="BI119" s="68">
        <f t="shared" si="55"/>
        <v>0.31976808191528844</v>
      </c>
      <c r="BJ119" s="68">
        <f t="shared" si="55"/>
        <v>0.3593480241846071</v>
      </c>
      <c r="BK119" s="68">
        <f t="shared" si="55"/>
        <v>0.40559567892650922</v>
      </c>
      <c r="BL119" s="68">
        <f t="shared" si="55"/>
        <v>0.48753024953814139</v>
      </c>
      <c r="BM119" s="68">
        <f t="shared" si="81"/>
        <v>0.62789527223913311</v>
      </c>
      <c r="BN119" s="68">
        <f t="shared" si="81"/>
        <v>0.77124851492214308</v>
      </c>
      <c r="BO119" s="68">
        <f t="shared" si="81"/>
        <v>0.80728363255853708</v>
      </c>
      <c r="BP119" s="68">
        <f t="shared" si="81"/>
        <v>0.85324545372528582</v>
      </c>
      <c r="BQ119" s="68">
        <f t="shared" si="81"/>
        <v>0.95209376985639937</v>
      </c>
      <c r="BR119" s="68">
        <f t="shared" si="81"/>
        <v>1</v>
      </c>
    </row>
    <row r="120" spans="1:70">
      <c r="N120" s="94">
        <f t="shared" si="54"/>
        <v>0</v>
      </c>
      <c r="AC120" s="94">
        <f t="shared" si="56"/>
        <v>0</v>
      </c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</row>
    <row r="121" spans="1:70">
      <c r="B121" s="317" t="s">
        <v>205</v>
      </c>
      <c r="C121" s="317"/>
      <c r="D121" s="317"/>
      <c r="E121" s="317"/>
      <c r="F121" s="317"/>
      <c r="G121" s="317"/>
      <c r="H121" s="317"/>
      <c r="I121" s="317"/>
      <c r="J121" s="317"/>
      <c r="K121" s="317"/>
      <c r="L121" s="317"/>
      <c r="M121" s="317"/>
      <c r="N121" s="317">
        <f t="shared" si="54"/>
        <v>0</v>
      </c>
      <c r="Q121" s="317" t="s">
        <v>206</v>
      </c>
      <c r="R121" s="317"/>
      <c r="S121" s="317"/>
      <c r="T121" s="317"/>
      <c r="U121" s="317"/>
      <c r="V121" s="317"/>
      <c r="W121" s="317"/>
      <c r="X121" s="317"/>
      <c r="Y121" s="317"/>
      <c r="Z121" s="317"/>
      <c r="AA121" s="317"/>
      <c r="AB121" s="317"/>
      <c r="AC121" s="317">
        <f t="shared" si="56"/>
        <v>0</v>
      </c>
      <c r="AE121" s="316" t="s">
        <v>177</v>
      </c>
      <c r="AF121" s="316"/>
      <c r="AG121" s="316"/>
      <c r="AH121" s="316"/>
      <c r="AI121" s="316"/>
      <c r="AJ121" s="316"/>
      <c r="AK121" s="316"/>
      <c r="AL121" s="316"/>
      <c r="AM121" s="316"/>
      <c r="AN121" s="316"/>
      <c r="AO121" s="316"/>
      <c r="AP121" s="316"/>
      <c r="AQ121" s="92"/>
      <c r="AT121" s="316" t="s">
        <v>178</v>
      </c>
      <c r="AU121" s="316"/>
      <c r="AV121" s="316"/>
      <c r="AW121" s="316"/>
      <c r="AX121" s="316"/>
      <c r="AY121" s="316"/>
      <c r="AZ121" s="316"/>
      <c r="BA121" s="316"/>
      <c r="BB121" s="316"/>
      <c r="BC121" s="316"/>
      <c r="BD121" s="316"/>
      <c r="BE121" s="316"/>
      <c r="BG121" s="316" t="s">
        <v>245</v>
      </c>
      <c r="BH121" s="316"/>
      <c r="BI121" s="316"/>
      <c r="BJ121" s="316"/>
      <c r="BK121" s="316"/>
      <c r="BL121" s="316"/>
      <c r="BM121" s="316"/>
      <c r="BN121" s="316"/>
      <c r="BO121" s="316"/>
      <c r="BP121" s="316"/>
      <c r="BQ121" s="316"/>
      <c r="BR121" s="316"/>
    </row>
    <row r="122" spans="1:70">
      <c r="B122" s="239" t="s">
        <v>163</v>
      </c>
      <c r="C122" s="239" t="s">
        <v>179</v>
      </c>
      <c r="D122" s="239" t="s">
        <v>180</v>
      </c>
      <c r="E122" s="239" t="s">
        <v>181</v>
      </c>
      <c r="F122" s="239" t="s">
        <v>182</v>
      </c>
      <c r="G122" s="239" t="s">
        <v>183</v>
      </c>
      <c r="H122" s="239" t="s">
        <v>184</v>
      </c>
      <c r="I122" s="239" t="s">
        <v>185</v>
      </c>
      <c r="J122" s="239" t="s">
        <v>186</v>
      </c>
      <c r="K122" s="239" t="s">
        <v>187</v>
      </c>
      <c r="L122" s="239" t="s">
        <v>188</v>
      </c>
      <c r="M122" s="239" t="s">
        <v>189</v>
      </c>
      <c r="N122" s="239" t="s">
        <v>160</v>
      </c>
      <c r="Q122" s="239" t="s">
        <v>163</v>
      </c>
      <c r="R122" s="239" t="s">
        <v>179</v>
      </c>
      <c r="S122" s="239" t="s">
        <v>180</v>
      </c>
      <c r="T122" s="239" t="s">
        <v>181</v>
      </c>
      <c r="U122" s="239" t="s">
        <v>182</v>
      </c>
      <c r="V122" s="239" t="s">
        <v>183</v>
      </c>
      <c r="W122" s="239" t="s">
        <v>184</v>
      </c>
      <c r="X122" s="239" t="s">
        <v>185</v>
      </c>
      <c r="Y122" s="239" t="s">
        <v>186</v>
      </c>
      <c r="Z122" s="239" t="s">
        <v>187</v>
      </c>
      <c r="AA122" s="239" t="s">
        <v>188</v>
      </c>
      <c r="AB122" s="239" t="s">
        <v>189</v>
      </c>
      <c r="AC122" s="239">
        <f t="shared" si="56"/>
        <v>0</v>
      </c>
      <c r="AE122" s="239" t="s">
        <v>190</v>
      </c>
      <c r="AF122" s="239" t="s">
        <v>191</v>
      </c>
      <c r="AG122" s="239" t="s">
        <v>192</v>
      </c>
      <c r="AH122" s="239" t="s">
        <v>193</v>
      </c>
      <c r="AI122" s="239" t="s">
        <v>194</v>
      </c>
      <c r="AJ122" s="239" t="s">
        <v>195</v>
      </c>
      <c r="AK122" s="239" t="s">
        <v>196</v>
      </c>
      <c r="AL122" s="239" t="s">
        <v>197</v>
      </c>
      <c r="AM122" s="239" t="s">
        <v>198</v>
      </c>
      <c r="AN122" s="239" t="s">
        <v>199</v>
      </c>
      <c r="AO122" s="239" t="s">
        <v>200</v>
      </c>
      <c r="AP122" s="239" t="s">
        <v>201</v>
      </c>
      <c r="AQ122" s="92"/>
      <c r="AT122" s="239" t="s">
        <v>190</v>
      </c>
      <c r="AU122" s="239" t="s">
        <v>191</v>
      </c>
      <c r="AV122" s="239" t="s">
        <v>238</v>
      </c>
      <c r="AW122" s="239" t="s">
        <v>239</v>
      </c>
      <c r="AX122" s="239" t="s">
        <v>240</v>
      </c>
      <c r="AY122" s="239" t="s">
        <v>195</v>
      </c>
      <c r="AZ122" s="239" t="s">
        <v>196</v>
      </c>
      <c r="BA122" s="239" t="s">
        <v>197</v>
      </c>
      <c r="BB122" s="239" t="s">
        <v>198</v>
      </c>
      <c r="BC122" s="239" t="s">
        <v>199</v>
      </c>
      <c r="BD122" s="239" t="s">
        <v>200</v>
      </c>
      <c r="BE122" s="239" t="s">
        <v>201</v>
      </c>
      <c r="BG122" s="239" t="s">
        <v>190</v>
      </c>
      <c r="BH122" s="239" t="s">
        <v>191</v>
      </c>
      <c r="BI122" s="239" t="s">
        <v>238</v>
      </c>
      <c r="BJ122" s="239" t="s">
        <v>239</v>
      </c>
      <c r="BK122" s="239" t="s">
        <v>240</v>
      </c>
      <c r="BL122" s="239" t="s">
        <v>195</v>
      </c>
      <c r="BM122" s="239" t="s">
        <v>196</v>
      </c>
      <c r="BN122" s="239" t="s">
        <v>197</v>
      </c>
      <c r="BO122" s="239" t="s">
        <v>198</v>
      </c>
      <c r="BP122" s="239" t="s">
        <v>199</v>
      </c>
      <c r="BQ122" s="239" t="s">
        <v>200</v>
      </c>
      <c r="BR122" s="239" t="s">
        <v>201</v>
      </c>
    </row>
    <row r="123" spans="1:70">
      <c r="A123" s="239" t="s">
        <v>119</v>
      </c>
      <c r="B123" s="62">
        <v>12588.5</v>
      </c>
      <c r="C123" s="62">
        <v>9607.5</v>
      </c>
      <c r="D123" s="62">
        <v>15555</v>
      </c>
      <c r="E123" s="62">
        <v>18574.5</v>
      </c>
      <c r="F123" s="62">
        <v>24522.000000000004</v>
      </c>
      <c r="G123" s="62">
        <v>18666</v>
      </c>
      <c r="H123" s="62">
        <v>23332.5</v>
      </c>
      <c r="I123" s="62">
        <v>18666</v>
      </c>
      <c r="J123" s="62">
        <v>15372</v>
      </c>
      <c r="K123" s="62">
        <v>19672.5</v>
      </c>
      <c r="L123" s="62">
        <v>14731.5</v>
      </c>
      <c r="M123" s="62">
        <v>9241.5</v>
      </c>
      <c r="N123" s="100">
        <f t="shared" si="54"/>
        <v>200529.5</v>
      </c>
      <c r="P123" s="239" t="s">
        <v>119</v>
      </c>
      <c r="Q123" s="62">
        <v>8693.2900000000009</v>
      </c>
      <c r="R123" s="62">
        <v>10909.6</v>
      </c>
      <c r="S123" s="62">
        <v>11539.630000000001</v>
      </c>
      <c r="T123" s="62">
        <v>12619.33</v>
      </c>
      <c r="U123" s="62">
        <v>13164.51</v>
      </c>
      <c r="V123" s="62">
        <v>17560.28</v>
      </c>
      <c r="W123" s="62">
        <v>15402.58</v>
      </c>
      <c r="X123" s="62">
        <v>18757.75</v>
      </c>
      <c r="Y123" s="62">
        <v>15706.25</v>
      </c>
      <c r="Z123" s="62">
        <v>19206.5</v>
      </c>
      <c r="AA123" s="62">
        <v>15616.5</v>
      </c>
      <c r="AB123" s="62">
        <v>16065.25</v>
      </c>
      <c r="AC123" s="100">
        <f t="shared" si="56"/>
        <v>175241.47</v>
      </c>
      <c r="AE123" s="68">
        <f t="shared" ref="AE123:AE149" si="82">B123/N123</f>
        <v>6.2776299746421349E-2</v>
      </c>
      <c r="AF123" s="68">
        <f t="shared" ref="AF123:AF149" si="83">SUM(B123:C123)/$N123</f>
        <v>0.11068695628324011</v>
      </c>
      <c r="AG123" s="68">
        <f t="shared" ref="AG123:AG149" si="84">SUM(B123:D123)/$N123</f>
        <v>0.1882565906761848</v>
      </c>
      <c r="AH123" s="68">
        <f t="shared" ref="AH123:AH149" si="85">SUM(B123:E123)/$N123</f>
        <v>0.28088385998070109</v>
      </c>
      <c r="AI123" s="68">
        <f t="shared" ref="AI123:AI149" si="86">SUM(B123:F123)/$N123</f>
        <v>0.40317010714134327</v>
      </c>
      <c r="AJ123" s="68">
        <f t="shared" ref="AJ123:AJ149" si="87">SUM(B123:G123)/$N123</f>
        <v>0.49625366841287694</v>
      </c>
      <c r="AK123" s="68">
        <f t="shared" ref="AK123:AK149" si="88">SUM(B123:H123)/$N123</f>
        <v>0.61260812000229392</v>
      </c>
      <c r="AL123" s="68">
        <f t="shared" ref="AL123:AL149" si="89">SUM(B123:I123)/$N123</f>
        <v>0.70569168127382753</v>
      </c>
      <c r="AM123" s="68">
        <f t="shared" ref="AM123:AM149" si="90">SUM(B123:J123)/$N123</f>
        <v>0.78234873173273756</v>
      </c>
      <c r="AN123" s="68">
        <f t="shared" ref="AN123:AN149" si="91">SUM(B123:K123)/$N123</f>
        <v>0.88045150464146171</v>
      </c>
      <c r="AO123" s="68">
        <f t="shared" ref="AO123:AO149" si="92">SUM(B123:L123)/$N123</f>
        <v>0.95391451133125049</v>
      </c>
      <c r="AP123" s="68">
        <f t="shared" ref="AP123:AP149" si="93">SUM(B123:M123)/$N123</f>
        <v>1</v>
      </c>
      <c r="AQ123" s="92"/>
      <c r="AT123" s="68">
        <f t="shared" si="57"/>
        <v>4.9607493020915661E-2</v>
      </c>
      <c r="AU123" s="68">
        <f t="shared" si="58"/>
        <v>0.11186216367621203</v>
      </c>
      <c r="AV123" s="68">
        <f t="shared" si="59"/>
        <v>0.17771204498569887</v>
      </c>
      <c r="AW123" s="68">
        <f t="shared" si="60"/>
        <v>0.24972313916334984</v>
      </c>
      <c r="AX123" s="68">
        <f t="shared" si="61"/>
        <v>0.32484525495021244</v>
      </c>
      <c r="AY123" s="68">
        <f t="shared" si="62"/>
        <v>0.42505144472937828</v>
      </c>
      <c r="AZ123" s="68">
        <f t="shared" si="63"/>
        <v>0.51294490967235096</v>
      </c>
      <c r="BA123" s="68">
        <f t="shared" si="64"/>
        <v>0.61998435644257033</v>
      </c>
      <c r="BB123" s="68">
        <f t="shared" si="65"/>
        <v>0.70961068747026601</v>
      </c>
      <c r="BC123" s="68">
        <f t="shared" si="66"/>
        <v>0.8192108865555624</v>
      </c>
      <c r="BD123" s="68">
        <f t="shared" si="67"/>
        <v>0.90832506712024275</v>
      </c>
      <c r="BE123" s="68">
        <f t="shared" si="68"/>
        <v>1</v>
      </c>
      <c r="BG123" s="68">
        <f t="shared" si="55"/>
        <v>5.6191896383668505E-2</v>
      </c>
      <c r="BH123" s="68">
        <f t="shared" si="55"/>
        <v>0.11127455997972607</v>
      </c>
      <c r="BI123" s="68">
        <f t="shared" si="55"/>
        <v>0.18298431783094182</v>
      </c>
      <c r="BJ123" s="68">
        <f t="shared" si="55"/>
        <v>0.26530349957202548</v>
      </c>
      <c r="BK123" s="68">
        <f t="shared" si="55"/>
        <v>0.36400768104577785</v>
      </c>
      <c r="BL123" s="68">
        <f t="shared" si="55"/>
        <v>0.46065255657112758</v>
      </c>
      <c r="BM123" s="68">
        <f t="shared" si="81"/>
        <v>0.56277651483732249</v>
      </c>
      <c r="BN123" s="68">
        <f t="shared" si="81"/>
        <v>0.66283801885819893</v>
      </c>
      <c r="BO123" s="68">
        <f t="shared" si="81"/>
        <v>0.74597970960150173</v>
      </c>
      <c r="BP123" s="68">
        <f t="shared" si="81"/>
        <v>0.84983119559851206</v>
      </c>
      <c r="BQ123" s="68">
        <f t="shared" si="81"/>
        <v>0.93111978922574656</v>
      </c>
      <c r="BR123" s="68">
        <f t="shared" si="81"/>
        <v>1</v>
      </c>
    </row>
    <row r="124" spans="1:70">
      <c r="A124" s="239" t="s">
        <v>120</v>
      </c>
      <c r="B124" s="62">
        <v>47209.25</v>
      </c>
      <c r="C124" s="62">
        <v>39802.5</v>
      </c>
      <c r="D124" s="62">
        <v>52887</v>
      </c>
      <c r="E124" s="62">
        <v>56638.5</v>
      </c>
      <c r="F124" s="62">
        <v>57736.500000000007</v>
      </c>
      <c r="G124" s="62">
        <v>52795.5</v>
      </c>
      <c r="H124" s="62">
        <v>55266</v>
      </c>
      <c r="I124" s="62">
        <v>61396.5</v>
      </c>
      <c r="J124" s="62">
        <v>49776</v>
      </c>
      <c r="K124" s="62">
        <v>71187</v>
      </c>
      <c r="L124" s="62">
        <v>46390.5</v>
      </c>
      <c r="M124" s="62">
        <v>46573.5</v>
      </c>
      <c r="N124" s="100">
        <f t="shared" si="54"/>
        <v>637658.75</v>
      </c>
      <c r="P124" s="239" t="s">
        <v>120</v>
      </c>
      <c r="Q124" s="62">
        <v>38495.9</v>
      </c>
      <c r="R124" s="62">
        <v>46272.68</v>
      </c>
      <c r="S124" s="62">
        <v>51109.34</v>
      </c>
      <c r="T124" s="62">
        <v>42696.67</v>
      </c>
      <c r="U124" s="62">
        <v>58122.1</v>
      </c>
      <c r="V124" s="62">
        <v>49866.41</v>
      </c>
      <c r="W124" s="62">
        <v>43959.55</v>
      </c>
      <c r="X124" s="62">
        <v>58247.73</v>
      </c>
      <c r="Y124" s="62">
        <v>51516.5</v>
      </c>
      <c r="Z124" s="62">
        <v>56318.52</v>
      </c>
      <c r="AA124" s="62">
        <v>45952.3</v>
      </c>
      <c r="AB124" s="62">
        <v>43349.25</v>
      </c>
      <c r="AC124" s="100">
        <f t="shared" si="56"/>
        <v>585906.94999999995</v>
      </c>
      <c r="AE124" s="68">
        <f t="shared" si="82"/>
        <v>7.4035289251500117E-2</v>
      </c>
      <c r="AF124" s="68">
        <f t="shared" si="83"/>
        <v>0.13645503962738689</v>
      </c>
      <c r="AG124" s="68">
        <f t="shared" si="84"/>
        <v>0.21939438610385256</v>
      </c>
      <c r="AH124" s="68">
        <f t="shared" si="85"/>
        <v>0.30821697342034432</v>
      </c>
      <c r="AI124" s="68">
        <f t="shared" si="86"/>
        <v>0.39876148488513646</v>
      </c>
      <c r="AJ124" s="68">
        <f t="shared" si="87"/>
        <v>0.48155733768257708</v>
      </c>
      <c r="AK124" s="68">
        <f t="shared" si="88"/>
        <v>0.56822751981369346</v>
      </c>
      <c r="AL124" s="68">
        <f t="shared" si="89"/>
        <v>0.66451177843948661</v>
      </c>
      <c r="AM124" s="68">
        <f t="shared" si="90"/>
        <v>0.74257233982910142</v>
      </c>
      <c r="AN124" s="68">
        <f t="shared" si="91"/>
        <v>0.85421042211057252</v>
      </c>
      <c r="AO124" s="68">
        <f t="shared" si="92"/>
        <v>0.92696171737626121</v>
      </c>
      <c r="AP124" s="68">
        <f t="shared" si="93"/>
        <v>1</v>
      </c>
      <c r="AQ124" s="92"/>
      <c r="AT124" s="68">
        <f t="shared" si="57"/>
        <v>6.5703095005102782E-2</v>
      </c>
      <c r="AU124" s="68">
        <f t="shared" si="58"/>
        <v>0.14467925325002548</v>
      </c>
      <c r="AV124" s="68">
        <f t="shared" si="59"/>
        <v>0.23191040829947485</v>
      </c>
      <c r="AW124" s="68">
        <f t="shared" si="60"/>
        <v>0.3047831912558811</v>
      </c>
      <c r="AX124" s="68">
        <f t="shared" si="61"/>
        <v>0.40398341408989941</v>
      </c>
      <c r="AY124" s="68">
        <f t="shared" si="62"/>
        <v>0.48909319133353857</v>
      </c>
      <c r="AZ124" s="68">
        <f t="shared" si="63"/>
        <v>0.56412140187106496</v>
      </c>
      <c r="BA124" s="68">
        <f t="shared" si="64"/>
        <v>0.66353604441797454</v>
      </c>
      <c r="BB124" s="68">
        <f t="shared" si="65"/>
        <v>0.75146212209976337</v>
      </c>
      <c r="BC124" s="68">
        <f t="shared" si="66"/>
        <v>0.84758407457020268</v>
      </c>
      <c r="BD124" s="68">
        <f t="shared" si="67"/>
        <v>0.92601342243849472</v>
      </c>
      <c r="BE124" s="68">
        <f t="shared" si="68"/>
        <v>1</v>
      </c>
      <c r="BG124" s="68">
        <f t="shared" si="55"/>
        <v>6.9869192128301449E-2</v>
      </c>
      <c r="BH124" s="68">
        <f t="shared" si="55"/>
        <v>0.14056714643870619</v>
      </c>
      <c r="BI124" s="68">
        <f t="shared" si="55"/>
        <v>0.22565239720166369</v>
      </c>
      <c r="BJ124" s="68">
        <f t="shared" si="55"/>
        <v>0.30650008233811271</v>
      </c>
      <c r="BK124" s="68">
        <f t="shared" si="55"/>
        <v>0.40137244948751793</v>
      </c>
      <c r="BL124" s="68">
        <f t="shared" si="55"/>
        <v>0.4853252645080578</v>
      </c>
      <c r="BM124" s="68">
        <f t="shared" si="81"/>
        <v>0.56617446084237921</v>
      </c>
      <c r="BN124" s="68">
        <f t="shared" si="81"/>
        <v>0.66402391142873052</v>
      </c>
      <c r="BO124" s="68">
        <f t="shared" si="81"/>
        <v>0.7470172309644324</v>
      </c>
      <c r="BP124" s="68">
        <f t="shared" si="81"/>
        <v>0.8508972483403876</v>
      </c>
      <c r="BQ124" s="68">
        <f t="shared" si="81"/>
        <v>0.92648756990737802</v>
      </c>
      <c r="BR124" s="68">
        <f t="shared" si="81"/>
        <v>1</v>
      </c>
    </row>
    <row r="125" spans="1:70">
      <c r="A125" s="239" t="s">
        <v>121</v>
      </c>
      <c r="B125" s="62">
        <v>19171.25</v>
      </c>
      <c r="C125" s="62">
        <v>17209.509999999998</v>
      </c>
      <c r="D125" s="62">
        <v>16838.38</v>
      </c>
      <c r="E125" s="62">
        <v>16521.5</v>
      </c>
      <c r="F125" s="62">
        <v>19947</v>
      </c>
      <c r="G125" s="62">
        <v>24430.5</v>
      </c>
      <c r="H125" s="62">
        <v>19215</v>
      </c>
      <c r="I125" s="62">
        <v>21136.5</v>
      </c>
      <c r="J125" s="62">
        <v>20679</v>
      </c>
      <c r="K125" s="62">
        <v>22600.5</v>
      </c>
      <c r="L125" s="62">
        <v>29463</v>
      </c>
      <c r="M125" s="62">
        <v>21777</v>
      </c>
      <c r="N125" s="100">
        <f t="shared" si="54"/>
        <v>248989.14</v>
      </c>
      <c r="P125" s="239" t="s">
        <v>121</v>
      </c>
      <c r="Q125" s="62">
        <v>16227.84</v>
      </c>
      <c r="R125" s="62">
        <v>15636.26</v>
      </c>
      <c r="S125" s="62">
        <v>19947.84</v>
      </c>
      <c r="T125" s="62">
        <v>15686.01</v>
      </c>
      <c r="U125" s="62">
        <v>16588.59</v>
      </c>
      <c r="V125" s="62">
        <v>18293.93</v>
      </c>
      <c r="W125" s="62">
        <v>16298.599999999999</v>
      </c>
      <c r="X125" s="62">
        <v>23694</v>
      </c>
      <c r="Y125" s="62">
        <v>17375.599999999999</v>
      </c>
      <c r="Z125" s="62">
        <v>27777.9</v>
      </c>
      <c r="AA125" s="62">
        <v>19306.68</v>
      </c>
      <c r="AB125" s="62">
        <v>18505.650000000001</v>
      </c>
      <c r="AC125" s="100">
        <f t="shared" si="56"/>
        <v>225338.9</v>
      </c>
      <c r="AE125" s="68">
        <f t="shared" si="82"/>
        <v>7.6996330040739927E-2</v>
      </c>
      <c r="AF125" s="68">
        <f t="shared" si="83"/>
        <v>0.14611384255554274</v>
      </c>
      <c r="AG125" s="68">
        <f t="shared" si="84"/>
        <v>0.21374080813323826</v>
      </c>
      <c r="AH125" s="68">
        <f t="shared" si="85"/>
        <v>0.28009510776253133</v>
      </c>
      <c r="AI125" s="68">
        <f t="shared" si="86"/>
        <v>0.36020703553576672</v>
      </c>
      <c r="AJ125" s="68">
        <f t="shared" si="87"/>
        <v>0.45832577276261927</v>
      </c>
      <c r="AK125" s="68">
        <f t="shared" si="88"/>
        <v>0.53549781327812129</v>
      </c>
      <c r="AL125" s="68">
        <f t="shared" si="89"/>
        <v>0.62038705784517356</v>
      </c>
      <c r="AM125" s="68">
        <f t="shared" si="90"/>
        <v>0.70343887287614237</v>
      </c>
      <c r="AN125" s="68">
        <f t="shared" si="91"/>
        <v>0.79420789195866137</v>
      </c>
      <c r="AO125" s="68">
        <f t="shared" si="92"/>
        <v>0.91253835408243111</v>
      </c>
      <c r="AP125" s="68">
        <f t="shared" si="93"/>
        <v>1</v>
      </c>
      <c r="AQ125" s="92"/>
      <c r="AT125" s="68">
        <f t="shared" si="57"/>
        <v>7.2015262344850353E-2</v>
      </c>
      <c r="AU125" s="68">
        <f t="shared" si="58"/>
        <v>0.1414052345156562</v>
      </c>
      <c r="AV125" s="68">
        <f t="shared" si="59"/>
        <v>0.22992896477261585</v>
      </c>
      <c r="AW125" s="68">
        <f t="shared" si="60"/>
        <v>0.29953971551294517</v>
      </c>
      <c r="AX125" s="68">
        <f t="shared" si="61"/>
        <v>0.37315589984685288</v>
      </c>
      <c r="AY125" s="68">
        <f t="shared" si="62"/>
        <v>0.45433997414560912</v>
      </c>
      <c r="AZ125" s="68">
        <f t="shared" si="63"/>
        <v>0.52666925240160489</v>
      </c>
      <c r="BA125" s="68">
        <f t="shared" si="64"/>
        <v>0.6318175423772816</v>
      </c>
      <c r="BB125" s="68">
        <f t="shared" si="65"/>
        <v>0.70892628835944449</v>
      </c>
      <c r="BC125" s="68">
        <f t="shared" si="66"/>
        <v>0.83219794718089068</v>
      </c>
      <c r="BD125" s="68">
        <f t="shared" si="67"/>
        <v>0.91787636311351484</v>
      </c>
      <c r="BE125" s="68">
        <f t="shared" si="68"/>
        <v>1</v>
      </c>
      <c r="BG125" s="68">
        <f t="shared" si="55"/>
        <v>7.450579619279514E-2</v>
      </c>
      <c r="BH125" s="68">
        <f t="shared" si="55"/>
        <v>0.14375953853559947</v>
      </c>
      <c r="BI125" s="68">
        <f t="shared" si="55"/>
        <v>0.22183488645292704</v>
      </c>
      <c r="BJ125" s="68">
        <f t="shared" si="55"/>
        <v>0.28981741163773822</v>
      </c>
      <c r="BK125" s="68">
        <f t="shared" si="55"/>
        <v>0.36668146769130983</v>
      </c>
      <c r="BL125" s="68">
        <f t="shared" si="55"/>
        <v>0.45633287345411422</v>
      </c>
      <c r="BM125" s="68">
        <f t="shared" si="81"/>
        <v>0.53108353283986309</v>
      </c>
      <c r="BN125" s="68">
        <f t="shared" si="81"/>
        <v>0.62610230011122758</v>
      </c>
      <c r="BO125" s="68">
        <f t="shared" si="81"/>
        <v>0.70618258061779349</v>
      </c>
      <c r="BP125" s="68">
        <f t="shared" si="81"/>
        <v>0.81320291956977608</v>
      </c>
      <c r="BQ125" s="68">
        <f t="shared" si="81"/>
        <v>0.91520735859797298</v>
      </c>
      <c r="BR125" s="68">
        <f t="shared" si="81"/>
        <v>1</v>
      </c>
    </row>
    <row r="126" spans="1:70">
      <c r="A126" s="239" t="s">
        <v>122</v>
      </c>
      <c r="B126" s="62">
        <v>35069.5</v>
      </c>
      <c r="C126" s="62">
        <v>32574</v>
      </c>
      <c r="D126" s="62">
        <v>36142.5</v>
      </c>
      <c r="E126" s="62">
        <v>43096.5</v>
      </c>
      <c r="F126" s="62">
        <v>42547.5</v>
      </c>
      <c r="G126" s="62">
        <v>38064</v>
      </c>
      <c r="H126" s="62">
        <v>43279.5</v>
      </c>
      <c r="I126" s="62">
        <v>50965.5</v>
      </c>
      <c r="J126" s="62">
        <v>35227.5</v>
      </c>
      <c r="K126" s="62">
        <v>47122.5</v>
      </c>
      <c r="L126" s="62">
        <v>40534.5</v>
      </c>
      <c r="M126" s="62">
        <v>36325.5</v>
      </c>
      <c r="N126" s="100">
        <f t="shared" si="54"/>
        <v>480949</v>
      </c>
      <c r="P126" s="239" t="s">
        <v>122</v>
      </c>
      <c r="Q126" s="62">
        <v>29246.720000000001</v>
      </c>
      <c r="R126" s="62">
        <v>26786.45</v>
      </c>
      <c r="S126" s="62">
        <v>37755.15</v>
      </c>
      <c r="T126" s="62">
        <v>28109.7</v>
      </c>
      <c r="U126" s="62">
        <v>32536.57</v>
      </c>
      <c r="V126" s="62">
        <v>35882.050000000003</v>
      </c>
      <c r="W126" s="62">
        <v>31807.4</v>
      </c>
      <c r="X126" s="62">
        <v>41428.6</v>
      </c>
      <c r="Y126" s="62">
        <v>36348.75</v>
      </c>
      <c r="Z126" s="62">
        <v>36707.75</v>
      </c>
      <c r="AA126" s="62">
        <v>37515.5</v>
      </c>
      <c r="AB126" s="62">
        <v>29079</v>
      </c>
      <c r="AC126" s="100">
        <f t="shared" si="56"/>
        <v>403203.64</v>
      </c>
      <c r="AE126" s="68">
        <f t="shared" si="82"/>
        <v>7.2917294765141416E-2</v>
      </c>
      <c r="AF126" s="68">
        <f t="shared" si="83"/>
        <v>0.14064588968892752</v>
      </c>
      <c r="AG126" s="68">
        <f t="shared" si="84"/>
        <v>0.21579419023638682</v>
      </c>
      <c r="AH126" s="68">
        <f t="shared" si="85"/>
        <v>0.30540140430690155</v>
      </c>
      <c r="AI126" s="68">
        <f t="shared" si="86"/>
        <v>0.39386712520454353</v>
      </c>
      <c r="AJ126" s="68">
        <f t="shared" si="87"/>
        <v>0.4730106518570576</v>
      </c>
      <c r="AK126" s="68">
        <f t="shared" si="88"/>
        <v>0.56299836365186329</v>
      </c>
      <c r="AL126" s="68">
        <f t="shared" si="89"/>
        <v>0.66896697986688813</v>
      </c>
      <c r="AM126" s="68">
        <f t="shared" si="90"/>
        <v>0.74221279179289279</v>
      </c>
      <c r="AN126" s="68">
        <f t="shared" si="91"/>
        <v>0.84019095579780811</v>
      </c>
      <c r="AO126" s="68">
        <f t="shared" si="92"/>
        <v>0.92447120172824981</v>
      </c>
      <c r="AP126" s="68">
        <f t="shared" si="93"/>
        <v>1</v>
      </c>
      <c r="AQ126" s="92"/>
      <c r="AT126" s="68">
        <f t="shared" si="57"/>
        <v>7.2535853098945238E-2</v>
      </c>
      <c r="AU126" s="68">
        <f t="shared" si="58"/>
        <v>0.13896990116458274</v>
      </c>
      <c r="AV126" s="68">
        <f t="shared" si="59"/>
        <v>0.23260782070320596</v>
      </c>
      <c r="AW126" s="68">
        <f t="shared" si="60"/>
        <v>0.30232370918080004</v>
      </c>
      <c r="AX126" s="68">
        <f t="shared" si="61"/>
        <v>0.38301883881802257</v>
      </c>
      <c r="AY126" s="68">
        <f t="shared" si="62"/>
        <v>0.47201121497811876</v>
      </c>
      <c r="AZ126" s="68">
        <f t="shared" si="63"/>
        <v>0.55089790360027502</v>
      </c>
      <c r="BA126" s="68">
        <f t="shared" si="64"/>
        <v>0.65364647997721448</v>
      </c>
      <c r="BB126" s="68">
        <f t="shared" si="65"/>
        <v>0.74379633576720683</v>
      </c>
      <c r="BC126" s="68">
        <f t="shared" si="66"/>
        <v>0.83483656050327326</v>
      </c>
      <c r="BD126" s="68">
        <f t="shared" si="67"/>
        <v>0.92788011536800608</v>
      </c>
      <c r="BE126" s="68">
        <f t="shared" si="68"/>
        <v>1</v>
      </c>
      <c r="BG126" s="68">
        <f t="shared" si="55"/>
        <v>7.272657393204332E-2</v>
      </c>
      <c r="BH126" s="68">
        <f t="shared" si="55"/>
        <v>0.13980789542675515</v>
      </c>
      <c r="BI126" s="68">
        <f t="shared" si="55"/>
        <v>0.22420100546979638</v>
      </c>
      <c r="BJ126" s="68">
        <f t="shared" si="55"/>
        <v>0.30386255674385076</v>
      </c>
      <c r="BK126" s="68">
        <f t="shared" si="55"/>
        <v>0.38844298201128302</v>
      </c>
      <c r="BL126" s="68">
        <f t="shared" si="55"/>
        <v>0.47251093341758821</v>
      </c>
      <c r="BM126" s="68">
        <f t="shared" si="81"/>
        <v>0.5569481336260691</v>
      </c>
      <c r="BN126" s="68">
        <f t="shared" si="81"/>
        <v>0.66130672992205131</v>
      </c>
      <c r="BO126" s="68">
        <f t="shared" si="81"/>
        <v>0.74300456378004975</v>
      </c>
      <c r="BP126" s="68">
        <f t="shared" si="81"/>
        <v>0.83751375815054074</v>
      </c>
      <c r="BQ126" s="68">
        <f t="shared" si="81"/>
        <v>0.926175658548128</v>
      </c>
      <c r="BR126" s="68">
        <f t="shared" si="81"/>
        <v>1</v>
      </c>
    </row>
    <row r="127" spans="1:70">
      <c r="A127" s="239" t="s">
        <v>123</v>
      </c>
      <c r="B127" s="62">
        <v>105857.75</v>
      </c>
      <c r="C127" s="62">
        <v>106045</v>
      </c>
      <c r="D127" s="62">
        <v>132034.5</v>
      </c>
      <c r="E127" s="62">
        <v>147315</v>
      </c>
      <c r="F127" s="62">
        <v>150155.29999999999</v>
      </c>
      <c r="G127" s="62">
        <v>130662</v>
      </c>
      <c r="H127" s="62">
        <v>139995</v>
      </c>
      <c r="I127" s="62">
        <v>160857</v>
      </c>
      <c r="J127" s="62">
        <v>146949</v>
      </c>
      <c r="K127" s="62">
        <v>157929</v>
      </c>
      <c r="L127" s="62">
        <v>141276</v>
      </c>
      <c r="M127" s="62">
        <v>125721</v>
      </c>
      <c r="N127" s="100">
        <f t="shared" si="54"/>
        <v>1644796.55</v>
      </c>
      <c r="P127" s="239" t="s">
        <v>123</v>
      </c>
      <c r="Q127" s="62">
        <v>101428.78</v>
      </c>
      <c r="R127" s="62">
        <v>116303.67000000001</v>
      </c>
      <c r="S127" s="62">
        <v>129991.91</v>
      </c>
      <c r="T127" s="62">
        <v>104688.05</v>
      </c>
      <c r="U127" s="62">
        <v>138637.52000000002</v>
      </c>
      <c r="V127" s="62">
        <v>130104.03</v>
      </c>
      <c r="W127" s="62">
        <v>115464.73</v>
      </c>
      <c r="X127" s="62">
        <v>142612.75</v>
      </c>
      <c r="Y127" s="62">
        <v>130760.33</v>
      </c>
      <c r="Z127" s="62">
        <v>133368.5</v>
      </c>
      <c r="AA127" s="62">
        <v>122149.75</v>
      </c>
      <c r="AB127" s="62">
        <v>121252.25</v>
      </c>
      <c r="AC127" s="100">
        <f t="shared" si="56"/>
        <v>1486762.27</v>
      </c>
      <c r="AE127" s="68">
        <f t="shared" si="82"/>
        <v>6.4359175607463431E-2</v>
      </c>
      <c r="AF127" s="68">
        <f t="shared" si="83"/>
        <v>0.12883219508212124</v>
      </c>
      <c r="AG127" s="68">
        <f t="shared" si="84"/>
        <v>0.20910625694101803</v>
      </c>
      <c r="AH127" s="68">
        <f t="shared" si="85"/>
        <v>0.29867052554311352</v>
      </c>
      <c r="AI127" s="68">
        <f t="shared" si="86"/>
        <v>0.38996163385678312</v>
      </c>
      <c r="AJ127" s="68">
        <f t="shared" si="87"/>
        <v>0.46940124600820693</v>
      </c>
      <c r="AK127" s="68">
        <f t="shared" si="88"/>
        <v>0.5545151161704468</v>
      </c>
      <c r="AL127" s="68">
        <f t="shared" si="89"/>
        <v>0.65231262188627526</v>
      </c>
      <c r="AM127" s="68">
        <f t="shared" si="90"/>
        <v>0.74165437056637795</v>
      </c>
      <c r="AN127" s="68">
        <f t="shared" si="91"/>
        <v>0.83767171690626419</v>
      </c>
      <c r="AO127" s="68">
        <f t="shared" si="92"/>
        <v>0.9235644067954788</v>
      </c>
      <c r="AP127" s="68">
        <f t="shared" si="93"/>
        <v>1</v>
      </c>
      <c r="AQ127" s="92"/>
      <c r="AT127" s="68">
        <f t="shared" si="57"/>
        <v>6.8221249655467789E-2</v>
      </c>
      <c r="AU127" s="68">
        <f t="shared" si="58"/>
        <v>0.14644738731498749</v>
      </c>
      <c r="AV127" s="68">
        <f t="shared" si="59"/>
        <v>0.23388026923766364</v>
      </c>
      <c r="AW127" s="68">
        <f t="shared" si="60"/>
        <v>0.30429371200010341</v>
      </c>
      <c r="AX127" s="68">
        <f t="shared" si="61"/>
        <v>0.39754165270820324</v>
      </c>
      <c r="AY127" s="68">
        <f t="shared" si="62"/>
        <v>0.48504994682169328</v>
      </c>
      <c r="AZ127" s="68">
        <f t="shared" si="63"/>
        <v>0.56271181135098347</v>
      </c>
      <c r="BA127" s="68">
        <f t="shared" si="64"/>
        <v>0.65863350164246492</v>
      </c>
      <c r="BB127" s="68">
        <f t="shared" si="65"/>
        <v>0.74658322476800543</v>
      </c>
      <c r="BC127" s="68">
        <f t="shared" si="66"/>
        <v>0.83628720952139846</v>
      </c>
      <c r="BD127" s="68">
        <f t="shared" si="67"/>
        <v>0.91844543512662591</v>
      </c>
      <c r="BE127" s="68">
        <f t="shared" si="68"/>
        <v>1</v>
      </c>
      <c r="BG127" s="68">
        <f t="shared" si="55"/>
        <v>6.6290212631465617E-2</v>
      </c>
      <c r="BH127" s="68">
        <f t="shared" si="55"/>
        <v>0.13763979119855435</v>
      </c>
      <c r="BI127" s="68">
        <f t="shared" si="55"/>
        <v>0.22149326308934084</v>
      </c>
      <c r="BJ127" s="68">
        <f t="shared" si="55"/>
        <v>0.30148211877160846</v>
      </c>
      <c r="BK127" s="68">
        <f t="shared" si="55"/>
        <v>0.39375164328249318</v>
      </c>
      <c r="BL127" s="68">
        <f t="shared" si="55"/>
        <v>0.4772255964149501</v>
      </c>
      <c r="BM127" s="68">
        <f t="shared" si="81"/>
        <v>0.55861346376071519</v>
      </c>
      <c r="BN127" s="68">
        <f t="shared" si="81"/>
        <v>0.65547306176437004</v>
      </c>
      <c r="BO127" s="68">
        <f t="shared" si="81"/>
        <v>0.74411879766719169</v>
      </c>
      <c r="BP127" s="68">
        <f t="shared" si="81"/>
        <v>0.83697946321383132</v>
      </c>
      <c r="BQ127" s="68">
        <f t="shared" si="81"/>
        <v>0.92100492096105235</v>
      </c>
      <c r="BR127" s="68">
        <f t="shared" si="81"/>
        <v>1</v>
      </c>
    </row>
    <row r="128" spans="1:70">
      <c r="A128" s="239" t="s">
        <v>124</v>
      </c>
      <c r="B128" s="62">
        <v>67165</v>
      </c>
      <c r="C128" s="62">
        <v>65605.5</v>
      </c>
      <c r="D128" s="62">
        <v>76493.899999999994</v>
      </c>
      <c r="E128" s="62">
        <v>73200</v>
      </c>
      <c r="F128" s="62">
        <v>78964.5</v>
      </c>
      <c r="G128" s="62">
        <v>88572</v>
      </c>
      <c r="H128" s="62">
        <v>82899</v>
      </c>
      <c r="I128" s="62">
        <v>89670</v>
      </c>
      <c r="J128" s="62">
        <v>76311</v>
      </c>
      <c r="K128" s="62">
        <v>88663.5</v>
      </c>
      <c r="L128" s="62">
        <v>82716</v>
      </c>
      <c r="M128" s="62">
        <v>79788</v>
      </c>
      <c r="N128" s="100">
        <f t="shared" si="54"/>
        <v>950048.4</v>
      </c>
      <c r="P128" s="239" t="s">
        <v>124</v>
      </c>
      <c r="Q128" s="62">
        <v>52899.47</v>
      </c>
      <c r="R128" s="62">
        <v>52106.43</v>
      </c>
      <c r="S128" s="62">
        <v>71317.149999999994</v>
      </c>
      <c r="T128" s="62">
        <v>58014.400000000001</v>
      </c>
      <c r="U128" s="62">
        <v>74859.289999999994</v>
      </c>
      <c r="V128" s="62">
        <v>94399.049999999988</v>
      </c>
      <c r="W128" s="62">
        <v>71117.899999999994</v>
      </c>
      <c r="X128" s="62">
        <v>70992.25</v>
      </c>
      <c r="Y128" s="62">
        <v>69556.25</v>
      </c>
      <c r="Z128" s="62">
        <v>77722.5</v>
      </c>
      <c r="AA128" s="62">
        <v>77633.75</v>
      </c>
      <c r="AB128" s="62">
        <v>74581.649999999994</v>
      </c>
      <c r="AC128" s="100">
        <f t="shared" si="56"/>
        <v>845200.09</v>
      </c>
      <c r="AE128" s="68">
        <f t="shared" si="82"/>
        <v>7.0696398204554631E-2</v>
      </c>
      <c r="AF128" s="68">
        <f t="shared" si="83"/>
        <v>0.13975130109160755</v>
      </c>
      <c r="AG128" s="68">
        <f t="shared" si="84"/>
        <v>0.22026709376069681</v>
      </c>
      <c r="AH128" s="68">
        <f t="shared" si="85"/>
        <v>0.29731579991082563</v>
      </c>
      <c r="AI128" s="68">
        <f t="shared" si="86"/>
        <v>0.38043209167027703</v>
      </c>
      <c r="AJ128" s="68">
        <f t="shared" si="87"/>
        <v>0.47366102611193284</v>
      </c>
      <c r="AK128" s="68">
        <f t="shared" si="88"/>
        <v>0.5609186858269537</v>
      </c>
      <c r="AL128" s="68">
        <f t="shared" si="89"/>
        <v>0.65530335086086144</v>
      </c>
      <c r="AM128" s="68">
        <f t="shared" si="90"/>
        <v>0.73562662702237069</v>
      </c>
      <c r="AN128" s="68">
        <f t="shared" si="91"/>
        <v>0.82895187234671408</v>
      </c>
      <c r="AO128" s="68">
        <f t="shared" si="92"/>
        <v>0.91601691029635968</v>
      </c>
      <c r="AP128" s="68">
        <f t="shared" si="93"/>
        <v>1</v>
      </c>
      <c r="AQ128" s="92"/>
      <c r="AT128" s="68">
        <f t="shared" si="57"/>
        <v>6.2588102658626077E-2</v>
      </c>
      <c r="AU128" s="68">
        <f t="shared" si="58"/>
        <v>0.12423791862113975</v>
      </c>
      <c r="AV128" s="68">
        <f t="shared" si="59"/>
        <v>0.20861693235266929</v>
      </c>
      <c r="AW128" s="68">
        <f t="shared" si="60"/>
        <v>0.27725677360020157</v>
      </c>
      <c r="AX128" s="68">
        <f t="shared" si="61"/>
        <v>0.36582667661571122</v>
      </c>
      <c r="AY128" s="68">
        <f t="shared" si="62"/>
        <v>0.47751508166545509</v>
      </c>
      <c r="AZ128" s="68">
        <f t="shared" si="63"/>
        <v>0.56165835240268369</v>
      </c>
      <c r="BA128" s="68">
        <f t="shared" si="64"/>
        <v>0.64565296011740836</v>
      </c>
      <c r="BB128" s="68">
        <f t="shared" si="65"/>
        <v>0.72794856186065948</v>
      </c>
      <c r="BC128" s="68">
        <f t="shared" si="66"/>
        <v>0.81990607691487583</v>
      </c>
      <c r="BD128" s="68">
        <f t="shared" si="67"/>
        <v>0.91175858724766579</v>
      </c>
      <c r="BE128" s="68">
        <f t="shared" si="68"/>
        <v>1</v>
      </c>
      <c r="BG128" s="68">
        <f t="shared" si="55"/>
        <v>6.6642250431590361E-2</v>
      </c>
      <c r="BH128" s="68">
        <f t="shared" si="55"/>
        <v>0.13199460985637365</v>
      </c>
      <c r="BI128" s="68">
        <f t="shared" si="55"/>
        <v>0.21444201305668303</v>
      </c>
      <c r="BJ128" s="68">
        <f t="shared" si="55"/>
        <v>0.2872862867555136</v>
      </c>
      <c r="BK128" s="68">
        <f t="shared" si="55"/>
        <v>0.37312938414299412</v>
      </c>
      <c r="BL128" s="68">
        <f t="shared" si="55"/>
        <v>0.47558805388869396</v>
      </c>
      <c r="BM128" s="68">
        <f t="shared" si="81"/>
        <v>0.5612885191148187</v>
      </c>
      <c r="BN128" s="68">
        <f t="shared" si="81"/>
        <v>0.6504781554891349</v>
      </c>
      <c r="BO128" s="68">
        <f t="shared" si="81"/>
        <v>0.73178759444151509</v>
      </c>
      <c r="BP128" s="68">
        <f t="shared" si="81"/>
        <v>0.8244289746307949</v>
      </c>
      <c r="BQ128" s="68">
        <f t="shared" si="81"/>
        <v>0.91388774877201273</v>
      </c>
      <c r="BR128" s="68">
        <f t="shared" si="81"/>
        <v>1</v>
      </c>
    </row>
    <row r="129" spans="1:70">
      <c r="A129" s="239" t="s">
        <v>125</v>
      </c>
      <c r="B129" s="62">
        <v>91962</v>
      </c>
      <c r="C129" s="62">
        <v>89388.5</v>
      </c>
      <c r="D129" s="62">
        <v>116022</v>
      </c>
      <c r="E129" s="62">
        <v>131028</v>
      </c>
      <c r="F129" s="62">
        <v>133407</v>
      </c>
      <c r="G129" s="62">
        <v>120963</v>
      </c>
      <c r="H129" s="62">
        <v>121054.5</v>
      </c>
      <c r="I129" s="62">
        <v>132492</v>
      </c>
      <c r="J129" s="62">
        <v>109983</v>
      </c>
      <c r="K129" s="62">
        <v>135694.5</v>
      </c>
      <c r="L129" s="62">
        <v>114924</v>
      </c>
      <c r="M129" s="62">
        <v>106323</v>
      </c>
      <c r="N129" s="100">
        <f t="shared" si="54"/>
        <v>1403241.5</v>
      </c>
      <c r="P129" s="239" t="s">
        <v>125</v>
      </c>
      <c r="Q129" s="62">
        <v>72821.33</v>
      </c>
      <c r="R129" s="62">
        <v>88469.88</v>
      </c>
      <c r="S129" s="62">
        <v>115780.03</v>
      </c>
      <c r="T129" s="62">
        <v>94172.4</v>
      </c>
      <c r="U129" s="62">
        <v>123998.54999999999</v>
      </c>
      <c r="V129" s="62">
        <v>116209.60000000001</v>
      </c>
      <c r="W129" s="62">
        <v>108974.45</v>
      </c>
      <c r="X129" s="62">
        <v>131028.82</v>
      </c>
      <c r="Y129" s="62">
        <v>112348.08</v>
      </c>
      <c r="Z129" s="62">
        <v>111732.58</v>
      </c>
      <c r="AA129" s="62">
        <v>126797.83</v>
      </c>
      <c r="AB129" s="62">
        <v>100789.25</v>
      </c>
      <c r="AC129" s="100">
        <f t="shared" si="56"/>
        <v>1303122.8</v>
      </c>
      <c r="AE129" s="68">
        <f t="shared" si="82"/>
        <v>6.5535404989091328E-2</v>
      </c>
      <c r="AF129" s="68">
        <f t="shared" si="83"/>
        <v>0.12923684198336494</v>
      </c>
      <c r="AG129" s="68">
        <f t="shared" si="84"/>
        <v>0.21191826210955134</v>
      </c>
      <c r="AH129" s="68">
        <f t="shared" si="85"/>
        <v>0.30529349367161673</v>
      </c>
      <c r="AI129" s="68">
        <f t="shared" si="86"/>
        <v>0.40036408558327274</v>
      </c>
      <c r="AJ129" s="68">
        <f t="shared" si="87"/>
        <v>0.48656663874322414</v>
      </c>
      <c r="AK129" s="68">
        <f t="shared" si="88"/>
        <v>0.57283439807046754</v>
      </c>
      <c r="AL129" s="68">
        <f t="shared" si="89"/>
        <v>0.66725292830920413</v>
      </c>
      <c r="AM129" s="68">
        <f t="shared" si="90"/>
        <v>0.74563074139412211</v>
      </c>
      <c r="AN129" s="68">
        <f t="shared" si="91"/>
        <v>0.84233148748807674</v>
      </c>
      <c r="AO129" s="68">
        <f t="shared" si="92"/>
        <v>0.92423043360675983</v>
      </c>
      <c r="AP129" s="68">
        <f t="shared" si="93"/>
        <v>1</v>
      </c>
      <c r="AQ129" s="92"/>
      <c r="AT129" s="68">
        <f t="shared" si="57"/>
        <v>5.5882170122416704E-2</v>
      </c>
      <c r="AU129" s="68">
        <f t="shared" si="58"/>
        <v>0.12377284013448311</v>
      </c>
      <c r="AV129" s="68">
        <f t="shared" si="59"/>
        <v>0.21262097478457131</v>
      </c>
      <c r="AW129" s="68">
        <f t="shared" si="60"/>
        <v>0.28488768671686199</v>
      </c>
      <c r="AX129" s="68">
        <f t="shared" si="61"/>
        <v>0.38004260995203215</v>
      </c>
      <c r="AY129" s="68">
        <f t="shared" si="62"/>
        <v>0.46922039120181153</v>
      </c>
      <c r="AZ129" s="68">
        <f t="shared" si="63"/>
        <v>0.55284600960093699</v>
      </c>
      <c r="BA129" s="68">
        <f t="shared" si="64"/>
        <v>0.65339587335898042</v>
      </c>
      <c r="BB129" s="68">
        <f t="shared" si="65"/>
        <v>0.73961037286739206</v>
      </c>
      <c r="BC129" s="68">
        <f t="shared" si="66"/>
        <v>0.82535254543930925</v>
      </c>
      <c r="BD129" s="68">
        <f t="shared" si="67"/>
        <v>0.92265560083823261</v>
      </c>
      <c r="BE129" s="68">
        <f t="shared" si="68"/>
        <v>1</v>
      </c>
      <c r="BG129" s="68">
        <f t="shared" si="55"/>
        <v>6.0708787555754012E-2</v>
      </c>
      <c r="BH129" s="68">
        <f t="shared" si="55"/>
        <v>0.12650484105892401</v>
      </c>
      <c r="BI129" s="68">
        <f t="shared" si="55"/>
        <v>0.21226961844706133</v>
      </c>
      <c r="BJ129" s="68">
        <f t="shared" ref="BJ129:BO179" si="94">(AH129+AW129)/2</f>
        <v>0.29509059019423933</v>
      </c>
      <c r="BK129" s="68">
        <f t="shared" si="94"/>
        <v>0.39020334776765242</v>
      </c>
      <c r="BL129" s="68">
        <f t="shared" si="94"/>
        <v>0.47789351497251786</v>
      </c>
      <c r="BM129" s="68">
        <f t="shared" si="81"/>
        <v>0.56284020383570232</v>
      </c>
      <c r="BN129" s="68">
        <f t="shared" si="81"/>
        <v>0.66032440083409227</v>
      </c>
      <c r="BO129" s="68">
        <f t="shared" si="81"/>
        <v>0.74262055713075714</v>
      </c>
      <c r="BP129" s="68">
        <f t="shared" si="81"/>
        <v>0.83384201646369305</v>
      </c>
      <c r="BQ129" s="68">
        <f t="shared" si="81"/>
        <v>0.92344301722249622</v>
      </c>
      <c r="BR129" s="68">
        <f t="shared" si="81"/>
        <v>1</v>
      </c>
    </row>
    <row r="130" spans="1:70">
      <c r="A130" s="239" t="s">
        <v>126</v>
      </c>
      <c r="B130" s="62">
        <v>89843.5</v>
      </c>
      <c r="C130" s="62">
        <v>79696.5</v>
      </c>
      <c r="D130" s="62">
        <v>111447</v>
      </c>
      <c r="E130" s="62">
        <v>106048.5</v>
      </c>
      <c r="F130" s="62">
        <v>115839.00000000001</v>
      </c>
      <c r="G130" s="62">
        <v>110074.5</v>
      </c>
      <c r="H130" s="62">
        <v>110806.50000000001</v>
      </c>
      <c r="I130" s="62">
        <v>132858</v>
      </c>
      <c r="J130" s="62">
        <v>105865.5</v>
      </c>
      <c r="K130" s="62">
        <v>135603</v>
      </c>
      <c r="L130" s="62">
        <v>105042</v>
      </c>
      <c r="M130" s="62">
        <v>100924.5</v>
      </c>
      <c r="N130" s="100">
        <f t="shared" si="54"/>
        <v>1304048.5</v>
      </c>
      <c r="P130" s="239" t="s">
        <v>126</v>
      </c>
      <c r="Q130" s="62">
        <v>76477.17</v>
      </c>
      <c r="R130" s="62">
        <v>71996.92</v>
      </c>
      <c r="S130" s="62">
        <v>104239.04000000001</v>
      </c>
      <c r="T130" s="62">
        <v>86538.29</v>
      </c>
      <c r="U130" s="62">
        <v>125112.88</v>
      </c>
      <c r="V130" s="62">
        <v>112170.16</v>
      </c>
      <c r="W130" s="62">
        <v>108034.88</v>
      </c>
      <c r="X130" s="62">
        <v>125165.35</v>
      </c>
      <c r="Y130" s="62">
        <v>102290.88</v>
      </c>
      <c r="Z130" s="62">
        <v>106802.5</v>
      </c>
      <c r="AA130" s="62">
        <v>100968.75</v>
      </c>
      <c r="AB130" s="62">
        <v>97468.5</v>
      </c>
      <c r="AC130" s="100">
        <f t="shared" si="56"/>
        <v>1217265.3199999998</v>
      </c>
      <c r="AE130" s="68">
        <f t="shared" si="82"/>
        <v>6.8895827110724797E-2</v>
      </c>
      <c r="AF130" s="68">
        <f t="shared" si="83"/>
        <v>0.13001050191001332</v>
      </c>
      <c r="AG130" s="68">
        <f t="shared" si="84"/>
        <v>0.21547281408628591</v>
      </c>
      <c r="AH130" s="68">
        <f t="shared" si="85"/>
        <v>0.2967953262474517</v>
      </c>
      <c r="AI130" s="68">
        <f t="shared" si="86"/>
        <v>0.3856256113173705</v>
      </c>
      <c r="AJ130" s="68">
        <f t="shared" si="87"/>
        <v>0.47003543196437864</v>
      </c>
      <c r="AK130" s="68">
        <f t="shared" si="88"/>
        <v>0.55500658142699444</v>
      </c>
      <c r="AL130" s="68">
        <f t="shared" si="89"/>
        <v>0.65688776145979233</v>
      </c>
      <c r="AM130" s="68">
        <f t="shared" si="90"/>
        <v>0.73806994141705617</v>
      </c>
      <c r="AN130" s="68">
        <f t="shared" si="91"/>
        <v>0.84205610450838297</v>
      </c>
      <c r="AO130" s="68">
        <f t="shared" si="92"/>
        <v>0.92260678954808817</v>
      </c>
      <c r="AP130" s="68">
        <f t="shared" si="93"/>
        <v>1</v>
      </c>
      <c r="AQ130" s="92"/>
      <c r="AT130" s="68">
        <f t="shared" si="57"/>
        <v>6.2827034290272893E-2</v>
      </c>
      <c r="AU130" s="68">
        <f t="shared" si="58"/>
        <v>0.12197348233004783</v>
      </c>
      <c r="AV130" s="68">
        <f t="shared" si="59"/>
        <v>0.20760727004035573</v>
      </c>
      <c r="AW130" s="68">
        <f t="shared" si="60"/>
        <v>0.27869965111632361</v>
      </c>
      <c r="AX130" s="68">
        <f t="shared" si="61"/>
        <v>0.3814815820104035</v>
      </c>
      <c r="AY130" s="68">
        <f t="shared" si="62"/>
        <v>0.47363089256498331</v>
      </c>
      <c r="AZ130" s="68">
        <f t="shared" si="63"/>
        <v>0.56238301441135286</v>
      </c>
      <c r="BA130" s="68">
        <f t="shared" si="64"/>
        <v>0.66520805012337003</v>
      </c>
      <c r="BB130" s="68">
        <f t="shared" si="65"/>
        <v>0.74924139792300992</v>
      </c>
      <c r="BC130" s="68">
        <f t="shared" si="66"/>
        <v>0.83698110285438843</v>
      </c>
      <c r="BD130" s="68">
        <f t="shared" si="67"/>
        <v>0.91992830289455707</v>
      </c>
      <c r="BE130" s="68">
        <f t="shared" si="68"/>
        <v>1</v>
      </c>
      <c r="BG130" s="68">
        <f t="shared" ref="BG130:BI179" si="95">(AE130+AT130)/2</f>
        <v>6.5861430700498852E-2</v>
      </c>
      <c r="BH130" s="68">
        <f t="shared" si="95"/>
        <v>0.12599199212003057</v>
      </c>
      <c r="BI130" s="68">
        <f t="shared" si="95"/>
        <v>0.21154004206332083</v>
      </c>
      <c r="BJ130" s="68">
        <f t="shared" si="94"/>
        <v>0.28774748868188765</v>
      </c>
      <c r="BK130" s="68">
        <f t="shared" si="94"/>
        <v>0.383553596663887</v>
      </c>
      <c r="BL130" s="68">
        <f t="shared" si="94"/>
        <v>0.47183316226468097</v>
      </c>
      <c r="BM130" s="68">
        <f t="shared" si="81"/>
        <v>0.55869479791917365</v>
      </c>
      <c r="BN130" s="68">
        <f t="shared" si="81"/>
        <v>0.66104790579158124</v>
      </c>
      <c r="BO130" s="68">
        <f t="shared" si="81"/>
        <v>0.74365566967003305</v>
      </c>
      <c r="BP130" s="68">
        <f t="shared" si="81"/>
        <v>0.83951860368138576</v>
      </c>
      <c r="BQ130" s="68">
        <f t="shared" si="81"/>
        <v>0.92126754622132268</v>
      </c>
      <c r="BR130" s="68">
        <f t="shared" si="81"/>
        <v>1</v>
      </c>
    </row>
    <row r="131" spans="1:70">
      <c r="A131" s="239" t="s">
        <v>127</v>
      </c>
      <c r="B131" s="62">
        <v>155402.25</v>
      </c>
      <c r="C131" s="62">
        <v>148687.20000000001</v>
      </c>
      <c r="D131" s="62">
        <v>209901</v>
      </c>
      <c r="E131" s="62">
        <v>219325.5</v>
      </c>
      <c r="F131" s="62">
        <v>200476.5</v>
      </c>
      <c r="G131" s="62">
        <v>207705</v>
      </c>
      <c r="H131" s="62">
        <v>203496.00000000003</v>
      </c>
      <c r="I131" s="62">
        <v>222619.5</v>
      </c>
      <c r="J131" s="62">
        <v>196450.5</v>
      </c>
      <c r="K131" s="62">
        <v>220881</v>
      </c>
      <c r="L131" s="62">
        <v>169915.5</v>
      </c>
      <c r="M131" s="62">
        <v>159393</v>
      </c>
      <c r="N131" s="100">
        <f t="shared" ref="N131:N179" si="96">SUM(B131:M131)</f>
        <v>2314252.9500000002</v>
      </c>
      <c r="P131" s="239" t="s">
        <v>127</v>
      </c>
      <c r="Q131" s="62">
        <v>122511.58</v>
      </c>
      <c r="R131" s="62">
        <v>146276.46</v>
      </c>
      <c r="S131" s="62">
        <v>214864.58000000002</v>
      </c>
      <c r="T131" s="62">
        <v>174047.38</v>
      </c>
      <c r="U131" s="62">
        <v>251524.32</v>
      </c>
      <c r="V131" s="62">
        <v>264662.75</v>
      </c>
      <c r="W131" s="62">
        <v>179410.25</v>
      </c>
      <c r="X131" s="62">
        <v>211594.59999999998</v>
      </c>
      <c r="Y131" s="62">
        <v>184920.9</v>
      </c>
      <c r="Z131" s="62">
        <v>172212.3</v>
      </c>
      <c r="AA131" s="62">
        <v>158785.70000000001</v>
      </c>
      <c r="AB131" s="62">
        <v>144479.53</v>
      </c>
      <c r="AC131" s="100">
        <f t="shared" si="56"/>
        <v>2225290.3499999996</v>
      </c>
      <c r="AE131" s="68">
        <f t="shared" si="82"/>
        <v>6.7150071041283538E-2</v>
      </c>
      <c r="AF131" s="68">
        <f t="shared" si="83"/>
        <v>0.13139853618853548</v>
      </c>
      <c r="AG131" s="68">
        <f t="shared" si="84"/>
        <v>0.22209778321769016</v>
      </c>
      <c r="AH131" s="68">
        <f t="shared" si="85"/>
        <v>0.31686940271589581</v>
      </c>
      <c r="AI131" s="68">
        <f t="shared" si="86"/>
        <v>0.40349627727599952</v>
      </c>
      <c r="AJ131" s="68">
        <f t="shared" si="87"/>
        <v>0.49324662198226854</v>
      </c>
      <c r="AK131" s="68">
        <f t="shared" si="88"/>
        <v>0.5811782372363401</v>
      </c>
      <c r="AL131" s="68">
        <f t="shared" si="89"/>
        <v>0.6773732102188742</v>
      </c>
      <c r="AM131" s="68">
        <f t="shared" si="90"/>
        <v>0.76226043052035419</v>
      </c>
      <c r="AN131" s="68">
        <f t="shared" si="91"/>
        <v>0.8577041891639372</v>
      </c>
      <c r="AO131" s="68">
        <f t="shared" si="92"/>
        <v>0.93112550639721559</v>
      </c>
      <c r="AP131" s="68">
        <f t="shared" si="93"/>
        <v>1</v>
      </c>
      <c r="AQ131" s="92"/>
      <c r="AT131" s="68">
        <f t="shared" si="57"/>
        <v>5.5054200005855425E-2</v>
      </c>
      <c r="AU131" s="68">
        <f t="shared" si="58"/>
        <v>0.12078785134712872</v>
      </c>
      <c r="AV131" s="68">
        <f t="shared" si="59"/>
        <v>0.217343601925924</v>
      </c>
      <c r="AW131" s="68">
        <f t="shared" si="60"/>
        <v>0.29555693709811848</v>
      </c>
      <c r="AX131" s="68">
        <f t="shared" si="61"/>
        <v>0.40858682553492409</v>
      </c>
      <c r="AY131" s="68">
        <f t="shared" si="62"/>
        <v>0.52752085587393138</v>
      </c>
      <c r="AZ131" s="68">
        <f t="shared" si="63"/>
        <v>0.60814415521102683</v>
      </c>
      <c r="BA131" s="68">
        <f t="shared" si="64"/>
        <v>0.70323044361379639</v>
      </c>
      <c r="BB131" s="68">
        <f t="shared" si="65"/>
        <v>0.7863301164272789</v>
      </c>
      <c r="BC131" s="68">
        <f t="shared" si="66"/>
        <v>0.86371880415515223</v>
      </c>
      <c r="BD131" s="68">
        <f t="shared" si="67"/>
        <v>0.93507385227280571</v>
      </c>
      <c r="BE131" s="68">
        <f t="shared" si="68"/>
        <v>1</v>
      </c>
      <c r="BG131" s="68">
        <f t="shared" si="95"/>
        <v>6.1102135523569481E-2</v>
      </c>
      <c r="BH131" s="68">
        <f t="shared" si="95"/>
        <v>0.1260931937678321</v>
      </c>
      <c r="BI131" s="68">
        <f t="shared" si="95"/>
        <v>0.2197206925718071</v>
      </c>
      <c r="BJ131" s="68">
        <f t="shared" si="94"/>
        <v>0.30621316990700714</v>
      </c>
      <c r="BK131" s="68">
        <f t="shared" si="94"/>
        <v>0.40604155140546183</v>
      </c>
      <c r="BL131" s="68">
        <f t="shared" si="94"/>
        <v>0.51038373892809996</v>
      </c>
      <c r="BM131" s="68">
        <f t="shared" si="81"/>
        <v>0.59466119622368341</v>
      </c>
      <c r="BN131" s="68">
        <f t="shared" si="81"/>
        <v>0.69030182691633524</v>
      </c>
      <c r="BO131" s="68">
        <f t="shared" si="81"/>
        <v>0.77429527347381655</v>
      </c>
      <c r="BP131" s="68">
        <f t="shared" si="81"/>
        <v>0.86071149665954472</v>
      </c>
      <c r="BQ131" s="68">
        <f t="shared" si="81"/>
        <v>0.93309967933501059</v>
      </c>
      <c r="BR131" s="68">
        <f t="shared" si="81"/>
        <v>1</v>
      </c>
    </row>
    <row r="132" spans="1:70">
      <c r="A132" s="239" t="s">
        <v>128</v>
      </c>
      <c r="B132" s="62">
        <v>29320.75</v>
      </c>
      <c r="C132" s="62">
        <v>25894.5</v>
      </c>
      <c r="D132" s="62">
        <v>37606.5</v>
      </c>
      <c r="E132" s="62">
        <v>35593.5</v>
      </c>
      <c r="F132" s="62">
        <v>32665.5</v>
      </c>
      <c r="G132" s="62">
        <v>35868</v>
      </c>
      <c r="H132" s="62">
        <v>32940</v>
      </c>
      <c r="I132" s="62">
        <v>41907</v>
      </c>
      <c r="J132" s="62">
        <v>36874.5</v>
      </c>
      <c r="K132" s="62">
        <v>40260</v>
      </c>
      <c r="L132" s="62">
        <v>45750</v>
      </c>
      <c r="M132" s="62">
        <v>36142.5</v>
      </c>
      <c r="N132" s="100">
        <f t="shared" si="96"/>
        <v>430822.75</v>
      </c>
      <c r="P132" s="239" t="s">
        <v>128</v>
      </c>
      <c r="Q132" s="62">
        <v>24985.449999999997</v>
      </c>
      <c r="R132" s="62">
        <v>24209.059999999998</v>
      </c>
      <c r="S132" s="62">
        <v>31303.03</v>
      </c>
      <c r="T132" s="62">
        <v>29228.039999999997</v>
      </c>
      <c r="U132" s="62">
        <v>36784.35</v>
      </c>
      <c r="V132" s="62">
        <v>36058.090000000004</v>
      </c>
      <c r="W132" s="62">
        <v>34194.75</v>
      </c>
      <c r="X132" s="62">
        <v>35720.5</v>
      </c>
      <c r="Y132" s="62">
        <v>38861.75</v>
      </c>
      <c r="Z132" s="62">
        <v>36707.75</v>
      </c>
      <c r="AA132" s="62">
        <v>38772</v>
      </c>
      <c r="AB132" s="62">
        <v>35002.5</v>
      </c>
      <c r="AC132" s="100">
        <f t="shared" ref="AC132:AC179" si="97">SUM(Q132:AB132)</f>
        <v>401827.27</v>
      </c>
      <c r="AE132" s="68">
        <f t="shared" si="82"/>
        <v>6.8057571240144582E-2</v>
      </c>
      <c r="AF132" s="68">
        <f t="shared" si="83"/>
        <v>0.12816233590264209</v>
      </c>
      <c r="AG132" s="68">
        <f t="shared" si="84"/>
        <v>0.21545229447609254</v>
      </c>
      <c r="AH132" s="68">
        <f t="shared" si="85"/>
        <v>0.29806979784609794</v>
      </c>
      <c r="AI132" s="68">
        <f t="shared" si="86"/>
        <v>0.37389100273836512</v>
      </c>
      <c r="AJ132" s="68">
        <f t="shared" si="87"/>
        <v>0.45714565909065852</v>
      </c>
      <c r="AK132" s="68">
        <f t="shared" si="88"/>
        <v>0.53360401696521365</v>
      </c>
      <c r="AL132" s="68">
        <f t="shared" si="89"/>
        <v>0.63087603892784216</v>
      </c>
      <c r="AM132" s="68">
        <f t="shared" si="90"/>
        <v>0.71646692288185798</v>
      </c>
      <c r="AN132" s="68">
        <f t="shared" si="91"/>
        <v>0.80991602695075871</v>
      </c>
      <c r="AO132" s="68">
        <f t="shared" si="92"/>
        <v>0.91610819066541871</v>
      </c>
      <c r="AP132" s="68">
        <f t="shared" si="93"/>
        <v>1</v>
      </c>
      <c r="AQ132" s="92"/>
      <c r="AT132" s="68">
        <f t="shared" ref="AT132:AT179" si="98">Q132/AC132</f>
        <v>6.2179577807150811E-2</v>
      </c>
      <c r="AU132" s="68">
        <f t="shared" ref="AU132:AU179" si="99">SUM(Q132:R132)/$AC132</f>
        <v>0.12242700700726457</v>
      </c>
      <c r="AV132" s="68">
        <f t="shared" ref="AV132:AV179" si="100">SUM(Q132:S132)/$AC132</f>
        <v>0.20032871337975641</v>
      </c>
      <c r="AW132" s="68">
        <f t="shared" ref="AW132:AW179" si="101">SUM(Q132:T132)/$AC132</f>
        <v>0.27306653428474376</v>
      </c>
      <c r="AX132" s="68">
        <f t="shared" ref="AX132:AX179" si="102">SUM(Q132:U132)/$AC132</f>
        <v>0.36460922624788505</v>
      </c>
      <c r="AY132" s="68">
        <f t="shared" ref="AY132:AY179" si="103">SUM(Q132:V132)/$AC132</f>
        <v>0.45434452470087455</v>
      </c>
      <c r="AZ132" s="68">
        <f t="shared" ref="AZ132:AZ179" si="104">SUM(Q132:W132)/$AC132</f>
        <v>0.53944265654244916</v>
      </c>
      <c r="BA132" s="68">
        <f t="shared" ref="BA132:BA179" si="105">SUM(Q132:X132)/$AC132</f>
        <v>0.62833781788876597</v>
      </c>
      <c r="BB132" s="68">
        <f t="shared" ref="BB132:BB179" si="106">SUM(Q132:Y132)/$AC132</f>
        <v>0.72505039292131668</v>
      </c>
      <c r="BC132" s="68">
        <f t="shared" ref="BC132:BC179" si="107">SUM(Q132:Z132)/$AC132</f>
        <v>0.81640245571187842</v>
      </c>
      <c r="BD132" s="68">
        <f t="shared" ref="BD132:BD179" si="108">SUM(Q132:AA132)/$AC132</f>
        <v>0.91289167606767951</v>
      </c>
      <c r="BE132" s="68">
        <f t="shared" ref="BE132:BE179" si="109">SUM(Q132:AB132)/$AC132</f>
        <v>1</v>
      </c>
      <c r="BG132" s="68">
        <f t="shared" si="95"/>
        <v>6.5118574523647693E-2</v>
      </c>
      <c r="BH132" s="68">
        <f t="shared" si="95"/>
        <v>0.12529467145495332</v>
      </c>
      <c r="BI132" s="68">
        <f t="shared" si="95"/>
        <v>0.20789050392792446</v>
      </c>
      <c r="BJ132" s="68">
        <f t="shared" si="94"/>
        <v>0.28556816606542085</v>
      </c>
      <c r="BK132" s="68">
        <f t="shared" si="94"/>
        <v>0.36925011449312506</v>
      </c>
      <c r="BL132" s="68">
        <f t="shared" si="94"/>
        <v>0.45574509189576651</v>
      </c>
      <c r="BM132" s="68">
        <f t="shared" si="81"/>
        <v>0.53652333675383135</v>
      </c>
      <c r="BN132" s="68">
        <f t="shared" si="81"/>
        <v>0.62960692840830412</v>
      </c>
      <c r="BO132" s="68">
        <f t="shared" si="81"/>
        <v>0.72075865790158733</v>
      </c>
      <c r="BP132" s="68">
        <f t="shared" si="81"/>
        <v>0.81315924133131856</v>
      </c>
      <c r="BQ132" s="68">
        <f t="shared" si="81"/>
        <v>0.91449993336654911</v>
      </c>
      <c r="BR132" s="68">
        <f t="shared" si="81"/>
        <v>1</v>
      </c>
    </row>
    <row r="133" spans="1:70">
      <c r="A133" s="239" t="s">
        <v>129</v>
      </c>
      <c r="B133" s="62">
        <v>110394.03</v>
      </c>
      <c r="C133" s="62">
        <v>143153.74</v>
      </c>
      <c r="D133" s="62">
        <v>203977.39</v>
      </c>
      <c r="E133" s="62">
        <v>197640</v>
      </c>
      <c r="F133" s="62">
        <v>216397.5</v>
      </c>
      <c r="G133" s="62">
        <v>217312.5</v>
      </c>
      <c r="H133" s="62">
        <v>219325.50000000003</v>
      </c>
      <c r="I133" s="62">
        <v>236710.5</v>
      </c>
      <c r="J133" s="62">
        <v>188581.5</v>
      </c>
      <c r="K133" s="62">
        <v>214294.86</v>
      </c>
      <c r="L133" s="62">
        <v>173398.26</v>
      </c>
      <c r="M133" s="62">
        <v>172477.5</v>
      </c>
      <c r="N133" s="100">
        <f t="shared" si="96"/>
        <v>2293663.2800000003</v>
      </c>
      <c r="P133" s="239" t="s">
        <v>129</v>
      </c>
      <c r="Q133" s="62">
        <v>99432.57</v>
      </c>
      <c r="R133" s="62">
        <v>137333.68</v>
      </c>
      <c r="S133" s="62">
        <v>203090.32</v>
      </c>
      <c r="T133" s="62">
        <v>148308.44999999998</v>
      </c>
      <c r="U133" s="62">
        <v>198201.39</v>
      </c>
      <c r="V133" s="62">
        <v>204017.57</v>
      </c>
      <c r="W133" s="62">
        <v>189050.87</v>
      </c>
      <c r="X133" s="62">
        <v>205294.52999999997</v>
      </c>
      <c r="Y133" s="62">
        <v>177418.91</v>
      </c>
      <c r="Z133" s="62">
        <v>170983.28</v>
      </c>
      <c r="AA133" s="62">
        <v>153869.78</v>
      </c>
      <c r="AB133" s="62">
        <v>154144.22</v>
      </c>
      <c r="AC133" s="100">
        <f t="shared" si="97"/>
        <v>2041145.57</v>
      </c>
      <c r="AE133" s="68">
        <f t="shared" si="82"/>
        <v>4.8130007121184759E-2</v>
      </c>
      <c r="AF133" s="68">
        <f t="shared" si="83"/>
        <v>0.11054271662752518</v>
      </c>
      <c r="AG133" s="68">
        <f t="shared" si="84"/>
        <v>0.19947355132266842</v>
      </c>
      <c r="AH133" s="68">
        <f t="shared" si="85"/>
        <v>0.28564138673397604</v>
      </c>
      <c r="AI133" s="68">
        <f t="shared" si="86"/>
        <v>0.37998718800607906</v>
      </c>
      <c r="AJ133" s="68">
        <f t="shared" si="87"/>
        <v>0.47473191444212337</v>
      </c>
      <c r="AK133" s="68">
        <f t="shared" si="88"/>
        <v>0.57035427623883839</v>
      </c>
      <c r="AL133" s="68">
        <f t="shared" si="89"/>
        <v>0.67355621615043682</v>
      </c>
      <c r="AM133" s="68">
        <f t="shared" si="90"/>
        <v>0.75577469243872619</v>
      </c>
      <c r="AN133" s="68">
        <f t="shared" si="91"/>
        <v>0.84920377676360581</v>
      </c>
      <c r="AO133" s="68">
        <f t="shared" si="92"/>
        <v>0.92480260659707647</v>
      </c>
      <c r="AP133" s="68">
        <f t="shared" si="93"/>
        <v>1</v>
      </c>
      <c r="AQ133" s="92"/>
      <c r="AT133" s="68">
        <f t="shared" si="98"/>
        <v>4.8714100288300359E-2</v>
      </c>
      <c r="AU133" s="68">
        <f t="shared" si="99"/>
        <v>0.11599674882570966</v>
      </c>
      <c r="AV133" s="68">
        <f t="shared" si="100"/>
        <v>0.21549495364997412</v>
      </c>
      <c r="AW133" s="68">
        <f t="shared" si="101"/>
        <v>0.28815437205686412</v>
      </c>
      <c r="AX133" s="68">
        <f t="shared" si="102"/>
        <v>0.3852573875953394</v>
      </c>
      <c r="AY133" s="68">
        <f t="shared" si="103"/>
        <v>0.48520987163105667</v>
      </c>
      <c r="AZ133" s="68">
        <f t="shared" si="104"/>
        <v>0.57782985561387479</v>
      </c>
      <c r="BA133" s="68">
        <f t="shared" si="105"/>
        <v>0.67840794912045399</v>
      </c>
      <c r="BB133" s="68">
        <f t="shared" si="106"/>
        <v>0.76532919207717265</v>
      </c>
      <c r="BC133" s="68">
        <f t="shared" si="107"/>
        <v>0.84909748499711368</v>
      </c>
      <c r="BD133" s="68">
        <f t="shared" si="108"/>
        <v>0.9244815155442343</v>
      </c>
      <c r="BE133" s="68">
        <f t="shared" si="109"/>
        <v>1</v>
      </c>
      <c r="BG133" s="68">
        <f t="shared" si="95"/>
        <v>4.8422053704742563E-2</v>
      </c>
      <c r="BH133" s="68">
        <f t="shared" si="95"/>
        <v>0.11326973272661742</v>
      </c>
      <c r="BI133" s="68">
        <f t="shared" si="95"/>
        <v>0.20748425248632127</v>
      </c>
      <c r="BJ133" s="68">
        <f t="shared" si="94"/>
        <v>0.28689787939542011</v>
      </c>
      <c r="BK133" s="68">
        <f t="shared" si="94"/>
        <v>0.38262228780070923</v>
      </c>
      <c r="BL133" s="68">
        <f t="shared" si="94"/>
        <v>0.47997089303659002</v>
      </c>
      <c r="BM133" s="68">
        <f t="shared" si="81"/>
        <v>0.57409206592635664</v>
      </c>
      <c r="BN133" s="68">
        <f t="shared" si="81"/>
        <v>0.67598208263544546</v>
      </c>
      <c r="BO133" s="68">
        <f t="shared" si="81"/>
        <v>0.76055194225794942</v>
      </c>
      <c r="BP133" s="68">
        <f t="shared" si="81"/>
        <v>0.8491506308803598</v>
      </c>
      <c r="BQ133" s="68">
        <f t="shared" si="81"/>
        <v>0.92464206107065539</v>
      </c>
      <c r="BR133" s="68">
        <f t="shared" si="81"/>
        <v>1</v>
      </c>
    </row>
    <row r="134" spans="1:70">
      <c r="A134" s="239" t="s">
        <v>130</v>
      </c>
      <c r="B134" s="62">
        <v>116847.75</v>
      </c>
      <c r="C134" s="62">
        <v>131943</v>
      </c>
      <c r="D134" s="62">
        <v>175039.5</v>
      </c>
      <c r="E134" s="62">
        <v>172660.5</v>
      </c>
      <c r="F134" s="62">
        <v>174765</v>
      </c>
      <c r="G134" s="62">
        <v>156373.5</v>
      </c>
      <c r="H134" s="62">
        <v>171105</v>
      </c>
      <c r="I134" s="62">
        <v>177510</v>
      </c>
      <c r="J134" s="62">
        <v>157288.5</v>
      </c>
      <c r="K134" s="62">
        <v>162778.5</v>
      </c>
      <c r="L134" s="62">
        <v>150609</v>
      </c>
      <c r="M134" s="62">
        <v>142374</v>
      </c>
      <c r="N134" s="100">
        <f t="shared" si="96"/>
        <v>1889294.25</v>
      </c>
      <c r="P134" s="239" t="s">
        <v>130</v>
      </c>
      <c r="Q134" s="62">
        <v>103901.22</v>
      </c>
      <c r="R134" s="62">
        <v>126896.70999999999</v>
      </c>
      <c r="S134" s="62">
        <v>178313.47</v>
      </c>
      <c r="T134" s="62">
        <v>133753.91</v>
      </c>
      <c r="U134" s="62">
        <v>184095.08</v>
      </c>
      <c r="V134" s="62">
        <v>168197.24</v>
      </c>
      <c r="W134" s="62">
        <v>157062.5</v>
      </c>
      <c r="X134" s="62">
        <v>184076.36</v>
      </c>
      <c r="Y134" s="62">
        <v>147363.29999999999</v>
      </c>
      <c r="Z134" s="62">
        <v>137577</v>
      </c>
      <c r="AA134" s="62">
        <v>143398.5</v>
      </c>
      <c r="AB134" s="62">
        <v>125739.75</v>
      </c>
      <c r="AC134" s="100">
        <f t="shared" si="97"/>
        <v>1790375.0399999998</v>
      </c>
      <c r="AE134" s="68">
        <f t="shared" si="82"/>
        <v>6.1847300916731206E-2</v>
      </c>
      <c r="AF134" s="68">
        <f t="shared" si="83"/>
        <v>0.13168449012111269</v>
      </c>
      <c r="AG134" s="68">
        <f t="shared" si="84"/>
        <v>0.22433257815716107</v>
      </c>
      <c r="AH134" s="68">
        <f t="shared" si="85"/>
        <v>0.31572146583307498</v>
      </c>
      <c r="AI134" s="68">
        <f t="shared" si="86"/>
        <v>0.40822426151987706</v>
      </c>
      <c r="AJ134" s="68">
        <f t="shared" si="87"/>
        <v>0.49099246980717798</v>
      </c>
      <c r="AK134" s="68">
        <f t="shared" si="88"/>
        <v>0.58155803417069629</v>
      </c>
      <c r="AL134" s="68">
        <f t="shared" si="89"/>
        <v>0.67551375334996122</v>
      </c>
      <c r="AM134" s="68">
        <f t="shared" si="90"/>
        <v>0.75876626946808312</v>
      </c>
      <c r="AN134" s="68">
        <f t="shared" si="91"/>
        <v>0.84492463257113071</v>
      </c>
      <c r="AO134" s="68">
        <f t="shared" si="92"/>
        <v>0.92464170152425962</v>
      </c>
      <c r="AP134" s="68">
        <f t="shared" si="93"/>
        <v>1</v>
      </c>
      <c r="AQ134" s="92"/>
      <c r="AT134" s="68">
        <f t="shared" si="98"/>
        <v>5.803321520836216E-2</v>
      </c>
      <c r="AU134" s="68">
        <f t="shared" si="99"/>
        <v>0.12891038181586803</v>
      </c>
      <c r="AV134" s="68">
        <f t="shared" si="100"/>
        <v>0.22850597827816013</v>
      </c>
      <c r="AW134" s="68">
        <f t="shared" si="101"/>
        <v>0.30321318040716211</v>
      </c>
      <c r="AX134" s="68">
        <f t="shared" si="102"/>
        <v>0.40603804999426268</v>
      </c>
      <c r="AY134" s="68">
        <f t="shared" si="103"/>
        <v>0.49998330517387024</v>
      </c>
      <c r="AZ134" s="68">
        <f t="shared" si="104"/>
        <v>0.58770933826244587</v>
      </c>
      <c r="BA134" s="68">
        <f t="shared" si="105"/>
        <v>0.69052375193970528</v>
      </c>
      <c r="BB134" s="68">
        <f t="shared" si="106"/>
        <v>0.77283237259607906</v>
      </c>
      <c r="BC134" s="68">
        <f t="shared" si="107"/>
        <v>0.84967493179529574</v>
      </c>
      <c r="BD134" s="68">
        <f t="shared" si="108"/>
        <v>0.92976904436737451</v>
      </c>
      <c r="BE134" s="68">
        <f t="shared" si="109"/>
        <v>1</v>
      </c>
      <c r="BG134" s="68">
        <f t="shared" si="95"/>
        <v>5.9940258062546686E-2</v>
      </c>
      <c r="BH134" s="68">
        <f t="shared" si="95"/>
        <v>0.13029743596849036</v>
      </c>
      <c r="BI134" s="68">
        <f t="shared" si="95"/>
        <v>0.22641927821766061</v>
      </c>
      <c r="BJ134" s="68">
        <f t="shared" si="94"/>
        <v>0.30946732312011854</v>
      </c>
      <c r="BK134" s="68">
        <f t="shared" si="94"/>
        <v>0.40713115575706987</v>
      </c>
      <c r="BL134" s="68">
        <f t="shared" si="94"/>
        <v>0.49548788749052408</v>
      </c>
      <c r="BM134" s="68">
        <f t="shared" si="81"/>
        <v>0.58463368621657108</v>
      </c>
      <c r="BN134" s="68">
        <f t="shared" si="81"/>
        <v>0.68301875264483325</v>
      </c>
      <c r="BO134" s="68">
        <f t="shared" si="81"/>
        <v>0.76579932103208104</v>
      </c>
      <c r="BP134" s="68">
        <f t="shared" si="81"/>
        <v>0.84729978218321322</v>
      </c>
      <c r="BQ134" s="68">
        <f t="shared" si="81"/>
        <v>0.92720537294581706</v>
      </c>
      <c r="BR134" s="68">
        <f t="shared" si="81"/>
        <v>1</v>
      </c>
    </row>
    <row r="135" spans="1:70">
      <c r="A135" s="239" t="s">
        <v>131</v>
      </c>
      <c r="B135" s="62">
        <v>300816.75</v>
      </c>
      <c r="C135" s="62">
        <v>304329</v>
      </c>
      <c r="D135" s="62">
        <v>401044.5</v>
      </c>
      <c r="E135" s="62">
        <v>399031.5</v>
      </c>
      <c r="F135" s="62">
        <v>416142.00000000006</v>
      </c>
      <c r="G135" s="62">
        <v>401868</v>
      </c>
      <c r="H135" s="62">
        <v>423096.00000000006</v>
      </c>
      <c r="I135" s="62">
        <v>443866.5</v>
      </c>
      <c r="J135" s="62">
        <v>400403.99</v>
      </c>
      <c r="K135" s="62">
        <v>436363.5</v>
      </c>
      <c r="L135" s="62">
        <v>370117.5</v>
      </c>
      <c r="M135" s="62">
        <v>341478</v>
      </c>
      <c r="N135" s="100">
        <f t="shared" si="96"/>
        <v>4638557.24</v>
      </c>
      <c r="P135" s="239" t="s">
        <v>131</v>
      </c>
      <c r="Q135" s="62">
        <v>285332.84000000003</v>
      </c>
      <c r="R135" s="62">
        <v>285507.7</v>
      </c>
      <c r="S135" s="62">
        <v>383715.35</v>
      </c>
      <c r="T135" s="62">
        <v>318487.81</v>
      </c>
      <c r="U135" s="62">
        <v>423994.01</v>
      </c>
      <c r="V135" s="62">
        <v>415648</v>
      </c>
      <c r="W135" s="62">
        <v>364177.08999999997</v>
      </c>
      <c r="X135" s="62">
        <v>427389.5</v>
      </c>
      <c r="Y135" s="62">
        <v>374616.43</v>
      </c>
      <c r="Z135" s="62">
        <v>386540.91</v>
      </c>
      <c r="AA135" s="62">
        <v>350920.25</v>
      </c>
      <c r="AB135" s="62">
        <v>334585.37</v>
      </c>
      <c r="AC135" s="100">
        <f t="shared" si="97"/>
        <v>4350915.26</v>
      </c>
      <c r="AE135" s="68">
        <f t="shared" si="82"/>
        <v>6.4851360980510392E-2</v>
      </c>
      <c r="AF135" s="68">
        <f t="shared" si="83"/>
        <v>0.13045990783116865</v>
      </c>
      <c r="AG135" s="68">
        <f t="shared" si="84"/>
        <v>0.21691879563827479</v>
      </c>
      <c r="AH135" s="68">
        <f t="shared" si="85"/>
        <v>0.30294371229964601</v>
      </c>
      <c r="AI135" s="68">
        <f t="shared" si="86"/>
        <v>0.39265738369976433</v>
      </c>
      <c r="AJ135" s="68">
        <f t="shared" si="87"/>
        <v>0.47929380515739844</v>
      </c>
      <c r="AK135" s="68">
        <f t="shared" si="88"/>
        <v>0.57050664960641939</v>
      </c>
      <c r="AL135" s="68">
        <f t="shared" si="89"/>
        <v>0.66619728724097838</v>
      </c>
      <c r="AM135" s="68">
        <f t="shared" si="90"/>
        <v>0.75251809116405344</v>
      </c>
      <c r="AN135" s="68">
        <f t="shared" si="91"/>
        <v>0.84659119998269117</v>
      </c>
      <c r="AO135" s="68">
        <f t="shared" si="92"/>
        <v>0.92638271291441476</v>
      </c>
      <c r="AP135" s="68">
        <f t="shared" si="93"/>
        <v>1</v>
      </c>
      <c r="AQ135" s="92"/>
      <c r="AT135" s="68">
        <f t="shared" si="98"/>
        <v>6.5579957997159433E-2</v>
      </c>
      <c r="AU135" s="68">
        <f t="shared" si="99"/>
        <v>0.13120010523946635</v>
      </c>
      <c r="AV135" s="68">
        <f t="shared" si="100"/>
        <v>0.21939197455203943</v>
      </c>
      <c r="AW135" s="68">
        <f t="shared" si="101"/>
        <v>0.29259216140192074</v>
      </c>
      <c r="AX135" s="68">
        <f t="shared" si="102"/>
        <v>0.39004154495989884</v>
      </c>
      <c r="AY135" s="68">
        <f t="shared" si="103"/>
        <v>0.48557270913154948</v>
      </c>
      <c r="AZ135" s="68">
        <f t="shared" si="104"/>
        <v>0.56927396926595164</v>
      </c>
      <c r="BA135" s="68">
        <f t="shared" si="105"/>
        <v>0.66750376103624687</v>
      </c>
      <c r="BB135" s="68">
        <f t="shared" si="106"/>
        <v>0.75360436461361924</v>
      </c>
      <c r="BC135" s="68">
        <f t="shared" si="107"/>
        <v>0.8424456513087778</v>
      </c>
      <c r="BD135" s="68">
        <f t="shared" si="108"/>
        <v>0.92310000310141649</v>
      </c>
      <c r="BE135" s="68">
        <f t="shared" si="109"/>
        <v>1</v>
      </c>
      <c r="BG135" s="68">
        <f t="shared" si="95"/>
        <v>6.5215659488834912E-2</v>
      </c>
      <c r="BH135" s="68">
        <f t="shared" si="95"/>
        <v>0.13083000653531751</v>
      </c>
      <c r="BI135" s="68">
        <f t="shared" si="95"/>
        <v>0.21815538509515711</v>
      </c>
      <c r="BJ135" s="68">
        <f t="shared" si="94"/>
        <v>0.2977679368507834</v>
      </c>
      <c r="BK135" s="68">
        <f t="shared" si="94"/>
        <v>0.39134946432983159</v>
      </c>
      <c r="BL135" s="68">
        <f t="shared" si="94"/>
        <v>0.48243325714447394</v>
      </c>
      <c r="BM135" s="68">
        <f t="shared" si="81"/>
        <v>0.56989030943618557</v>
      </c>
      <c r="BN135" s="68">
        <f t="shared" si="81"/>
        <v>0.66685052413861268</v>
      </c>
      <c r="BO135" s="68">
        <f t="shared" si="81"/>
        <v>0.75306122788883634</v>
      </c>
      <c r="BP135" s="68">
        <f t="shared" si="81"/>
        <v>0.84451842564573454</v>
      </c>
      <c r="BQ135" s="68">
        <f t="shared" si="81"/>
        <v>0.92474135800791557</v>
      </c>
      <c r="BR135" s="68">
        <f t="shared" si="81"/>
        <v>1</v>
      </c>
    </row>
    <row r="136" spans="1:70">
      <c r="A136" s="239" t="s">
        <v>132</v>
      </c>
      <c r="B136" s="62">
        <v>37450.25</v>
      </c>
      <c r="C136" s="62">
        <v>40900.15</v>
      </c>
      <c r="D136" s="62">
        <v>57847.64</v>
      </c>
      <c r="E136" s="62">
        <v>58194</v>
      </c>
      <c r="F136" s="62">
        <v>54076.500000000007</v>
      </c>
      <c r="G136" s="62">
        <v>58629</v>
      </c>
      <c r="H136" s="62">
        <v>63409.500000000007</v>
      </c>
      <c r="I136" s="62">
        <v>64233</v>
      </c>
      <c r="J136" s="62">
        <v>61305</v>
      </c>
      <c r="K136" s="62">
        <v>77134.5</v>
      </c>
      <c r="L136" s="62">
        <v>58743</v>
      </c>
      <c r="M136" s="62">
        <v>52521</v>
      </c>
      <c r="N136" s="100">
        <f t="shared" si="96"/>
        <v>684443.54</v>
      </c>
      <c r="P136" s="239" t="s">
        <v>132</v>
      </c>
      <c r="Q136" s="62">
        <v>39918.93</v>
      </c>
      <c r="R136" s="62">
        <v>45383.22</v>
      </c>
      <c r="S136" s="62">
        <v>55268.66</v>
      </c>
      <c r="T136" s="62">
        <v>48135.729999999996</v>
      </c>
      <c r="U136" s="62">
        <v>59172.729999999996</v>
      </c>
      <c r="V136" s="62">
        <v>58391.35</v>
      </c>
      <c r="W136" s="62">
        <v>53377.13</v>
      </c>
      <c r="X136" s="62">
        <v>52467.399999999994</v>
      </c>
      <c r="Y136" s="62">
        <v>62428.3</v>
      </c>
      <c r="Z136" s="62">
        <v>60312</v>
      </c>
      <c r="AA136" s="62">
        <v>56363</v>
      </c>
      <c r="AB136" s="62">
        <v>47028</v>
      </c>
      <c r="AC136" s="100">
        <f t="shared" si="97"/>
        <v>638246.44999999995</v>
      </c>
      <c r="AE136" s="68">
        <f t="shared" si="82"/>
        <v>5.4716346654393143E-2</v>
      </c>
      <c r="AF136" s="68">
        <f t="shared" si="83"/>
        <v>0.11447313828106258</v>
      </c>
      <c r="AG136" s="68">
        <f t="shared" si="84"/>
        <v>0.1989909058094112</v>
      </c>
      <c r="AH136" s="68">
        <f t="shared" si="85"/>
        <v>0.28401471946100909</v>
      </c>
      <c r="AI136" s="68">
        <f t="shared" si="86"/>
        <v>0.3630226972410317</v>
      </c>
      <c r="AJ136" s="68">
        <f t="shared" si="87"/>
        <v>0.44868206368051916</v>
      </c>
      <c r="AK136" s="68">
        <f t="shared" si="88"/>
        <v>0.54132593610277913</v>
      </c>
      <c r="AL136" s="68">
        <f t="shared" si="89"/>
        <v>0.63517297569935416</v>
      </c>
      <c r="AM136" s="68">
        <f t="shared" si="90"/>
        <v>0.72474208756503122</v>
      </c>
      <c r="AN136" s="68">
        <f t="shared" si="91"/>
        <v>0.83743874622587566</v>
      </c>
      <c r="AO136" s="68">
        <f t="shared" si="92"/>
        <v>0.92326467132701695</v>
      </c>
      <c r="AP136" s="68">
        <f t="shared" si="93"/>
        <v>1</v>
      </c>
      <c r="AQ136" s="92"/>
      <c r="AT136" s="68">
        <f t="shared" si="98"/>
        <v>6.2544695704927156E-2</v>
      </c>
      <c r="AU136" s="68">
        <f t="shared" si="99"/>
        <v>0.13365080213137104</v>
      </c>
      <c r="AV136" s="68">
        <f t="shared" si="100"/>
        <v>0.22024534566545573</v>
      </c>
      <c r="AW136" s="68">
        <f t="shared" si="101"/>
        <v>0.2956640651898651</v>
      </c>
      <c r="AX136" s="68">
        <f t="shared" si="102"/>
        <v>0.38837547784245408</v>
      </c>
      <c r="AY136" s="68">
        <f t="shared" si="103"/>
        <v>0.47986262986656636</v>
      </c>
      <c r="AZ136" s="68">
        <f t="shared" si="104"/>
        <v>0.56349353764521526</v>
      </c>
      <c r="BA136" s="68">
        <f t="shared" si="105"/>
        <v>0.64569908692794131</v>
      </c>
      <c r="BB136" s="68">
        <f t="shared" si="106"/>
        <v>0.74351130350979611</v>
      </c>
      <c r="BC136" s="68">
        <f t="shared" si="107"/>
        <v>0.83800771629830451</v>
      </c>
      <c r="BD136" s="68">
        <f t="shared" si="108"/>
        <v>0.92631686396375568</v>
      </c>
      <c r="BE136" s="68">
        <f t="shared" si="109"/>
        <v>1</v>
      </c>
      <c r="BG136" s="68">
        <f t="shared" si="95"/>
        <v>5.8630521179660153E-2</v>
      </c>
      <c r="BH136" s="68">
        <f t="shared" si="95"/>
        <v>0.12406197020621682</v>
      </c>
      <c r="BI136" s="68">
        <f t="shared" si="95"/>
        <v>0.20961812573743346</v>
      </c>
      <c r="BJ136" s="68">
        <f t="shared" si="94"/>
        <v>0.2898393923254371</v>
      </c>
      <c r="BK136" s="68">
        <f t="shared" si="94"/>
        <v>0.37569908754174286</v>
      </c>
      <c r="BL136" s="68">
        <f t="shared" si="94"/>
        <v>0.46427234677354279</v>
      </c>
      <c r="BM136" s="68">
        <f t="shared" si="81"/>
        <v>0.55240973687399719</v>
      </c>
      <c r="BN136" s="68">
        <f t="shared" si="81"/>
        <v>0.64043603131364768</v>
      </c>
      <c r="BO136" s="68">
        <f t="shared" si="81"/>
        <v>0.73412669553741372</v>
      </c>
      <c r="BP136" s="68">
        <f t="shared" si="81"/>
        <v>0.83772323126209014</v>
      </c>
      <c r="BQ136" s="68">
        <f t="shared" si="81"/>
        <v>0.92479076764538637</v>
      </c>
      <c r="BR136" s="68">
        <f t="shared" si="81"/>
        <v>1</v>
      </c>
    </row>
    <row r="137" spans="1:70">
      <c r="A137" s="239" t="s">
        <v>133</v>
      </c>
      <c r="B137" s="62">
        <v>59790.75</v>
      </c>
      <c r="C137" s="62">
        <v>56179.25</v>
      </c>
      <c r="D137" s="62">
        <v>74664</v>
      </c>
      <c r="E137" s="62">
        <v>65422.5</v>
      </c>
      <c r="F137" s="62">
        <v>78598.5</v>
      </c>
      <c r="G137" s="62">
        <v>70089</v>
      </c>
      <c r="H137" s="62">
        <v>78873</v>
      </c>
      <c r="I137" s="62">
        <v>93055.5</v>
      </c>
      <c r="J137" s="62">
        <v>75853.5</v>
      </c>
      <c r="K137" s="62">
        <v>74663.649999999994</v>
      </c>
      <c r="L137" s="62">
        <v>82258.5</v>
      </c>
      <c r="M137" s="62">
        <v>63226.5</v>
      </c>
      <c r="N137" s="100">
        <f t="shared" si="96"/>
        <v>872674.65</v>
      </c>
      <c r="P137" s="239" t="s">
        <v>133</v>
      </c>
      <c r="Q137" s="62">
        <v>57764.37</v>
      </c>
      <c r="R137" s="62">
        <v>60126.44</v>
      </c>
      <c r="S137" s="62">
        <v>69764.44</v>
      </c>
      <c r="T137" s="62">
        <v>50895.35</v>
      </c>
      <c r="U137" s="62">
        <v>76207.86</v>
      </c>
      <c r="V137" s="62">
        <v>80867.33</v>
      </c>
      <c r="W137" s="62">
        <v>66325.25</v>
      </c>
      <c r="X137" s="62">
        <v>84185.5</v>
      </c>
      <c r="Y137" s="62">
        <v>66952.5</v>
      </c>
      <c r="Z137" s="62">
        <v>69466</v>
      </c>
      <c r="AA137" s="62">
        <v>59953</v>
      </c>
      <c r="AB137" s="62">
        <v>64153.3</v>
      </c>
      <c r="AC137" s="100">
        <f t="shared" si="97"/>
        <v>806661.34000000008</v>
      </c>
      <c r="AE137" s="68">
        <f t="shared" si="82"/>
        <v>6.8514365577136901E-2</v>
      </c>
      <c r="AF137" s="68">
        <f t="shared" si="83"/>
        <v>0.13289030453674802</v>
      </c>
      <c r="AG137" s="68">
        <f t="shared" si="84"/>
        <v>0.21844796339620956</v>
      </c>
      <c r="AH137" s="68">
        <f t="shared" si="85"/>
        <v>0.29341576497037009</v>
      </c>
      <c r="AI137" s="68">
        <f t="shared" si="86"/>
        <v>0.38348197693149444</v>
      </c>
      <c r="AJ137" s="68">
        <f t="shared" si="87"/>
        <v>0.46379713218437135</v>
      </c>
      <c r="AK137" s="68">
        <f t="shared" si="88"/>
        <v>0.5541778943618908</v>
      </c>
      <c r="AL137" s="68">
        <f t="shared" si="89"/>
        <v>0.66081041771982263</v>
      </c>
      <c r="AM137" s="68">
        <f t="shared" si="90"/>
        <v>0.74773112751699611</v>
      </c>
      <c r="AN137" s="68">
        <f t="shared" si="91"/>
        <v>0.833288385310608</v>
      </c>
      <c r="AO137" s="68">
        <f t="shared" si="92"/>
        <v>0.92754860015700014</v>
      </c>
      <c r="AP137" s="68">
        <f t="shared" si="93"/>
        <v>1</v>
      </c>
      <c r="AQ137" s="92"/>
      <c r="AT137" s="68">
        <f t="shared" si="98"/>
        <v>7.1609195997914071E-2</v>
      </c>
      <c r="AU137" s="68">
        <f t="shared" si="99"/>
        <v>0.14614659728207624</v>
      </c>
      <c r="AV137" s="68">
        <f t="shared" si="100"/>
        <v>0.23263201134691788</v>
      </c>
      <c r="AW137" s="68">
        <f t="shared" si="101"/>
        <v>0.29572583706565136</v>
      </c>
      <c r="AX137" s="68">
        <f t="shared" si="102"/>
        <v>0.3901990146199395</v>
      </c>
      <c r="AY137" s="68">
        <f t="shared" si="103"/>
        <v>0.4904484327958496</v>
      </c>
      <c r="AZ137" s="68">
        <f t="shared" si="104"/>
        <v>0.57267036002989802</v>
      </c>
      <c r="BA137" s="68">
        <f t="shared" si="105"/>
        <v>0.67703323925254677</v>
      </c>
      <c r="BB137" s="68">
        <f t="shared" si="106"/>
        <v>0.76003275426587313</v>
      </c>
      <c r="BC137" s="68">
        <f t="shared" si="107"/>
        <v>0.84614819894554505</v>
      </c>
      <c r="BD137" s="68">
        <f t="shared" si="108"/>
        <v>0.92047059054546976</v>
      </c>
      <c r="BE137" s="68">
        <f t="shared" si="109"/>
        <v>1</v>
      </c>
      <c r="BG137" s="68">
        <f t="shared" si="95"/>
        <v>7.0061780787525479E-2</v>
      </c>
      <c r="BH137" s="68">
        <f t="shared" si="95"/>
        <v>0.13951845090941212</v>
      </c>
      <c r="BI137" s="68">
        <f t="shared" si="95"/>
        <v>0.22553998737156372</v>
      </c>
      <c r="BJ137" s="68">
        <f t="shared" si="94"/>
        <v>0.2945708010180107</v>
      </c>
      <c r="BK137" s="68">
        <f t="shared" si="94"/>
        <v>0.386840495775717</v>
      </c>
      <c r="BL137" s="68">
        <f t="shared" si="94"/>
        <v>0.47712278249011048</v>
      </c>
      <c r="BM137" s="68">
        <f t="shared" si="81"/>
        <v>0.56342412719589441</v>
      </c>
      <c r="BN137" s="68">
        <f t="shared" si="81"/>
        <v>0.66892182848618464</v>
      </c>
      <c r="BO137" s="68">
        <f t="shared" si="81"/>
        <v>0.75388194089143457</v>
      </c>
      <c r="BP137" s="68">
        <f t="shared" si="81"/>
        <v>0.83971829212807658</v>
      </c>
      <c r="BQ137" s="68">
        <f t="shared" si="81"/>
        <v>0.92400959535123495</v>
      </c>
      <c r="BR137" s="68">
        <f t="shared" si="81"/>
        <v>1</v>
      </c>
    </row>
    <row r="138" spans="1:70">
      <c r="A138" s="239" t="s">
        <v>134</v>
      </c>
      <c r="B138" s="62">
        <v>395130.5</v>
      </c>
      <c r="C138" s="62">
        <v>462344.25</v>
      </c>
      <c r="D138" s="62">
        <v>616893</v>
      </c>
      <c r="E138" s="62">
        <v>627781.5</v>
      </c>
      <c r="F138" s="62">
        <v>593103</v>
      </c>
      <c r="G138" s="62">
        <v>568686.5</v>
      </c>
      <c r="H138" s="62">
        <v>622017</v>
      </c>
      <c r="I138" s="62">
        <v>674538.09</v>
      </c>
      <c r="J138" s="62">
        <v>561800</v>
      </c>
      <c r="K138" s="62">
        <v>612867</v>
      </c>
      <c r="L138" s="62">
        <v>563365.5</v>
      </c>
      <c r="M138" s="62">
        <v>538386</v>
      </c>
      <c r="N138" s="100">
        <f t="shared" si="96"/>
        <v>6836912.3399999999</v>
      </c>
      <c r="P138" s="239" t="s">
        <v>134</v>
      </c>
      <c r="Q138" s="62">
        <v>381205.19</v>
      </c>
      <c r="R138" s="62">
        <v>422998.42000000004</v>
      </c>
      <c r="S138" s="62">
        <v>607085.34</v>
      </c>
      <c r="T138" s="62">
        <v>521608.32</v>
      </c>
      <c r="U138" s="62">
        <v>658412.21</v>
      </c>
      <c r="V138" s="62">
        <v>658321.35000000009</v>
      </c>
      <c r="W138" s="62">
        <v>581920.18999999994</v>
      </c>
      <c r="X138" s="62">
        <v>612899.75</v>
      </c>
      <c r="Y138" s="62">
        <v>554568.07999999996</v>
      </c>
      <c r="Z138" s="62">
        <v>586488.6</v>
      </c>
      <c r="AA138" s="62">
        <v>534999.76</v>
      </c>
      <c r="AB138" s="62">
        <v>502492.85000000003</v>
      </c>
      <c r="AC138" s="100">
        <f t="shared" si="97"/>
        <v>6623000.0599999996</v>
      </c>
      <c r="AE138" s="68">
        <f t="shared" si="82"/>
        <v>5.7793705747586049E-2</v>
      </c>
      <c r="AF138" s="68">
        <f t="shared" si="83"/>
        <v>0.12541842097100808</v>
      </c>
      <c r="AG138" s="68">
        <f t="shared" si="84"/>
        <v>0.21564818688314497</v>
      </c>
      <c r="AH138" s="68">
        <f t="shared" si="85"/>
        <v>0.30747055768159814</v>
      </c>
      <c r="AI138" s="68">
        <f t="shared" si="86"/>
        <v>0.39422068266564902</v>
      </c>
      <c r="AJ138" s="68">
        <f t="shared" si="87"/>
        <v>0.47739953178922873</v>
      </c>
      <c r="AK138" s="68">
        <f t="shared" si="88"/>
        <v>0.56837875882433797</v>
      </c>
      <c r="AL138" s="68">
        <f t="shared" si="89"/>
        <v>0.66703997553375094</v>
      </c>
      <c r="AM138" s="68">
        <f t="shared" si="90"/>
        <v>0.74921157172537334</v>
      </c>
      <c r="AN138" s="68">
        <f t="shared" si="91"/>
        <v>0.83885247532660334</v>
      </c>
      <c r="AO138" s="68">
        <f t="shared" si="92"/>
        <v>0.92125304915054684</v>
      </c>
      <c r="AP138" s="68">
        <f t="shared" si="93"/>
        <v>1</v>
      </c>
      <c r="AQ138" s="92"/>
      <c r="AT138" s="68">
        <f t="shared" si="98"/>
        <v>5.755778145048062E-2</v>
      </c>
      <c r="AU138" s="68">
        <f t="shared" si="99"/>
        <v>0.12142587992064735</v>
      </c>
      <c r="AV138" s="68">
        <f t="shared" si="100"/>
        <v>0.2130890740170098</v>
      </c>
      <c r="AW138" s="68">
        <f t="shared" si="101"/>
        <v>0.29184618035470777</v>
      </c>
      <c r="AX138" s="68">
        <f t="shared" si="102"/>
        <v>0.39125916601607286</v>
      </c>
      <c r="AY138" s="68">
        <f t="shared" si="103"/>
        <v>0.49065843281903893</v>
      </c>
      <c r="AZ138" s="68">
        <f t="shared" si="104"/>
        <v>0.57852196667502387</v>
      </c>
      <c r="BA138" s="68">
        <f t="shared" si="105"/>
        <v>0.67106307258586995</v>
      </c>
      <c r="BB138" s="68">
        <f t="shared" si="106"/>
        <v>0.75479673934956915</v>
      </c>
      <c r="BC138" s="68">
        <f t="shared" si="107"/>
        <v>0.84335005275539743</v>
      </c>
      <c r="BD138" s="68">
        <f t="shared" si="108"/>
        <v>0.92412911891170968</v>
      </c>
      <c r="BE138" s="68">
        <f t="shared" si="109"/>
        <v>1</v>
      </c>
      <c r="BG138" s="68">
        <f t="shared" si="95"/>
        <v>5.7675743599033338E-2</v>
      </c>
      <c r="BH138" s="68">
        <f t="shared" si="95"/>
        <v>0.12342215044582772</v>
      </c>
      <c r="BI138" s="68">
        <f t="shared" si="95"/>
        <v>0.21436863045007737</v>
      </c>
      <c r="BJ138" s="68">
        <f t="shared" si="94"/>
        <v>0.29965836901815296</v>
      </c>
      <c r="BK138" s="68">
        <f t="shared" si="94"/>
        <v>0.39273992434086091</v>
      </c>
      <c r="BL138" s="68">
        <f t="shared" si="94"/>
        <v>0.48402898230413383</v>
      </c>
      <c r="BM138" s="68">
        <f t="shared" si="81"/>
        <v>0.57345036274968098</v>
      </c>
      <c r="BN138" s="68">
        <f t="shared" si="81"/>
        <v>0.6690515240598105</v>
      </c>
      <c r="BO138" s="68">
        <f t="shared" si="81"/>
        <v>0.75200415553747124</v>
      </c>
      <c r="BP138" s="68">
        <f t="shared" si="81"/>
        <v>0.84110126404100038</v>
      </c>
      <c r="BQ138" s="68">
        <f t="shared" si="81"/>
        <v>0.92269108403112821</v>
      </c>
      <c r="BR138" s="68">
        <f t="shared" si="81"/>
        <v>1</v>
      </c>
    </row>
    <row r="139" spans="1:70">
      <c r="A139" s="239" t="s">
        <v>135</v>
      </c>
      <c r="B139" s="62">
        <v>119229.5</v>
      </c>
      <c r="C139" s="62">
        <v>105042</v>
      </c>
      <c r="D139" s="62">
        <v>123799.5</v>
      </c>
      <c r="E139" s="62">
        <v>133773</v>
      </c>
      <c r="F139" s="62">
        <v>131577</v>
      </c>
      <c r="G139" s="62">
        <v>123067.5</v>
      </c>
      <c r="H139" s="62">
        <v>131668.5</v>
      </c>
      <c r="I139" s="62">
        <v>159118.5</v>
      </c>
      <c r="J139" s="62">
        <v>138348</v>
      </c>
      <c r="K139" s="62">
        <v>154543.5</v>
      </c>
      <c r="L139" s="62">
        <v>129015</v>
      </c>
      <c r="M139" s="62">
        <v>132675</v>
      </c>
      <c r="N139" s="100">
        <f t="shared" si="96"/>
        <v>1581857</v>
      </c>
      <c r="P139" s="239" t="s">
        <v>135</v>
      </c>
      <c r="Q139" s="62">
        <v>80768.11</v>
      </c>
      <c r="R139" s="62">
        <v>100231.68000000001</v>
      </c>
      <c r="S139" s="62">
        <v>99227.04</v>
      </c>
      <c r="T139" s="62">
        <v>104301.28</v>
      </c>
      <c r="U139" s="62">
        <v>133763.4</v>
      </c>
      <c r="V139" s="62">
        <v>128546.45</v>
      </c>
      <c r="W139" s="62">
        <v>114251.15000000001</v>
      </c>
      <c r="X139" s="62">
        <v>137332.79999999999</v>
      </c>
      <c r="Y139" s="62">
        <v>133440.29999999999</v>
      </c>
      <c r="Z139" s="62">
        <v>119008.5</v>
      </c>
      <c r="AA139" s="62">
        <v>122951.33</v>
      </c>
      <c r="AB139" s="62">
        <v>116585.25</v>
      </c>
      <c r="AC139" s="100">
        <f t="shared" si="97"/>
        <v>1390407.29</v>
      </c>
      <c r="AE139" s="68">
        <f t="shared" si="82"/>
        <v>7.5373121590636832E-2</v>
      </c>
      <c r="AF139" s="68">
        <f t="shared" si="83"/>
        <v>0.14177735408447162</v>
      </c>
      <c r="AG139" s="68">
        <f t="shared" si="84"/>
        <v>0.22003948523791975</v>
      </c>
      <c r="AH139" s="68">
        <f t="shared" si="85"/>
        <v>0.30460654787379643</v>
      </c>
      <c r="AI139" s="68">
        <f t="shared" si="86"/>
        <v>0.38778536871537694</v>
      </c>
      <c r="AJ139" s="68">
        <f t="shared" si="87"/>
        <v>0.46558475260405968</v>
      </c>
      <c r="AK139" s="68">
        <f t="shared" si="88"/>
        <v>0.54882141685373587</v>
      </c>
      <c r="AL139" s="68">
        <f t="shared" si="89"/>
        <v>0.64941110353211451</v>
      </c>
      <c r="AM139" s="68">
        <f t="shared" si="90"/>
        <v>0.7368703365727749</v>
      </c>
      <c r="AN139" s="68">
        <f t="shared" si="91"/>
        <v>0.83456785284636981</v>
      </c>
      <c r="AO139" s="68">
        <f t="shared" si="92"/>
        <v>0.91612705826127139</v>
      </c>
      <c r="AP139" s="68">
        <f t="shared" si="93"/>
        <v>1</v>
      </c>
      <c r="AQ139" s="92"/>
      <c r="AT139" s="68">
        <f t="shared" si="98"/>
        <v>5.8089532887877764E-2</v>
      </c>
      <c r="AU139" s="68">
        <f t="shared" si="99"/>
        <v>0.13017753236895069</v>
      </c>
      <c r="AV139" s="68">
        <f t="shared" si="100"/>
        <v>0.2015429809778975</v>
      </c>
      <c r="AW139" s="68">
        <f t="shared" si="101"/>
        <v>0.27655789261576724</v>
      </c>
      <c r="AX139" s="68">
        <f t="shared" si="102"/>
        <v>0.37276236519156913</v>
      </c>
      <c r="AY139" s="68">
        <f t="shared" si="103"/>
        <v>0.46521473574840072</v>
      </c>
      <c r="AZ139" s="68">
        <f t="shared" si="104"/>
        <v>0.54738573040709526</v>
      </c>
      <c r="BA139" s="68">
        <f t="shared" si="105"/>
        <v>0.64615736443671834</v>
      </c>
      <c r="BB139" s="68">
        <f t="shared" si="106"/>
        <v>0.74212945905943861</v>
      </c>
      <c r="BC139" s="68">
        <f t="shared" si="107"/>
        <v>0.82772200511117855</v>
      </c>
      <c r="BD139" s="68">
        <f t="shared" si="108"/>
        <v>0.91615028859637238</v>
      </c>
      <c r="BE139" s="68">
        <f t="shared" si="109"/>
        <v>1</v>
      </c>
      <c r="BG139" s="68">
        <f t="shared" si="95"/>
        <v>6.6731327239257301E-2</v>
      </c>
      <c r="BH139" s="68">
        <f t="shared" si="95"/>
        <v>0.13597744322671115</v>
      </c>
      <c r="BI139" s="68">
        <f t="shared" si="95"/>
        <v>0.21079123310790862</v>
      </c>
      <c r="BJ139" s="68">
        <f t="shared" si="94"/>
        <v>0.29058222024478186</v>
      </c>
      <c r="BK139" s="68">
        <f t="shared" si="94"/>
        <v>0.38027386695347304</v>
      </c>
      <c r="BL139" s="68">
        <f t="shared" si="94"/>
        <v>0.4653997441762302</v>
      </c>
      <c r="BM139" s="68">
        <f t="shared" si="81"/>
        <v>0.54810357363041562</v>
      </c>
      <c r="BN139" s="68">
        <f t="shared" si="81"/>
        <v>0.64778423398441642</v>
      </c>
      <c r="BO139" s="68">
        <f t="shared" si="81"/>
        <v>0.7394998978161067</v>
      </c>
      <c r="BP139" s="68">
        <f t="shared" si="81"/>
        <v>0.83114492897877423</v>
      </c>
      <c r="BQ139" s="68">
        <f t="shared" si="81"/>
        <v>0.91613867342882194</v>
      </c>
      <c r="BR139" s="68">
        <f t="shared" si="81"/>
        <v>1</v>
      </c>
    </row>
    <row r="140" spans="1:70">
      <c r="A140" s="239" t="s">
        <v>136</v>
      </c>
      <c r="B140" s="62">
        <v>29799.64</v>
      </c>
      <c r="C140" s="62">
        <v>24615.7</v>
      </c>
      <c r="D140" s="62">
        <v>32401.62</v>
      </c>
      <c r="E140" s="62">
        <v>26901</v>
      </c>
      <c r="F140" s="62">
        <v>35688.699999999997</v>
      </c>
      <c r="G140" s="62">
        <v>42641.01</v>
      </c>
      <c r="H140" s="62">
        <v>36060.5</v>
      </c>
      <c r="I140" s="62">
        <v>43653.36</v>
      </c>
      <c r="J140" s="62">
        <v>32032.13</v>
      </c>
      <c r="K140" s="62">
        <v>40721.699999999997</v>
      </c>
      <c r="L140" s="62">
        <v>35513.15</v>
      </c>
      <c r="M140" s="62">
        <v>36516.54</v>
      </c>
      <c r="N140" s="100">
        <f t="shared" si="96"/>
        <v>416545.05</v>
      </c>
      <c r="P140" s="239" t="s">
        <v>136</v>
      </c>
      <c r="Q140" s="62">
        <v>24953.83</v>
      </c>
      <c r="R140" s="62">
        <v>21441.309999999998</v>
      </c>
      <c r="S140" s="62">
        <v>29579.030000000002</v>
      </c>
      <c r="T140" s="62">
        <v>38592.5</v>
      </c>
      <c r="U140" s="62">
        <v>33302.11</v>
      </c>
      <c r="V140" s="62">
        <v>34087.050000000003</v>
      </c>
      <c r="W140" s="62">
        <v>31897.149999999998</v>
      </c>
      <c r="X140" s="62">
        <v>41626.050000000003</v>
      </c>
      <c r="Y140" s="62">
        <v>33132.870000000003</v>
      </c>
      <c r="Z140" s="62">
        <v>42926.58</v>
      </c>
      <c r="AA140" s="62">
        <v>39053.480000000003</v>
      </c>
      <c r="AB140" s="62">
        <v>26217.79</v>
      </c>
      <c r="AC140" s="100">
        <f t="shared" si="97"/>
        <v>396809.75</v>
      </c>
      <c r="AE140" s="68">
        <f t="shared" si="82"/>
        <v>7.15400171001912E-2</v>
      </c>
      <c r="AF140" s="68">
        <f t="shared" si="83"/>
        <v>0.13063494572795908</v>
      </c>
      <c r="AG140" s="68">
        <f t="shared" si="84"/>
        <v>0.20842153807853434</v>
      </c>
      <c r="AH140" s="68">
        <f t="shared" si="85"/>
        <v>0.27300278805377715</v>
      </c>
      <c r="AI140" s="68">
        <f t="shared" si="86"/>
        <v>0.35868067571562784</v>
      </c>
      <c r="AJ140" s="68">
        <f t="shared" si="87"/>
        <v>0.46104897897598346</v>
      </c>
      <c r="AK140" s="68">
        <f t="shared" si="88"/>
        <v>0.54761944716423827</v>
      </c>
      <c r="AL140" s="68">
        <f t="shared" si="89"/>
        <v>0.65241809979496812</v>
      </c>
      <c r="AM140" s="68">
        <f t="shared" si="90"/>
        <v>0.72931765723779451</v>
      </c>
      <c r="AN140" s="68">
        <f t="shared" si="91"/>
        <v>0.82707827160591629</v>
      </c>
      <c r="AO140" s="68">
        <f t="shared" si="92"/>
        <v>0.91233471625698115</v>
      </c>
      <c r="AP140" s="68">
        <f t="shared" si="93"/>
        <v>1</v>
      </c>
      <c r="AQ140" s="92"/>
      <c r="AT140" s="68">
        <f t="shared" si="98"/>
        <v>6.2886131200153225E-2</v>
      </c>
      <c r="AU140" s="68">
        <f t="shared" si="99"/>
        <v>0.1169203629699119</v>
      </c>
      <c r="AV140" s="68">
        <f t="shared" si="100"/>
        <v>0.19146245776470966</v>
      </c>
      <c r="AW140" s="68">
        <f t="shared" si="101"/>
        <v>0.28871939260565044</v>
      </c>
      <c r="AX140" s="68">
        <f t="shared" si="102"/>
        <v>0.37264401895366733</v>
      </c>
      <c r="AY140" s="68">
        <f t="shared" si="103"/>
        <v>0.4585467720992239</v>
      </c>
      <c r="AZ140" s="68">
        <f t="shared" si="104"/>
        <v>0.5389307596398526</v>
      </c>
      <c r="BA140" s="68">
        <f t="shared" si="105"/>
        <v>0.64383254191712791</v>
      </c>
      <c r="BB140" s="68">
        <f t="shared" si="106"/>
        <v>0.72733066664818602</v>
      </c>
      <c r="BC140" s="68">
        <f t="shared" si="107"/>
        <v>0.83550991375589945</v>
      </c>
      <c r="BD140" s="68">
        <f t="shared" si="108"/>
        <v>0.93392856400327873</v>
      </c>
      <c r="BE140" s="68">
        <f t="shared" si="109"/>
        <v>1</v>
      </c>
      <c r="BG140" s="68">
        <f t="shared" si="95"/>
        <v>6.721307415017222E-2</v>
      </c>
      <c r="BH140" s="68">
        <f t="shared" si="95"/>
        <v>0.12377765434893549</v>
      </c>
      <c r="BI140" s="68">
        <f t="shared" si="95"/>
        <v>0.19994199792162198</v>
      </c>
      <c r="BJ140" s="68">
        <f t="shared" si="94"/>
        <v>0.28086109032971379</v>
      </c>
      <c r="BK140" s="68">
        <f t="shared" si="94"/>
        <v>0.36566234733464759</v>
      </c>
      <c r="BL140" s="68">
        <f t="shared" si="94"/>
        <v>0.45979787553760365</v>
      </c>
      <c r="BM140" s="68">
        <f t="shared" si="81"/>
        <v>0.54327510340204543</v>
      </c>
      <c r="BN140" s="68">
        <f t="shared" si="81"/>
        <v>0.64812532085604802</v>
      </c>
      <c r="BO140" s="68">
        <f t="shared" si="81"/>
        <v>0.72832416194299032</v>
      </c>
      <c r="BP140" s="68">
        <f t="shared" si="81"/>
        <v>0.83129409268090781</v>
      </c>
      <c r="BQ140" s="68">
        <f t="shared" si="81"/>
        <v>0.92313164013012994</v>
      </c>
      <c r="BR140" s="68">
        <f t="shared" si="81"/>
        <v>1</v>
      </c>
    </row>
    <row r="141" spans="1:70">
      <c r="A141" s="239" t="s">
        <v>137</v>
      </c>
      <c r="B141" s="62">
        <v>345036.43</v>
      </c>
      <c r="C141" s="62">
        <v>309893.37</v>
      </c>
      <c r="D141" s="62">
        <v>415776</v>
      </c>
      <c r="E141" s="62">
        <v>415955.5</v>
      </c>
      <c r="F141" s="62">
        <v>429135</v>
      </c>
      <c r="G141" s="62">
        <v>414495</v>
      </c>
      <c r="H141" s="62">
        <v>462075</v>
      </c>
      <c r="I141" s="62">
        <v>543011.5</v>
      </c>
      <c r="J141" s="62">
        <v>462898.51</v>
      </c>
      <c r="K141" s="62">
        <v>542595</v>
      </c>
      <c r="L141" s="62">
        <v>418612.5</v>
      </c>
      <c r="M141" s="62">
        <v>410926.5</v>
      </c>
      <c r="N141" s="100">
        <f t="shared" si="96"/>
        <v>5170410.3099999996</v>
      </c>
      <c r="P141" s="239" t="s">
        <v>137</v>
      </c>
      <c r="Q141" s="62">
        <v>279480.99</v>
      </c>
      <c r="R141" s="62">
        <v>292566.09999999998</v>
      </c>
      <c r="S141" s="62">
        <v>403949.02</v>
      </c>
      <c r="T141" s="62">
        <v>341009.48</v>
      </c>
      <c r="U141" s="62">
        <v>447552.25</v>
      </c>
      <c r="V141" s="62">
        <v>432061.48</v>
      </c>
      <c r="W141" s="62">
        <v>415321.47000000003</v>
      </c>
      <c r="X141" s="62">
        <v>496351.46</v>
      </c>
      <c r="Y141" s="62">
        <v>429086.32</v>
      </c>
      <c r="Z141" s="62">
        <v>436809.25</v>
      </c>
      <c r="AA141" s="62">
        <v>391193.82</v>
      </c>
      <c r="AB141" s="62">
        <v>372538.56</v>
      </c>
      <c r="AC141" s="100">
        <f t="shared" si="97"/>
        <v>4737920.1999999993</v>
      </c>
      <c r="AE141" s="68">
        <f t="shared" si="82"/>
        <v>6.6732891455958745E-2</v>
      </c>
      <c r="AF141" s="68">
        <f t="shared" si="83"/>
        <v>0.12666882524454817</v>
      </c>
      <c r="AG141" s="68">
        <f t="shared" si="84"/>
        <v>0.2070833330053452</v>
      </c>
      <c r="AH141" s="68">
        <f t="shared" si="85"/>
        <v>0.28753255754667567</v>
      </c>
      <c r="AI141" s="68">
        <f t="shared" si="86"/>
        <v>0.37053080609380112</v>
      </c>
      <c r="AJ141" s="68">
        <f t="shared" si="87"/>
        <v>0.45069755788878579</v>
      </c>
      <c r="AK141" s="68">
        <f t="shared" si="88"/>
        <v>0.54006667412822795</v>
      </c>
      <c r="AL141" s="68">
        <f t="shared" si="89"/>
        <v>0.64508957703977654</v>
      </c>
      <c r="AM141" s="68">
        <f t="shared" si="90"/>
        <v>0.7346179669056091</v>
      </c>
      <c r="AN141" s="68">
        <f t="shared" si="91"/>
        <v>0.83956031528182529</v>
      </c>
      <c r="AO141" s="68">
        <f t="shared" si="92"/>
        <v>0.92052342553834954</v>
      </c>
      <c r="AP141" s="68">
        <f t="shared" si="93"/>
        <v>1</v>
      </c>
      <c r="AQ141" s="92"/>
      <c r="AT141" s="68">
        <f t="shared" si="98"/>
        <v>5.8988116769041414E-2</v>
      </c>
      <c r="AU141" s="68">
        <f t="shared" si="99"/>
        <v>0.1207380170733986</v>
      </c>
      <c r="AV141" s="68">
        <f t="shared" si="100"/>
        <v>0.20599673882223685</v>
      </c>
      <c r="AW141" s="68">
        <f t="shared" si="101"/>
        <v>0.27797124780615767</v>
      </c>
      <c r="AX141" s="68">
        <f t="shared" si="102"/>
        <v>0.37243300129875556</v>
      </c>
      <c r="AY141" s="68">
        <f t="shared" si="103"/>
        <v>0.46362522526234196</v>
      </c>
      <c r="AZ141" s="68">
        <f t="shared" si="104"/>
        <v>0.5512842512628221</v>
      </c>
      <c r="BA141" s="68">
        <f t="shared" si="105"/>
        <v>0.6560457160084715</v>
      </c>
      <c r="BB141" s="68">
        <f t="shared" si="106"/>
        <v>0.74660999355793289</v>
      </c>
      <c r="BC141" s="68">
        <f t="shared" si="107"/>
        <v>0.83880429645058197</v>
      </c>
      <c r="BD141" s="68">
        <f t="shared" si="108"/>
        <v>0.92137086648272382</v>
      </c>
      <c r="BE141" s="68">
        <f t="shared" si="109"/>
        <v>1</v>
      </c>
      <c r="BG141" s="68">
        <f t="shared" si="95"/>
        <v>6.2860504112500076E-2</v>
      </c>
      <c r="BH141" s="68">
        <f t="shared" si="95"/>
        <v>0.12370342115897338</v>
      </c>
      <c r="BI141" s="68">
        <f t="shared" si="95"/>
        <v>0.20654003591379103</v>
      </c>
      <c r="BJ141" s="68">
        <f t="shared" si="94"/>
        <v>0.2827519026764167</v>
      </c>
      <c r="BK141" s="68">
        <f t="shared" si="94"/>
        <v>0.37148190369627831</v>
      </c>
      <c r="BL141" s="68">
        <f t="shared" si="94"/>
        <v>0.4571613915755639</v>
      </c>
      <c r="BM141" s="68">
        <f t="shared" si="81"/>
        <v>0.54567546269552503</v>
      </c>
      <c r="BN141" s="68">
        <f t="shared" si="81"/>
        <v>0.65056764652412402</v>
      </c>
      <c r="BO141" s="68">
        <f t="shared" si="81"/>
        <v>0.74061398023177105</v>
      </c>
      <c r="BP141" s="68">
        <f t="shared" si="81"/>
        <v>0.83918230586620357</v>
      </c>
      <c r="BQ141" s="68">
        <f t="shared" si="81"/>
        <v>0.92094714601053673</v>
      </c>
      <c r="BR141" s="68">
        <f t="shared" si="81"/>
        <v>1</v>
      </c>
    </row>
    <row r="142" spans="1:70">
      <c r="A142" s="239" t="s">
        <v>138</v>
      </c>
      <c r="B142" s="62">
        <v>49229.65</v>
      </c>
      <c r="C142" s="62">
        <v>57745.65</v>
      </c>
      <c r="D142" s="62">
        <v>60518.1</v>
      </c>
      <c r="E142" s="62">
        <v>58578.3</v>
      </c>
      <c r="F142" s="62">
        <v>63409.500000000007</v>
      </c>
      <c r="G142" s="62">
        <v>64782</v>
      </c>
      <c r="H142" s="62">
        <v>62805.600000000006</v>
      </c>
      <c r="I142" s="62">
        <v>72303.3</v>
      </c>
      <c r="J142" s="62">
        <v>57086.85</v>
      </c>
      <c r="K142" s="62">
        <v>71077.2</v>
      </c>
      <c r="L142" s="62">
        <v>67618.5</v>
      </c>
      <c r="M142" s="62">
        <v>56089.5</v>
      </c>
      <c r="N142" s="100">
        <f t="shared" si="96"/>
        <v>741244.15</v>
      </c>
      <c r="P142" s="239" t="s">
        <v>138</v>
      </c>
      <c r="Q142" s="62">
        <v>43757.99</v>
      </c>
      <c r="R142" s="62">
        <v>48912.820000000007</v>
      </c>
      <c r="S142" s="62">
        <v>51697.13</v>
      </c>
      <c r="T142" s="62">
        <v>59063.35</v>
      </c>
      <c r="U142" s="62">
        <v>66423.02</v>
      </c>
      <c r="V142" s="62">
        <v>72796.540000000008</v>
      </c>
      <c r="W142" s="62">
        <v>57457.95</v>
      </c>
      <c r="X142" s="62">
        <v>70884.490000000005</v>
      </c>
      <c r="Y142" s="62">
        <v>61056.91</v>
      </c>
      <c r="Z142" s="62">
        <v>54641.15</v>
      </c>
      <c r="AA142" s="62">
        <v>56722</v>
      </c>
      <c r="AB142" s="62">
        <v>51525.47</v>
      </c>
      <c r="AC142" s="100">
        <f t="shared" si="97"/>
        <v>694938.82</v>
      </c>
      <c r="AE142" s="68">
        <f t="shared" si="82"/>
        <v>6.6414891773513493E-2</v>
      </c>
      <c r="AF142" s="68">
        <f t="shared" si="83"/>
        <v>0.14431857573513396</v>
      </c>
      <c r="AG142" s="68">
        <f t="shared" si="84"/>
        <v>0.22596252530289782</v>
      </c>
      <c r="AH142" s="68">
        <f t="shared" si="85"/>
        <v>0.3049895233574525</v>
      </c>
      <c r="AI142" s="68">
        <f t="shared" si="86"/>
        <v>0.39053421197320748</v>
      </c>
      <c r="AJ142" s="68">
        <f t="shared" si="87"/>
        <v>0.47793051722566715</v>
      </c>
      <c r="AK142" s="68">
        <f t="shared" si="88"/>
        <v>0.5626604945212722</v>
      </c>
      <c r="AL142" s="68">
        <f t="shared" si="89"/>
        <v>0.66020365894287325</v>
      </c>
      <c r="AM142" s="68">
        <f t="shared" si="90"/>
        <v>0.73721856691887555</v>
      </c>
      <c r="AN142" s="68">
        <f t="shared" si="91"/>
        <v>0.83310762047835385</v>
      </c>
      <c r="AO142" s="68">
        <f t="shared" si="92"/>
        <v>0.92433060011333645</v>
      </c>
      <c r="AP142" s="68">
        <f t="shared" si="93"/>
        <v>1</v>
      </c>
      <c r="AQ142" s="92"/>
      <c r="AT142" s="68">
        <f t="shared" si="98"/>
        <v>6.2966679570440456E-2</v>
      </c>
      <c r="AU142" s="68">
        <f t="shared" si="99"/>
        <v>0.13335103369243353</v>
      </c>
      <c r="AV142" s="68">
        <f t="shared" si="100"/>
        <v>0.20774194194533557</v>
      </c>
      <c r="AW142" s="68">
        <f t="shared" si="101"/>
        <v>0.29273266098445905</v>
      </c>
      <c r="AX142" s="68">
        <f t="shared" si="102"/>
        <v>0.38831376551967556</v>
      </c>
      <c r="AY142" s="68">
        <f t="shared" si="103"/>
        <v>0.49306620977081117</v>
      </c>
      <c r="AZ142" s="68">
        <f t="shared" si="104"/>
        <v>0.57574679739433754</v>
      </c>
      <c r="BA142" s="68">
        <f t="shared" si="105"/>
        <v>0.67774784836455104</v>
      </c>
      <c r="BB142" s="68">
        <f t="shared" si="106"/>
        <v>0.76560725158511078</v>
      </c>
      <c r="BC142" s="68">
        <f t="shared" si="107"/>
        <v>0.84423453276074001</v>
      </c>
      <c r="BD142" s="68">
        <f t="shared" si="108"/>
        <v>0.92585610629724213</v>
      </c>
      <c r="BE142" s="68">
        <f t="shared" si="109"/>
        <v>1</v>
      </c>
      <c r="BG142" s="68">
        <f t="shared" si="95"/>
        <v>6.4690785671976975E-2</v>
      </c>
      <c r="BH142" s="68">
        <f t="shared" si="95"/>
        <v>0.13883480471378373</v>
      </c>
      <c r="BI142" s="68">
        <f t="shared" si="95"/>
        <v>0.21685223362411671</v>
      </c>
      <c r="BJ142" s="68">
        <f t="shared" si="94"/>
        <v>0.2988610921709558</v>
      </c>
      <c r="BK142" s="68">
        <f t="shared" si="94"/>
        <v>0.38942398874644152</v>
      </c>
      <c r="BL142" s="68">
        <f t="shared" si="94"/>
        <v>0.48549836349823916</v>
      </c>
      <c r="BM142" s="68">
        <f t="shared" si="81"/>
        <v>0.56920364595780493</v>
      </c>
      <c r="BN142" s="68">
        <f t="shared" si="81"/>
        <v>0.6689757536537122</v>
      </c>
      <c r="BO142" s="68">
        <f t="shared" si="81"/>
        <v>0.75141290925199322</v>
      </c>
      <c r="BP142" s="68">
        <f t="shared" ref="BP142:BR179" si="110">(AN142+BC142)/2</f>
        <v>0.83867107661954687</v>
      </c>
      <c r="BQ142" s="68">
        <f t="shared" si="110"/>
        <v>0.92509335320528929</v>
      </c>
      <c r="BR142" s="68">
        <f t="shared" si="110"/>
        <v>1</v>
      </c>
    </row>
    <row r="143" spans="1:70">
      <c r="A143" s="239" t="s">
        <v>139</v>
      </c>
      <c r="B143" s="62">
        <v>635010.15</v>
      </c>
      <c r="C143" s="62">
        <v>617259</v>
      </c>
      <c r="D143" s="62">
        <v>755149.5</v>
      </c>
      <c r="E143" s="62">
        <v>795135</v>
      </c>
      <c r="F143" s="62">
        <v>796782.07999999996</v>
      </c>
      <c r="G143" s="62">
        <v>740418.3</v>
      </c>
      <c r="H143" s="62">
        <v>784505.45</v>
      </c>
      <c r="I143" s="62">
        <v>889735.65</v>
      </c>
      <c r="J143" s="62">
        <v>726235.5</v>
      </c>
      <c r="K143" s="62">
        <v>895693.5</v>
      </c>
      <c r="L143" s="62">
        <v>778848</v>
      </c>
      <c r="M143" s="62">
        <v>727882.5</v>
      </c>
      <c r="N143" s="100">
        <f t="shared" si="96"/>
        <v>9142654.6300000008</v>
      </c>
      <c r="P143" s="239" t="s">
        <v>139</v>
      </c>
      <c r="Q143" s="62">
        <v>571081.51</v>
      </c>
      <c r="R143" s="62">
        <v>596751.05000000005</v>
      </c>
      <c r="S143" s="62">
        <v>775283.98</v>
      </c>
      <c r="T143" s="62">
        <v>653514.98</v>
      </c>
      <c r="U143" s="62">
        <v>812934.99</v>
      </c>
      <c r="V143" s="62">
        <v>744383.92</v>
      </c>
      <c r="W143" s="62">
        <v>766948.15</v>
      </c>
      <c r="X143" s="62">
        <v>894083.33</v>
      </c>
      <c r="Y143" s="62">
        <v>757103.58000000007</v>
      </c>
      <c r="Z143" s="62">
        <v>779178.95</v>
      </c>
      <c r="AA143" s="62">
        <v>764126.3</v>
      </c>
      <c r="AB143" s="62">
        <v>692617.88</v>
      </c>
      <c r="AC143" s="100">
        <f t="shared" si="97"/>
        <v>8808008.620000001</v>
      </c>
      <c r="AE143" s="68">
        <f t="shared" si="82"/>
        <v>6.9455773590782574E-2</v>
      </c>
      <c r="AF143" s="68">
        <f t="shared" si="83"/>
        <v>0.13696997214473142</v>
      </c>
      <c r="AG143" s="68">
        <f t="shared" si="84"/>
        <v>0.21956627820250493</v>
      </c>
      <c r="AH143" s="68">
        <f t="shared" si="85"/>
        <v>0.30653609519536229</v>
      </c>
      <c r="AI143" s="68">
        <f t="shared" si="86"/>
        <v>0.39368606555358854</v>
      </c>
      <c r="AJ143" s="68">
        <f t="shared" si="87"/>
        <v>0.47467111092218955</v>
      </c>
      <c r="AK143" s="68">
        <f t="shared" si="88"/>
        <v>0.56047829513166247</v>
      </c>
      <c r="AL143" s="68">
        <f t="shared" si="89"/>
        <v>0.65779528740658555</v>
      </c>
      <c r="AM143" s="68">
        <f t="shared" si="90"/>
        <v>0.73722905466461885</v>
      </c>
      <c r="AN143" s="68">
        <f t="shared" si="91"/>
        <v>0.83519770121733239</v>
      </c>
      <c r="AO143" s="68">
        <f t="shared" si="92"/>
        <v>0.92038608812679168</v>
      </c>
      <c r="AP143" s="68">
        <f t="shared" si="93"/>
        <v>1</v>
      </c>
      <c r="AQ143" s="92"/>
      <c r="AT143" s="68">
        <f t="shared" si="98"/>
        <v>6.4836620243907073E-2</v>
      </c>
      <c r="AU143" s="68">
        <f t="shared" si="99"/>
        <v>0.13258758141406088</v>
      </c>
      <c r="AV143" s="68">
        <f t="shared" si="100"/>
        <v>0.22060792896907949</v>
      </c>
      <c r="AW143" s="68">
        <f t="shared" si="101"/>
        <v>0.29480347170686577</v>
      </c>
      <c r="AX143" s="68">
        <f t="shared" si="102"/>
        <v>0.38709845290773559</v>
      </c>
      <c r="AY143" s="68">
        <f t="shared" si="103"/>
        <v>0.47161062269714255</v>
      </c>
      <c r="AZ143" s="68">
        <f t="shared" si="104"/>
        <v>0.55868457812658223</v>
      </c>
      <c r="BA143" s="68">
        <f t="shared" si="105"/>
        <v>0.66019257710490287</v>
      </c>
      <c r="BB143" s="68">
        <f t="shared" si="106"/>
        <v>0.74614884856913311</v>
      </c>
      <c r="BC143" s="68">
        <f t="shared" si="107"/>
        <v>0.83461140391118271</v>
      </c>
      <c r="BD143" s="68">
        <f t="shared" si="108"/>
        <v>0.92136498613008844</v>
      </c>
      <c r="BE143" s="68">
        <f t="shared" si="109"/>
        <v>1</v>
      </c>
      <c r="BG143" s="68">
        <f t="shared" si="95"/>
        <v>6.714619691734483E-2</v>
      </c>
      <c r="BH143" s="68">
        <f t="shared" si="95"/>
        <v>0.13477877677939615</v>
      </c>
      <c r="BI143" s="68">
        <f t="shared" si="95"/>
        <v>0.2200871035857922</v>
      </c>
      <c r="BJ143" s="68">
        <f t="shared" si="94"/>
        <v>0.30066978345111406</v>
      </c>
      <c r="BK143" s="68">
        <f t="shared" si="94"/>
        <v>0.39039225923066206</v>
      </c>
      <c r="BL143" s="68">
        <f t="shared" si="94"/>
        <v>0.47314086680966605</v>
      </c>
      <c r="BM143" s="68">
        <f t="shared" si="94"/>
        <v>0.5595814366291223</v>
      </c>
      <c r="BN143" s="68">
        <f t="shared" si="94"/>
        <v>0.65899393225574421</v>
      </c>
      <c r="BO143" s="68">
        <f t="shared" si="94"/>
        <v>0.74168895161687598</v>
      </c>
      <c r="BP143" s="68">
        <f t="shared" si="110"/>
        <v>0.83490455256425755</v>
      </c>
      <c r="BQ143" s="68">
        <f t="shared" si="110"/>
        <v>0.92087553712844006</v>
      </c>
      <c r="BR143" s="68">
        <f t="shared" si="110"/>
        <v>1</v>
      </c>
    </row>
    <row r="144" spans="1:70">
      <c r="A144" s="239" t="s">
        <v>140</v>
      </c>
      <c r="B144" s="62">
        <v>38891.5</v>
      </c>
      <c r="C144" s="62">
        <v>41175</v>
      </c>
      <c r="D144" s="62">
        <v>63409.5</v>
      </c>
      <c r="E144" s="62">
        <v>62961.15</v>
      </c>
      <c r="F144" s="62">
        <v>63135</v>
      </c>
      <c r="G144" s="62">
        <v>64965</v>
      </c>
      <c r="H144" s="62">
        <v>66337.5</v>
      </c>
      <c r="I144" s="62">
        <v>74298</v>
      </c>
      <c r="J144" s="62">
        <v>58743</v>
      </c>
      <c r="K144" s="62">
        <v>63409.5</v>
      </c>
      <c r="L144" s="62">
        <v>61762.5</v>
      </c>
      <c r="M144" s="62">
        <v>60115.5</v>
      </c>
      <c r="N144" s="100">
        <f t="shared" si="96"/>
        <v>719203.15</v>
      </c>
      <c r="P144" s="239" t="s">
        <v>140</v>
      </c>
      <c r="Q144" s="62">
        <v>27600.47</v>
      </c>
      <c r="R144" s="62">
        <v>35104.03</v>
      </c>
      <c r="S144" s="62">
        <v>51201.270000000004</v>
      </c>
      <c r="T144" s="62">
        <v>40745.97</v>
      </c>
      <c r="U144" s="62">
        <v>53845.16</v>
      </c>
      <c r="V144" s="62">
        <v>68676.7</v>
      </c>
      <c r="W144" s="62">
        <v>60994.1</v>
      </c>
      <c r="X144" s="62">
        <v>63812.25</v>
      </c>
      <c r="Y144" s="62">
        <v>54549.08</v>
      </c>
      <c r="Z144" s="62">
        <v>53042.25</v>
      </c>
      <c r="AA144" s="62">
        <v>47567.5</v>
      </c>
      <c r="AB144" s="62">
        <v>44516</v>
      </c>
      <c r="AC144" s="100">
        <f t="shared" si="97"/>
        <v>601654.78</v>
      </c>
      <c r="AE144" s="68">
        <f t="shared" si="82"/>
        <v>5.4075819884826695E-2</v>
      </c>
      <c r="AF144" s="68">
        <f t="shared" si="83"/>
        <v>0.11132668148074712</v>
      </c>
      <c r="AG144" s="68">
        <f t="shared" si="84"/>
        <v>0.19949300833846459</v>
      </c>
      <c r="AH144" s="68">
        <f t="shared" si="85"/>
        <v>0.28703593692547091</v>
      </c>
      <c r="AI144" s="68">
        <f t="shared" si="86"/>
        <v>0.37482059137254892</v>
      </c>
      <c r="AJ144" s="68">
        <f t="shared" si="87"/>
        <v>0.46514972855722336</v>
      </c>
      <c r="AK144" s="68">
        <f t="shared" si="88"/>
        <v>0.5573872277950952</v>
      </c>
      <c r="AL144" s="68">
        <f t="shared" si="89"/>
        <v>0.66069322694151156</v>
      </c>
      <c r="AM144" s="68">
        <f t="shared" si="90"/>
        <v>0.74237112281835804</v>
      </c>
      <c r="AN144" s="68">
        <f t="shared" si="91"/>
        <v>0.83053744967607557</v>
      </c>
      <c r="AO144" s="68">
        <f t="shared" si="92"/>
        <v>0.91641374206995618</v>
      </c>
      <c r="AP144" s="68">
        <f t="shared" si="93"/>
        <v>1</v>
      </c>
      <c r="AQ144" s="92"/>
      <c r="AT144" s="68">
        <f t="shared" si="98"/>
        <v>4.5874263643347103E-2</v>
      </c>
      <c r="AU144" s="68">
        <f t="shared" si="99"/>
        <v>0.10422006453601182</v>
      </c>
      <c r="AV144" s="68">
        <f t="shared" si="100"/>
        <v>0.18932080951804289</v>
      </c>
      <c r="AW144" s="68">
        <f t="shared" si="101"/>
        <v>0.2570439812677961</v>
      </c>
      <c r="AX144" s="68">
        <f t="shared" si="102"/>
        <v>0.34653909007421163</v>
      </c>
      <c r="AY144" s="68">
        <f t="shared" si="103"/>
        <v>0.46068544489914959</v>
      </c>
      <c r="AZ144" s="68">
        <f t="shared" si="104"/>
        <v>0.56206268318852204</v>
      </c>
      <c r="BA144" s="68">
        <f t="shared" si="105"/>
        <v>0.6681239198332305</v>
      </c>
      <c r="BB144" s="68">
        <f t="shared" si="106"/>
        <v>0.75878900189241405</v>
      </c>
      <c r="BC144" s="68">
        <f t="shared" si="107"/>
        <v>0.84694960787978768</v>
      </c>
      <c r="BD144" s="68">
        <f t="shared" si="108"/>
        <v>0.92601072661634964</v>
      </c>
      <c r="BE144" s="68">
        <f t="shared" si="109"/>
        <v>1</v>
      </c>
      <c r="BG144" s="68">
        <f t="shared" si="95"/>
        <v>4.9975041764086903E-2</v>
      </c>
      <c r="BH144" s="68">
        <f t="shared" si="95"/>
        <v>0.10777337300837947</v>
      </c>
      <c r="BI144" s="68">
        <f t="shared" si="95"/>
        <v>0.19440690892825374</v>
      </c>
      <c r="BJ144" s="68">
        <f t="shared" si="94"/>
        <v>0.27203995909663348</v>
      </c>
      <c r="BK144" s="68">
        <f t="shared" si="94"/>
        <v>0.36067984072338027</v>
      </c>
      <c r="BL144" s="68">
        <f t="shared" si="94"/>
        <v>0.4629175867281865</v>
      </c>
      <c r="BM144" s="68">
        <f t="shared" si="94"/>
        <v>0.55972495549180867</v>
      </c>
      <c r="BN144" s="68">
        <f t="shared" si="94"/>
        <v>0.66440857338737103</v>
      </c>
      <c r="BO144" s="68">
        <f t="shared" si="94"/>
        <v>0.75058006235538599</v>
      </c>
      <c r="BP144" s="68">
        <f t="shared" si="110"/>
        <v>0.83874352877793168</v>
      </c>
      <c r="BQ144" s="68">
        <f t="shared" si="110"/>
        <v>0.92121223434315291</v>
      </c>
      <c r="BR144" s="68">
        <f t="shared" si="110"/>
        <v>1</v>
      </c>
    </row>
    <row r="145" spans="1:70">
      <c r="A145" s="239" t="s">
        <v>141</v>
      </c>
      <c r="B145" s="62">
        <v>7378.25</v>
      </c>
      <c r="C145" s="62">
        <v>6771</v>
      </c>
      <c r="D145" s="62">
        <v>11254.5</v>
      </c>
      <c r="E145" s="62">
        <v>8052</v>
      </c>
      <c r="F145" s="62">
        <v>10156.5</v>
      </c>
      <c r="G145" s="62">
        <v>7594.5</v>
      </c>
      <c r="H145" s="62">
        <v>7594.5</v>
      </c>
      <c r="I145" s="62">
        <v>9424.5</v>
      </c>
      <c r="J145" s="62">
        <v>8601</v>
      </c>
      <c r="K145" s="62">
        <v>9607.5</v>
      </c>
      <c r="L145" s="62">
        <v>7137</v>
      </c>
      <c r="M145" s="62">
        <v>8418</v>
      </c>
      <c r="N145" s="100">
        <f t="shared" si="96"/>
        <v>101989.25</v>
      </c>
      <c r="P145" s="239" t="s">
        <v>141</v>
      </c>
      <c r="Q145" s="62">
        <v>10816.25</v>
      </c>
      <c r="R145" s="62">
        <v>5995.2999999999993</v>
      </c>
      <c r="S145" s="62">
        <v>11006.82</v>
      </c>
      <c r="T145" s="62">
        <v>6861.48</v>
      </c>
      <c r="U145" s="62">
        <v>11147.140000000001</v>
      </c>
      <c r="V145" s="62">
        <v>8150.06</v>
      </c>
      <c r="W145" s="62">
        <v>5474.75</v>
      </c>
      <c r="X145" s="62">
        <v>11111.05</v>
      </c>
      <c r="Y145" s="62">
        <v>6192.75</v>
      </c>
      <c r="Z145" s="62">
        <v>6551.75</v>
      </c>
      <c r="AA145" s="62">
        <v>7718.5</v>
      </c>
      <c r="AB145" s="62">
        <v>6372.25</v>
      </c>
      <c r="AC145" s="100">
        <f t="shared" si="97"/>
        <v>97398.099999999991</v>
      </c>
      <c r="AE145" s="68">
        <f t="shared" si="82"/>
        <v>7.2343408741607565E-2</v>
      </c>
      <c r="AF145" s="68">
        <f t="shared" si="83"/>
        <v>0.13873275859955828</v>
      </c>
      <c r="AG145" s="68">
        <f t="shared" si="84"/>
        <v>0.24908262390398989</v>
      </c>
      <c r="AH145" s="68">
        <f t="shared" si="85"/>
        <v>0.32803212103236373</v>
      </c>
      <c r="AI145" s="68">
        <f t="shared" si="86"/>
        <v>0.42761614581928981</v>
      </c>
      <c r="AJ145" s="68">
        <f t="shared" si="87"/>
        <v>0.50207987606536963</v>
      </c>
      <c r="AK145" s="68">
        <f t="shared" si="88"/>
        <v>0.57654360631144952</v>
      </c>
      <c r="AL145" s="68">
        <f t="shared" si="89"/>
        <v>0.66895040408670525</v>
      </c>
      <c r="AM145" s="68">
        <f t="shared" si="90"/>
        <v>0.75328282147383185</v>
      </c>
      <c r="AN145" s="68">
        <f t="shared" si="91"/>
        <v>0.84748392600200506</v>
      </c>
      <c r="AO145" s="68">
        <f t="shared" si="92"/>
        <v>0.91746188936579098</v>
      </c>
      <c r="AP145" s="68">
        <f t="shared" si="93"/>
        <v>1</v>
      </c>
      <c r="AQ145" s="92"/>
      <c r="AT145" s="68">
        <f t="shared" si="98"/>
        <v>0.11105196097254465</v>
      </c>
      <c r="AU145" s="68">
        <f t="shared" si="99"/>
        <v>0.17260654981976034</v>
      </c>
      <c r="AV145" s="68">
        <f t="shared" si="100"/>
        <v>0.28561511980213167</v>
      </c>
      <c r="AW145" s="68">
        <f t="shared" si="101"/>
        <v>0.35606290061099755</v>
      </c>
      <c r="AX145" s="68">
        <f t="shared" si="102"/>
        <v>0.47051215578127298</v>
      </c>
      <c r="AY145" s="68">
        <f t="shared" si="103"/>
        <v>0.55418996879815929</v>
      </c>
      <c r="AZ145" s="68">
        <f t="shared" si="104"/>
        <v>0.61039999753588625</v>
      </c>
      <c r="BA145" s="68">
        <f t="shared" si="105"/>
        <v>0.72447871159704347</v>
      </c>
      <c r="BB145" s="68">
        <f t="shared" si="106"/>
        <v>0.7880605473823411</v>
      </c>
      <c r="BC145" s="68">
        <f t="shared" si="107"/>
        <v>0.85532828669142413</v>
      </c>
      <c r="BD145" s="68">
        <f t="shared" si="108"/>
        <v>0.93457521245280961</v>
      </c>
      <c r="BE145" s="68">
        <f t="shared" si="109"/>
        <v>1</v>
      </c>
      <c r="BG145" s="68">
        <f t="shared" si="95"/>
        <v>9.1697684857076106E-2</v>
      </c>
      <c r="BH145" s="68">
        <f t="shared" si="95"/>
        <v>0.15566965420965931</v>
      </c>
      <c r="BI145" s="68">
        <f t="shared" si="95"/>
        <v>0.26734887185306078</v>
      </c>
      <c r="BJ145" s="68">
        <f t="shared" si="94"/>
        <v>0.34204751082168061</v>
      </c>
      <c r="BK145" s="68">
        <f t="shared" si="94"/>
        <v>0.44906415080028139</v>
      </c>
      <c r="BL145" s="68">
        <f t="shared" si="94"/>
        <v>0.52813492243176441</v>
      </c>
      <c r="BM145" s="68">
        <f t="shared" si="94"/>
        <v>0.59347180192366789</v>
      </c>
      <c r="BN145" s="68">
        <f t="shared" si="94"/>
        <v>0.6967145578418743</v>
      </c>
      <c r="BO145" s="68">
        <f t="shared" si="94"/>
        <v>0.77067168442808653</v>
      </c>
      <c r="BP145" s="68">
        <f t="shared" si="110"/>
        <v>0.85140610634671465</v>
      </c>
      <c r="BQ145" s="68">
        <f t="shared" si="110"/>
        <v>0.9260185509093003</v>
      </c>
      <c r="BR145" s="68">
        <f t="shared" si="110"/>
        <v>1</v>
      </c>
    </row>
    <row r="146" spans="1:70">
      <c r="A146" s="239" t="s">
        <v>142</v>
      </c>
      <c r="B146" s="62">
        <v>234413.55</v>
      </c>
      <c r="C146" s="62">
        <v>339002.26</v>
      </c>
      <c r="D146" s="62">
        <v>419772</v>
      </c>
      <c r="E146" s="62">
        <v>422394</v>
      </c>
      <c r="F146" s="62">
        <v>420166.25</v>
      </c>
      <c r="G146" s="62">
        <v>408364.5</v>
      </c>
      <c r="H146" s="62">
        <v>439840.5</v>
      </c>
      <c r="I146" s="62">
        <v>482662.5</v>
      </c>
      <c r="J146" s="62">
        <v>419881.75</v>
      </c>
      <c r="K146" s="62">
        <v>482754</v>
      </c>
      <c r="L146" s="62">
        <v>411201</v>
      </c>
      <c r="M146" s="62">
        <v>431697</v>
      </c>
      <c r="N146" s="100">
        <f t="shared" si="96"/>
        <v>4912149.3100000005</v>
      </c>
      <c r="P146" s="239" t="s">
        <v>142</v>
      </c>
      <c r="Q146" s="62">
        <v>201763.79</v>
      </c>
      <c r="R146" s="62">
        <v>286403.68</v>
      </c>
      <c r="S146" s="62">
        <v>388925.8</v>
      </c>
      <c r="T146" s="62">
        <v>324289.08</v>
      </c>
      <c r="U146" s="62">
        <v>420692.01</v>
      </c>
      <c r="V146" s="62">
        <v>376264.87</v>
      </c>
      <c r="W146" s="62">
        <v>409194.4</v>
      </c>
      <c r="X146" s="62">
        <v>449192.57999999996</v>
      </c>
      <c r="Y146" s="62">
        <v>411611.45</v>
      </c>
      <c r="Z146" s="62">
        <v>426578.47</v>
      </c>
      <c r="AA146" s="62">
        <v>386355.5</v>
      </c>
      <c r="AB146" s="62">
        <v>378218.53</v>
      </c>
      <c r="AC146" s="100">
        <f t="shared" si="97"/>
        <v>4459490.16</v>
      </c>
      <c r="AE146" s="68">
        <f t="shared" si="82"/>
        <v>4.7721177677312897E-2</v>
      </c>
      <c r="AF146" s="68">
        <f t="shared" si="83"/>
        <v>0.11673419796761023</v>
      </c>
      <c r="AG146" s="68">
        <f t="shared" si="84"/>
        <v>0.20219006942197365</v>
      </c>
      <c r="AH146" s="68">
        <f t="shared" si="85"/>
        <v>0.28817971943935067</v>
      </c>
      <c r="AI146" s="68">
        <f t="shared" si="86"/>
        <v>0.3737158510761962</v>
      </c>
      <c r="AJ146" s="68">
        <f t="shared" si="87"/>
        <v>0.45684941934307771</v>
      </c>
      <c r="AK146" s="68">
        <f t="shared" si="88"/>
        <v>0.54639077328860752</v>
      </c>
      <c r="AL146" s="68">
        <f t="shared" si="89"/>
        <v>0.64464969612253087</v>
      </c>
      <c r="AM146" s="68">
        <f t="shared" si="90"/>
        <v>0.73012791013879008</v>
      </c>
      <c r="AN146" s="68">
        <f t="shared" si="91"/>
        <v>0.82840546025666306</v>
      </c>
      <c r="AO146" s="68">
        <f t="shared" si="92"/>
        <v>0.91211647432598097</v>
      </c>
      <c r="AP146" s="68">
        <f t="shared" si="93"/>
        <v>1</v>
      </c>
      <c r="AQ146" s="92"/>
      <c r="AT146" s="68">
        <f t="shared" si="98"/>
        <v>4.5243689919925736E-2</v>
      </c>
      <c r="AU146" s="68">
        <f t="shared" si="99"/>
        <v>0.10946710329774557</v>
      </c>
      <c r="AV146" s="68">
        <f t="shared" si="100"/>
        <v>0.19668016713372455</v>
      </c>
      <c r="AW146" s="68">
        <f t="shared" si="101"/>
        <v>0.26939903596513376</v>
      </c>
      <c r="AX146" s="68">
        <f t="shared" si="102"/>
        <v>0.3637353827012369</v>
      </c>
      <c r="AY146" s="68">
        <f t="shared" si="103"/>
        <v>0.44810934844623584</v>
      </c>
      <c r="AZ146" s="68">
        <f t="shared" si="104"/>
        <v>0.53986746099244665</v>
      </c>
      <c r="BA146" s="68">
        <f t="shared" si="105"/>
        <v>0.64059480063972152</v>
      </c>
      <c r="BB146" s="68">
        <f t="shared" si="106"/>
        <v>0.73289491460611278</v>
      </c>
      <c r="BC146" s="68">
        <f t="shared" si="107"/>
        <v>0.82855124631556532</v>
      </c>
      <c r="BD146" s="68">
        <f t="shared" si="108"/>
        <v>0.91518794381642943</v>
      </c>
      <c r="BE146" s="68">
        <f t="shared" si="109"/>
        <v>1</v>
      </c>
      <c r="BG146" s="68">
        <f t="shared" si="95"/>
        <v>4.6482433798619313E-2</v>
      </c>
      <c r="BH146" s="68">
        <f t="shared" si="95"/>
        <v>0.11310065063267791</v>
      </c>
      <c r="BI146" s="68">
        <f t="shared" si="95"/>
        <v>0.1994351182778491</v>
      </c>
      <c r="BJ146" s="68">
        <f t="shared" si="94"/>
        <v>0.27878937770224221</v>
      </c>
      <c r="BK146" s="68">
        <f t="shared" si="94"/>
        <v>0.36872561688871652</v>
      </c>
      <c r="BL146" s="68">
        <f t="shared" si="94"/>
        <v>0.45247938389465681</v>
      </c>
      <c r="BM146" s="68">
        <f t="shared" si="94"/>
        <v>0.54312911714052703</v>
      </c>
      <c r="BN146" s="68">
        <f t="shared" si="94"/>
        <v>0.64262224838112614</v>
      </c>
      <c r="BO146" s="68">
        <f t="shared" si="94"/>
        <v>0.73151141237245143</v>
      </c>
      <c r="BP146" s="68">
        <f t="shared" si="110"/>
        <v>0.82847835328611419</v>
      </c>
      <c r="BQ146" s="68">
        <f t="shared" si="110"/>
        <v>0.91365220907120515</v>
      </c>
      <c r="BR146" s="68">
        <f t="shared" si="110"/>
        <v>1</v>
      </c>
    </row>
    <row r="147" spans="1:70">
      <c r="A147" s="239" t="s">
        <v>143</v>
      </c>
      <c r="B147" s="62">
        <v>1930866.92</v>
      </c>
      <c r="C147" s="62">
        <v>1998365.1</v>
      </c>
      <c r="D147" s="62">
        <v>2663298.54</v>
      </c>
      <c r="E147" s="62">
        <v>2648980</v>
      </c>
      <c r="F147" s="62">
        <v>2666967.0499999998</v>
      </c>
      <c r="G147" s="62">
        <v>2390054.5299999998</v>
      </c>
      <c r="H147" s="62">
        <v>2541998.1</v>
      </c>
      <c r="I147" s="62">
        <v>2925547.75</v>
      </c>
      <c r="J147" s="62">
        <v>2402204.27</v>
      </c>
      <c r="K147" s="62">
        <v>2618272.5699999998</v>
      </c>
      <c r="L147" s="62">
        <v>2172118.5</v>
      </c>
      <c r="M147" s="62">
        <v>2068388.87</v>
      </c>
      <c r="N147" s="100">
        <f t="shared" si="96"/>
        <v>29027062.199999999</v>
      </c>
      <c r="P147" s="239" t="s">
        <v>143</v>
      </c>
      <c r="Q147" s="62">
        <v>1613880.02</v>
      </c>
      <c r="R147" s="62">
        <v>1743940.41</v>
      </c>
      <c r="S147" s="62">
        <v>2437264.2599999998</v>
      </c>
      <c r="T147" s="62">
        <v>1980429.49</v>
      </c>
      <c r="U147" s="62">
        <v>2441361.42</v>
      </c>
      <c r="V147" s="62">
        <v>2293984.15</v>
      </c>
      <c r="W147" s="62">
        <v>2306509.81</v>
      </c>
      <c r="X147" s="62">
        <v>2685913.05</v>
      </c>
      <c r="Y147" s="62">
        <v>2293553.2200000002</v>
      </c>
      <c r="Z147" s="62">
        <v>2363350.0100000002</v>
      </c>
      <c r="AA147" s="62">
        <v>2144451.77</v>
      </c>
      <c r="AB147" s="62">
        <v>1913304.0899999999</v>
      </c>
      <c r="AC147" s="100">
        <f t="shared" si="97"/>
        <v>26217941.699999999</v>
      </c>
      <c r="AE147" s="68">
        <f t="shared" si="82"/>
        <v>6.651954326952178E-2</v>
      </c>
      <c r="AF147" s="68">
        <f t="shared" si="83"/>
        <v>0.13536444001556588</v>
      </c>
      <c r="AG147" s="68">
        <f t="shared" si="84"/>
        <v>0.22711669939509072</v>
      </c>
      <c r="AH147" s="68">
        <f t="shared" si="85"/>
        <v>0.31837567633695979</v>
      </c>
      <c r="AI147" s="68">
        <f t="shared" si="86"/>
        <v>0.41025431812386443</v>
      </c>
      <c r="AJ147" s="68">
        <f t="shared" si="87"/>
        <v>0.49259315467343434</v>
      </c>
      <c r="AK147" s="68">
        <f t="shared" si="88"/>
        <v>0.58016653989875688</v>
      </c>
      <c r="AL147" s="68">
        <f t="shared" si="89"/>
        <v>0.68095344454114271</v>
      </c>
      <c r="AM147" s="68">
        <f t="shared" si="90"/>
        <v>0.76371084704534786</v>
      </c>
      <c r="AN147" s="68">
        <f t="shared" si="91"/>
        <v>0.85391193429144197</v>
      </c>
      <c r="AO147" s="68">
        <f t="shared" si="92"/>
        <v>0.92874274166126258</v>
      </c>
      <c r="AP147" s="68">
        <f t="shared" si="93"/>
        <v>1</v>
      </c>
      <c r="AQ147" s="92"/>
      <c r="AT147" s="68">
        <f t="shared" si="98"/>
        <v>6.1556320418547583E-2</v>
      </c>
      <c r="AU147" s="68">
        <f t="shared" si="99"/>
        <v>0.12807338075665947</v>
      </c>
      <c r="AV147" s="68">
        <f t="shared" si="100"/>
        <v>0.22103507423696803</v>
      </c>
      <c r="AW147" s="68">
        <f t="shared" si="101"/>
        <v>0.29657225837831502</v>
      </c>
      <c r="AX147" s="68">
        <f t="shared" si="102"/>
        <v>0.38969022499580885</v>
      </c>
      <c r="AY147" s="68">
        <f t="shared" si="103"/>
        <v>0.477186954382464</v>
      </c>
      <c r="AZ147" s="68">
        <f t="shared" si="104"/>
        <v>0.5651614352319656</v>
      </c>
      <c r="BA147" s="68">
        <f t="shared" si="105"/>
        <v>0.66760704597950948</v>
      </c>
      <c r="BB147" s="68">
        <f t="shared" si="106"/>
        <v>0.75508733891188717</v>
      </c>
      <c r="BC147" s="68">
        <f t="shared" si="107"/>
        <v>0.84522980841016981</v>
      </c>
      <c r="BD147" s="68">
        <f t="shared" si="108"/>
        <v>0.92702310074936201</v>
      </c>
      <c r="BE147" s="68">
        <f t="shared" si="109"/>
        <v>1</v>
      </c>
      <c r="BG147" s="68">
        <f t="shared" si="95"/>
        <v>6.4037931844034682E-2</v>
      </c>
      <c r="BH147" s="68">
        <f t="shared" si="95"/>
        <v>0.13171891038611266</v>
      </c>
      <c r="BI147" s="68">
        <f t="shared" si="95"/>
        <v>0.22407588681602936</v>
      </c>
      <c r="BJ147" s="68">
        <f t="shared" si="94"/>
        <v>0.30747396735763743</v>
      </c>
      <c r="BK147" s="68">
        <f t="shared" si="94"/>
        <v>0.39997227155983661</v>
      </c>
      <c r="BL147" s="68">
        <f t="shared" si="94"/>
        <v>0.4848900545279492</v>
      </c>
      <c r="BM147" s="68">
        <f t="shared" si="94"/>
        <v>0.57266398756536119</v>
      </c>
      <c r="BN147" s="68">
        <f t="shared" si="94"/>
        <v>0.67428024526032604</v>
      </c>
      <c r="BO147" s="68">
        <f t="shared" si="94"/>
        <v>0.75939909297861752</v>
      </c>
      <c r="BP147" s="68">
        <f t="shared" si="110"/>
        <v>0.84957087135080589</v>
      </c>
      <c r="BQ147" s="68">
        <f t="shared" si="110"/>
        <v>0.92788292120531235</v>
      </c>
      <c r="BR147" s="68">
        <f t="shared" si="110"/>
        <v>1</v>
      </c>
    </row>
    <row r="148" spans="1:70">
      <c r="A148" s="239" t="s">
        <v>144</v>
      </c>
      <c r="B148" s="62">
        <v>42386.2</v>
      </c>
      <c r="C148" s="62">
        <v>47214</v>
      </c>
      <c r="D148" s="62">
        <v>56547</v>
      </c>
      <c r="E148" s="62">
        <v>59749.5</v>
      </c>
      <c r="F148" s="62">
        <v>55083</v>
      </c>
      <c r="G148" s="62">
        <v>50233.5</v>
      </c>
      <c r="H148" s="62">
        <v>56547.000000000007</v>
      </c>
      <c r="I148" s="62">
        <v>61122</v>
      </c>
      <c r="J148" s="62">
        <v>53070</v>
      </c>
      <c r="K148" s="62">
        <v>54625.5</v>
      </c>
      <c r="L148" s="62">
        <v>44743.5</v>
      </c>
      <c r="M148" s="62">
        <v>45933</v>
      </c>
      <c r="N148" s="100">
        <f t="shared" si="96"/>
        <v>627254.19999999995</v>
      </c>
      <c r="P148" s="239" t="s">
        <v>144</v>
      </c>
      <c r="Q148" s="62">
        <v>27813.119999999999</v>
      </c>
      <c r="R148" s="62">
        <v>33981.25</v>
      </c>
      <c r="S148" s="62">
        <v>45122.100000000006</v>
      </c>
      <c r="T148" s="62">
        <v>37466.74</v>
      </c>
      <c r="U148" s="62">
        <v>43582.600000000006</v>
      </c>
      <c r="V148" s="62">
        <v>51319.350000000006</v>
      </c>
      <c r="W148" s="62">
        <v>43151.8</v>
      </c>
      <c r="X148" s="62">
        <v>50866.3</v>
      </c>
      <c r="Y148" s="62">
        <v>51875.5</v>
      </c>
      <c r="Z148" s="62">
        <v>54657.75</v>
      </c>
      <c r="AA148" s="62">
        <v>45502.65</v>
      </c>
      <c r="AB148" s="62">
        <v>42451.75</v>
      </c>
      <c r="AC148" s="100">
        <f t="shared" si="97"/>
        <v>527790.91</v>
      </c>
      <c r="AE148" s="68">
        <f t="shared" si="82"/>
        <v>6.7574198785755435E-2</v>
      </c>
      <c r="AF148" s="68">
        <f t="shared" si="83"/>
        <v>0.14284511765724328</v>
      </c>
      <c r="AG148" s="68">
        <f t="shared" si="84"/>
        <v>0.23299517165449035</v>
      </c>
      <c r="AH148" s="68">
        <f t="shared" si="85"/>
        <v>0.32825081123410577</v>
      </c>
      <c r="AI148" s="68">
        <f t="shared" si="86"/>
        <v>0.41606688325084157</v>
      </c>
      <c r="AJ148" s="68">
        <f t="shared" si="87"/>
        <v>0.49615163995713385</v>
      </c>
      <c r="AK148" s="68">
        <f t="shared" si="88"/>
        <v>0.58630169395438092</v>
      </c>
      <c r="AL148" s="68">
        <f t="shared" si="89"/>
        <v>0.68374544164072559</v>
      </c>
      <c r="AM148" s="68">
        <f t="shared" si="90"/>
        <v>0.76835228843425851</v>
      </c>
      <c r="AN148" s="68">
        <f t="shared" si="91"/>
        <v>0.85543899108208443</v>
      </c>
      <c r="AO148" s="68">
        <f t="shared" si="92"/>
        <v>0.92677131536145951</v>
      </c>
      <c r="AP148" s="68">
        <f t="shared" si="93"/>
        <v>1</v>
      </c>
      <c r="AQ148" s="92"/>
      <c r="AT148" s="68">
        <f t="shared" si="98"/>
        <v>5.2697231939822529E-2</v>
      </c>
      <c r="AU148" s="68">
        <f t="shared" si="99"/>
        <v>0.1170811562480301</v>
      </c>
      <c r="AV148" s="68">
        <f t="shared" si="100"/>
        <v>0.2025735342808386</v>
      </c>
      <c r="AW148" s="68">
        <f t="shared" si="101"/>
        <v>0.27356138058535334</v>
      </c>
      <c r="AX148" s="68">
        <f t="shared" si="102"/>
        <v>0.35613688382772635</v>
      </c>
      <c r="AY148" s="68">
        <f t="shared" si="103"/>
        <v>0.45337112759293258</v>
      </c>
      <c r="AZ148" s="68">
        <f t="shared" si="104"/>
        <v>0.53513039851330524</v>
      </c>
      <c r="BA148" s="68">
        <f t="shared" si="105"/>
        <v>0.63150625311072517</v>
      </c>
      <c r="BB148" s="68">
        <f t="shared" si="106"/>
        <v>0.72979422855160581</v>
      </c>
      <c r="BC148" s="68">
        <f t="shared" si="107"/>
        <v>0.83335370440540546</v>
      </c>
      <c r="BD148" s="68">
        <f t="shared" si="108"/>
        <v>0.91956710660287799</v>
      </c>
      <c r="BE148" s="68">
        <f t="shared" si="109"/>
        <v>1</v>
      </c>
      <c r="BG148" s="68">
        <f t="shared" si="95"/>
        <v>6.0135715362788986E-2</v>
      </c>
      <c r="BH148" s="68">
        <f t="shared" si="95"/>
        <v>0.1299631369526367</v>
      </c>
      <c r="BI148" s="68">
        <f t="shared" si="95"/>
        <v>0.21778435296766446</v>
      </c>
      <c r="BJ148" s="68">
        <f t="shared" si="94"/>
        <v>0.30090609590972955</v>
      </c>
      <c r="BK148" s="68">
        <f t="shared" si="94"/>
        <v>0.38610188353928399</v>
      </c>
      <c r="BL148" s="68">
        <f t="shared" si="94"/>
        <v>0.47476138377503319</v>
      </c>
      <c r="BM148" s="68">
        <f t="shared" si="94"/>
        <v>0.56071604623384308</v>
      </c>
      <c r="BN148" s="68">
        <f t="shared" si="94"/>
        <v>0.65762584737572538</v>
      </c>
      <c r="BO148" s="68">
        <f t="shared" si="94"/>
        <v>0.74907325849293216</v>
      </c>
      <c r="BP148" s="68">
        <f t="shared" si="110"/>
        <v>0.84439634774374495</v>
      </c>
      <c r="BQ148" s="68">
        <f t="shared" si="110"/>
        <v>0.92316921098216875</v>
      </c>
      <c r="BR148" s="68">
        <f t="shared" si="110"/>
        <v>1</v>
      </c>
    </row>
    <row r="149" spans="1:70">
      <c r="A149" s="239" t="s">
        <v>145</v>
      </c>
      <c r="B149" s="62">
        <v>29591.75</v>
      </c>
      <c r="C149" s="62">
        <v>32208</v>
      </c>
      <c r="D149" s="62">
        <v>39985.5</v>
      </c>
      <c r="E149" s="62">
        <v>41083.5</v>
      </c>
      <c r="F149" s="62">
        <v>40992</v>
      </c>
      <c r="G149" s="62">
        <v>33397.5</v>
      </c>
      <c r="H149" s="62">
        <v>38430</v>
      </c>
      <c r="I149" s="62">
        <v>38247</v>
      </c>
      <c r="J149" s="62">
        <v>29829</v>
      </c>
      <c r="K149" s="62">
        <v>37057.5</v>
      </c>
      <c r="L149" s="62">
        <v>33306</v>
      </c>
      <c r="M149" s="62">
        <v>31110</v>
      </c>
      <c r="N149" s="100">
        <f t="shared" si="96"/>
        <v>425237.75</v>
      </c>
      <c r="P149" s="239" t="s">
        <v>145</v>
      </c>
      <c r="Q149" s="62">
        <v>23772.85</v>
      </c>
      <c r="R149" s="62">
        <v>27605.199999999997</v>
      </c>
      <c r="S149" s="62">
        <v>30858.199999999997</v>
      </c>
      <c r="T149" s="62">
        <v>27823.260000000002</v>
      </c>
      <c r="U149" s="62">
        <v>48705.619999999995</v>
      </c>
      <c r="V149" s="62">
        <v>49883</v>
      </c>
      <c r="W149" s="62">
        <v>42577.37</v>
      </c>
      <c r="X149" s="62">
        <v>45862.25</v>
      </c>
      <c r="Y149" s="62">
        <v>32489.599999999999</v>
      </c>
      <c r="Z149" s="62">
        <v>40926</v>
      </c>
      <c r="AA149" s="62">
        <v>33566.5</v>
      </c>
      <c r="AB149" s="62">
        <v>35271.75</v>
      </c>
      <c r="AC149" s="100">
        <f t="shared" si="97"/>
        <v>439341.6</v>
      </c>
      <c r="AE149" s="68">
        <f t="shared" si="82"/>
        <v>6.9588718311109493E-2</v>
      </c>
      <c r="AF149" s="68">
        <f t="shared" si="83"/>
        <v>0.1453298772275039</v>
      </c>
      <c r="AG149" s="68">
        <f t="shared" si="84"/>
        <v>0.23936080463223219</v>
      </c>
      <c r="AH149" s="68">
        <f t="shared" si="85"/>
        <v>0.33597381700001938</v>
      </c>
      <c r="AI149" s="68">
        <f t="shared" si="86"/>
        <v>0.43237165562088503</v>
      </c>
      <c r="AJ149" s="68">
        <f t="shared" si="87"/>
        <v>0.5109100732472599</v>
      </c>
      <c r="AK149" s="68">
        <f t="shared" si="88"/>
        <v>0.60128304695432144</v>
      </c>
      <c r="AL149" s="68">
        <f t="shared" si="89"/>
        <v>0.6912256731675398</v>
      </c>
      <c r="AM149" s="68">
        <f t="shared" si="90"/>
        <v>0.76137231466397326</v>
      </c>
      <c r="AN149" s="68">
        <f t="shared" si="91"/>
        <v>0.84851768216721113</v>
      </c>
      <c r="AO149" s="68">
        <f t="shared" si="92"/>
        <v>0.92684092604666446</v>
      </c>
      <c r="AP149" s="68">
        <f t="shared" si="93"/>
        <v>1</v>
      </c>
      <c r="AQ149" s="92"/>
      <c r="AT149" s="68">
        <f t="shared" si="98"/>
        <v>5.4110173040750068E-2</v>
      </c>
      <c r="AU149" s="68">
        <f t="shared" si="99"/>
        <v>0.11694328513393677</v>
      </c>
      <c r="AV149" s="68">
        <f t="shared" si="100"/>
        <v>0.18718065851264712</v>
      </c>
      <c r="AW149" s="68">
        <f t="shared" si="101"/>
        <v>0.25051010421048225</v>
      </c>
      <c r="AX149" s="68">
        <f t="shared" si="102"/>
        <v>0.36137058270830719</v>
      </c>
      <c r="AY149" s="68">
        <f t="shared" si="103"/>
        <v>0.47491093490805336</v>
      </c>
      <c r="AZ149" s="68">
        <f t="shared" si="104"/>
        <v>0.57182270014949643</v>
      </c>
      <c r="BA149" s="68">
        <f t="shared" si="105"/>
        <v>0.67621128980274126</v>
      </c>
      <c r="BB149" s="68">
        <f t="shared" si="106"/>
        <v>0.7501619468768721</v>
      </c>
      <c r="BC149" s="68">
        <f t="shared" si="107"/>
        <v>0.84331497404297706</v>
      </c>
      <c r="BD149" s="68">
        <f t="shared" si="108"/>
        <v>0.91971679895552805</v>
      </c>
      <c r="BE149" s="68">
        <f t="shared" si="109"/>
        <v>1</v>
      </c>
      <c r="BG149" s="68">
        <f t="shared" si="95"/>
        <v>6.184944567592978E-2</v>
      </c>
      <c r="BH149" s="68">
        <f t="shared" si="95"/>
        <v>0.13113658118072033</v>
      </c>
      <c r="BI149" s="68">
        <f t="shared" si="95"/>
        <v>0.21327073157243964</v>
      </c>
      <c r="BJ149" s="68">
        <f t="shared" si="94"/>
        <v>0.29324196060525082</v>
      </c>
      <c r="BK149" s="68">
        <f t="shared" si="94"/>
        <v>0.39687111916459611</v>
      </c>
      <c r="BL149" s="68">
        <f t="shared" si="94"/>
        <v>0.49291050407765663</v>
      </c>
      <c r="BM149" s="68">
        <f t="shared" si="94"/>
        <v>0.58655287355190899</v>
      </c>
      <c r="BN149" s="68">
        <f t="shared" si="94"/>
        <v>0.68371848148514047</v>
      </c>
      <c r="BO149" s="68">
        <f t="shared" si="94"/>
        <v>0.75576713077042268</v>
      </c>
      <c r="BP149" s="68">
        <f t="shared" si="110"/>
        <v>0.8459163281050941</v>
      </c>
      <c r="BQ149" s="68">
        <f t="shared" si="110"/>
        <v>0.92327886250109625</v>
      </c>
      <c r="BR149" s="68">
        <f t="shared" si="110"/>
        <v>1</v>
      </c>
    </row>
    <row r="150" spans="1:70">
      <c r="N150" s="94">
        <f t="shared" si="96"/>
        <v>0</v>
      </c>
      <c r="AC150" s="94">
        <f t="shared" si="97"/>
        <v>0</v>
      </c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</row>
    <row r="151" spans="1:70">
      <c r="B151" s="317" t="s">
        <v>207</v>
      </c>
      <c r="C151" s="317"/>
      <c r="D151" s="317"/>
      <c r="E151" s="317"/>
      <c r="F151" s="317"/>
      <c r="G151" s="317"/>
      <c r="H151" s="317"/>
      <c r="I151" s="317"/>
      <c r="J151" s="317"/>
      <c r="K151" s="317"/>
      <c r="L151" s="317"/>
      <c r="M151" s="317"/>
      <c r="N151" s="317">
        <f t="shared" si="96"/>
        <v>0</v>
      </c>
      <c r="Q151" s="317" t="s">
        <v>208</v>
      </c>
      <c r="R151" s="317"/>
      <c r="S151" s="317"/>
      <c r="T151" s="317"/>
      <c r="U151" s="317"/>
      <c r="V151" s="317"/>
      <c r="W151" s="317"/>
      <c r="X151" s="317"/>
      <c r="Y151" s="317"/>
      <c r="Z151" s="317"/>
      <c r="AA151" s="317"/>
      <c r="AB151" s="317"/>
      <c r="AC151" s="317">
        <f t="shared" si="97"/>
        <v>0</v>
      </c>
      <c r="AE151" s="316" t="s">
        <v>177</v>
      </c>
      <c r="AF151" s="316"/>
      <c r="AG151" s="316"/>
      <c r="AH151" s="316"/>
      <c r="AI151" s="316"/>
      <c r="AJ151" s="316"/>
      <c r="AK151" s="316"/>
      <c r="AL151" s="316"/>
      <c r="AM151" s="316"/>
      <c r="AN151" s="316"/>
      <c r="AO151" s="316"/>
      <c r="AP151" s="316"/>
      <c r="AQ151" s="92"/>
      <c r="AT151" s="316" t="s">
        <v>178</v>
      </c>
      <c r="AU151" s="316"/>
      <c r="AV151" s="316"/>
      <c r="AW151" s="316"/>
      <c r="AX151" s="316"/>
      <c r="AY151" s="316"/>
      <c r="AZ151" s="316"/>
      <c r="BA151" s="316"/>
      <c r="BB151" s="316"/>
      <c r="BC151" s="316"/>
      <c r="BD151" s="316"/>
      <c r="BE151" s="316"/>
      <c r="BG151" s="316" t="s">
        <v>246</v>
      </c>
      <c r="BH151" s="316"/>
      <c r="BI151" s="316"/>
      <c r="BJ151" s="316"/>
      <c r="BK151" s="316"/>
      <c r="BL151" s="316"/>
      <c r="BM151" s="316"/>
      <c r="BN151" s="316"/>
      <c r="BO151" s="316"/>
      <c r="BP151" s="316"/>
      <c r="BQ151" s="316"/>
      <c r="BR151" s="316"/>
    </row>
    <row r="152" spans="1:70">
      <c r="B152" s="239" t="s">
        <v>163</v>
      </c>
      <c r="C152" s="239" t="s">
        <v>179</v>
      </c>
      <c r="D152" s="239" t="s">
        <v>180</v>
      </c>
      <c r="E152" s="239" t="s">
        <v>181</v>
      </c>
      <c r="F152" s="239" t="s">
        <v>182</v>
      </c>
      <c r="G152" s="239" t="s">
        <v>183</v>
      </c>
      <c r="H152" s="239" t="s">
        <v>184</v>
      </c>
      <c r="I152" s="239" t="s">
        <v>185</v>
      </c>
      <c r="J152" s="239" t="s">
        <v>186</v>
      </c>
      <c r="K152" s="239" t="s">
        <v>187</v>
      </c>
      <c r="L152" s="239" t="s">
        <v>188</v>
      </c>
      <c r="M152" s="239" t="s">
        <v>189</v>
      </c>
      <c r="N152" s="239" t="s">
        <v>160</v>
      </c>
      <c r="Q152" s="239" t="s">
        <v>163</v>
      </c>
      <c r="R152" s="239" t="s">
        <v>179</v>
      </c>
      <c r="S152" s="239" t="s">
        <v>180</v>
      </c>
      <c r="T152" s="239" t="s">
        <v>181</v>
      </c>
      <c r="U152" s="239" t="s">
        <v>182</v>
      </c>
      <c r="V152" s="239" t="s">
        <v>183</v>
      </c>
      <c r="W152" s="239" t="s">
        <v>184</v>
      </c>
      <c r="X152" s="239" t="s">
        <v>185</v>
      </c>
      <c r="Y152" s="239" t="s">
        <v>186</v>
      </c>
      <c r="Z152" s="239" t="s">
        <v>187</v>
      </c>
      <c r="AA152" s="239" t="s">
        <v>188</v>
      </c>
      <c r="AB152" s="239" t="s">
        <v>189</v>
      </c>
      <c r="AC152" s="239">
        <f t="shared" si="97"/>
        <v>0</v>
      </c>
      <c r="AE152" s="239" t="s">
        <v>190</v>
      </c>
      <c r="AF152" s="239" t="s">
        <v>191</v>
      </c>
      <c r="AG152" s="239" t="s">
        <v>192</v>
      </c>
      <c r="AH152" s="239" t="s">
        <v>193</v>
      </c>
      <c r="AI152" s="239" t="s">
        <v>194</v>
      </c>
      <c r="AJ152" s="239" t="s">
        <v>195</v>
      </c>
      <c r="AK152" s="239" t="s">
        <v>196</v>
      </c>
      <c r="AL152" s="239" t="s">
        <v>197</v>
      </c>
      <c r="AM152" s="239" t="s">
        <v>198</v>
      </c>
      <c r="AN152" s="239" t="s">
        <v>199</v>
      </c>
      <c r="AO152" s="239" t="s">
        <v>200</v>
      </c>
      <c r="AP152" s="239" t="s">
        <v>201</v>
      </c>
      <c r="AQ152" s="92"/>
      <c r="AT152" s="239" t="s">
        <v>190</v>
      </c>
      <c r="AU152" s="239" t="s">
        <v>191</v>
      </c>
      <c r="AV152" s="239" t="s">
        <v>238</v>
      </c>
      <c r="AW152" s="239" t="s">
        <v>239</v>
      </c>
      <c r="AX152" s="239" t="s">
        <v>240</v>
      </c>
      <c r="AY152" s="239" t="s">
        <v>195</v>
      </c>
      <c r="AZ152" s="239" t="s">
        <v>196</v>
      </c>
      <c r="BA152" s="239" t="s">
        <v>197</v>
      </c>
      <c r="BB152" s="239" t="s">
        <v>198</v>
      </c>
      <c r="BC152" s="239" t="s">
        <v>199</v>
      </c>
      <c r="BD152" s="239" t="s">
        <v>200</v>
      </c>
      <c r="BE152" s="239" t="s">
        <v>201</v>
      </c>
      <c r="BG152" s="239" t="s">
        <v>190</v>
      </c>
      <c r="BH152" s="239" t="s">
        <v>191</v>
      </c>
      <c r="BI152" s="239" t="s">
        <v>238</v>
      </c>
      <c r="BJ152" s="239" t="s">
        <v>239</v>
      </c>
      <c r="BK152" s="239" t="s">
        <v>240</v>
      </c>
      <c r="BL152" s="239" t="s">
        <v>195</v>
      </c>
      <c r="BM152" s="239" t="s">
        <v>196</v>
      </c>
      <c r="BN152" s="239" t="s">
        <v>197</v>
      </c>
      <c r="BO152" s="239" t="s">
        <v>198</v>
      </c>
      <c r="BP152" s="239" t="s">
        <v>199</v>
      </c>
      <c r="BQ152" s="239" t="s">
        <v>200</v>
      </c>
      <c r="BR152" s="239" t="s">
        <v>201</v>
      </c>
    </row>
    <row r="153" spans="1:70">
      <c r="A153" s="239" t="s">
        <v>119</v>
      </c>
      <c r="B153" s="62">
        <v>1273.44</v>
      </c>
      <c r="C153" s="62">
        <v>1240.49</v>
      </c>
      <c r="D153" s="62">
        <v>1025.31</v>
      </c>
      <c r="E153" s="62">
        <v>2818.59</v>
      </c>
      <c r="F153" s="62">
        <v>735.38</v>
      </c>
      <c r="G153" s="62">
        <v>960.93000000000006</v>
      </c>
      <c r="H153" s="62">
        <v>4663.08</v>
      </c>
      <c r="I153" s="62">
        <v>2579.08</v>
      </c>
      <c r="J153" s="62">
        <v>1741.72</v>
      </c>
      <c r="K153" s="62">
        <v>2491.9700000000003</v>
      </c>
      <c r="L153" s="62">
        <v>2780.6600000000003</v>
      </c>
      <c r="M153" s="62">
        <v>1532.67</v>
      </c>
      <c r="N153" s="100">
        <f t="shared" si="96"/>
        <v>23843.32</v>
      </c>
      <c r="P153" s="239" t="s">
        <v>119</v>
      </c>
      <c r="Q153" s="62">
        <v>1082.02</v>
      </c>
      <c r="R153" s="62">
        <v>1470.8899999999999</v>
      </c>
      <c r="S153" s="62">
        <v>1009.06</v>
      </c>
      <c r="T153" s="62">
        <v>1243.28</v>
      </c>
      <c r="U153" s="62">
        <v>2239.42</v>
      </c>
      <c r="V153" s="62">
        <v>887.26</v>
      </c>
      <c r="W153" s="62">
        <v>1331.16</v>
      </c>
      <c r="X153" s="62">
        <v>1392.46</v>
      </c>
      <c r="Y153" s="62">
        <v>1326.9299999999998</v>
      </c>
      <c r="Z153" s="62">
        <v>1626.9299999999998</v>
      </c>
      <c r="AA153" s="62">
        <v>2731.2799999999997</v>
      </c>
      <c r="AB153" s="62">
        <v>3635.59</v>
      </c>
      <c r="AC153" s="100">
        <f t="shared" si="97"/>
        <v>19976.28</v>
      </c>
      <c r="AE153" s="68">
        <f t="shared" ref="AE153:AE179" si="111">B153/N153</f>
        <v>5.3408669598025781E-2</v>
      </c>
      <c r="AF153" s="68">
        <f t="shared" ref="AF153:AF179" si="112">SUM(B153:C153)/$N153</f>
        <v>0.10543540077472434</v>
      </c>
      <c r="AG153" s="68">
        <f t="shared" ref="AG153:AG179" si="113">SUM(B153:D153)/$N153</f>
        <v>0.1484373820424337</v>
      </c>
      <c r="AH153" s="68">
        <f t="shared" ref="AH153:AH179" si="114">SUM(B153:E153)/$N153</f>
        <v>0.26665036580476209</v>
      </c>
      <c r="AI153" s="68">
        <f t="shared" ref="AI153:AI179" si="115">SUM(B153:F153)/$N153</f>
        <v>0.2974925471788325</v>
      </c>
      <c r="AJ153" s="68">
        <f t="shared" ref="AJ153:AJ179" si="116">SUM(B153:G153)/$N153</f>
        <v>0.33779440111528092</v>
      </c>
      <c r="AK153" s="68">
        <f t="shared" ref="AK153:AK179" si="117">SUM(B153:H153)/$N153</f>
        <v>0.53336615873963866</v>
      </c>
      <c r="AL153" s="68">
        <f t="shared" ref="AL153:AL179" si="118">SUM(B153:I153)/$N153</f>
        <v>0.6415339810060009</v>
      </c>
      <c r="AM153" s="68">
        <f t="shared" ref="AM153:AM179" si="119">SUM(B153:J153)/$N153</f>
        <v>0.71458253296940188</v>
      </c>
      <c r="AN153" s="68">
        <f t="shared" ref="AN153:AN179" si="120">SUM(B153:K153)/$N153</f>
        <v>0.81909692106636167</v>
      </c>
      <c r="AO153" s="68">
        <f t="shared" ref="AO153:AO179" si="121">SUM(B153:L153)/$N153</f>
        <v>0.93571910287661286</v>
      </c>
      <c r="AP153" s="68">
        <f t="shared" ref="AP153:AP179" si="122">SUM(B153:M153)/$N153</f>
        <v>1</v>
      </c>
      <c r="AQ153" s="92"/>
      <c r="AT153" s="68">
        <f t="shared" si="98"/>
        <v>5.416523997460989E-2</v>
      </c>
      <c r="AU153" s="68">
        <f t="shared" si="99"/>
        <v>0.1277970673218437</v>
      </c>
      <c r="AV153" s="68">
        <f t="shared" si="100"/>
        <v>0.17830997563109849</v>
      </c>
      <c r="AW153" s="68">
        <f t="shared" si="101"/>
        <v>0.24054778967855878</v>
      </c>
      <c r="AX153" s="68">
        <f t="shared" si="102"/>
        <v>0.35265174496953389</v>
      </c>
      <c r="AY153" s="68">
        <f t="shared" si="103"/>
        <v>0.39706742196244749</v>
      </c>
      <c r="AZ153" s="68">
        <f t="shared" si="104"/>
        <v>0.46370445348182948</v>
      </c>
      <c r="BA153" s="68">
        <f t="shared" si="105"/>
        <v>0.53341012440754731</v>
      </c>
      <c r="BB153" s="68">
        <f t="shared" si="106"/>
        <v>0.59983540479008102</v>
      </c>
      <c r="BC153" s="68">
        <f t="shared" si="107"/>
        <v>0.68127849629660786</v>
      </c>
      <c r="BD153" s="68">
        <f t="shared" si="108"/>
        <v>0.81800465351907359</v>
      </c>
      <c r="BE153" s="68">
        <f t="shared" si="109"/>
        <v>1</v>
      </c>
      <c r="BG153" s="68">
        <f t="shared" si="95"/>
        <v>5.3786954786317835E-2</v>
      </c>
      <c r="BH153" s="68">
        <f t="shared" si="95"/>
        <v>0.11661623404828403</v>
      </c>
      <c r="BI153" s="68">
        <f t="shared" si="95"/>
        <v>0.1633736788367661</v>
      </c>
      <c r="BJ153" s="68">
        <f t="shared" si="94"/>
        <v>0.25359907774166046</v>
      </c>
      <c r="BK153" s="68">
        <f t="shared" si="94"/>
        <v>0.32507214607418322</v>
      </c>
      <c r="BL153" s="68">
        <f t="shared" si="94"/>
        <v>0.3674309115388642</v>
      </c>
      <c r="BM153" s="68">
        <f t="shared" si="94"/>
        <v>0.49853530611073404</v>
      </c>
      <c r="BN153" s="68">
        <f t="shared" si="94"/>
        <v>0.58747205270677405</v>
      </c>
      <c r="BO153" s="68">
        <f t="shared" si="94"/>
        <v>0.65720896887974145</v>
      </c>
      <c r="BP153" s="68">
        <f t="shared" si="110"/>
        <v>0.75018770868148477</v>
      </c>
      <c r="BQ153" s="68">
        <f t="shared" si="110"/>
        <v>0.87686187819784323</v>
      </c>
      <c r="BR153" s="68">
        <f t="shared" si="110"/>
        <v>1</v>
      </c>
    </row>
    <row r="154" spans="1:70">
      <c r="A154" s="239" t="s">
        <v>120</v>
      </c>
      <c r="B154" s="62">
        <v>9853.74</v>
      </c>
      <c r="C154" s="62">
        <v>11162.22</v>
      </c>
      <c r="D154" s="62">
        <v>6164.29</v>
      </c>
      <c r="E154" s="62">
        <v>6508.03</v>
      </c>
      <c r="F154" s="62">
        <v>17131.16</v>
      </c>
      <c r="G154" s="62">
        <v>4340.4699999999993</v>
      </c>
      <c r="H154" s="62">
        <v>7657.7300000000014</v>
      </c>
      <c r="I154" s="62">
        <v>8615.2099999999991</v>
      </c>
      <c r="J154" s="62">
        <v>11074.119999999999</v>
      </c>
      <c r="K154" s="62">
        <v>15281.340000000002</v>
      </c>
      <c r="L154" s="62">
        <v>5008.6399999999994</v>
      </c>
      <c r="M154" s="62">
        <v>7278.93</v>
      </c>
      <c r="N154" s="100">
        <f t="shared" si="96"/>
        <v>110075.88</v>
      </c>
      <c r="P154" s="239" t="s">
        <v>120</v>
      </c>
      <c r="Q154" s="62">
        <v>8801.44</v>
      </c>
      <c r="R154" s="62">
        <v>9580.7800000000007</v>
      </c>
      <c r="S154" s="62">
        <v>7949.1100000000006</v>
      </c>
      <c r="T154" s="62">
        <v>5842.0300000000007</v>
      </c>
      <c r="U154" s="62">
        <v>5850.99</v>
      </c>
      <c r="V154" s="62">
        <v>6504.29</v>
      </c>
      <c r="W154" s="62">
        <v>4643.32</v>
      </c>
      <c r="X154" s="62">
        <v>8094.68</v>
      </c>
      <c r="Y154" s="62">
        <v>7082.38</v>
      </c>
      <c r="Z154" s="62">
        <v>9236.68</v>
      </c>
      <c r="AA154" s="62">
        <v>10768.95</v>
      </c>
      <c r="AB154" s="62">
        <v>6664.7800000000007</v>
      </c>
      <c r="AC154" s="100">
        <f t="shared" si="97"/>
        <v>91019.43</v>
      </c>
      <c r="AE154" s="68">
        <f t="shared" si="111"/>
        <v>8.9517703605912574E-2</v>
      </c>
      <c r="AF154" s="68">
        <f t="shared" si="112"/>
        <v>0.19092248002014608</v>
      </c>
      <c r="AG154" s="68">
        <f t="shared" si="113"/>
        <v>0.24692284994678215</v>
      </c>
      <c r="AH154" s="68">
        <f t="shared" si="114"/>
        <v>0.30604597483118007</v>
      </c>
      <c r="AI154" s="68">
        <f t="shared" si="115"/>
        <v>0.46167643629103849</v>
      </c>
      <c r="AJ154" s="68">
        <f t="shared" si="116"/>
        <v>0.50110805382614254</v>
      </c>
      <c r="AK154" s="68">
        <f t="shared" si="117"/>
        <v>0.57067579200820384</v>
      </c>
      <c r="AL154" s="68">
        <f t="shared" si="118"/>
        <v>0.64894189353743981</v>
      </c>
      <c r="AM154" s="68">
        <f t="shared" si="119"/>
        <v>0.74954631296156793</v>
      </c>
      <c r="AN154" s="68">
        <f t="shared" si="120"/>
        <v>0.88837182132906856</v>
      </c>
      <c r="AO154" s="68">
        <f t="shared" si="121"/>
        <v>0.93387352433612147</v>
      </c>
      <c r="AP154" s="68">
        <f t="shared" si="122"/>
        <v>1</v>
      </c>
      <c r="AQ154" s="92"/>
      <c r="AT154" s="68">
        <f t="shared" si="98"/>
        <v>9.669847416095663E-2</v>
      </c>
      <c r="AU154" s="68">
        <f t="shared" si="99"/>
        <v>0.20195929594373424</v>
      </c>
      <c r="AV154" s="68">
        <f t="shared" si="100"/>
        <v>0.28929350579321367</v>
      </c>
      <c r="AW154" s="68">
        <f t="shared" si="101"/>
        <v>0.35347793322810311</v>
      </c>
      <c r="AX154" s="68">
        <f t="shared" si="102"/>
        <v>0.41776080118278042</v>
      </c>
      <c r="AY154" s="68">
        <f t="shared" si="103"/>
        <v>0.48922125748315498</v>
      </c>
      <c r="AZ154" s="68">
        <f t="shared" si="104"/>
        <v>0.54023585953021247</v>
      </c>
      <c r="BA154" s="68">
        <f t="shared" si="105"/>
        <v>0.62916939822629081</v>
      </c>
      <c r="BB154" s="68">
        <f t="shared" si="106"/>
        <v>0.70698113578606236</v>
      </c>
      <c r="BC154" s="68">
        <f t="shared" si="107"/>
        <v>0.80846144608903836</v>
      </c>
      <c r="BD154" s="68">
        <f t="shared" si="108"/>
        <v>0.92677629380891535</v>
      </c>
      <c r="BE154" s="68">
        <f t="shared" si="109"/>
        <v>1</v>
      </c>
      <c r="BG154" s="68">
        <f t="shared" si="95"/>
        <v>9.3108088883434609E-2</v>
      </c>
      <c r="BH154" s="68">
        <f t="shared" si="95"/>
        <v>0.19644088798194015</v>
      </c>
      <c r="BI154" s="68">
        <f t="shared" si="95"/>
        <v>0.26810817786999791</v>
      </c>
      <c r="BJ154" s="68">
        <f t="shared" si="94"/>
        <v>0.32976195402964159</v>
      </c>
      <c r="BK154" s="68">
        <f t="shared" si="94"/>
        <v>0.43971861873690943</v>
      </c>
      <c r="BL154" s="68">
        <f t="shared" si="94"/>
        <v>0.49516465565464873</v>
      </c>
      <c r="BM154" s="68">
        <f t="shared" si="94"/>
        <v>0.55545582576920816</v>
      </c>
      <c r="BN154" s="68">
        <f t="shared" si="94"/>
        <v>0.63905564588186525</v>
      </c>
      <c r="BO154" s="68">
        <f t="shared" si="94"/>
        <v>0.72826372437381515</v>
      </c>
      <c r="BP154" s="68">
        <f t="shared" si="110"/>
        <v>0.84841663370905351</v>
      </c>
      <c r="BQ154" s="68">
        <f t="shared" si="110"/>
        <v>0.93032490907251841</v>
      </c>
      <c r="BR154" s="68">
        <f t="shared" si="110"/>
        <v>1</v>
      </c>
    </row>
    <row r="155" spans="1:70">
      <c r="A155" s="239" t="s">
        <v>121</v>
      </c>
      <c r="B155" s="62">
        <v>2989.25</v>
      </c>
      <c r="C155" s="62">
        <v>3705.07</v>
      </c>
      <c r="D155" s="62">
        <v>2249.89</v>
      </c>
      <c r="E155" s="62">
        <v>2153.17</v>
      </c>
      <c r="F155" s="62">
        <v>2835.01</v>
      </c>
      <c r="G155" s="62">
        <v>3317.9100000000003</v>
      </c>
      <c r="H155" s="62">
        <v>3818.73</v>
      </c>
      <c r="I155" s="62">
        <v>4083.99</v>
      </c>
      <c r="J155" s="62">
        <v>2705.71</v>
      </c>
      <c r="K155" s="62">
        <v>3956.11</v>
      </c>
      <c r="L155" s="62">
        <v>3840</v>
      </c>
      <c r="M155" s="62">
        <v>4089.4300000000003</v>
      </c>
      <c r="N155" s="100">
        <f t="shared" si="96"/>
        <v>39744.269999999997</v>
      </c>
      <c r="P155" s="239" t="s">
        <v>121</v>
      </c>
      <c r="Q155" s="62">
        <v>1729.69</v>
      </c>
      <c r="R155" s="62">
        <v>2319.66</v>
      </c>
      <c r="S155" s="62">
        <v>4052.56</v>
      </c>
      <c r="T155" s="62">
        <v>1590.53</v>
      </c>
      <c r="U155" s="62">
        <v>2413.8200000000002</v>
      </c>
      <c r="V155" s="62">
        <v>3320.5000000000005</v>
      </c>
      <c r="W155" s="62">
        <v>1261.1100000000001</v>
      </c>
      <c r="X155" s="62">
        <v>7897.8499999999995</v>
      </c>
      <c r="Y155" s="62">
        <v>4350.5600000000004</v>
      </c>
      <c r="Z155" s="62">
        <v>3131.84</v>
      </c>
      <c r="AA155" s="62">
        <v>3013.85</v>
      </c>
      <c r="AB155" s="62">
        <v>3001.3700000000003</v>
      </c>
      <c r="AC155" s="100">
        <f t="shared" si="97"/>
        <v>38083.340000000004</v>
      </c>
      <c r="AE155" s="68">
        <f t="shared" si="111"/>
        <v>7.5212099756769971E-2</v>
      </c>
      <c r="AF155" s="68">
        <f t="shared" si="112"/>
        <v>0.16843484607969905</v>
      </c>
      <c r="AG155" s="68">
        <f t="shared" si="113"/>
        <v>0.22504401263377086</v>
      </c>
      <c r="AH155" s="68">
        <f t="shared" si="114"/>
        <v>0.27921962084094137</v>
      </c>
      <c r="AI155" s="68">
        <f t="shared" si="115"/>
        <v>0.35055090960281821</v>
      </c>
      <c r="AJ155" s="68">
        <f t="shared" si="116"/>
        <v>0.43403237749743551</v>
      </c>
      <c r="AK155" s="68">
        <f t="shared" si="117"/>
        <v>0.53011490713000897</v>
      </c>
      <c r="AL155" s="68">
        <f t="shared" si="118"/>
        <v>0.63287160639760143</v>
      </c>
      <c r="AM155" s="68">
        <f t="shared" si="119"/>
        <v>0.70094959600465667</v>
      </c>
      <c r="AN155" s="68">
        <f t="shared" si="120"/>
        <v>0.80048872453815356</v>
      </c>
      <c r="AO155" s="68">
        <f t="shared" si="121"/>
        <v>0.8971064256558241</v>
      </c>
      <c r="AP155" s="68">
        <f t="shared" si="122"/>
        <v>1</v>
      </c>
      <c r="AQ155" s="92"/>
      <c r="AT155" s="68">
        <f t="shared" si="98"/>
        <v>4.5418547847956611E-2</v>
      </c>
      <c r="AU155" s="68">
        <f t="shared" si="99"/>
        <v>0.10632864659454763</v>
      </c>
      <c r="AV155" s="68">
        <f t="shared" si="100"/>
        <v>0.21274158201460269</v>
      </c>
      <c r="AW155" s="68">
        <f t="shared" si="101"/>
        <v>0.25450603859850529</v>
      </c>
      <c r="AX155" s="68">
        <f t="shared" si="102"/>
        <v>0.31788860955998077</v>
      </c>
      <c r="AY155" s="68">
        <f t="shared" si="103"/>
        <v>0.40507896628814594</v>
      </c>
      <c r="AZ155" s="68">
        <f t="shared" si="104"/>
        <v>0.43819344626810564</v>
      </c>
      <c r="BA155" s="68">
        <f t="shared" si="105"/>
        <v>0.64557677976774086</v>
      </c>
      <c r="BB155" s="68">
        <f t="shared" si="106"/>
        <v>0.75981465911340751</v>
      </c>
      <c r="BC155" s="68">
        <f t="shared" si="107"/>
        <v>0.84205114362343203</v>
      </c>
      <c r="BD155" s="68">
        <f t="shared" si="108"/>
        <v>0.92118942298653417</v>
      </c>
      <c r="BE155" s="68">
        <f t="shared" si="109"/>
        <v>1</v>
      </c>
      <c r="BG155" s="68">
        <f t="shared" si="95"/>
        <v>6.0315323802363291E-2</v>
      </c>
      <c r="BH155" s="68">
        <f t="shared" si="95"/>
        <v>0.13738174633712336</v>
      </c>
      <c r="BI155" s="68">
        <f t="shared" si="95"/>
        <v>0.21889279732418676</v>
      </c>
      <c r="BJ155" s="68">
        <f t="shared" si="94"/>
        <v>0.2668628297197233</v>
      </c>
      <c r="BK155" s="68">
        <f t="shared" si="94"/>
        <v>0.33421975958139949</v>
      </c>
      <c r="BL155" s="68">
        <f t="shared" si="94"/>
        <v>0.41955567189279075</v>
      </c>
      <c r="BM155" s="68">
        <f t="shared" si="94"/>
        <v>0.4841541766990573</v>
      </c>
      <c r="BN155" s="68">
        <f t="shared" si="94"/>
        <v>0.6392241930826712</v>
      </c>
      <c r="BO155" s="68">
        <f t="shared" si="94"/>
        <v>0.73038212755903209</v>
      </c>
      <c r="BP155" s="68">
        <f t="shared" si="110"/>
        <v>0.82126993408079274</v>
      </c>
      <c r="BQ155" s="68">
        <f t="shared" si="110"/>
        <v>0.90914792432117908</v>
      </c>
      <c r="BR155" s="68">
        <f t="shared" si="110"/>
        <v>1</v>
      </c>
    </row>
    <row r="156" spans="1:70">
      <c r="A156" s="239" t="s">
        <v>122</v>
      </c>
      <c r="B156" s="62">
        <v>9302.1900000000023</v>
      </c>
      <c r="C156" s="62">
        <v>7831.63</v>
      </c>
      <c r="D156" s="62">
        <v>6546.15</v>
      </c>
      <c r="E156" s="62">
        <v>6556.0499999999993</v>
      </c>
      <c r="F156" s="62">
        <v>5976.6000000000013</v>
      </c>
      <c r="G156" s="62">
        <v>7164.44</v>
      </c>
      <c r="H156" s="62">
        <v>8088.2300000000005</v>
      </c>
      <c r="I156" s="62">
        <v>8529.27</v>
      </c>
      <c r="J156" s="62">
        <v>4198.0999999999995</v>
      </c>
      <c r="K156" s="62">
        <v>6261.3899999999994</v>
      </c>
      <c r="L156" s="62">
        <v>4909.38</v>
      </c>
      <c r="M156" s="62">
        <v>8668.33</v>
      </c>
      <c r="N156" s="100">
        <f t="shared" si="96"/>
        <v>84031.760000000024</v>
      </c>
      <c r="P156" s="239" t="s">
        <v>122</v>
      </c>
      <c r="Q156" s="62">
        <v>6781.2300000000005</v>
      </c>
      <c r="R156" s="62">
        <v>7840.44</v>
      </c>
      <c r="S156" s="62">
        <v>7364.29</v>
      </c>
      <c r="T156" s="62">
        <v>4615.59</v>
      </c>
      <c r="U156" s="62">
        <v>5760.73</v>
      </c>
      <c r="V156" s="62">
        <v>5107.25</v>
      </c>
      <c r="W156" s="62">
        <v>4538.53</v>
      </c>
      <c r="X156" s="62">
        <v>10957.539999999999</v>
      </c>
      <c r="Y156" s="62">
        <v>11910.23</v>
      </c>
      <c r="Z156" s="62">
        <v>13177.72</v>
      </c>
      <c r="AA156" s="62">
        <v>11741.97</v>
      </c>
      <c r="AB156" s="62">
        <v>9982.09</v>
      </c>
      <c r="AC156" s="100">
        <f t="shared" si="97"/>
        <v>99777.61</v>
      </c>
      <c r="AE156" s="68">
        <f t="shared" si="111"/>
        <v>0.1106985025661726</v>
      </c>
      <c r="AF156" s="68">
        <f t="shared" si="112"/>
        <v>0.20389695515124279</v>
      </c>
      <c r="AG156" s="68">
        <f t="shared" si="113"/>
        <v>0.28179785833356336</v>
      </c>
      <c r="AH156" s="68">
        <f t="shared" si="114"/>
        <v>0.35981657411435858</v>
      </c>
      <c r="AI156" s="68">
        <f t="shared" si="115"/>
        <v>0.43093968280564388</v>
      </c>
      <c r="AJ156" s="68">
        <f t="shared" si="116"/>
        <v>0.51619839927189426</v>
      </c>
      <c r="AK156" s="68">
        <f t="shared" si="117"/>
        <v>0.61245045920732821</v>
      </c>
      <c r="AL156" s="68">
        <f t="shared" si="118"/>
        <v>0.71395101090349644</v>
      </c>
      <c r="AM156" s="68">
        <f t="shared" si="119"/>
        <v>0.76390950278799341</v>
      </c>
      <c r="AN156" s="68">
        <f t="shared" si="120"/>
        <v>0.83842168722873345</v>
      </c>
      <c r="AO156" s="68">
        <f t="shared" si="121"/>
        <v>0.89684459780444914</v>
      </c>
      <c r="AP156" s="68">
        <f t="shared" si="122"/>
        <v>1</v>
      </c>
      <c r="AQ156" s="92"/>
      <c r="AT156" s="68">
        <f t="shared" si="98"/>
        <v>6.7963443902895659E-2</v>
      </c>
      <c r="AU156" s="68">
        <f t="shared" si="99"/>
        <v>0.14654259607942102</v>
      </c>
      <c r="AV156" s="68">
        <f t="shared" si="100"/>
        <v>0.22034963555450968</v>
      </c>
      <c r="AW156" s="68">
        <f t="shared" si="101"/>
        <v>0.26660841044398637</v>
      </c>
      <c r="AX156" s="68">
        <f t="shared" si="102"/>
        <v>0.32434410886370196</v>
      </c>
      <c r="AY156" s="68">
        <f t="shared" si="103"/>
        <v>0.37553044215029802</v>
      </c>
      <c r="AZ156" s="68">
        <f t="shared" si="104"/>
        <v>0.42101689948275967</v>
      </c>
      <c r="BA156" s="68">
        <f t="shared" si="105"/>
        <v>0.53083652735318076</v>
      </c>
      <c r="BB156" s="68">
        <f t="shared" si="106"/>
        <v>0.65020428931901653</v>
      </c>
      <c r="BC156" s="68">
        <f t="shared" si="107"/>
        <v>0.78227520182133048</v>
      </c>
      <c r="BD156" s="68">
        <f t="shared" si="108"/>
        <v>0.8999566135127911</v>
      </c>
      <c r="BE156" s="68">
        <f t="shared" si="109"/>
        <v>1</v>
      </c>
      <c r="BG156" s="68">
        <f t="shared" si="95"/>
        <v>8.9330973234534122E-2</v>
      </c>
      <c r="BH156" s="68">
        <f t="shared" si="95"/>
        <v>0.17521977561533192</v>
      </c>
      <c r="BI156" s="68">
        <f t="shared" si="95"/>
        <v>0.2510737469440365</v>
      </c>
      <c r="BJ156" s="68">
        <f t="shared" si="94"/>
        <v>0.31321249227917247</v>
      </c>
      <c r="BK156" s="68">
        <f t="shared" si="94"/>
        <v>0.37764189583467289</v>
      </c>
      <c r="BL156" s="68">
        <f t="shared" si="94"/>
        <v>0.44586442071109611</v>
      </c>
      <c r="BM156" s="68">
        <f t="shared" si="94"/>
        <v>0.51673367934504388</v>
      </c>
      <c r="BN156" s="68">
        <f t="shared" si="94"/>
        <v>0.62239376912833855</v>
      </c>
      <c r="BO156" s="68">
        <f t="shared" si="94"/>
        <v>0.70705689605350497</v>
      </c>
      <c r="BP156" s="68">
        <f t="shared" si="110"/>
        <v>0.81034844452503196</v>
      </c>
      <c r="BQ156" s="68">
        <f t="shared" si="110"/>
        <v>0.89840060565862012</v>
      </c>
      <c r="BR156" s="68">
        <f t="shared" si="110"/>
        <v>1</v>
      </c>
    </row>
    <row r="157" spans="1:70">
      <c r="A157" s="239" t="s">
        <v>123</v>
      </c>
      <c r="B157" s="62">
        <v>27961.77</v>
      </c>
      <c r="C157" s="62">
        <v>25265.339999999997</v>
      </c>
      <c r="D157" s="62">
        <v>19084.93</v>
      </c>
      <c r="E157" s="62">
        <v>22285.52</v>
      </c>
      <c r="F157" s="62">
        <v>18606.91</v>
      </c>
      <c r="G157" s="62">
        <v>15606.41</v>
      </c>
      <c r="H157" s="62">
        <v>20107.079999999998</v>
      </c>
      <c r="I157" s="62">
        <v>34134.020000000004</v>
      </c>
      <c r="J157" s="62">
        <v>14000.28</v>
      </c>
      <c r="K157" s="62">
        <v>23090.45</v>
      </c>
      <c r="L157" s="62">
        <v>13907.65</v>
      </c>
      <c r="M157" s="62">
        <v>16133.83</v>
      </c>
      <c r="N157" s="100">
        <f t="shared" si="96"/>
        <v>250184.19000000003</v>
      </c>
      <c r="P157" s="239" t="s">
        <v>123</v>
      </c>
      <c r="Q157" s="62">
        <v>19331.07</v>
      </c>
      <c r="R157" s="62">
        <v>16370.189999999997</v>
      </c>
      <c r="S157" s="62">
        <v>13335.870000000003</v>
      </c>
      <c r="T157" s="62">
        <v>9705.06</v>
      </c>
      <c r="U157" s="62">
        <v>11219.66</v>
      </c>
      <c r="V157" s="62">
        <v>11421.490000000002</v>
      </c>
      <c r="W157" s="62">
        <v>14915.300000000001</v>
      </c>
      <c r="X157" s="62">
        <v>13362.310000000001</v>
      </c>
      <c r="Y157" s="62">
        <v>15225.54</v>
      </c>
      <c r="Z157" s="62">
        <v>18345.810000000001</v>
      </c>
      <c r="AA157" s="62">
        <v>23172.03</v>
      </c>
      <c r="AB157" s="62">
        <v>26976.86</v>
      </c>
      <c r="AC157" s="100">
        <f t="shared" si="97"/>
        <v>193381.19</v>
      </c>
      <c r="AE157" s="68">
        <f t="shared" si="111"/>
        <v>0.11176473621294773</v>
      </c>
      <c r="AF157" s="68">
        <f t="shared" si="112"/>
        <v>0.21275169306261915</v>
      </c>
      <c r="AG157" s="68">
        <f t="shared" si="113"/>
        <v>0.28903521041837216</v>
      </c>
      <c r="AH157" s="68">
        <f t="shared" si="114"/>
        <v>0.37811166245157218</v>
      </c>
      <c r="AI157" s="68">
        <f t="shared" si="115"/>
        <v>0.45248450751424379</v>
      </c>
      <c r="AJ157" s="68">
        <f t="shared" si="116"/>
        <v>0.51486418866036265</v>
      </c>
      <c r="AK157" s="68">
        <f t="shared" si="117"/>
        <v>0.59523329591690022</v>
      </c>
      <c r="AL157" s="68">
        <f t="shared" si="118"/>
        <v>0.73166885565390849</v>
      </c>
      <c r="AM157" s="68">
        <f t="shared" si="119"/>
        <v>0.78762874664462212</v>
      </c>
      <c r="AN157" s="68">
        <f t="shared" si="120"/>
        <v>0.8799225482633416</v>
      </c>
      <c r="AO157" s="68">
        <f t="shared" si="121"/>
        <v>0.93551219203739455</v>
      </c>
      <c r="AP157" s="68">
        <f t="shared" si="122"/>
        <v>1</v>
      </c>
      <c r="AQ157" s="92"/>
      <c r="AT157" s="68">
        <f t="shared" si="98"/>
        <v>9.9963548678131522E-2</v>
      </c>
      <c r="AU157" s="68">
        <f t="shared" si="99"/>
        <v>0.18461599083137298</v>
      </c>
      <c r="AV157" s="68">
        <f t="shared" si="100"/>
        <v>0.25357755839645002</v>
      </c>
      <c r="AW157" s="68">
        <f t="shared" si="101"/>
        <v>0.30376372179734745</v>
      </c>
      <c r="AX157" s="68">
        <f t="shared" si="102"/>
        <v>0.36178208438990367</v>
      </c>
      <c r="AY157" s="68">
        <f t="shared" si="103"/>
        <v>0.42084413690907579</v>
      </c>
      <c r="AZ157" s="68">
        <f t="shared" si="104"/>
        <v>0.4979731482674194</v>
      </c>
      <c r="BA157" s="68">
        <f t="shared" si="105"/>
        <v>0.56707144060908921</v>
      </c>
      <c r="BB157" s="68">
        <f t="shared" si="106"/>
        <v>0.64580474450488168</v>
      </c>
      <c r="BC157" s="68">
        <f t="shared" si="107"/>
        <v>0.74067338193544052</v>
      </c>
      <c r="BD157" s="68">
        <f t="shared" si="108"/>
        <v>0.8604990485372439</v>
      </c>
      <c r="BE157" s="68">
        <f t="shared" si="109"/>
        <v>1</v>
      </c>
      <c r="BG157" s="68">
        <f t="shared" si="95"/>
        <v>0.10586414244553963</v>
      </c>
      <c r="BH157" s="68">
        <f t="shared" si="95"/>
        <v>0.19868384194699606</v>
      </c>
      <c r="BI157" s="68">
        <f t="shared" si="95"/>
        <v>0.27130638440741106</v>
      </c>
      <c r="BJ157" s="68">
        <f t="shared" si="94"/>
        <v>0.34093769212445979</v>
      </c>
      <c r="BK157" s="68">
        <f t="shared" si="94"/>
        <v>0.4071332959520737</v>
      </c>
      <c r="BL157" s="68">
        <f t="shared" si="94"/>
        <v>0.46785416278471925</v>
      </c>
      <c r="BM157" s="68">
        <f t="shared" si="94"/>
        <v>0.54660322209215984</v>
      </c>
      <c r="BN157" s="68">
        <f t="shared" si="94"/>
        <v>0.64937014813149885</v>
      </c>
      <c r="BO157" s="68">
        <f t="shared" si="94"/>
        <v>0.71671674557475185</v>
      </c>
      <c r="BP157" s="68">
        <f t="shared" si="110"/>
        <v>0.81029796509939112</v>
      </c>
      <c r="BQ157" s="68">
        <f t="shared" si="110"/>
        <v>0.89800562028731923</v>
      </c>
      <c r="BR157" s="68">
        <f t="shared" si="110"/>
        <v>1</v>
      </c>
    </row>
    <row r="158" spans="1:70">
      <c r="A158" s="239" t="s">
        <v>124</v>
      </c>
      <c r="B158" s="62">
        <v>9417.42</v>
      </c>
      <c r="C158" s="62">
        <v>14041.17</v>
      </c>
      <c r="D158" s="62">
        <v>7728.1799999999994</v>
      </c>
      <c r="E158" s="62">
        <v>5147.79</v>
      </c>
      <c r="F158" s="62">
        <v>4541.5900000000011</v>
      </c>
      <c r="G158" s="62">
        <v>8640.42</v>
      </c>
      <c r="H158" s="62">
        <v>12984.9</v>
      </c>
      <c r="I158" s="62">
        <v>10104.75</v>
      </c>
      <c r="J158" s="62">
        <v>7479.9400000000005</v>
      </c>
      <c r="K158" s="62">
        <v>9881.07</v>
      </c>
      <c r="L158" s="62">
        <v>8065.63</v>
      </c>
      <c r="M158" s="62">
        <v>10980.11</v>
      </c>
      <c r="N158" s="100">
        <f t="shared" si="96"/>
        <v>109012.97000000002</v>
      </c>
      <c r="P158" s="239" t="s">
        <v>124</v>
      </c>
      <c r="Q158" s="62">
        <v>4850.079999999999</v>
      </c>
      <c r="R158" s="62">
        <v>15711.319999999998</v>
      </c>
      <c r="S158" s="62">
        <v>13502.93</v>
      </c>
      <c r="T158" s="62">
        <v>7465.08</v>
      </c>
      <c r="U158" s="62">
        <v>6748.93</v>
      </c>
      <c r="V158" s="62">
        <v>7870.19</v>
      </c>
      <c r="W158" s="62">
        <v>7126.0400000000009</v>
      </c>
      <c r="X158" s="62">
        <v>9020.16</v>
      </c>
      <c r="Y158" s="62">
        <v>6593.14</v>
      </c>
      <c r="Z158" s="62">
        <v>6864.3</v>
      </c>
      <c r="AA158" s="62">
        <v>10435.969999999999</v>
      </c>
      <c r="AB158" s="62">
        <v>9397.5999999999985</v>
      </c>
      <c r="AC158" s="100">
        <f t="shared" si="97"/>
        <v>105585.74000000002</v>
      </c>
      <c r="AE158" s="68">
        <f t="shared" si="111"/>
        <v>8.6388069236165196E-2</v>
      </c>
      <c r="AF158" s="68">
        <f t="shared" si="112"/>
        <v>0.21519081628543829</v>
      </c>
      <c r="AG158" s="68">
        <f t="shared" si="113"/>
        <v>0.28608311469726949</v>
      </c>
      <c r="AH158" s="68">
        <f t="shared" si="114"/>
        <v>0.33330492692750224</v>
      </c>
      <c r="AI158" s="68">
        <f t="shared" si="115"/>
        <v>0.3749659329527486</v>
      </c>
      <c r="AJ158" s="68">
        <f t="shared" si="116"/>
        <v>0.45422640994002816</v>
      </c>
      <c r="AK158" s="68">
        <f t="shared" si="117"/>
        <v>0.57333975947999571</v>
      </c>
      <c r="AL158" s="68">
        <f t="shared" si="118"/>
        <v>0.66603285829199943</v>
      </c>
      <c r="AM158" s="68">
        <f t="shared" si="119"/>
        <v>0.73464799647234624</v>
      </c>
      <c r="AN158" s="68">
        <f t="shared" si="120"/>
        <v>0.82528922934582916</v>
      </c>
      <c r="AO158" s="68">
        <f t="shared" si="121"/>
        <v>0.89927703098080902</v>
      </c>
      <c r="AP158" s="68">
        <f t="shared" si="122"/>
        <v>1</v>
      </c>
      <c r="AQ158" s="92"/>
      <c r="AT158" s="68">
        <f t="shared" si="98"/>
        <v>4.5934990842513373E-2</v>
      </c>
      <c r="AU158" s="68">
        <f t="shared" si="99"/>
        <v>0.19473652407986147</v>
      </c>
      <c r="AV158" s="68">
        <f t="shared" si="100"/>
        <v>0.32262244882689645</v>
      </c>
      <c r="AW158" s="68">
        <f t="shared" si="101"/>
        <v>0.39332404167456697</v>
      </c>
      <c r="AX158" s="68">
        <f t="shared" si="102"/>
        <v>0.45724299512415212</v>
      </c>
      <c r="AY158" s="68">
        <f t="shared" si="103"/>
        <v>0.53178137502280132</v>
      </c>
      <c r="AZ158" s="68">
        <f t="shared" si="104"/>
        <v>0.59927192819787967</v>
      </c>
      <c r="BA158" s="68">
        <f t="shared" si="105"/>
        <v>0.68470164626397467</v>
      </c>
      <c r="BB158" s="68">
        <f t="shared" si="106"/>
        <v>0.7471451163765106</v>
      </c>
      <c r="BC158" s="68">
        <f t="shared" si="107"/>
        <v>0.81215673631685492</v>
      </c>
      <c r="BD158" s="68">
        <f t="shared" si="108"/>
        <v>0.91099555678636146</v>
      </c>
      <c r="BE158" s="68">
        <f t="shared" si="109"/>
        <v>1</v>
      </c>
      <c r="BG158" s="68">
        <f t="shared" si="95"/>
        <v>6.6161530039339278E-2</v>
      </c>
      <c r="BH158" s="68">
        <f t="shared" si="95"/>
        <v>0.20496367018264988</v>
      </c>
      <c r="BI158" s="68">
        <f t="shared" si="95"/>
        <v>0.30435278176208297</v>
      </c>
      <c r="BJ158" s="68">
        <f t="shared" si="94"/>
        <v>0.36331448430103463</v>
      </c>
      <c r="BK158" s="68">
        <f t="shared" si="94"/>
        <v>0.41610446403845036</v>
      </c>
      <c r="BL158" s="68">
        <f t="shared" si="94"/>
        <v>0.49300389248141474</v>
      </c>
      <c r="BM158" s="68">
        <f t="shared" si="94"/>
        <v>0.58630584383893769</v>
      </c>
      <c r="BN158" s="68">
        <f t="shared" si="94"/>
        <v>0.675367252277987</v>
      </c>
      <c r="BO158" s="68">
        <f t="shared" si="94"/>
        <v>0.74089655642442842</v>
      </c>
      <c r="BP158" s="68">
        <f t="shared" si="110"/>
        <v>0.81872298283134204</v>
      </c>
      <c r="BQ158" s="68">
        <f t="shared" si="110"/>
        <v>0.90513629388358519</v>
      </c>
      <c r="BR158" s="68">
        <f t="shared" si="110"/>
        <v>1</v>
      </c>
    </row>
    <row r="159" spans="1:70">
      <c r="A159" s="239" t="s">
        <v>125</v>
      </c>
      <c r="B159" s="62">
        <v>25939.510000000002</v>
      </c>
      <c r="C159" s="62">
        <v>27754.6</v>
      </c>
      <c r="D159" s="62">
        <v>24768.91</v>
      </c>
      <c r="E159" s="62">
        <v>20901.62</v>
      </c>
      <c r="F159" s="62">
        <v>17578.599999999999</v>
      </c>
      <c r="G159" s="62">
        <v>21552.360000000004</v>
      </c>
      <c r="H159" s="62">
        <v>19028.7</v>
      </c>
      <c r="I159" s="62">
        <v>17753.769999999997</v>
      </c>
      <c r="J159" s="62">
        <v>9958.9999999999982</v>
      </c>
      <c r="K159" s="62">
        <v>14695.210000000001</v>
      </c>
      <c r="L159" s="62">
        <v>16332.5</v>
      </c>
      <c r="M159" s="62">
        <v>21317.31</v>
      </c>
      <c r="N159" s="100">
        <f t="shared" si="96"/>
        <v>237582.09</v>
      </c>
      <c r="P159" s="239" t="s">
        <v>125</v>
      </c>
      <c r="Q159" s="62">
        <v>15823.83</v>
      </c>
      <c r="R159" s="62">
        <v>15491.25</v>
      </c>
      <c r="S159" s="62">
        <v>16871.030000000002</v>
      </c>
      <c r="T159" s="62">
        <v>11916.75</v>
      </c>
      <c r="U159" s="62">
        <v>16485.330000000002</v>
      </c>
      <c r="V159" s="62">
        <v>14555.75</v>
      </c>
      <c r="W159" s="62">
        <v>17140.309999999998</v>
      </c>
      <c r="X159" s="62">
        <v>24172.73</v>
      </c>
      <c r="Y159" s="62">
        <v>21123.010000000002</v>
      </c>
      <c r="Z159" s="62">
        <v>30031.02</v>
      </c>
      <c r="AA159" s="62">
        <v>31936.71</v>
      </c>
      <c r="AB159" s="62">
        <v>29046.440000000002</v>
      </c>
      <c r="AC159" s="100">
        <f t="shared" si="97"/>
        <v>244594.16</v>
      </c>
      <c r="AE159" s="68">
        <f t="shared" si="111"/>
        <v>0.10918125183594438</v>
      </c>
      <c r="AF159" s="68">
        <f t="shared" si="112"/>
        <v>0.22600234723080348</v>
      </c>
      <c r="AG159" s="68">
        <f t="shared" si="113"/>
        <v>0.33025645998820874</v>
      </c>
      <c r="AH159" s="68">
        <f t="shared" si="114"/>
        <v>0.41823287268834114</v>
      </c>
      <c r="AI159" s="68">
        <f t="shared" si="115"/>
        <v>0.4922224566675038</v>
      </c>
      <c r="AJ159" s="68">
        <f t="shared" si="116"/>
        <v>0.58293788054478357</v>
      </c>
      <c r="AK159" s="68">
        <f t="shared" si="117"/>
        <v>0.66303103908211269</v>
      </c>
      <c r="AL159" s="68">
        <f t="shared" si="118"/>
        <v>0.73775792611303326</v>
      </c>
      <c r="AM159" s="68">
        <f t="shared" si="119"/>
        <v>0.77967606901681863</v>
      </c>
      <c r="AN159" s="68">
        <f t="shared" si="120"/>
        <v>0.84152925837128545</v>
      </c>
      <c r="AO159" s="68">
        <f t="shared" si="121"/>
        <v>0.91027391837490779</v>
      </c>
      <c r="AP159" s="68">
        <f t="shared" si="122"/>
        <v>1</v>
      </c>
      <c r="AQ159" s="92"/>
      <c r="AT159" s="68">
        <f t="shared" si="98"/>
        <v>6.4694226550625733E-2</v>
      </c>
      <c r="AU159" s="68">
        <f t="shared" si="99"/>
        <v>0.12802873134828729</v>
      </c>
      <c r="AV159" s="68">
        <f t="shared" si="100"/>
        <v>0.19700433567179201</v>
      </c>
      <c r="AW159" s="68">
        <f t="shared" si="101"/>
        <v>0.24572483660280359</v>
      </c>
      <c r="AX159" s="68">
        <f t="shared" si="102"/>
        <v>0.31312354309685891</v>
      </c>
      <c r="AY159" s="68">
        <f t="shared" si="103"/>
        <v>0.37263334496620854</v>
      </c>
      <c r="AZ159" s="68">
        <f t="shared" si="104"/>
        <v>0.44270987500273923</v>
      </c>
      <c r="BA159" s="68">
        <f t="shared" si="105"/>
        <v>0.54153778651133788</v>
      </c>
      <c r="BB159" s="68">
        <f t="shared" si="106"/>
        <v>0.62789720735769006</v>
      </c>
      <c r="BC159" s="68">
        <f t="shared" si="107"/>
        <v>0.75067618131193325</v>
      </c>
      <c r="BD159" s="68">
        <f t="shared" si="108"/>
        <v>0.88124638789413445</v>
      </c>
      <c r="BE159" s="68">
        <f t="shared" si="109"/>
        <v>1</v>
      </c>
      <c r="BG159" s="68">
        <f t="shared" si="95"/>
        <v>8.6937739193285055E-2</v>
      </c>
      <c r="BH159" s="68">
        <f t="shared" si="95"/>
        <v>0.17701553928954539</v>
      </c>
      <c r="BI159" s="68">
        <f t="shared" si="95"/>
        <v>0.26363039783000036</v>
      </c>
      <c r="BJ159" s="68">
        <f t="shared" si="94"/>
        <v>0.33197885464557236</v>
      </c>
      <c r="BK159" s="68">
        <f t="shared" si="94"/>
        <v>0.40267299988218136</v>
      </c>
      <c r="BL159" s="68">
        <f t="shared" si="94"/>
        <v>0.47778561275549603</v>
      </c>
      <c r="BM159" s="68">
        <f t="shared" si="94"/>
        <v>0.55287045704242599</v>
      </c>
      <c r="BN159" s="68">
        <f t="shared" si="94"/>
        <v>0.63964785631218557</v>
      </c>
      <c r="BO159" s="68">
        <f t="shared" si="94"/>
        <v>0.7037866381872544</v>
      </c>
      <c r="BP159" s="68">
        <f t="shared" si="110"/>
        <v>0.7961027198416093</v>
      </c>
      <c r="BQ159" s="68">
        <f t="shared" si="110"/>
        <v>0.89576015313452118</v>
      </c>
      <c r="BR159" s="68">
        <f t="shared" si="110"/>
        <v>1</v>
      </c>
    </row>
    <row r="160" spans="1:70">
      <c r="A160" s="239" t="s">
        <v>126</v>
      </c>
      <c r="B160" s="62">
        <v>11118.359999999999</v>
      </c>
      <c r="C160" s="62">
        <v>10215.890000000001</v>
      </c>
      <c r="D160" s="62">
        <v>11028.06</v>
      </c>
      <c r="E160" s="62">
        <v>9503.8300000000017</v>
      </c>
      <c r="F160" s="62">
        <v>10550.640000000001</v>
      </c>
      <c r="G160" s="62">
        <v>10300.720000000001</v>
      </c>
      <c r="H160" s="62">
        <v>14682.310000000001</v>
      </c>
      <c r="I160" s="62">
        <v>24485.600000000002</v>
      </c>
      <c r="J160" s="62">
        <v>14628.999999999998</v>
      </c>
      <c r="K160" s="62">
        <v>18727.169999999998</v>
      </c>
      <c r="L160" s="62">
        <v>16181.83</v>
      </c>
      <c r="M160" s="62">
        <v>25163.279999999999</v>
      </c>
      <c r="N160" s="100">
        <f t="shared" si="96"/>
        <v>176586.69</v>
      </c>
      <c r="P160" s="239" t="s">
        <v>126</v>
      </c>
      <c r="Q160" s="62">
        <v>7381.77</v>
      </c>
      <c r="R160" s="62">
        <v>5161.55</v>
      </c>
      <c r="S160" s="62">
        <v>6788.15</v>
      </c>
      <c r="T160" s="62">
        <v>3507.5</v>
      </c>
      <c r="U160" s="62">
        <v>5315.9500000000007</v>
      </c>
      <c r="V160" s="62">
        <v>6146.9800000000005</v>
      </c>
      <c r="W160" s="62">
        <v>6317.77</v>
      </c>
      <c r="X160" s="62">
        <v>9367.0500000000011</v>
      </c>
      <c r="Y160" s="62">
        <v>13030.48</v>
      </c>
      <c r="Z160" s="62">
        <v>10399.44</v>
      </c>
      <c r="AA160" s="62">
        <v>17006.240000000002</v>
      </c>
      <c r="AB160" s="62">
        <v>14234.349999999999</v>
      </c>
      <c r="AC160" s="100">
        <f t="shared" si="97"/>
        <v>104657.23000000001</v>
      </c>
      <c r="AE160" s="68">
        <f t="shared" si="111"/>
        <v>6.2962616265132998E-2</v>
      </c>
      <c r="AF160" s="68">
        <f t="shared" si="112"/>
        <v>0.1208145982010309</v>
      </c>
      <c r="AG160" s="68">
        <f t="shared" si="113"/>
        <v>0.18326585089736944</v>
      </c>
      <c r="AH160" s="68">
        <f t="shared" si="114"/>
        <v>0.23708547909245029</v>
      </c>
      <c r="AI160" s="68">
        <f t="shared" si="115"/>
        <v>0.29683313051510279</v>
      </c>
      <c r="AJ160" s="68">
        <f t="shared" si="116"/>
        <v>0.35516549973273748</v>
      </c>
      <c r="AK160" s="68">
        <f t="shared" si="117"/>
        <v>0.43831055443646399</v>
      </c>
      <c r="AL160" s="68">
        <f t="shared" si="118"/>
        <v>0.57697106163550604</v>
      </c>
      <c r="AM160" s="68">
        <f t="shared" si="119"/>
        <v>0.65981422495659214</v>
      </c>
      <c r="AN160" s="68">
        <f t="shared" si="120"/>
        <v>0.76586508303655287</v>
      </c>
      <c r="AO160" s="68">
        <f t="shared" si="121"/>
        <v>0.85750183097038624</v>
      </c>
      <c r="AP160" s="68">
        <f t="shared" si="122"/>
        <v>1</v>
      </c>
      <c r="AQ160" s="92"/>
      <c r="AT160" s="68">
        <f t="shared" si="98"/>
        <v>7.0532824153668114E-2</v>
      </c>
      <c r="AU160" s="68">
        <f t="shared" si="99"/>
        <v>0.11985144265713892</v>
      </c>
      <c r="AV160" s="68">
        <f t="shared" si="100"/>
        <v>0.18471222676159113</v>
      </c>
      <c r="AW160" s="68">
        <f t="shared" si="101"/>
        <v>0.21822639487018716</v>
      </c>
      <c r="AX160" s="68">
        <f t="shared" si="102"/>
        <v>0.26902030562054813</v>
      </c>
      <c r="AY160" s="68">
        <f t="shared" si="103"/>
        <v>0.32775470934975059</v>
      </c>
      <c r="AZ160" s="68">
        <f t="shared" si="104"/>
        <v>0.38812101180205127</v>
      </c>
      <c r="BA160" s="68">
        <f t="shared" si="105"/>
        <v>0.47762318953024074</v>
      </c>
      <c r="BB160" s="68">
        <f t="shared" si="106"/>
        <v>0.60212944676636282</v>
      </c>
      <c r="BC160" s="68">
        <f t="shared" si="107"/>
        <v>0.70149611259537437</v>
      </c>
      <c r="BD160" s="68">
        <f t="shared" si="108"/>
        <v>0.86399076298885413</v>
      </c>
      <c r="BE160" s="68">
        <f t="shared" si="109"/>
        <v>1</v>
      </c>
      <c r="BG160" s="68">
        <f t="shared" si="95"/>
        <v>6.6747720209400563E-2</v>
      </c>
      <c r="BH160" s="68">
        <f t="shared" si="95"/>
        <v>0.12033302042908491</v>
      </c>
      <c r="BI160" s="68">
        <f t="shared" si="95"/>
        <v>0.18398903882948028</v>
      </c>
      <c r="BJ160" s="68">
        <f t="shared" si="94"/>
        <v>0.22765593698131872</v>
      </c>
      <c r="BK160" s="68">
        <f t="shared" si="94"/>
        <v>0.28292671806782543</v>
      </c>
      <c r="BL160" s="68">
        <f t="shared" si="94"/>
        <v>0.34146010454124404</v>
      </c>
      <c r="BM160" s="68">
        <f t="shared" si="94"/>
        <v>0.41321578311925766</v>
      </c>
      <c r="BN160" s="68">
        <f t="shared" si="94"/>
        <v>0.52729712558287334</v>
      </c>
      <c r="BO160" s="68">
        <f t="shared" si="94"/>
        <v>0.63097183586147754</v>
      </c>
      <c r="BP160" s="68">
        <f t="shared" si="110"/>
        <v>0.73368059781596362</v>
      </c>
      <c r="BQ160" s="68">
        <f t="shared" si="110"/>
        <v>0.86074629697962024</v>
      </c>
      <c r="BR160" s="68">
        <f t="shared" si="110"/>
        <v>1</v>
      </c>
    </row>
    <row r="161" spans="1:70">
      <c r="A161" s="239" t="s">
        <v>127</v>
      </c>
      <c r="B161" s="62">
        <v>15542.9</v>
      </c>
      <c r="C161" s="62">
        <v>13642.14</v>
      </c>
      <c r="D161" s="62">
        <v>8557.26</v>
      </c>
      <c r="E161" s="62">
        <v>9302.67</v>
      </c>
      <c r="F161" s="62">
        <v>9409.84</v>
      </c>
      <c r="G161" s="62">
        <v>8139.77</v>
      </c>
      <c r="H161" s="62">
        <v>12897.310000000001</v>
      </c>
      <c r="I161" s="62">
        <v>14319.62</v>
      </c>
      <c r="J161" s="62">
        <v>11529.949999999999</v>
      </c>
      <c r="K161" s="62">
        <v>14895.17</v>
      </c>
      <c r="L161" s="62">
        <v>11437.750000000002</v>
      </c>
      <c r="M161" s="62">
        <v>23598.94</v>
      </c>
      <c r="N161" s="100">
        <f t="shared" si="96"/>
        <v>153273.31999999998</v>
      </c>
      <c r="P161" s="239" t="s">
        <v>127</v>
      </c>
      <c r="Q161" s="62">
        <v>7997.6499999999987</v>
      </c>
      <c r="R161" s="62">
        <v>10394.67</v>
      </c>
      <c r="S161" s="62">
        <v>11408.619999999999</v>
      </c>
      <c r="T161" s="62">
        <v>10706.12</v>
      </c>
      <c r="U161" s="62">
        <v>8100.34</v>
      </c>
      <c r="V161" s="62">
        <v>9564.7499999999982</v>
      </c>
      <c r="W161" s="62">
        <v>15380.27</v>
      </c>
      <c r="X161" s="62">
        <v>16382.68</v>
      </c>
      <c r="Y161" s="62">
        <v>11291.869999999999</v>
      </c>
      <c r="Z161" s="62">
        <v>10928.07</v>
      </c>
      <c r="AA161" s="62">
        <v>15172.57</v>
      </c>
      <c r="AB161" s="62">
        <v>12155.45</v>
      </c>
      <c r="AC161" s="100">
        <f t="shared" si="97"/>
        <v>139483.06000000003</v>
      </c>
      <c r="AE161" s="68">
        <f t="shared" si="111"/>
        <v>0.10140642872484266</v>
      </c>
      <c r="AF161" s="68">
        <f t="shared" si="112"/>
        <v>0.19041174289171792</v>
      </c>
      <c r="AG161" s="68">
        <f t="shared" si="113"/>
        <v>0.24624181168646969</v>
      </c>
      <c r="AH161" s="68">
        <f t="shared" si="114"/>
        <v>0.3069351534892048</v>
      </c>
      <c r="AI161" s="68">
        <f t="shared" si="115"/>
        <v>0.36832770373865464</v>
      </c>
      <c r="AJ161" s="68">
        <f t="shared" si="116"/>
        <v>0.42143394558165775</v>
      </c>
      <c r="AK161" s="68">
        <f t="shared" si="117"/>
        <v>0.50557977083030503</v>
      </c>
      <c r="AL161" s="68">
        <f t="shared" si="118"/>
        <v>0.59900516280328509</v>
      </c>
      <c r="AM161" s="68">
        <f t="shared" si="119"/>
        <v>0.6742299312104677</v>
      </c>
      <c r="AN161" s="68">
        <f t="shared" si="120"/>
        <v>0.77141037983649086</v>
      </c>
      <c r="AO161" s="68">
        <f t="shared" si="121"/>
        <v>0.84603360845840625</v>
      </c>
      <c r="AP161" s="68">
        <f t="shared" si="122"/>
        <v>1</v>
      </c>
      <c r="AQ161" s="92"/>
      <c r="AT161" s="68">
        <f t="shared" si="98"/>
        <v>5.733778711192597E-2</v>
      </c>
      <c r="AU161" s="68">
        <f t="shared" si="99"/>
        <v>0.13186060013309139</v>
      </c>
      <c r="AV161" s="68">
        <f t="shared" si="100"/>
        <v>0.21365275467859676</v>
      </c>
      <c r="AW161" s="68">
        <f t="shared" si="101"/>
        <v>0.2904084553350062</v>
      </c>
      <c r="AX161" s="68">
        <f t="shared" si="102"/>
        <v>0.34848246088091261</v>
      </c>
      <c r="AY161" s="68">
        <f t="shared" si="103"/>
        <v>0.41705530406344671</v>
      </c>
      <c r="AZ161" s="68">
        <f t="shared" si="104"/>
        <v>0.52732152563902734</v>
      </c>
      <c r="BA161" s="68">
        <f t="shared" si="105"/>
        <v>0.64477435467790845</v>
      </c>
      <c r="BB161" s="68">
        <f t="shared" si="106"/>
        <v>0.72572949001835763</v>
      </c>
      <c r="BC161" s="68">
        <f t="shared" si="107"/>
        <v>0.8040764233305463</v>
      </c>
      <c r="BD161" s="68">
        <f t="shared" si="108"/>
        <v>0.91285357519400556</v>
      </c>
      <c r="BE161" s="68">
        <f t="shared" si="109"/>
        <v>1</v>
      </c>
      <c r="BG161" s="68">
        <f t="shared" si="95"/>
        <v>7.937210791838431E-2</v>
      </c>
      <c r="BH161" s="68">
        <f t="shared" si="95"/>
        <v>0.16113617151240467</v>
      </c>
      <c r="BI161" s="68">
        <f t="shared" si="95"/>
        <v>0.22994728318253321</v>
      </c>
      <c r="BJ161" s="68">
        <f t="shared" si="94"/>
        <v>0.2986718044121055</v>
      </c>
      <c r="BK161" s="68">
        <f t="shared" si="94"/>
        <v>0.35840508230978363</v>
      </c>
      <c r="BL161" s="68">
        <f t="shared" si="94"/>
        <v>0.4192446248225522</v>
      </c>
      <c r="BM161" s="68">
        <f t="shared" si="94"/>
        <v>0.51645064823466624</v>
      </c>
      <c r="BN161" s="68">
        <f t="shared" si="94"/>
        <v>0.62188975874059671</v>
      </c>
      <c r="BO161" s="68">
        <f t="shared" si="94"/>
        <v>0.69997971061441266</v>
      </c>
      <c r="BP161" s="68">
        <f t="shared" si="110"/>
        <v>0.78774340158351852</v>
      </c>
      <c r="BQ161" s="68">
        <f t="shared" si="110"/>
        <v>0.87944359182620591</v>
      </c>
      <c r="BR161" s="68">
        <f t="shared" si="110"/>
        <v>1</v>
      </c>
    </row>
    <row r="162" spans="1:70">
      <c r="A162" s="239" t="s">
        <v>128</v>
      </c>
      <c r="B162" s="62">
        <v>4402.78</v>
      </c>
      <c r="C162" s="62">
        <v>2978.2599999999998</v>
      </c>
      <c r="D162" s="62">
        <v>3559.49</v>
      </c>
      <c r="E162" s="62">
        <v>3696.14</v>
      </c>
      <c r="F162" s="62">
        <v>2549.1499999999996</v>
      </c>
      <c r="G162" s="62">
        <v>3591.69</v>
      </c>
      <c r="H162" s="62">
        <v>9734.7099999999991</v>
      </c>
      <c r="I162" s="62">
        <v>6435.79</v>
      </c>
      <c r="J162" s="62">
        <v>5195.7299999999996</v>
      </c>
      <c r="K162" s="62">
        <v>5161.2899999999991</v>
      </c>
      <c r="L162" s="62">
        <v>5656.18</v>
      </c>
      <c r="M162" s="62">
        <v>7133.5299999999988</v>
      </c>
      <c r="N162" s="100">
        <f t="shared" si="96"/>
        <v>60094.739999999991</v>
      </c>
      <c r="P162" s="239" t="s">
        <v>128</v>
      </c>
      <c r="Q162" s="62">
        <v>6525.97</v>
      </c>
      <c r="R162" s="62">
        <v>4496.59</v>
      </c>
      <c r="S162" s="62">
        <v>5685.9</v>
      </c>
      <c r="T162" s="62">
        <v>2648.2599999999998</v>
      </c>
      <c r="U162" s="62">
        <v>4098.7400000000007</v>
      </c>
      <c r="V162" s="62">
        <v>3568.02</v>
      </c>
      <c r="W162" s="62">
        <v>5339.0700000000006</v>
      </c>
      <c r="X162" s="62">
        <v>7097.42</v>
      </c>
      <c r="Y162" s="62">
        <v>6179.3099999999995</v>
      </c>
      <c r="Z162" s="62">
        <v>7779.56</v>
      </c>
      <c r="AA162" s="62">
        <v>9341.06</v>
      </c>
      <c r="AB162" s="62">
        <v>6876.14</v>
      </c>
      <c r="AC162" s="100">
        <f t="shared" si="97"/>
        <v>69636.039999999994</v>
      </c>
      <c r="AE162" s="68">
        <f t="shared" si="111"/>
        <v>7.3263982837765848E-2</v>
      </c>
      <c r="AF162" s="68">
        <f t="shared" si="112"/>
        <v>0.12282339519232466</v>
      </c>
      <c r="AG162" s="68">
        <f t="shared" si="113"/>
        <v>0.182054702291748</v>
      </c>
      <c r="AH162" s="68">
        <f t="shared" si="114"/>
        <v>0.24355991888807574</v>
      </c>
      <c r="AI162" s="68">
        <f t="shared" si="115"/>
        <v>0.28597877285100165</v>
      </c>
      <c r="AJ162" s="68">
        <f t="shared" si="116"/>
        <v>0.3457459005563549</v>
      </c>
      <c r="AK162" s="68">
        <f t="shared" si="117"/>
        <v>0.50773528598343221</v>
      </c>
      <c r="AL162" s="68">
        <f t="shared" si="118"/>
        <v>0.61482935112124626</v>
      </c>
      <c r="AM162" s="68">
        <f t="shared" si="119"/>
        <v>0.70128833238982313</v>
      </c>
      <c r="AN162" s="68">
        <f t="shared" si="120"/>
        <v>0.78717421857553582</v>
      </c>
      <c r="AO162" s="68">
        <f t="shared" si="121"/>
        <v>0.88129526810499559</v>
      </c>
      <c r="AP162" s="68">
        <f t="shared" si="122"/>
        <v>1</v>
      </c>
      <c r="AQ162" s="92"/>
      <c r="AT162" s="68">
        <f t="shared" si="98"/>
        <v>9.3715409434539945E-2</v>
      </c>
      <c r="AU162" s="68">
        <f t="shared" si="99"/>
        <v>0.1582881507908836</v>
      </c>
      <c r="AV162" s="68">
        <f t="shared" si="100"/>
        <v>0.23993983575171707</v>
      </c>
      <c r="AW162" s="68">
        <f t="shared" si="101"/>
        <v>0.27796985583901668</v>
      </c>
      <c r="AX162" s="68">
        <f t="shared" si="102"/>
        <v>0.33682931999005117</v>
      </c>
      <c r="AY162" s="68">
        <f t="shared" si="103"/>
        <v>0.3880674432377258</v>
      </c>
      <c r="AZ162" s="68">
        <f t="shared" si="104"/>
        <v>0.46473851758371099</v>
      </c>
      <c r="BA162" s="68">
        <f t="shared" si="105"/>
        <v>0.56666016620129467</v>
      </c>
      <c r="BB162" s="68">
        <f t="shared" si="106"/>
        <v>0.65539740628559584</v>
      </c>
      <c r="BC162" s="68">
        <f t="shared" si="107"/>
        <v>0.76711484455463008</v>
      </c>
      <c r="BD162" s="68">
        <f t="shared" si="108"/>
        <v>0.90125601628122454</v>
      </c>
      <c r="BE162" s="68">
        <f t="shared" si="109"/>
        <v>1</v>
      </c>
      <c r="BG162" s="68">
        <f t="shared" si="95"/>
        <v>8.3489696136152897E-2</v>
      </c>
      <c r="BH162" s="68">
        <f t="shared" si="95"/>
        <v>0.14055577299160413</v>
      </c>
      <c r="BI162" s="68">
        <f t="shared" si="95"/>
        <v>0.21099726902173255</v>
      </c>
      <c r="BJ162" s="68">
        <f t="shared" si="94"/>
        <v>0.26076488736354619</v>
      </c>
      <c r="BK162" s="68">
        <f t="shared" si="94"/>
        <v>0.31140404642052644</v>
      </c>
      <c r="BL162" s="68">
        <f t="shared" si="94"/>
        <v>0.36690667189704035</v>
      </c>
      <c r="BM162" s="68">
        <f t="shared" si="94"/>
        <v>0.4862369017835716</v>
      </c>
      <c r="BN162" s="68">
        <f t="shared" si="94"/>
        <v>0.59074475866127041</v>
      </c>
      <c r="BO162" s="68">
        <f t="shared" si="94"/>
        <v>0.67834286933770949</v>
      </c>
      <c r="BP162" s="68">
        <f t="shared" si="110"/>
        <v>0.7771445315650829</v>
      </c>
      <c r="BQ162" s="68">
        <f t="shared" si="110"/>
        <v>0.89127564219311006</v>
      </c>
      <c r="BR162" s="68">
        <f t="shared" si="110"/>
        <v>1</v>
      </c>
    </row>
    <row r="163" spans="1:70">
      <c r="A163" s="239" t="s">
        <v>129</v>
      </c>
      <c r="B163" s="62">
        <v>6561.88</v>
      </c>
      <c r="C163" s="62">
        <v>8146.97</v>
      </c>
      <c r="D163" s="62">
        <v>9229.91</v>
      </c>
      <c r="E163" s="62">
        <v>7234.2099999999991</v>
      </c>
      <c r="F163" s="62">
        <v>9098.5800000000017</v>
      </c>
      <c r="G163" s="62">
        <v>6505.7599999999993</v>
      </c>
      <c r="H163" s="62">
        <v>5375.4800000000005</v>
      </c>
      <c r="I163" s="62">
        <v>5479.27</v>
      </c>
      <c r="J163" s="62">
        <v>5670.1399999999994</v>
      </c>
      <c r="K163" s="62">
        <v>8330.8499999999985</v>
      </c>
      <c r="L163" s="62">
        <v>8167.5700000000006</v>
      </c>
      <c r="M163" s="62">
        <v>8437.010000000002</v>
      </c>
      <c r="N163" s="100">
        <f t="shared" si="96"/>
        <v>88237.630000000034</v>
      </c>
      <c r="P163" s="239" t="s">
        <v>129</v>
      </c>
      <c r="Q163" s="62">
        <v>8338.52</v>
      </c>
      <c r="R163" s="62">
        <v>6723</v>
      </c>
      <c r="S163" s="62">
        <v>6847.579999999999</v>
      </c>
      <c r="T163" s="62">
        <v>3637.14</v>
      </c>
      <c r="U163" s="62">
        <v>4796.24</v>
      </c>
      <c r="V163" s="62">
        <v>5666.27</v>
      </c>
      <c r="W163" s="62">
        <v>4242.97</v>
      </c>
      <c r="X163" s="62">
        <v>9741.49</v>
      </c>
      <c r="Y163" s="62">
        <v>6392.6100000000006</v>
      </c>
      <c r="Z163" s="62">
        <v>8652.59</v>
      </c>
      <c r="AA163" s="62">
        <v>11943.509999999998</v>
      </c>
      <c r="AB163" s="62">
        <v>7204.2300000000005</v>
      </c>
      <c r="AC163" s="100">
        <f t="shared" si="97"/>
        <v>84186.15</v>
      </c>
      <c r="AE163" s="68">
        <f t="shared" si="111"/>
        <v>7.4366004617304401E-2</v>
      </c>
      <c r="AF163" s="68">
        <f t="shared" si="112"/>
        <v>0.16669588700421797</v>
      </c>
      <c r="AG163" s="68">
        <f t="shared" si="113"/>
        <v>0.2712987644840415</v>
      </c>
      <c r="AH163" s="68">
        <f t="shared" si="114"/>
        <v>0.35328430738676897</v>
      </c>
      <c r="AI163" s="68">
        <f t="shared" si="115"/>
        <v>0.45639881760196854</v>
      </c>
      <c r="AJ163" s="68">
        <f t="shared" si="116"/>
        <v>0.5301288123899065</v>
      </c>
      <c r="AK163" s="68">
        <f t="shared" si="117"/>
        <v>0.59104930628803143</v>
      </c>
      <c r="AL163" s="68">
        <f t="shared" si="118"/>
        <v>0.65314605571341833</v>
      </c>
      <c r="AM163" s="68">
        <f t="shared" si="119"/>
        <v>0.7174059412067163</v>
      </c>
      <c r="AN163" s="68">
        <f t="shared" si="120"/>
        <v>0.81181974175870308</v>
      </c>
      <c r="AO163" s="68">
        <f t="shared" si="121"/>
        <v>0.90438308463180617</v>
      </c>
      <c r="AP163" s="68">
        <f t="shared" si="122"/>
        <v>1</v>
      </c>
      <c r="AQ163" s="92"/>
      <c r="AT163" s="68">
        <f t="shared" si="98"/>
        <v>9.9048596473410425E-2</v>
      </c>
      <c r="AU163" s="68">
        <f t="shared" si="99"/>
        <v>0.17890733808352088</v>
      </c>
      <c r="AV163" s="68">
        <f t="shared" si="100"/>
        <v>0.26024589555407868</v>
      </c>
      <c r="AW163" s="68">
        <f t="shared" si="101"/>
        <v>0.30344943912983313</v>
      </c>
      <c r="AX163" s="68">
        <f t="shared" si="102"/>
        <v>0.36042128069759694</v>
      </c>
      <c r="AY163" s="68">
        <f t="shared" si="103"/>
        <v>0.42772772005846571</v>
      </c>
      <c r="AZ163" s="68">
        <f t="shared" si="104"/>
        <v>0.47812757799234201</v>
      </c>
      <c r="BA163" s="68">
        <f t="shared" si="105"/>
        <v>0.59384126723932618</v>
      </c>
      <c r="BB163" s="68">
        <f t="shared" si="106"/>
        <v>0.6697754915743267</v>
      </c>
      <c r="BC163" s="68">
        <f t="shared" si="107"/>
        <v>0.77255474920755973</v>
      </c>
      <c r="BD163" s="68">
        <f t="shared" si="108"/>
        <v>0.91442499746098382</v>
      </c>
      <c r="BE163" s="68">
        <f t="shared" si="109"/>
        <v>1</v>
      </c>
      <c r="BG163" s="68">
        <f t="shared" si="95"/>
        <v>8.6707300545357413E-2</v>
      </c>
      <c r="BH163" s="68">
        <f t="shared" si="95"/>
        <v>0.17280161254386944</v>
      </c>
      <c r="BI163" s="68">
        <f t="shared" si="95"/>
        <v>0.26577233001906009</v>
      </c>
      <c r="BJ163" s="68">
        <f t="shared" si="94"/>
        <v>0.32836687325830105</v>
      </c>
      <c r="BK163" s="68">
        <f t="shared" si="94"/>
        <v>0.40841004914978274</v>
      </c>
      <c r="BL163" s="68">
        <f t="shared" si="94"/>
        <v>0.47892826622418611</v>
      </c>
      <c r="BM163" s="68">
        <f t="shared" si="94"/>
        <v>0.53458844214018675</v>
      </c>
      <c r="BN163" s="68">
        <f t="shared" si="94"/>
        <v>0.6234936614763722</v>
      </c>
      <c r="BO163" s="68">
        <f t="shared" si="94"/>
        <v>0.6935907163905215</v>
      </c>
      <c r="BP163" s="68">
        <f t="shared" si="110"/>
        <v>0.79218724548313135</v>
      </c>
      <c r="BQ163" s="68">
        <f t="shared" si="110"/>
        <v>0.90940404104639505</v>
      </c>
      <c r="BR163" s="68">
        <f t="shared" si="110"/>
        <v>1</v>
      </c>
    </row>
    <row r="164" spans="1:70">
      <c r="A164" s="239" t="s">
        <v>130</v>
      </c>
      <c r="B164" s="62">
        <v>17775.96</v>
      </c>
      <c r="C164" s="62">
        <v>18140.940000000002</v>
      </c>
      <c r="D164" s="62">
        <v>12622.95</v>
      </c>
      <c r="E164" s="62">
        <v>15153.380000000001</v>
      </c>
      <c r="F164" s="62">
        <v>11329.04</v>
      </c>
      <c r="G164" s="62">
        <v>19739.310000000001</v>
      </c>
      <c r="H164" s="62">
        <v>14448.449999999999</v>
      </c>
      <c r="I164" s="62">
        <v>14049.210000000001</v>
      </c>
      <c r="J164" s="62">
        <v>10733.199999999999</v>
      </c>
      <c r="K164" s="62">
        <v>15669.58</v>
      </c>
      <c r="L164" s="62">
        <v>12369.199999999999</v>
      </c>
      <c r="M164" s="62">
        <v>15988.79</v>
      </c>
      <c r="N164" s="100">
        <f t="shared" si="96"/>
        <v>178020.01000000004</v>
      </c>
      <c r="P164" s="239" t="s">
        <v>130</v>
      </c>
      <c r="Q164" s="62">
        <v>6587.5</v>
      </c>
      <c r="R164" s="62">
        <v>7499.52</v>
      </c>
      <c r="S164" s="62">
        <v>6956.43</v>
      </c>
      <c r="T164" s="62">
        <v>10267.43</v>
      </c>
      <c r="U164" s="62">
        <v>13639.24</v>
      </c>
      <c r="V164" s="62">
        <v>17759.060000000001</v>
      </c>
      <c r="W164" s="62">
        <v>10985.820000000002</v>
      </c>
      <c r="X164" s="62">
        <v>16485.129999999997</v>
      </c>
      <c r="Y164" s="62">
        <v>17731.84</v>
      </c>
      <c r="Z164" s="62">
        <v>16115.679999999998</v>
      </c>
      <c r="AA164" s="62">
        <v>17623.629999999997</v>
      </c>
      <c r="AB164" s="62">
        <v>12376.03</v>
      </c>
      <c r="AC164" s="100">
        <f t="shared" si="97"/>
        <v>154027.31</v>
      </c>
      <c r="AE164" s="68">
        <f t="shared" si="111"/>
        <v>9.9853718691511106E-2</v>
      </c>
      <c r="AF164" s="68">
        <f t="shared" si="112"/>
        <v>0.2017576563443626</v>
      </c>
      <c r="AG164" s="68">
        <f t="shared" si="113"/>
        <v>0.27266513466660292</v>
      </c>
      <c r="AH164" s="68">
        <f t="shared" si="114"/>
        <v>0.35778691395422346</v>
      </c>
      <c r="AI164" s="68">
        <f t="shared" si="115"/>
        <v>0.42142605204886802</v>
      </c>
      <c r="AJ164" s="68">
        <f t="shared" si="116"/>
        <v>0.53230858710770768</v>
      </c>
      <c r="AK164" s="68">
        <f t="shared" si="117"/>
        <v>0.61347053064427981</v>
      </c>
      <c r="AL164" s="68">
        <f t="shared" si="118"/>
        <v>0.69238980494383751</v>
      </c>
      <c r="AM164" s="68">
        <f t="shared" si="119"/>
        <v>0.75268190356803144</v>
      </c>
      <c r="AN164" s="68">
        <f t="shared" si="120"/>
        <v>0.84070335688667797</v>
      </c>
      <c r="AO164" s="68">
        <f t="shared" si="121"/>
        <v>0.91018543364872295</v>
      </c>
      <c r="AP164" s="68">
        <f t="shared" si="122"/>
        <v>1</v>
      </c>
      <c r="AQ164" s="92"/>
      <c r="AT164" s="68">
        <f t="shared" si="98"/>
        <v>4.2768389579744007E-2</v>
      </c>
      <c r="AU164" s="68">
        <f t="shared" si="99"/>
        <v>9.145793690742246E-2</v>
      </c>
      <c r="AV164" s="68">
        <f t="shared" si="100"/>
        <v>0.13662155107428678</v>
      </c>
      <c r="AW164" s="68">
        <f t="shared" si="101"/>
        <v>0.20328135315743684</v>
      </c>
      <c r="AX164" s="68">
        <f t="shared" si="102"/>
        <v>0.29183214327381296</v>
      </c>
      <c r="AY164" s="68">
        <f t="shared" si="103"/>
        <v>0.40713026800247315</v>
      </c>
      <c r="AZ164" s="68">
        <f t="shared" si="104"/>
        <v>0.47845411310500724</v>
      </c>
      <c r="BA164" s="68">
        <f t="shared" si="105"/>
        <v>0.58548143183179657</v>
      </c>
      <c r="BB164" s="68">
        <f t="shared" si="106"/>
        <v>0.70060283465315343</v>
      </c>
      <c r="BC164" s="68">
        <f t="shared" si="107"/>
        <v>0.80523155276814218</v>
      </c>
      <c r="BD164" s="68">
        <f t="shared" si="108"/>
        <v>0.9196504178382392</v>
      </c>
      <c r="BE164" s="68">
        <f t="shared" si="109"/>
        <v>1</v>
      </c>
      <c r="BG164" s="68">
        <f t="shared" si="95"/>
        <v>7.131105413562755E-2</v>
      </c>
      <c r="BH164" s="68">
        <f t="shared" si="95"/>
        <v>0.14660779662589252</v>
      </c>
      <c r="BI164" s="68">
        <f t="shared" si="95"/>
        <v>0.20464334287044483</v>
      </c>
      <c r="BJ164" s="68">
        <f t="shared" si="94"/>
        <v>0.28053413355583012</v>
      </c>
      <c r="BK164" s="68">
        <f t="shared" si="94"/>
        <v>0.35662909766134049</v>
      </c>
      <c r="BL164" s="68">
        <f t="shared" si="94"/>
        <v>0.46971942755509044</v>
      </c>
      <c r="BM164" s="68">
        <f t="shared" si="94"/>
        <v>0.54596232187464355</v>
      </c>
      <c r="BN164" s="68">
        <f t="shared" si="94"/>
        <v>0.63893561838781698</v>
      </c>
      <c r="BO164" s="68">
        <f t="shared" si="94"/>
        <v>0.72664236911059243</v>
      </c>
      <c r="BP164" s="68">
        <f t="shared" si="110"/>
        <v>0.82296745482741007</v>
      </c>
      <c r="BQ164" s="68">
        <f t="shared" si="110"/>
        <v>0.91491792574348108</v>
      </c>
      <c r="BR164" s="68">
        <f t="shared" si="110"/>
        <v>1</v>
      </c>
    </row>
    <row r="165" spans="1:70">
      <c r="A165" s="239" t="s">
        <v>131</v>
      </c>
      <c r="B165" s="62">
        <v>61048.35</v>
      </c>
      <c r="C165" s="62">
        <v>65152.86</v>
      </c>
      <c r="D165" s="62">
        <v>56768.959999999999</v>
      </c>
      <c r="E165" s="62">
        <v>51728.460000000006</v>
      </c>
      <c r="F165" s="62">
        <v>49655.109999999993</v>
      </c>
      <c r="G165" s="62">
        <v>50331.100000000006</v>
      </c>
      <c r="H165" s="62">
        <v>54245.83</v>
      </c>
      <c r="I165" s="62">
        <v>41180.490000000005</v>
      </c>
      <c r="J165" s="62">
        <v>40175.350000000006</v>
      </c>
      <c r="K165" s="62">
        <v>51199.209999999992</v>
      </c>
      <c r="L165" s="62">
        <v>48193.42</v>
      </c>
      <c r="M165" s="62">
        <v>41855.32</v>
      </c>
      <c r="N165" s="100">
        <f t="shared" si="96"/>
        <v>611534.46</v>
      </c>
      <c r="P165" s="239" t="s">
        <v>131</v>
      </c>
      <c r="Q165" s="62">
        <v>64377.630000000012</v>
      </c>
      <c r="R165" s="62">
        <v>25456.569999999996</v>
      </c>
      <c r="S165" s="62">
        <v>41392.599999999991</v>
      </c>
      <c r="T165" s="62">
        <v>20439.84</v>
      </c>
      <c r="U165" s="62">
        <v>38784.040000000008</v>
      </c>
      <c r="V165" s="62">
        <v>30262.350000000002</v>
      </c>
      <c r="W165" s="62">
        <v>26457.410000000003</v>
      </c>
      <c r="X165" s="62">
        <v>45850.159999999996</v>
      </c>
      <c r="Y165" s="62">
        <v>40570.170000000006</v>
      </c>
      <c r="Z165" s="62">
        <v>49833.919999999998</v>
      </c>
      <c r="AA165" s="62">
        <v>64441.46</v>
      </c>
      <c r="AB165" s="62">
        <v>50727.070000000007</v>
      </c>
      <c r="AC165" s="100">
        <f t="shared" si="97"/>
        <v>498593.22</v>
      </c>
      <c r="AE165" s="68">
        <f t="shared" si="111"/>
        <v>9.9828143781137052E-2</v>
      </c>
      <c r="AF165" s="68">
        <f t="shared" si="112"/>
        <v>0.20636810883887066</v>
      </c>
      <c r="AG165" s="68">
        <f t="shared" si="113"/>
        <v>0.29919846217660406</v>
      </c>
      <c r="AH165" s="68">
        <f t="shared" si="114"/>
        <v>0.38378643453714778</v>
      </c>
      <c r="AI165" s="68">
        <f t="shared" si="115"/>
        <v>0.46498400106512394</v>
      </c>
      <c r="AJ165" s="68">
        <f t="shared" si="116"/>
        <v>0.5472869672789985</v>
      </c>
      <c r="AK165" s="68">
        <f t="shared" si="117"/>
        <v>0.6359914206633589</v>
      </c>
      <c r="AL165" s="68">
        <f t="shared" si="118"/>
        <v>0.70333102733082287</v>
      </c>
      <c r="AM165" s="68">
        <f t="shared" si="119"/>
        <v>0.76902699808609321</v>
      </c>
      <c r="AN165" s="68">
        <f t="shared" si="120"/>
        <v>0.85274952453210895</v>
      </c>
      <c r="AO165" s="68">
        <f t="shared" si="121"/>
        <v>0.93155689051439561</v>
      </c>
      <c r="AP165" s="68">
        <f t="shared" si="122"/>
        <v>1</v>
      </c>
      <c r="AQ165" s="92"/>
      <c r="AT165" s="68">
        <f t="shared" si="98"/>
        <v>0.12911854276718809</v>
      </c>
      <c r="AU165" s="68">
        <f t="shared" si="99"/>
        <v>0.18017533411304715</v>
      </c>
      <c r="AV165" s="68">
        <f t="shared" si="100"/>
        <v>0.26319411242696</v>
      </c>
      <c r="AW165" s="68">
        <f t="shared" si="101"/>
        <v>0.30418913438092882</v>
      </c>
      <c r="AX165" s="68">
        <f t="shared" si="102"/>
        <v>0.38197607259882116</v>
      </c>
      <c r="AY165" s="68">
        <f t="shared" si="103"/>
        <v>0.44267154294637223</v>
      </c>
      <c r="AZ165" s="68">
        <f t="shared" si="104"/>
        <v>0.49573566202925906</v>
      </c>
      <c r="BA165" s="68">
        <f t="shared" si="105"/>
        <v>0.58769471434047982</v>
      </c>
      <c r="BB165" s="68">
        <f t="shared" si="106"/>
        <v>0.66906399168444364</v>
      </c>
      <c r="BC165" s="68">
        <f t="shared" si="107"/>
        <v>0.76901304434103612</v>
      </c>
      <c r="BD165" s="68">
        <f t="shared" si="108"/>
        <v>0.89825960730071697</v>
      </c>
      <c r="BE165" s="68">
        <f t="shared" si="109"/>
        <v>1</v>
      </c>
      <c r="BG165" s="68">
        <f t="shared" si="95"/>
        <v>0.11447334327416257</v>
      </c>
      <c r="BH165" s="68">
        <f t="shared" si="95"/>
        <v>0.19327172147595889</v>
      </c>
      <c r="BI165" s="68">
        <f t="shared" si="95"/>
        <v>0.28119628730178203</v>
      </c>
      <c r="BJ165" s="68">
        <f t="shared" si="94"/>
        <v>0.34398778445903833</v>
      </c>
      <c r="BK165" s="68">
        <f t="shared" si="94"/>
        <v>0.42348003683197255</v>
      </c>
      <c r="BL165" s="68">
        <f t="shared" si="94"/>
        <v>0.49497925511268537</v>
      </c>
      <c r="BM165" s="68">
        <f t="shared" si="94"/>
        <v>0.56586354134630901</v>
      </c>
      <c r="BN165" s="68">
        <f t="shared" si="94"/>
        <v>0.64551287083565134</v>
      </c>
      <c r="BO165" s="68">
        <f t="shared" si="94"/>
        <v>0.71904549488526848</v>
      </c>
      <c r="BP165" s="68">
        <f t="shared" si="110"/>
        <v>0.81088128443657248</v>
      </c>
      <c r="BQ165" s="68">
        <f t="shared" si="110"/>
        <v>0.91490824890755629</v>
      </c>
      <c r="BR165" s="68">
        <f t="shared" si="110"/>
        <v>1</v>
      </c>
    </row>
    <row r="166" spans="1:70">
      <c r="A166" s="239" t="s">
        <v>132</v>
      </c>
      <c r="B166" s="62">
        <v>13904.65</v>
      </c>
      <c r="C166" s="62">
        <v>9218.08</v>
      </c>
      <c r="D166" s="62">
        <v>8673.73</v>
      </c>
      <c r="E166" s="62">
        <v>8249.02</v>
      </c>
      <c r="F166" s="62">
        <v>6809.71</v>
      </c>
      <c r="G166" s="62">
        <v>5969.44</v>
      </c>
      <c r="H166" s="62">
        <v>7576.0600000000013</v>
      </c>
      <c r="I166" s="62">
        <v>8202.0999999999985</v>
      </c>
      <c r="J166" s="62">
        <v>8966.8700000000008</v>
      </c>
      <c r="K166" s="62">
        <v>8335.57</v>
      </c>
      <c r="L166" s="62">
        <v>10814.839999999998</v>
      </c>
      <c r="M166" s="62">
        <v>9536.4200000000019</v>
      </c>
      <c r="N166" s="100">
        <f t="shared" si="96"/>
        <v>106256.49</v>
      </c>
      <c r="P166" s="239" t="s">
        <v>132</v>
      </c>
      <c r="Q166" s="62">
        <v>7891.7</v>
      </c>
      <c r="R166" s="62">
        <v>9291.02</v>
      </c>
      <c r="S166" s="62">
        <v>7431.77</v>
      </c>
      <c r="T166" s="62">
        <v>3975.7400000000002</v>
      </c>
      <c r="U166" s="62">
        <v>8816.2900000000009</v>
      </c>
      <c r="V166" s="62">
        <v>8504.51</v>
      </c>
      <c r="W166" s="62">
        <v>7398.83</v>
      </c>
      <c r="X166" s="62">
        <v>7997.8399999999992</v>
      </c>
      <c r="Y166" s="62">
        <v>10469.41</v>
      </c>
      <c r="Z166" s="62">
        <v>9656.26</v>
      </c>
      <c r="AA166" s="62">
        <v>13334.830000000002</v>
      </c>
      <c r="AB166" s="62">
        <v>7214.2100000000009</v>
      </c>
      <c r="AC166" s="100">
        <f t="shared" si="97"/>
        <v>101982.41</v>
      </c>
      <c r="AE166" s="68">
        <f t="shared" si="111"/>
        <v>0.1308593009236424</v>
      </c>
      <c r="AF166" s="68">
        <f t="shared" si="112"/>
        <v>0.21761240184011346</v>
      </c>
      <c r="AG166" s="68">
        <f t="shared" si="113"/>
        <v>0.29924252156268288</v>
      </c>
      <c r="AH166" s="68">
        <f t="shared" si="114"/>
        <v>0.3768756148447967</v>
      </c>
      <c r="AI166" s="68">
        <f t="shared" si="115"/>
        <v>0.44096308846640797</v>
      </c>
      <c r="AJ166" s="68">
        <f t="shared" si="116"/>
        <v>0.49714262159421974</v>
      </c>
      <c r="AK166" s="68">
        <f t="shared" si="117"/>
        <v>0.56844236055604702</v>
      </c>
      <c r="AL166" s="68">
        <f t="shared" si="118"/>
        <v>0.64563388081048045</v>
      </c>
      <c r="AM166" s="68">
        <f t="shared" si="119"/>
        <v>0.73002279672516945</v>
      </c>
      <c r="AN166" s="68">
        <f t="shared" si="120"/>
        <v>0.80847042848865047</v>
      </c>
      <c r="AO166" s="68">
        <f t="shared" si="121"/>
        <v>0.91025094090723313</v>
      </c>
      <c r="AP166" s="68">
        <f t="shared" si="122"/>
        <v>1</v>
      </c>
      <c r="AQ166" s="92"/>
      <c r="AT166" s="68">
        <f t="shared" si="98"/>
        <v>7.738295260918035E-2</v>
      </c>
      <c r="AU166" s="68">
        <f t="shared" si="99"/>
        <v>0.16848709498039907</v>
      </c>
      <c r="AV166" s="68">
        <f t="shared" si="100"/>
        <v>0.24136015220664034</v>
      </c>
      <c r="AW166" s="68">
        <f t="shared" si="101"/>
        <v>0.28034471827053314</v>
      </c>
      <c r="AX166" s="68">
        <f t="shared" si="102"/>
        <v>0.36679384219298211</v>
      </c>
      <c r="AY166" s="68">
        <f t="shared" si="103"/>
        <v>0.45018577223268214</v>
      </c>
      <c r="AZ166" s="68">
        <f t="shared" si="104"/>
        <v>0.52273583258132461</v>
      </c>
      <c r="BA166" s="68">
        <f t="shared" si="105"/>
        <v>0.60115955290721212</v>
      </c>
      <c r="BB166" s="68">
        <f t="shared" si="106"/>
        <v>0.70381853105844427</v>
      </c>
      <c r="BC166" s="68">
        <f t="shared" si="107"/>
        <v>0.79850407535966239</v>
      </c>
      <c r="BD166" s="68">
        <f t="shared" si="108"/>
        <v>0.92926025184146943</v>
      </c>
      <c r="BE166" s="68">
        <f t="shared" si="109"/>
        <v>1</v>
      </c>
      <c r="BG166" s="68">
        <f t="shared" si="95"/>
        <v>0.10412112676641137</v>
      </c>
      <c r="BH166" s="68">
        <f t="shared" si="95"/>
        <v>0.19304974841025627</v>
      </c>
      <c r="BI166" s="68">
        <f t="shared" si="95"/>
        <v>0.27030133688466162</v>
      </c>
      <c r="BJ166" s="68">
        <f t="shared" si="94"/>
        <v>0.32861016655766495</v>
      </c>
      <c r="BK166" s="68">
        <f t="shared" si="94"/>
        <v>0.40387846532969507</v>
      </c>
      <c r="BL166" s="68">
        <f t="shared" si="94"/>
        <v>0.47366419691345096</v>
      </c>
      <c r="BM166" s="68">
        <f t="shared" si="94"/>
        <v>0.54558909656868582</v>
      </c>
      <c r="BN166" s="68">
        <f t="shared" si="94"/>
        <v>0.62339671685884634</v>
      </c>
      <c r="BO166" s="68">
        <f t="shared" si="94"/>
        <v>0.71692066389180686</v>
      </c>
      <c r="BP166" s="68">
        <f t="shared" si="110"/>
        <v>0.80348725192415649</v>
      </c>
      <c r="BQ166" s="68">
        <f t="shared" si="110"/>
        <v>0.91975559637435134</v>
      </c>
      <c r="BR166" s="68">
        <f t="shared" si="110"/>
        <v>1</v>
      </c>
    </row>
    <row r="167" spans="1:70">
      <c r="A167" s="239" t="s">
        <v>133</v>
      </c>
      <c r="B167" s="62">
        <v>7977.3799999999992</v>
      </c>
      <c r="C167" s="62">
        <v>7666.7120000000004</v>
      </c>
      <c r="D167" s="62">
        <v>11209.56</v>
      </c>
      <c r="E167" s="62">
        <v>6990.29</v>
      </c>
      <c r="F167" s="62">
        <v>7857.1</v>
      </c>
      <c r="G167" s="62">
        <v>8319.6299999999992</v>
      </c>
      <c r="H167" s="62">
        <v>8343.9700000000012</v>
      </c>
      <c r="I167" s="62">
        <v>9412.1200000000008</v>
      </c>
      <c r="J167" s="62">
        <v>5170.6799999999994</v>
      </c>
      <c r="K167" s="62">
        <v>9251.52</v>
      </c>
      <c r="L167" s="62">
        <v>6689.69</v>
      </c>
      <c r="M167" s="62">
        <v>9020.869999999999</v>
      </c>
      <c r="N167" s="100">
        <f t="shared" si="96"/>
        <v>97909.521999999997</v>
      </c>
      <c r="P167" s="239" t="s">
        <v>133</v>
      </c>
      <c r="Q167" s="62">
        <v>7270.71</v>
      </c>
      <c r="R167" s="62">
        <v>5385.22</v>
      </c>
      <c r="S167" s="62">
        <v>5535.51</v>
      </c>
      <c r="T167" s="62">
        <v>11892.86</v>
      </c>
      <c r="U167" s="62">
        <v>4835.01</v>
      </c>
      <c r="V167" s="62">
        <v>9823.25</v>
      </c>
      <c r="W167" s="62">
        <v>5338.86</v>
      </c>
      <c r="X167" s="62">
        <v>7599.54</v>
      </c>
      <c r="Y167" s="62">
        <v>9041.2000000000007</v>
      </c>
      <c r="Z167" s="62">
        <v>7837.25</v>
      </c>
      <c r="AA167" s="62">
        <v>9946.2800000000007</v>
      </c>
      <c r="AB167" s="62">
        <v>8167.62</v>
      </c>
      <c r="AC167" s="100">
        <f t="shared" si="97"/>
        <v>92673.31</v>
      </c>
      <c r="AE167" s="68">
        <f t="shared" si="111"/>
        <v>8.1477060014653116E-2</v>
      </c>
      <c r="AF167" s="68">
        <f t="shared" si="112"/>
        <v>0.15978110893034492</v>
      </c>
      <c r="AG167" s="68">
        <f t="shared" si="113"/>
        <v>0.27427007559080924</v>
      </c>
      <c r="AH167" s="68">
        <f t="shared" si="114"/>
        <v>0.34566548083035276</v>
      </c>
      <c r="AI167" s="68">
        <f t="shared" si="115"/>
        <v>0.42591405971729696</v>
      </c>
      <c r="AJ167" s="68">
        <f t="shared" si="116"/>
        <v>0.51088669394178021</v>
      </c>
      <c r="AK167" s="68">
        <f t="shared" si="117"/>
        <v>0.59610792502898746</v>
      </c>
      <c r="AL167" s="68">
        <f t="shared" si="118"/>
        <v>0.6922387181095625</v>
      </c>
      <c r="AM167" s="68">
        <f t="shared" si="119"/>
        <v>0.74504951622580695</v>
      </c>
      <c r="AN167" s="68">
        <f t="shared" si="120"/>
        <v>0.83954001940689693</v>
      </c>
      <c r="AO167" s="68">
        <f t="shared" si="121"/>
        <v>0.90786524317828865</v>
      </c>
      <c r="AP167" s="68">
        <f t="shared" si="122"/>
        <v>1</v>
      </c>
      <c r="AQ167" s="92"/>
      <c r="AT167" s="68">
        <f t="shared" si="98"/>
        <v>7.8455274771128819E-2</v>
      </c>
      <c r="AU167" s="68">
        <f t="shared" si="99"/>
        <v>0.1365649937398373</v>
      </c>
      <c r="AV167" s="68">
        <f t="shared" si="100"/>
        <v>0.19629643097888705</v>
      </c>
      <c r="AW167" s="68">
        <f t="shared" si="101"/>
        <v>0.32462744667261806</v>
      </c>
      <c r="AX167" s="68">
        <f t="shared" si="102"/>
        <v>0.37680007328970988</v>
      </c>
      <c r="AY167" s="68">
        <f t="shared" si="103"/>
        <v>0.48279876913860104</v>
      </c>
      <c r="AZ167" s="68">
        <f t="shared" si="104"/>
        <v>0.54040823620090839</v>
      </c>
      <c r="BA167" s="68">
        <f t="shared" si="105"/>
        <v>0.62241178177406209</v>
      </c>
      <c r="BB167" s="68">
        <f t="shared" si="106"/>
        <v>0.71997169411559814</v>
      </c>
      <c r="BC167" s="68">
        <f t="shared" si="107"/>
        <v>0.80454027162728947</v>
      </c>
      <c r="BD167" s="68">
        <f t="shared" si="108"/>
        <v>0.91186653417256813</v>
      </c>
      <c r="BE167" s="68">
        <f t="shared" si="109"/>
        <v>1</v>
      </c>
      <c r="BG167" s="68">
        <f t="shared" si="95"/>
        <v>7.9966167392890974E-2</v>
      </c>
      <c r="BH167" s="68">
        <f t="shared" si="95"/>
        <v>0.14817305133509112</v>
      </c>
      <c r="BI167" s="68">
        <f t="shared" si="95"/>
        <v>0.23528325328484814</v>
      </c>
      <c r="BJ167" s="68">
        <f t="shared" si="94"/>
        <v>0.33514646375148538</v>
      </c>
      <c r="BK167" s="68">
        <f t="shared" si="94"/>
        <v>0.40135706650350345</v>
      </c>
      <c r="BL167" s="68">
        <f t="shared" si="94"/>
        <v>0.49684273154019065</v>
      </c>
      <c r="BM167" s="68">
        <f t="shared" si="94"/>
        <v>0.56825808061494798</v>
      </c>
      <c r="BN167" s="68">
        <f t="shared" si="94"/>
        <v>0.6573252499418123</v>
      </c>
      <c r="BO167" s="68">
        <f t="shared" si="94"/>
        <v>0.73251060517070254</v>
      </c>
      <c r="BP167" s="68">
        <f t="shared" si="110"/>
        <v>0.82204014551709315</v>
      </c>
      <c r="BQ167" s="68">
        <f t="shared" si="110"/>
        <v>0.90986588867542839</v>
      </c>
      <c r="BR167" s="68">
        <f t="shared" si="110"/>
        <v>1</v>
      </c>
    </row>
    <row r="168" spans="1:70">
      <c r="A168" s="239" t="s">
        <v>134</v>
      </c>
      <c r="B168" s="62">
        <v>46879.17</v>
      </c>
      <c r="C168" s="62">
        <v>40835.32</v>
      </c>
      <c r="D168" s="62">
        <v>34842.959999999999</v>
      </c>
      <c r="E168" s="62">
        <v>40003.839999999997</v>
      </c>
      <c r="F168" s="62">
        <v>25849.63</v>
      </c>
      <c r="G168" s="62">
        <v>33926.729999999996</v>
      </c>
      <c r="H168" s="62">
        <v>37992.89</v>
      </c>
      <c r="I168" s="62">
        <v>34568.170000000006</v>
      </c>
      <c r="J168" s="62">
        <v>34319.46</v>
      </c>
      <c r="K168" s="62">
        <v>37316.01</v>
      </c>
      <c r="L168" s="62">
        <v>29139.47</v>
      </c>
      <c r="M168" s="62">
        <v>34053.230000000003</v>
      </c>
      <c r="N168" s="100">
        <f t="shared" si="96"/>
        <v>429726.88</v>
      </c>
      <c r="P168" s="239" t="s">
        <v>134</v>
      </c>
      <c r="Q168" s="62">
        <v>27184.959999999995</v>
      </c>
      <c r="R168" s="62">
        <v>28701.540000000005</v>
      </c>
      <c r="S168" s="62">
        <v>24747.569999999996</v>
      </c>
      <c r="T168" s="62">
        <v>24317.56</v>
      </c>
      <c r="U168" s="62">
        <v>22262.480000000003</v>
      </c>
      <c r="V168" s="62">
        <v>24912.73</v>
      </c>
      <c r="W168" s="62">
        <v>24320.760000000002</v>
      </c>
      <c r="X168" s="62">
        <v>34808.200000000004</v>
      </c>
      <c r="Y168" s="62">
        <v>23908.649999999998</v>
      </c>
      <c r="Z168" s="62">
        <v>42116.17</v>
      </c>
      <c r="AA168" s="62">
        <v>49050.7</v>
      </c>
      <c r="AB168" s="62">
        <v>54241.210000000006</v>
      </c>
      <c r="AC168" s="100">
        <f t="shared" si="97"/>
        <v>380572.53</v>
      </c>
      <c r="AE168" s="68">
        <f t="shared" si="111"/>
        <v>0.10909061588141751</v>
      </c>
      <c r="AF168" s="68">
        <f t="shared" si="112"/>
        <v>0.20411683346408302</v>
      </c>
      <c r="AG168" s="68">
        <f t="shared" si="113"/>
        <v>0.28519847303943374</v>
      </c>
      <c r="AH168" s="68">
        <f t="shared" si="114"/>
        <v>0.37828978722485307</v>
      </c>
      <c r="AI168" s="68">
        <f t="shared" si="115"/>
        <v>0.43844341317443297</v>
      </c>
      <c r="AJ168" s="68">
        <f t="shared" si="116"/>
        <v>0.51739293106356288</v>
      </c>
      <c r="AK168" s="68">
        <f t="shared" si="117"/>
        <v>0.60580464503407372</v>
      </c>
      <c r="AL168" s="68">
        <f t="shared" si="118"/>
        <v>0.68624683194125524</v>
      </c>
      <c r="AM168" s="68">
        <f t="shared" si="119"/>
        <v>0.76611025589090442</v>
      </c>
      <c r="AN168" s="68">
        <f t="shared" si="120"/>
        <v>0.85294682985621006</v>
      </c>
      <c r="AO168" s="68">
        <f t="shared" si="121"/>
        <v>0.92075610908956873</v>
      </c>
      <c r="AP168" s="68">
        <f t="shared" si="122"/>
        <v>1</v>
      </c>
      <c r="AQ168" s="92"/>
      <c r="AT168" s="68">
        <f t="shared" si="98"/>
        <v>7.1431745218184808E-2</v>
      </c>
      <c r="AU168" s="68">
        <f t="shared" si="99"/>
        <v>0.14684848641072437</v>
      </c>
      <c r="AV168" s="68">
        <f t="shared" si="100"/>
        <v>0.21187569686125265</v>
      </c>
      <c r="AW168" s="68">
        <f t="shared" si="101"/>
        <v>0.27577300442572661</v>
      </c>
      <c r="AX168" s="68">
        <f t="shared" si="102"/>
        <v>0.3342703426335053</v>
      </c>
      <c r="AY168" s="68">
        <f t="shared" si="103"/>
        <v>0.39973153080701851</v>
      </c>
      <c r="AZ168" s="68">
        <f t="shared" si="104"/>
        <v>0.46363724675556589</v>
      </c>
      <c r="BA168" s="68">
        <f t="shared" si="105"/>
        <v>0.55509997003724887</v>
      </c>
      <c r="BB168" s="68">
        <f t="shared" si="106"/>
        <v>0.61792281749815203</v>
      </c>
      <c r="BC168" s="68">
        <f t="shared" si="107"/>
        <v>0.7285881090787083</v>
      </c>
      <c r="BD168" s="68">
        <f t="shared" si="108"/>
        <v>0.85747471053677993</v>
      </c>
      <c r="BE168" s="68">
        <f t="shared" si="109"/>
        <v>1</v>
      </c>
      <c r="BG168" s="68">
        <f t="shared" si="95"/>
        <v>9.0261180549801159E-2</v>
      </c>
      <c r="BH168" s="68">
        <f t="shared" si="95"/>
        <v>0.1754826599374037</v>
      </c>
      <c r="BI168" s="68">
        <f t="shared" si="95"/>
        <v>0.24853708495034321</v>
      </c>
      <c r="BJ168" s="68">
        <f t="shared" si="94"/>
        <v>0.32703139582528984</v>
      </c>
      <c r="BK168" s="68">
        <f t="shared" si="94"/>
        <v>0.38635687790396911</v>
      </c>
      <c r="BL168" s="68">
        <f t="shared" si="94"/>
        <v>0.45856223093529069</v>
      </c>
      <c r="BM168" s="68">
        <f t="shared" si="94"/>
        <v>0.53472094589481978</v>
      </c>
      <c r="BN168" s="68">
        <f t="shared" si="94"/>
        <v>0.62067340098925206</v>
      </c>
      <c r="BO168" s="68">
        <f t="shared" si="94"/>
        <v>0.69201653669452823</v>
      </c>
      <c r="BP168" s="68">
        <f t="shared" si="110"/>
        <v>0.79076746946745913</v>
      </c>
      <c r="BQ168" s="68">
        <f t="shared" si="110"/>
        <v>0.88911540981317438</v>
      </c>
      <c r="BR168" s="68">
        <f t="shared" si="110"/>
        <v>1</v>
      </c>
    </row>
    <row r="169" spans="1:70">
      <c r="A169" s="239" t="s">
        <v>135</v>
      </c>
      <c r="B169" s="62">
        <v>18575.27</v>
      </c>
      <c r="C169" s="62">
        <v>13309.269999999999</v>
      </c>
      <c r="D169" s="62">
        <v>12036.71</v>
      </c>
      <c r="E169" s="62">
        <v>11677.08</v>
      </c>
      <c r="F169" s="62">
        <v>10209.68</v>
      </c>
      <c r="G169" s="62">
        <v>8438.85</v>
      </c>
      <c r="H169" s="62">
        <v>11485.87</v>
      </c>
      <c r="I169" s="62">
        <v>16817.23</v>
      </c>
      <c r="J169" s="62">
        <v>11520.269999999999</v>
      </c>
      <c r="K169" s="62">
        <v>10417.699999999999</v>
      </c>
      <c r="L169" s="62">
        <v>11162.09</v>
      </c>
      <c r="M169" s="62">
        <v>17137.68</v>
      </c>
      <c r="N169" s="100">
        <f t="shared" si="96"/>
        <v>152787.70000000001</v>
      </c>
      <c r="P169" s="239" t="s">
        <v>135</v>
      </c>
      <c r="Q169" s="62">
        <v>13824.720000000001</v>
      </c>
      <c r="R169" s="62">
        <v>12727.43</v>
      </c>
      <c r="S169" s="62">
        <v>14779.71</v>
      </c>
      <c r="T169" s="62">
        <v>11605.710000000001</v>
      </c>
      <c r="U169" s="62">
        <v>14323.03</v>
      </c>
      <c r="V169" s="62">
        <v>12990.5</v>
      </c>
      <c r="W169" s="62">
        <v>11541.789999999999</v>
      </c>
      <c r="X169" s="62">
        <v>13867.79</v>
      </c>
      <c r="Y169" s="62">
        <v>9140.69</v>
      </c>
      <c r="Z169" s="62">
        <v>10328.540000000001</v>
      </c>
      <c r="AA169" s="62">
        <v>13901.570000000002</v>
      </c>
      <c r="AB169" s="62">
        <v>11877.23</v>
      </c>
      <c r="AC169" s="100">
        <f t="shared" si="97"/>
        <v>150908.71000000002</v>
      </c>
      <c r="AE169" s="68">
        <f t="shared" si="111"/>
        <v>0.12157568966611841</v>
      </c>
      <c r="AF169" s="68">
        <f t="shared" si="112"/>
        <v>0.2086852541140419</v>
      </c>
      <c r="AG169" s="68">
        <f t="shared" si="113"/>
        <v>0.28746587585257188</v>
      </c>
      <c r="AH169" s="68">
        <f t="shared" si="114"/>
        <v>0.36389270864081336</v>
      </c>
      <c r="AI169" s="68">
        <f t="shared" si="115"/>
        <v>0.4307153651766471</v>
      </c>
      <c r="AJ169" s="68">
        <f t="shared" si="116"/>
        <v>0.48594788716630993</v>
      </c>
      <c r="AK169" s="68">
        <f t="shared" si="117"/>
        <v>0.56112324486853327</v>
      </c>
      <c r="AL169" s="68">
        <f t="shared" si="118"/>
        <v>0.67119251091547294</v>
      </c>
      <c r="AM169" s="68">
        <f t="shared" si="119"/>
        <v>0.74659301763165486</v>
      </c>
      <c r="AN169" s="68">
        <f t="shared" si="120"/>
        <v>0.81477717119899051</v>
      </c>
      <c r="AO169" s="68">
        <f t="shared" si="121"/>
        <v>0.88783337925762351</v>
      </c>
      <c r="AP169" s="68">
        <f t="shared" si="122"/>
        <v>1</v>
      </c>
      <c r="AQ169" s="92"/>
      <c r="AT169" s="68">
        <f t="shared" si="98"/>
        <v>9.160982159346534E-2</v>
      </c>
      <c r="AU169" s="68">
        <f t="shared" si="99"/>
        <v>0.17594842603849703</v>
      </c>
      <c r="AV169" s="68">
        <f t="shared" si="100"/>
        <v>0.27388651059305985</v>
      </c>
      <c r="AW169" s="68">
        <f t="shared" si="101"/>
        <v>0.35079201193887344</v>
      </c>
      <c r="AX169" s="68">
        <f t="shared" si="102"/>
        <v>0.44570389608393046</v>
      </c>
      <c r="AY169" s="68">
        <f t="shared" si="103"/>
        <v>0.53178573986882527</v>
      </c>
      <c r="AZ169" s="68">
        <f t="shared" si="104"/>
        <v>0.60826767388045389</v>
      </c>
      <c r="BA169" s="68">
        <f t="shared" si="105"/>
        <v>0.700162899808765</v>
      </c>
      <c r="BB169" s="68">
        <f t="shared" si="106"/>
        <v>0.76073389004518011</v>
      </c>
      <c r="BC169" s="68">
        <f t="shared" si="107"/>
        <v>0.82917619533027609</v>
      </c>
      <c r="BD169" s="68">
        <f t="shared" si="108"/>
        <v>0.92129526519708493</v>
      </c>
      <c r="BE169" s="68">
        <f t="shared" si="109"/>
        <v>1</v>
      </c>
      <c r="BG169" s="68">
        <f t="shared" si="95"/>
        <v>0.10659275562979187</v>
      </c>
      <c r="BH169" s="68">
        <f t="shared" si="95"/>
        <v>0.19231684007626948</v>
      </c>
      <c r="BI169" s="68">
        <f t="shared" si="95"/>
        <v>0.2806761932228159</v>
      </c>
      <c r="BJ169" s="68">
        <f t="shared" si="94"/>
        <v>0.3573423602898434</v>
      </c>
      <c r="BK169" s="68">
        <f t="shared" si="94"/>
        <v>0.43820963063028878</v>
      </c>
      <c r="BL169" s="68">
        <f t="shared" si="94"/>
        <v>0.50886681351756757</v>
      </c>
      <c r="BM169" s="68">
        <f t="shared" si="94"/>
        <v>0.58469545937449352</v>
      </c>
      <c r="BN169" s="68">
        <f t="shared" si="94"/>
        <v>0.68567770536211903</v>
      </c>
      <c r="BO169" s="68">
        <f t="shared" si="94"/>
        <v>0.75366345383841749</v>
      </c>
      <c r="BP169" s="68">
        <f t="shared" si="110"/>
        <v>0.82197668326463336</v>
      </c>
      <c r="BQ169" s="68">
        <f t="shared" si="110"/>
        <v>0.90456432222735428</v>
      </c>
      <c r="BR169" s="68">
        <f t="shared" si="110"/>
        <v>1</v>
      </c>
    </row>
    <row r="170" spans="1:70">
      <c r="A170" s="239" t="s">
        <v>136</v>
      </c>
      <c r="B170" s="62">
        <v>6492.97</v>
      </c>
      <c r="C170" s="62">
        <v>4172.78</v>
      </c>
      <c r="D170" s="62">
        <v>7304.83</v>
      </c>
      <c r="E170" s="62">
        <v>4204.58</v>
      </c>
      <c r="F170" s="62">
        <v>6889.53</v>
      </c>
      <c r="G170" s="62">
        <v>10310.120000000001</v>
      </c>
      <c r="H170" s="62">
        <v>6317.48</v>
      </c>
      <c r="I170" s="62">
        <v>6856.45</v>
      </c>
      <c r="J170" s="62">
        <v>6822.5199999999995</v>
      </c>
      <c r="K170" s="62">
        <v>6475.4299999999994</v>
      </c>
      <c r="L170" s="62">
        <v>7882.9</v>
      </c>
      <c r="M170" s="62">
        <v>8797.23</v>
      </c>
      <c r="N170" s="100">
        <f t="shared" si="96"/>
        <v>82526.819999999992</v>
      </c>
      <c r="P170" s="239" t="s">
        <v>136</v>
      </c>
      <c r="Q170" s="62">
        <v>8960.85</v>
      </c>
      <c r="R170" s="62">
        <v>11922.68</v>
      </c>
      <c r="S170" s="62">
        <v>4420.54</v>
      </c>
      <c r="T170" s="62">
        <v>3996.93</v>
      </c>
      <c r="U170" s="62">
        <v>6084.7099999999991</v>
      </c>
      <c r="V170" s="62">
        <v>3023.39</v>
      </c>
      <c r="W170" s="62">
        <v>4385</v>
      </c>
      <c r="X170" s="62">
        <v>6817.08</v>
      </c>
      <c r="Y170" s="62">
        <v>4542.71</v>
      </c>
      <c r="Z170" s="62">
        <v>3071.4</v>
      </c>
      <c r="AA170" s="62">
        <v>3808.48</v>
      </c>
      <c r="AB170" s="62">
        <v>3518.27</v>
      </c>
      <c r="AC170" s="100">
        <f t="shared" si="97"/>
        <v>64552.04</v>
      </c>
      <c r="AE170" s="68">
        <f t="shared" si="111"/>
        <v>7.8677089460129454E-2</v>
      </c>
      <c r="AF170" s="68">
        <f t="shared" si="112"/>
        <v>0.12923980349660874</v>
      </c>
      <c r="AG170" s="68">
        <f t="shared" si="113"/>
        <v>0.21775442213816071</v>
      </c>
      <c r="AH170" s="68">
        <f t="shared" si="114"/>
        <v>0.26870246545304916</v>
      </c>
      <c r="AI170" s="68">
        <f t="shared" si="115"/>
        <v>0.35218478065676112</v>
      </c>
      <c r="AJ170" s="68">
        <f t="shared" si="116"/>
        <v>0.47711531838982779</v>
      </c>
      <c r="AK170" s="68">
        <f t="shared" si="117"/>
        <v>0.55366594762769261</v>
      </c>
      <c r="AL170" s="68">
        <f t="shared" si="118"/>
        <v>0.63674742344367574</v>
      </c>
      <c r="AM170" s="68">
        <f t="shared" si="119"/>
        <v>0.71941776018996018</v>
      </c>
      <c r="AN170" s="68">
        <f t="shared" si="120"/>
        <v>0.79788231268331933</v>
      </c>
      <c r="AO170" s="68">
        <f t="shared" si="121"/>
        <v>0.8934015632736122</v>
      </c>
      <c r="AP170" s="68">
        <f t="shared" si="122"/>
        <v>1</v>
      </c>
      <c r="AQ170" s="92"/>
      <c r="AT170" s="68">
        <f t="shared" si="98"/>
        <v>0.13881590728968443</v>
      </c>
      <c r="AU170" s="68">
        <f t="shared" si="99"/>
        <v>0.3235146402809268</v>
      </c>
      <c r="AV170" s="68">
        <f t="shared" si="100"/>
        <v>0.39199489280276811</v>
      </c>
      <c r="AW170" s="68">
        <f t="shared" si="101"/>
        <v>0.45391284303331081</v>
      </c>
      <c r="AX170" s="68">
        <f t="shared" si="102"/>
        <v>0.54817338073281652</v>
      </c>
      <c r="AY170" s="68">
        <f t="shared" si="103"/>
        <v>0.59500985561416797</v>
      </c>
      <c r="AZ170" s="68">
        <f t="shared" si="104"/>
        <v>0.66293954459068993</v>
      </c>
      <c r="BA170" s="68">
        <f t="shared" si="105"/>
        <v>0.76854550220256401</v>
      </c>
      <c r="BB170" s="68">
        <f t="shared" si="106"/>
        <v>0.83891833627566226</v>
      </c>
      <c r="BC170" s="68">
        <f t="shared" si="107"/>
        <v>0.88649855217588791</v>
      </c>
      <c r="BD170" s="68">
        <f t="shared" si="108"/>
        <v>0.94549715237504506</v>
      </c>
      <c r="BE170" s="68">
        <f t="shared" si="109"/>
        <v>1</v>
      </c>
      <c r="BG170" s="68">
        <f t="shared" si="95"/>
        <v>0.10874649837490694</v>
      </c>
      <c r="BH170" s="68">
        <f t="shared" si="95"/>
        <v>0.22637722188876777</v>
      </c>
      <c r="BI170" s="68">
        <f t="shared" si="95"/>
        <v>0.30487465747046438</v>
      </c>
      <c r="BJ170" s="68">
        <f t="shared" si="94"/>
        <v>0.36130765424318001</v>
      </c>
      <c r="BK170" s="68">
        <f t="shared" si="94"/>
        <v>0.45017908069478885</v>
      </c>
      <c r="BL170" s="68">
        <f t="shared" si="94"/>
        <v>0.53606258700199794</v>
      </c>
      <c r="BM170" s="68">
        <f t="shared" si="94"/>
        <v>0.60830274610919122</v>
      </c>
      <c r="BN170" s="68">
        <f t="shared" si="94"/>
        <v>0.70264646282311993</v>
      </c>
      <c r="BO170" s="68">
        <f t="shared" si="94"/>
        <v>0.77916804823281116</v>
      </c>
      <c r="BP170" s="68">
        <f t="shared" si="110"/>
        <v>0.84219043242960367</v>
      </c>
      <c r="BQ170" s="68">
        <f t="shared" si="110"/>
        <v>0.91944935782432857</v>
      </c>
      <c r="BR170" s="68">
        <f t="shared" si="110"/>
        <v>1</v>
      </c>
    </row>
    <row r="171" spans="1:70">
      <c r="A171" s="239" t="s">
        <v>137</v>
      </c>
      <c r="B171" s="62">
        <v>97409.25</v>
      </c>
      <c r="C171" s="62">
        <v>75718.760000000009</v>
      </c>
      <c r="D171" s="62">
        <v>61100.359999999993</v>
      </c>
      <c r="E171" s="62">
        <v>66209.27</v>
      </c>
      <c r="F171" s="62">
        <v>57707.770000000004</v>
      </c>
      <c r="G171" s="62">
        <v>52296.990000000005</v>
      </c>
      <c r="H171" s="62">
        <v>52946.170000000006</v>
      </c>
      <c r="I171" s="62">
        <v>80475.47</v>
      </c>
      <c r="J171" s="62">
        <v>63252.44</v>
      </c>
      <c r="K171" s="62">
        <v>84118.400000000009</v>
      </c>
      <c r="L171" s="62">
        <v>62664.71</v>
      </c>
      <c r="M171" s="62">
        <v>77320.36</v>
      </c>
      <c r="N171" s="100">
        <f t="shared" si="96"/>
        <v>831219.95</v>
      </c>
      <c r="P171" s="239" t="s">
        <v>137</v>
      </c>
      <c r="Q171" s="62">
        <v>57930.22</v>
      </c>
      <c r="R171" s="62">
        <v>56227.21</v>
      </c>
      <c r="S171" s="62">
        <v>47143.360000000001</v>
      </c>
      <c r="T171" s="62">
        <v>66290.450000000012</v>
      </c>
      <c r="U171" s="62">
        <v>84061.37000000001</v>
      </c>
      <c r="V171" s="62">
        <v>104142.54</v>
      </c>
      <c r="W171" s="62">
        <v>101144.75</v>
      </c>
      <c r="X171" s="62">
        <v>127118.22</v>
      </c>
      <c r="Y171" s="62">
        <v>94126.51999999999</v>
      </c>
      <c r="Z171" s="62">
        <v>117908.57</v>
      </c>
      <c r="AA171" s="62">
        <v>104545.11000000002</v>
      </c>
      <c r="AB171" s="62">
        <v>109224.22</v>
      </c>
      <c r="AC171" s="100">
        <f t="shared" si="97"/>
        <v>1069862.54</v>
      </c>
      <c r="AE171" s="68">
        <f t="shared" si="111"/>
        <v>0.11718829655135203</v>
      </c>
      <c r="AF171" s="68">
        <f t="shared" si="112"/>
        <v>0.20828182721071603</v>
      </c>
      <c r="AG171" s="68">
        <f t="shared" si="113"/>
        <v>0.2817886769921728</v>
      </c>
      <c r="AH171" s="68">
        <f t="shared" si="114"/>
        <v>0.36144180610679522</v>
      </c>
      <c r="AI171" s="68">
        <f t="shared" si="115"/>
        <v>0.43086719706378562</v>
      </c>
      <c r="AJ171" s="68">
        <f t="shared" si="116"/>
        <v>0.49378314367935955</v>
      </c>
      <c r="AK171" s="68">
        <f t="shared" si="117"/>
        <v>0.55748008694930873</v>
      </c>
      <c r="AL171" s="68">
        <f t="shared" si="118"/>
        <v>0.65429618237627729</v>
      </c>
      <c r="AM171" s="68">
        <f t="shared" si="119"/>
        <v>0.7303920941743518</v>
      </c>
      <c r="AN171" s="68">
        <f t="shared" si="120"/>
        <v>0.83159082021551578</v>
      </c>
      <c r="AO171" s="68">
        <f t="shared" si="121"/>
        <v>0.90697966284375153</v>
      </c>
      <c r="AP171" s="68">
        <f t="shared" si="122"/>
        <v>1</v>
      </c>
      <c r="AQ171" s="92"/>
      <c r="AT171" s="68">
        <f t="shared" si="98"/>
        <v>5.414734868649574E-2</v>
      </c>
      <c r="AU171" s="68">
        <f t="shared" si="99"/>
        <v>0.10670289474758129</v>
      </c>
      <c r="AV171" s="68">
        <f t="shared" si="100"/>
        <v>0.15076777059602439</v>
      </c>
      <c r="AW171" s="68">
        <f t="shared" si="101"/>
        <v>0.21272942223026145</v>
      </c>
      <c r="AX171" s="68">
        <f t="shared" si="102"/>
        <v>0.29130154421520355</v>
      </c>
      <c r="AY171" s="68">
        <f t="shared" si="103"/>
        <v>0.38864352611130765</v>
      </c>
      <c r="AZ171" s="68">
        <f t="shared" si="104"/>
        <v>0.48318347514064747</v>
      </c>
      <c r="BA171" s="68">
        <f t="shared" si="105"/>
        <v>0.60200081404850381</v>
      </c>
      <c r="BB171" s="68">
        <f t="shared" si="106"/>
        <v>0.68998082688267592</v>
      </c>
      <c r="BC171" s="68">
        <f t="shared" si="107"/>
        <v>0.80018991037858</v>
      </c>
      <c r="BD171" s="68">
        <f t="shared" si="108"/>
        <v>0.89790817425947067</v>
      </c>
      <c r="BE171" s="68">
        <f t="shared" si="109"/>
        <v>1</v>
      </c>
      <c r="BG171" s="68">
        <f t="shared" si="95"/>
        <v>8.5667822618923889E-2</v>
      </c>
      <c r="BH171" s="68">
        <f t="shared" si="95"/>
        <v>0.15749236097914865</v>
      </c>
      <c r="BI171" s="68">
        <f t="shared" si="95"/>
        <v>0.21627822379409861</v>
      </c>
      <c r="BJ171" s="68">
        <f t="shared" si="94"/>
        <v>0.28708561416852835</v>
      </c>
      <c r="BK171" s="68">
        <f t="shared" si="94"/>
        <v>0.36108437063949461</v>
      </c>
      <c r="BL171" s="68">
        <f t="shared" si="94"/>
        <v>0.4412133348953336</v>
      </c>
      <c r="BM171" s="68">
        <f t="shared" si="94"/>
        <v>0.52033178104497813</v>
      </c>
      <c r="BN171" s="68">
        <f t="shared" si="94"/>
        <v>0.6281484982123906</v>
      </c>
      <c r="BO171" s="68">
        <f t="shared" si="94"/>
        <v>0.71018646052851386</v>
      </c>
      <c r="BP171" s="68">
        <f t="shared" si="110"/>
        <v>0.81589036529704795</v>
      </c>
      <c r="BQ171" s="68">
        <f t="shared" si="110"/>
        <v>0.9024439185516111</v>
      </c>
      <c r="BR171" s="68">
        <f t="shared" si="110"/>
        <v>1</v>
      </c>
    </row>
    <row r="172" spans="1:70">
      <c r="A172" s="239" t="s">
        <v>138</v>
      </c>
      <c r="B172" s="62">
        <v>14340.42</v>
      </c>
      <c r="C172" s="62">
        <v>12871.449999999999</v>
      </c>
      <c r="D172" s="62">
        <v>16818.87</v>
      </c>
      <c r="E172" s="62">
        <v>8085.42</v>
      </c>
      <c r="F172" s="62">
        <v>9083.0199999999986</v>
      </c>
      <c r="G172" s="62">
        <v>8403.34</v>
      </c>
      <c r="H172" s="62">
        <v>11765.97</v>
      </c>
      <c r="I172" s="62">
        <v>9140.1200000000008</v>
      </c>
      <c r="J172" s="62">
        <v>8580.9599999999991</v>
      </c>
      <c r="K172" s="62">
        <v>7797.2899999999991</v>
      </c>
      <c r="L172" s="62">
        <v>10179.08</v>
      </c>
      <c r="M172" s="62">
        <v>6812.14</v>
      </c>
      <c r="N172" s="100">
        <f t="shared" si="96"/>
        <v>123878.07999999997</v>
      </c>
      <c r="P172" s="239" t="s">
        <v>138</v>
      </c>
      <c r="Q172" s="62">
        <v>9440.16</v>
      </c>
      <c r="R172" s="62">
        <v>10580.7</v>
      </c>
      <c r="S172" s="62">
        <v>9026.2299999999977</v>
      </c>
      <c r="T172" s="62">
        <v>5746.8700000000008</v>
      </c>
      <c r="U172" s="62">
        <v>6077.4900000000007</v>
      </c>
      <c r="V172" s="62">
        <v>6993.1</v>
      </c>
      <c r="W172" s="62">
        <v>9581.64</v>
      </c>
      <c r="X172" s="62">
        <v>12359.44</v>
      </c>
      <c r="Y172" s="62">
        <v>13506.679999999998</v>
      </c>
      <c r="Z172" s="62">
        <v>11391.729999999998</v>
      </c>
      <c r="AA172" s="62">
        <v>14737.58</v>
      </c>
      <c r="AB172" s="62">
        <v>12518.69</v>
      </c>
      <c r="AC172" s="100">
        <f t="shared" si="97"/>
        <v>121960.30999999998</v>
      </c>
      <c r="AE172" s="68">
        <f t="shared" si="111"/>
        <v>0.1157623689356503</v>
      </c>
      <c r="AF172" s="68">
        <f t="shared" si="112"/>
        <v>0.21966654633329807</v>
      </c>
      <c r="AG172" s="68">
        <f t="shared" si="113"/>
        <v>0.35543608683634753</v>
      </c>
      <c r="AH172" s="68">
        <f t="shared" si="114"/>
        <v>0.42070526117292106</v>
      </c>
      <c r="AI172" s="68">
        <f t="shared" si="115"/>
        <v>0.49402751479519225</v>
      </c>
      <c r="AJ172" s="68">
        <f t="shared" si="116"/>
        <v>0.56186308344462554</v>
      </c>
      <c r="AK172" s="68">
        <f t="shared" si="117"/>
        <v>0.65684332530823863</v>
      </c>
      <c r="AL172" s="68">
        <f t="shared" si="118"/>
        <v>0.73062651600670603</v>
      </c>
      <c r="AM172" s="68">
        <f t="shared" si="119"/>
        <v>0.79989591378878333</v>
      </c>
      <c r="AN172" s="68">
        <f t="shared" si="120"/>
        <v>0.86283917219252992</v>
      </c>
      <c r="AO172" s="68">
        <f t="shared" si="121"/>
        <v>0.94500931883994321</v>
      </c>
      <c r="AP172" s="68">
        <f t="shared" si="122"/>
        <v>1</v>
      </c>
      <c r="AQ172" s="92"/>
      <c r="AT172" s="68">
        <f t="shared" si="98"/>
        <v>7.740354218515845E-2</v>
      </c>
      <c r="AU172" s="68">
        <f t="shared" si="99"/>
        <v>0.16415881527359191</v>
      </c>
      <c r="AV172" s="68">
        <f t="shared" si="100"/>
        <v>0.23816838445228616</v>
      </c>
      <c r="AW172" s="68">
        <f t="shared" si="101"/>
        <v>0.28528920597200846</v>
      </c>
      <c r="AX172" s="68">
        <f t="shared" si="102"/>
        <v>0.33512090941717027</v>
      </c>
      <c r="AY172" s="68">
        <f t="shared" si="103"/>
        <v>0.39246005524256211</v>
      </c>
      <c r="AZ172" s="68">
        <f t="shared" si="104"/>
        <v>0.47102364695530868</v>
      </c>
      <c r="BA172" s="68">
        <f t="shared" si="105"/>
        <v>0.57236350087991739</v>
      </c>
      <c r="BB172" s="68">
        <f t="shared" si="106"/>
        <v>0.6831100216127689</v>
      </c>
      <c r="BC172" s="68">
        <f t="shared" si="107"/>
        <v>0.77651524500060709</v>
      </c>
      <c r="BD172" s="68">
        <f t="shared" si="108"/>
        <v>0.89735439340880652</v>
      </c>
      <c r="BE172" s="68">
        <f t="shared" si="109"/>
        <v>1</v>
      </c>
      <c r="BG172" s="68">
        <f t="shared" si="95"/>
        <v>9.6582955560404374E-2</v>
      </c>
      <c r="BH172" s="68">
        <f t="shared" si="95"/>
        <v>0.19191268080344498</v>
      </c>
      <c r="BI172" s="68">
        <f t="shared" si="95"/>
        <v>0.29680223564431685</v>
      </c>
      <c r="BJ172" s="68">
        <f t="shared" si="94"/>
        <v>0.35299723357246476</v>
      </c>
      <c r="BK172" s="68">
        <f t="shared" si="94"/>
        <v>0.41457421210618128</v>
      </c>
      <c r="BL172" s="68">
        <f t="shared" si="94"/>
        <v>0.47716156934359383</v>
      </c>
      <c r="BM172" s="68">
        <f t="shared" si="94"/>
        <v>0.56393348613177363</v>
      </c>
      <c r="BN172" s="68">
        <f t="shared" si="94"/>
        <v>0.65149500844331176</v>
      </c>
      <c r="BO172" s="68">
        <f t="shared" si="94"/>
        <v>0.74150296770077606</v>
      </c>
      <c r="BP172" s="68">
        <f t="shared" si="110"/>
        <v>0.81967720859656845</v>
      </c>
      <c r="BQ172" s="68">
        <f t="shared" si="110"/>
        <v>0.92118185612437486</v>
      </c>
      <c r="BR172" s="68">
        <f t="shared" si="110"/>
        <v>1</v>
      </c>
    </row>
    <row r="173" spans="1:70">
      <c r="A173" s="239" t="s">
        <v>139</v>
      </c>
      <c r="B173" s="62">
        <v>72721.09</v>
      </c>
      <c r="C173" s="62">
        <v>59002.73</v>
      </c>
      <c r="D173" s="62">
        <v>56152.1</v>
      </c>
      <c r="E173" s="62">
        <v>61045.020000000004</v>
      </c>
      <c r="F173" s="62">
        <v>66722.61</v>
      </c>
      <c r="G173" s="62">
        <v>57492.799999999996</v>
      </c>
      <c r="H173" s="62">
        <v>74963.97</v>
      </c>
      <c r="I173" s="62">
        <v>62224.03</v>
      </c>
      <c r="J173" s="62">
        <v>55027.56</v>
      </c>
      <c r="K173" s="62">
        <v>56776.2</v>
      </c>
      <c r="L173" s="62">
        <v>57630.240000000013</v>
      </c>
      <c r="M173" s="62">
        <v>75498.709999999992</v>
      </c>
      <c r="N173" s="100">
        <f t="shared" si="96"/>
        <v>755257.05999999982</v>
      </c>
      <c r="P173" s="239" t="s">
        <v>139</v>
      </c>
      <c r="Q173" s="62">
        <v>51144.1</v>
      </c>
      <c r="R173" s="62">
        <v>40013.119999999995</v>
      </c>
      <c r="S173" s="62">
        <v>40563.68</v>
      </c>
      <c r="T173" s="62">
        <v>33546.160000000003</v>
      </c>
      <c r="U173" s="62">
        <v>41445.730000000003</v>
      </c>
      <c r="V173" s="62">
        <v>41191.919999999998</v>
      </c>
      <c r="W173" s="62">
        <v>50708.469999999994</v>
      </c>
      <c r="X173" s="62">
        <v>57415.71</v>
      </c>
      <c r="Y173" s="62">
        <v>50994.06</v>
      </c>
      <c r="Z173" s="62">
        <v>81596.759999999995</v>
      </c>
      <c r="AA173" s="62">
        <v>75610.460000000006</v>
      </c>
      <c r="AB173" s="62">
        <v>69469.8</v>
      </c>
      <c r="AC173" s="100">
        <f t="shared" si="97"/>
        <v>633699.97000000009</v>
      </c>
      <c r="AE173" s="68">
        <f t="shared" si="111"/>
        <v>9.6286541167850875E-2</v>
      </c>
      <c r="AF173" s="68">
        <f t="shared" si="112"/>
        <v>0.17440925345338718</v>
      </c>
      <c r="AG173" s="68">
        <f t="shared" si="113"/>
        <v>0.24875758195494399</v>
      </c>
      <c r="AH173" s="68">
        <f t="shared" si="114"/>
        <v>0.32958439342493545</v>
      </c>
      <c r="AI173" s="68">
        <f t="shared" si="115"/>
        <v>0.41792863214016174</v>
      </c>
      <c r="AJ173" s="68">
        <f t="shared" si="116"/>
        <v>0.49405211783124553</v>
      </c>
      <c r="AK173" s="68">
        <f t="shared" si="117"/>
        <v>0.59330834987494196</v>
      </c>
      <c r="AL173" s="68">
        <f t="shared" si="118"/>
        <v>0.67569623248540056</v>
      </c>
      <c r="AM173" s="68">
        <f t="shared" si="119"/>
        <v>0.74855561098627799</v>
      </c>
      <c r="AN173" s="68">
        <f t="shared" si="120"/>
        <v>0.82373028065437748</v>
      </c>
      <c r="AO173" s="68">
        <f t="shared" si="121"/>
        <v>0.9000357441213459</v>
      </c>
      <c r="AP173" s="68">
        <f t="shared" si="122"/>
        <v>1</v>
      </c>
      <c r="AQ173" s="92"/>
      <c r="AT173" s="68">
        <f t="shared" si="98"/>
        <v>8.0707120753059192E-2</v>
      </c>
      <c r="AU173" s="68">
        <f t="shared" si="99"/>
        <v>0.14384917834223662</v>
      </c>
      <c r="AV173" s="68">
        <f t="shared" si="100"/>
        <v>0.20786003824491261</v>
      </c>
      <c r="AW173" s="68">
        <f t="shared" si="101"/>
        <v>0.26079701408223199</v>
      </c>
      <c r="AX173" s="68">
        <f t="shared" si="102"/>
        <v>0.32619977873756245</v>
      </c>
      <c r="AY173" s="68">
        <f t="shared" si="103"/>
        <v>0.39120202262278786</v>
      </c>
      <c r="AZ173" s="68">
        <f t="shared" si="104"/>
        <v>0.47122170449211154</v>
      </c>
      <c r="BA173" s="68">
        <f t="shared" si="105"/>
        <v>0.56182563808548069</v>
      </c>
      <c r="BB173" s="68">
        <f t="shared" si="106"/>
        <v>0.64229599064049181</v>
      </c>
      <c r="BC173" s="68">
        <f t="shared" si="107"/>
        <v>0.77105843953251241</v>
      </c>
      <c r="BD173" s="68">
        <f t="shared" si="108"/>
        <v>0.89037430442043408</v>
      </c>
      <c r="BE173" s="68">
        <f t="shared" si="109"/>
        <v>1</v>
      </c>
      <c r="BG173" s="68">
        <f t="shared" si="95"/>
        <v>8.8496830960455033E-2</v>
      </c>
      <c r="BH173" s="68">
        <f t="shared" si="95"/>
        <v>0.1591292158978119</v>
      </c>
      <c r="BI173" s="68">
        <f t="shared" si="95"/>
        <v>0.22830881009992832</v>
      </c>
      <c r="BJ173" s="68">
        <f t="shared" si="94"/>
        <v>0.29519070375358369</v>
      </c>
      <c r="BK173" s="68">
        <f t="shared" si="94"/>
        <v>0.37206420543886209</v>
      </c>
      <c r="BL173" s="68">
        <f t="shared" si="94"/>
        <v>0.44262707022701669</v>
      </c>
      <c r="BM173" s="68">
        <f t="shared" si="94"/>
        <v>0.53226502718352675</v>
      </c>
      <c r="BN173" s="68">
        <f t="shared" si="94"/>
        <v>0.61876093528544063</v>
      </c>
      <c r="BO173" s="68">
        <f t="shared" si="94"/>
        <v>0.6954258008133849</v>
      </c>
      <c r="BP173" s="68">
        <f t="shared" si="110"/>
        <v>0.797394360093445</v>
      </c>
      <c r="BQ173" s="68">
        <f t="shared" si="110"/>
        <v>0.89520502427088999</v>
      </c>
      <c r="BR173" s="68">
        <f t="shared" si="110"/>
        <v>1</v>
      </c>
    </row>
    <row r="174" spans="1:70">
      <c r="A174" s="239" t="s">
        <v>140</v>
      </c>
      <c r="B174" s="62">
        <v>3160.94</v>
      </c>
      <c r="C174" s="62">
        <v>1402.15</v>
      </c>
      <c r="D174" s="62">
        <v>1680.97</v>
      </c>
      <c r="E174" s="62">
        <v>1513.71</v>
      </c>
      <c r="F174" s="62">
        <v>1802.95</v>
      </c>
      <c r="G174" s="62">
        <v>2271.5300000000002</v>
      </c>
      <c r="H174" s="62">
        <v>1275.6800000000003</v>
      </c>
      <c r="I174" s="62">
        <v>2257.8700000000003</v>
      </c>
      <c r="J174" s="62">
        <v>1368.23</v>
      </c>
      <c r="K174" s="62">
        <v>1693.08</v>
      </c>
      <c r="L174" s="62">
        <v>1803.38</v>
      </c>
      <c r="M174" s="62">
        <v>2403.21</v>
      </c>
      <c r="N174" s="100">
        <f t="shared" si="96"/>
        <v>22633.7</v>
      </c>
      <c r="P174" s="239" t="s">
        <v>140</v>
      </c>
      <c r="Q174" s="62">
        <v>1455.17</v>
      </c>
      <c r="R174" s="62">
        <v>578.85</v>
      </c>
      <c r="S174" s="62">
        <v>1054.06</v>
      </c>
      <c r="T174" s="62">
        <v>702.76</v>
      </c>
      <c r="U174" s="62">
        <v>1435.4399999999998</v>
      </c>
      <c r="V174" s="62">
        <v>1563.1200000000001</v>
      </c>
      <c r="W174" s="62">
        <v>2401.84</v>
      </c>
      <c r="X174" s="62">
        <v>2976.04</v>
      </c>
      <c r="Y174" s="62">
        <v>3108.49</v>
      </c>
      <c r="Z174" s="62">
        <v>2455.4500000000003</v>
      </c>
      <c r="AA174" s="62">
        <v>2533.9499999999998</v>
      </c>
      <c r="AB174" s="62">
        <v>2787.6</v>
      </c>
      <c r="AC174" s="100">
        <f t="shared" si="97"/>
        <v>23052.769999999997</v>
      </c>
      <c r="AE174" s="68">
        <f t="shared" si="111"/>
        <v>0.1396563531371362</v>
      </c>
      <c r="AF174" s="68">
        <f t="shared" si="112"/>
        <v>0.20160601227373343</v>
      </c>
      <c r="AG174" s="68">
        <f t="shared" si="113"/>
        <v>0.27587447036940493</v>
      </c>
      <c r="AH174" s="68">
        <f t="shared" si="114"/>
        <v>0.34275306291061558</v>
      </c>
      <c r="AI174" s="68">
        <f t="shared" si="115"/>
        <v>0.42241082986873557</v>
      </c>
      <c r="AJ174" s="68">
        <f t="shared" si="116"/>
        <v>0.52277135421959298</v>
      </c>
      <c r="AK174" s="68">
        <f t="shared" si="117"/>
        <v>0.57913332773695869</v>
      </c>
      <c r="AL174" s="68">
        <f t="shared" si="118"/>
        <v>0.6788903272553759</v>
      </c>
      <c r="AM174" s="68">
        <f t="shared" si="119"/>
        <v>0.73934133614919351</v>
      </c>
      <c r="AN174" s="68">
        <f t="shared" si="120"/>
        <v>0.81414483712340446</v>
      </c>
      <c r="AO174" s="68">
        <f t="shared" si="121"/>
        <v>0.89382160230099372</v>
      </c>
      <c r="AP174" s="68">
        <f t="shared" si="122"/>
        <v>1</v>
      </c>
      <c r="AQ174" s="92"/>
      <c r="AT174" s="68">
        <f t="shared" si="98"/>
        <v>6.3123433756550745E-2</v>
      </c>
      <c r="AU174" s="68">
        <f t="shared" si="99"/>
        <v>8.8233214490059123E-2</v>
      </c>
      <c r="AV174" s="68">
        <f t="shared" si="100"/>
        <v>0.1339570038654791</v>
      </c>
      <c r="AW174" s="68">
        <f t="shared" si="101"/>
        <v>0.16444184364829045</v>
      </c>
      <c r="AX174" s="68">
        <f t="shared" si="102"/>
        <v>0.2267094149640152</v>
      </c>
      <c r="AY174" s="68">
        <f t="shared" si="103"/>
        <v>0.29451558315985454</v>
      </c>
      <c r="AZ174" s="68">
        <f t="shared" si="104"/>
        <v>0.39870436394411607</v>
      </c>
      <c r="BA174" s="68">
        <f t="shared" si="105"/>
        <v>0.5278012143443066</v>
      </c>
      <c r="BB174" s="68">
        <f t="shared" si="106"/>
        <v>0.66264357819038666</v>
      </c>
      <c r="BC174" s="68">
        <f t="shared" si="107"/>
        <v>0.76915789295603088</v>
      </c>
      <c r="BD174" s="68">
        <f t="shared" si="108"/>
        <v>0.87907743841629449</v>
      </c>
      <c r="BE174" s="68">
        <f t="shared" si="109"/>
        <v>1</v>
      </c>
      <c r="BG174" s="68">
        <f t="shared" si="95"/>
        <v>0.10138989344684347</v>
      </c>
      <c r="BH174" s="68">
        <f t="shared" si="95"/>
        <v>0.14491961338189627</v>
      </c>
      <c r="BI174" s="68">
        <f t="shared" si="95"/>
        <v>0.20491573711744202</v>
      </c>
      <c r="BJ174" s="68">
        <f t="shared" si="94"/>
        <v>0.25359745327945304</v>
      </c>
      <c r="BK174" s="68">
        <f t="shared" si="94"/>
        <v>0.32456012241637539</v>
      </c>
      <c r="BL174" s="68">
        <f t="shared" si="94"/>
        <v>0.40864346868972379</v>
      </c>
      <c r="BM174" s="68">
        <f t="shared" si="94"/>
        <v>0.48891884584053735</v>
      </c>
      <c r="BN174" s="68">
        <f t="shared" si="94"/>
        <v>0.60334577079984131</v>
      </c>
      <c r="BO174" s="68">
        <f t="shared" si="94"/>
        <v>0.70099245716979008</v>
      </c>
      <c r="BP174" s="68">
        <f t="shared" si="110"/>
        <v>0.79165136503971767</v>
      </c>
      <c r="BQ174" s="68">
        <f t="shared" si="110"/>
        <v>0.88644952035864411</v>
      </c>
      <c r="BR174" s="68">
        <f t="shared" si="110"/>
        <v>1</v>
      </c>
    </row>
    <row r="175" spans="1:70">
      <c r="A175" s="239" t="s">
        <v>141</v>
      </c>
      <c r="B175" s="62">
        <v>591.26</v>
      </c>
      <c r="C175" s="62">
        <v>591.02</v>
      </c>
      <c r="D175" s="62">
        <v>640.87</v>
      </c>
      <c r="E175" s="62">
        <v>358.91999999999996</v>
      </c>
      <c r="F175" s="62">
        <v>214.13</v>
      </c>
      <c r="G175" s="62">
        <v>367.74</v>
      </c>
      <c r="H175" s="62">
        <v>771.56999999999994</v>
      </c>
      <c r="I175" s="62">
        <v>171.59</v>
      </c>
      <c r="J175" s="62">
        <v>502.32</v>
      </c>
      <c r="K175" s="62">
        <v>0</v>
      </c>
      <c r="L175" s="62">
        <v>278.31</v>
      </c>
      <c r="M175" s="62">
        <v>65.13</v>
      </c>
      <c r="N175" s="100">
        <f t="shared" si="96"/>
        <v>4552.8600000000006</v>
      </c>
      <c r="P175" s="239" t="s">
        <v>141</v>
      </c>
      <c r="Q175" s="62">
        <v>429.16999999999996</v>
      </c>
      <c r="R175" s="62">
        <v>231.91</v>
      </c>
      <c r="S175" s="62">
        <v>423.48</v>
      </c>
      <c r="T175" s="62">
        <v>292.92</v>
      </c>
      <c r="U175" s="62">
        <v>27.310000000000002</v>
      </c>
      <c r="V175" s="62">
        <v>166.55</v>
      </c>
      <c r="W175" s="62">
        <v>522.75</v>
      </c>
      <c r="X175" s="62">
        <v>323.45000000000005</v>
      </c>
      <c r="Y175" s="62">
        <v>201.58</v>
      </c>
      <c r="Z175" s="62">
        <v>732.41</v>
      </c>
      <c r="AA175" s="62">
        <v>1127.1500000000001</v>
      </c>
      <c r="AB175" s="62">
        <v>839.03</v>
      </c>
      <c r="AC175" s="100">
        <f t="shared" si="97"/>
        <v>5317.71</v>
      </c>
      <c r="AE175" s="68">
        <f t="shared" si="111"/>
        <v>0.12986562292712711</v>
      </c>
      <c r="AF175" s="68">
        <f t="shared" si="112"/>
        <v>0.25967853173609551</v>
      </c>
      <c r="AG175" s="68">
        <f t="shared" si="113"/>
        <v>0.40044060217094307</v>
      </c>
      <c r="AH175" s="68">
        <f t="shared" si="114"/>
        <v>0.47927456587727274</v>
      </c>
      <c r="AI175" s="68">
        <f t="shared" si="115"/>
        <v>0.52630654138277921</v>
      </c>
      <c r="AJ175" s="68">
        <f t="shared" si="116"/>
        <v>0.60707774893144095</v>
      </c>
      <c r="AK175" s="68">
        <f t="shared" si="117"/>
        <v>0.77654704954687814</v>
      </c>
      <c r="AL175" s="68">
        <f t="shared" si="118"/>
        <v>0.81423544760875577</v>
      </c>
      <c r="AM175" s="68">
        <f t="shared" si="119"/>
        <v>0.9245660969149061</v>
      </c>
      <c r="AN175" s="68">
        <f t="shared" si="120"/>
        <v>0.9245660969149061</v>
      </c>
      <c r="AO175" s="68">
        <f t="shared" si="121"/>
        <v>0.98569470618468391</v>
      </c>
      <c r="AP175" s="68">
        <f t="shared" si="122"/>
        <v>1</v>
      </c>
      <c r="AQ175" s="92"/>
      <c r="AT175" s="68">
        <f t="shared" si="98"/>
        <v>8.0705792530995482E-2</v>
      </c>
      <c r="AU175" s="68">
        <f t="shared" si="99"/>
        <v>0.12431667014560778</v>
      </c>
      <c r="AV175" s="68">
        <f t="shared" si="100"/>
        <v>0.20395245321764444</v>
      </c>
      <c r="AW175" s="68">
        <f t="shared" si="101"/>
        <v>0.25903631450379955</v>
      </c>
      <c r="AX175" s="68">
        <f t="shared" si="102"/>
        <v>0.26417198380505896</v>
      </c>
      <c r="AY175" s="68">
        <f t="shared" si="103"/>
        <v>0.29549185645700871</v>
      </c>
      <c r="AZ175" s="68">
        <f t="shared" si="104"/>
        <v>0.39379544954501094</v>
      </c>
      <c r="BA175" s="68">
        <f t="shared" si="105"/>
        <v>0.4546205039387255</v>
      </c>
      <c r="BB175" s="68">
        <f t="shared" si="106"/>
        <v>0.49252779862008267</v>
      </c>
      <c r="BC175" s="68">
        <f t="shared" si="107"/>
        <v>0.63025813743133785</v>
      </c>
      <c r="BD175" s="68">
        <f t="shared" si="108"/>
        <v>0.84221967726709435</v>
      </c>
      <c r="BE175" s="68">
        <f t="shared" si="109"/>
        <v>1</v>
      </c>
      <c r="BG175" s="68">
        <f t="shared" si="95"/>
        <v>0.10528570772906129</v>
      </c>
      <c r="BH175" s="68">
        <f t="shared" si="95"/>
        <v>0.19199760094085164</v>
      </c>
      <c r="BI175" s="68">
        <f t="shared" si="95"/>
        <v>0.30219652769429373</v>
      </c>
      <c r="BJ175" s="68">
        <f t="shared" si="94"/>
        <v>0.36915544019053614</v>
      </c>
      <c r="BK175" s="68">
        <f t="shared" si="94"/>
        <v>0.39523926259391906</v>
      </c>
      <c r="BL175" s="68">
        <f t="shared" si="94"/>
        <v>0.45128480269422483</v>
      </c>
      <c r="BM175" s="68">
        <f t="shared" si="94"/>
        <v>0.58517124954594457</v>
      </c>
      <c r="BN175" s="68">
        <f t="shared" si="94"/>
        <v>0.63442797577374066</v>
      </c>
      <c r="BO175" s="68">
        <f t="shared" si="94"/>
        <v>0.70854694776749438</v>
      </c>
      <c r="BP175" s="68">
        <f t="shared" si="110"/>
        <v>0.77741211717312197</v>
      </c>
      <c r="BQ175" s="68">
        <f t="shared" si="110"/>
        <v>0.91395719172588907</v>
      </c>
      <c r="BR175" s="68">
        <f t="shared" si="110"/>
        <v>1</v>
      </c>
    </row>
    <row r="176" spans="1:70">
      <c r="A176" s="239" t="s">
        <v>142</v>
      </c>
      <c r="B176" s="62">
        <v>25206</v>
      </c>
      <c r="C176" s="62">
        <v>24300.18</v>
      </c>
      <c r="D176" s="62">
        <v>20486.64</v>
      </c>
      <c r="E176" s="62">
        <v>19694.62</v>
      </c>
      <c r="F176" s="62">
        <v>16056.090000000004</v>
      </c>
      <c r="G176" s="62">
        <v>19167.88</v>
      </c>
      <c r="H176" s="62">
        <v>20964.580000000002</v>
      </c>
      <c r="I176" s="62">
        <v>20686.019999999997</v>
      </c>
      <c r="J176" s="62">
        <v>19102.05</v>
      </c>
      <c r="K176" s="62">
        <v>21638.33</v>
      </c>
      <c r="L176" s="62">
        <v>21191.94</v>
      </c>
      <c r="M176" s="62">
        <v>24507.47</v>
      </c>
      <c r="N176" s="100">
        <f t="shared" si="96"/>
        <v>253001.79999999996</v>
      </c>
      <c r="P176" s="239" t="s">
        <v>142</v>
      </c>
      <c r="Q176" s="62">
        <v>19882.54</v>
      </c>
      <c r="R176" s="62">
        <v>19280.04</v>
      </c>
      <c r="S176" s="62">
        <v>21992.210000000003</v>
      </c>
      <c r="T176" s="62">
        <v>16847.349999999999</v>
      </c>
      <c r="U176" s="62">
        <v>17451.100000000002</v>
      </c>
      <c r="V176" s="62">
        <v>23351.850000000002</v>
      </c>
      <c r="W176" s="62">
        <v>24320.760000000002</v>
      </c>
      <c r="X176" s="62">
        <v>27017.820000000003</v>
      </c>
      <c r="Y176" s="62">
        <v>21716.239999999998</v>
      </c>
      <c r="Z176" s="62">
        <v>26536.5</v>
      </c>
      <c r="AA176" s="62">
        <v>30623.34</v>
      </c>
      <c r="AB176" s="62">
        <v>33568.11</v>
      </c>
      <c r="AC176" s="100">
        <f t="shared" si="97"/>
        <v>282587.86000000004</v>
      </c>
      <c r="AE176" s="68">
        <f t="shared" si="111"/>
        <v>9.9627749683994363E-2</v>
      </c>
      <c r="AF176" s="68">
        <f t="shared" si="112"/>
        <v>0.19567520863487931</v>
      </c>
      <c r="AG176" s="68">
        <f t="shared" si="113"/>
        <v>0.27664949419332202</v>
      </c>
      <c r="AH176" s="68">
        <f t="shared" si="114"/>
        <v>0.35449328819004455</v>
      </c>
      <c r="AI176" s="68">
        <f t="shared" si="115"/>
        <v>0.41795564300333049</v>
      </c>
      <c r="AJ176" s="68">
        <f t="shared" si="116"/>
        <v>0.49371747552784218</v>
      </c>
      <c r="AK176" s="68">
        <f t="shared" si="117"/>
        <v>0.57658083855529885</v>
      </c>
      <c r="AL176" s="68">
        <f t="shared" si="118"/>
        <v>0.65834318174811413</v>
      </c>
      <c r="AM176" s="68">
        <f t="shared" si="119"/>
        <v>0.73384481849536243</v>
      </c>
      <c r="AN176" s="68">
        <f t="shared" si="120"/>
        <v>0.81937120605466041</v>
      </c>
      <c r="AO176" s="68">
        <f t="shared" si="121"/>
        <v>0.90313321881504394</v>
      </c>
      <c r="AP176" s="68">
        <f t="shared" si="122"/>
        <v>1</v>
      </c>
      <c r="AQ176" s="92"/>
      <c r="AT176" s="68">
        <f t="shared" si="98"/>
        <v>7.035879035992558E-2</v>
      </c>
      <c r="AU176" s="68">
        <f t="shared" si="99"/>
        <v>0.13858550045285029</v>
      </c>
      <c r="AV176" s="68">
        <f t="shared" si="100"/>
        <v>0.21640982737191894</v>
      </c>
      <c r="AW176" s="68">
        <f t="shared" si="101"/>
        <v>0.27602792278479338</v>
      </c>
      <c r="AX176" s="68">
        <f t="shared" si="102"/>
        <v>0.33778252186771224</v>
      </c>
      <c r="AY176" s="68">
        <f t="shared" si="103"/>
        <v>0.42041823735810874</v>
      </c>
      <c r="AZ176" s="68">
        <f t="shared" si="104"/>
        <v>0.50648265640286183</v>
      </c>
      <c r="BA176" s="68">
        <f t="shared" si="105"/>
        <v>0.602091222177768</v>
      </c>
      <c r="BB176" s="68">
        <f t="shared" si="106"/>
        <v>0.67893896786648944</v>
      </c>
      <c r="BC176" s="68">
        <f t="shared" si="107"/>
        <v>0.77284427575905068</v>
      </c>
      <c r="BD176" s="68">
        <f t="shared" si="108"/>
        <v>0.88121177604727952</v>
      </c>
      <c r="BE176" s="68">
        <f t="shared" si="109"/>
        <v>1</v>
      </c>
      <c r="BG176" s="68">
        <f t="shared" si="95"/>
        <v>8.4993270021959971E-2</v>
      </c>
      <c r="BH176" s="68">
        <f t="shared" si="95"/>
        <v>0.1671303545438648</v>
      </c>
      <c r="BI176" s="68">
        <f t="shared" si="95"/>
        <v>0.24652966078262048</v>
      </c>
      <c r="BJ176" s="68">
        <f t="shared" si="94"/>
        <v>0.31526060548741897</v>
      </c>
      <c r="BK176" s="68">
        <f t="shared" si="94"/>
        <v>0.37786908243552136</v>
      </c>
      <c r="BL176" s="68">
        <f t="shared" si="94"/>
        <v>0.45706785644297543</v>
      </c>
      <c r="BM176" s="68">
        <f t="shared" si="94"/>
        <v>0.54153174747908039</v>
      </c>
      <c r="BN176" s="68">
        <f t="shared" si="94"/>
        <v>0.63021720196294106</v>
      </c>
      <c r="BO176" s="68">
        <f t="shared" si="94"/>
        <v>0.70639189318092588</v>
      </c>
      <c r="BP176" s="68">
        <f t="shared" si="110"/>
        <v>0.79610774090685554</v>
      </c>
      <c r="BQ176" s="68">
        <f t="shared" si="110"/>
        <v>0.89217249743116178</v>
      </c>
      <c r="BR176" s="68">
        <f t="shared" si="110"/>
        <v>1</v>
      </c>
    </row>
    <row r="177" spans="1:70">
      <c r="A177" s="239" t="s">
        <v>143</v>
      </c>
      <c r="B177" s="62">
        <v>371474.49</v>
      </c>
      <c r="C177" s="62">
        <v>231778.66999999998</v>
      </c>
      <c r="D177" s="62">
        <v>129337.14</v>
      </c>
      <c r="E177" s="62">
        <v>237933.15</v>
      </c>
      <c r="F177" s="62">
        <v>145760.25</v>
      </c>
      <c r="G177" s="62">
        <v>165141.49000000005</v>
      </c>
      <c r="H177" s="62">
        <v>194269.71</v>
      </c>
      <c r="I177" s="62">
        <v>180706.38000000003</v>
      </c>
      <c r="J177" s="62">
        <v>149407.53</v>
      </c>
      <c r="K177" s="62">
        <v>205713.88</v>
      </c>
      <c r="L177" s="62">
        <v>172583.83999999997</v>
      </c>
      <c r="M177" s="62">
        <v>221494.94000000003</v>
      </c>
      <c r="N177" s="100">
        <f t="shared" si="96"/>
        <v>2405601.4699999997</v>
      </c>
      <c r="P177" s="239" t="s">
        <v>143</v>
      </c>
      <c r="Q177" s="62">
        <v>353830.77</v>
      </c>
      <c r="R177" s="62">
        <v>134829.67000000001</v>
      </c>
      <c r="S177" s="62">
        <v>236366.44999999998</v>
      </c>
      <c r="T177" s="62">
        <v>111216.18000000002</v>
      </c>
      <c r="U177" s="62">
        <v>218493.93</v>
      </c>
      <c r="V177" s="62">
        <v>175736.38</v>
      </c>
      <c r="W177" s="62">
        <v>188837.28</v>
      </c>
      <c r="X177" s="62">
        <v>254618.71000000002</v>
      </c>
      <c r="Y177" s="62">
        <v>189813.6</v>
      </c>
      <c r="Z177" s="62">
        <v>421145.01000000007</v>
      </c>
      <c r="AA177" s="62">
        <v>308267.85000000003</v>
      </c>
      <c r="AB177" s="62">
        <v>175163.59</v>
      </c>
      <c r="AC177" s="100">
        <f t="shared" si="97"/>
        <v>2768319.42</v>
      </c>
      <c r="AE177" s="68">
        <f t="shared" si="111"/>
        <v>0.1544206281184223</v>
      </c>
      <c r="AF177" s="68">
        <f t="shared" si="112"/>
        <v>0.25077019927161914</v>
      </c>
      <c r="AG177" s="68">
        <f t="shared" si="113"/>
        <v>0.30453518969623844</v>
      </c>
      <c r="AH177" s="68">
        <f t="shared" si="114"/>
        <v>0.40344315635956113</v>
      </c>
      <c r="AI177" s="68">
        <f t="shared" si="115"/>
        <v>0.4640351753692602</v>
      </c>
      <c r="AJ177" s="68">
        <f t="shared" si="116"/>
        <v>0.53268390711450642</v>
      </c>
      <c r="AK177" s="68">
        <f t="shared" si="117"/>
        <v>0.61344113661520172</v>
      </c>
      <c r="AL177" s="68">
        <f t="shared" si="118"/>
        <v>0.6885601379350671</v>
      </c>
      <c r="AM177" s="68">
        <f t="shared" si="119"/>
        <v>0.75066831830627379</v>
      </c>
      <c r="AN177" s="68">
        <f t="shared" si="120"/>
        <v>0.83618284869105941</v>
      </c>
      <c r="AO177" s="68">
        <f t="shared" si="121"/>
        <v>0.90792533893820748</v>
      </c>
      <c r="AP177" s="68">
        <f t="shared" si="122"/>
        <v>1</v>
      </c>
      <c r="AQ177" s="92"/>
      <c r="AT177" s="68">
        <f t="shared" si="98"/>
        <v>0.12781428596848843</v>
      </c>
      <c r="AU177" s="68">
        <f t="shared" si="99"/>
        <v>0.17651880648946214</v>
      </c>
      <c r="AV177" s="68">
        <f t="shared" si="100"/>
        <v>0.26190145716638435</v>
      </c>
      <c r="AW177" s="68">
        <f t="shared" si="101"/>
        <v>0.3020760769001144</v>
      </c>
      <c r="AX177" s="68">
        <f t="shared" si="102"/>
        <v>0.38100263733294187</v>
      </c>
      <c r="AY177" s="68">
        <f t="shared" si="103"/>
        <v>0.44448388835129432</v>
      </c>
      <c r="AZ177" s="68">
        <f t="shared" si="104"/>
        <v>0.51269757736265853</v>
      </c>
      <c r="BA177" s="68">
        <f t="shared" si="105"/>
        <v>0.60467349176057139</v>
      </c>
      <c r="BB177" s="68">
        <f t="shared" si="106"/>
        <v>0.67323985683704091</v>
      </c>
      <c r="BC177" s="68">
        <f t="shared" si="107"/>
        <v>0.82537006513504141</v>
      </c>
      <c r="BD177" s="68">
        <f t="shared" si="108"/>
        <v>0.93672565790836382</v>
      </c>
      <c r="BE177" s="68">
        <f t="shared" si="109"/>
        <v>1</v>
      </c>
      <c r="BG177" s="68">
        <f t="shared" si="95"/>
        <v>0.14111745704345535</v>
      </c>
      <c r="BH177" s="68">
        <f t="shared" si="95"/>
        <v>0.21364450288054065</v>
      </c>
      <c r="BI177" s="68">
        <f t="shared" si="95"/>
        <v>0.28321832343131137</v>
      </c>
      <c r="BJ177" s="68">
        <f t="shared" si="94"/>
        <v>0.35275961662983779</v>
      </c>
      <c r="BK177" s="68">
        <f t="shared" si="94"/>
        <v>0.42251890635110101</v>
      </c>
      <c r="BL177" s="68">
        <f t="shared" si="94"/>
        <v>0.48858389773290034</v>
      </c>
      <c r="BM177" s="68">
        <f t="shared" si="94"/>
        <v>0.56306935698893013</v>
      </c>
      <c r="BN177" s="68">
        <f t="shared" si="94"/>
        <v>0.6466168148478193</v>
      </c>
      <c r="BO177" s="68">
        <f t="shared" si="94"/>
        <v>0.71195408757165735</v>
      </c>
      <c r="BP177" s="68">
        <f t="shared" si="110"/>
        <v>0.83077645691305047</v>
      </c>
      <c r="BQ177" s="68">
        <f t="shared" si="110"/>
        <v>0.92232549842328559</v>
      </c>
      <c r="BR177" s="68">
        <f t="shared" si="110"/>
        <v>1</v>
      </c>
    </row>
    <row r="178" spans="1:70">
      <c r="A178" s="239" t="s">
        <v>144</v>
      </c>
      <c r="B178" s="62">
        <v>8224.2199999999993</v>
      </c>
      <c r="C178" s="62">
        <v>4538.32</v>
      </c>
      <c r="D178" s="62">
        <v>6058.52</v>
      </c>
      <c r="E178" s="62">
        <v>3106.0899999999997</v>
      </c>
      <c r="F178" s="62">
        <v>2353.31</v>
      </c>
      <c r="G178" s="62">
        <v>4214.9800000000005</v>
      </c>
      <c r="H178" s="62">
        <v>4895.1000000000004</v>
      </c>
      <c r="I178" s="62">
        <v>2462.11</v>
      </c>
      <c r="J178" s="62">
        <v>2556.63</v>
      </c>
      <c r="K178" s="62">
        <v>5190.0199999999995</v>
      </c>
      <c r="L178" s="62">
        <v>4060.1</v>
      </c>
      <c r="M178" s="62">
        <v>3642.9100000000003</v>
      </c>
      <c r="N178" s="100">
        <f t="shared" si="96"/>
        <v>51302.31</v>
      </c>
      <c r="P178" s="239" t="s">
        <v>144</v>
      </c>
      <c r="Q178" s="62">
        <v>4369.8900000000003</v>
      </c>
      <c r="R178" s="62">
        <v>3472.5600000000004</v>
      </c>
      <c r="S178" s="62">
        <v>3322.8</v>
      </c>
      <c r="T178" s="62">
        <v>2108.15</v>
      </c>
      <c r="U178" s="62">
        <v>2598.85</v>
      </c>
      <c r="V178" s="62">
        <v>3496.7899999999995</v>
      </c>
      <c r="W178" s="62">
        <v>4052.7799999999997</v>
      </c>
      <c r="X178" s="62">
        <v>4258.83</v>
      </c>
      <c r="Y178" s="62">
        <v>3782.24</v>
      </c>
      <c r="Z178" s="62">
        <v>3831.54</v>
      </c>
      <c r="AA178" s="62">
        <v>3070.96</v>
      </c>
      <c r="AB178" s="62">
        <v>6624.99</v>
      </c>
      <c r="AC178" s="100">
        <f t="shared" si="97"/>
        <v>44990.38</v>
      </c>
      <c r="AE178" s="68">
        <f t="shared" si="111"/>
        <v>0.16030896074660186</v>
      </c>
      <c r="AF178" s="68">
        <f t="shared" si="112"/>
        <v>0.2487712541599004</v>
      </c>
      <c r="AG178" s="68">
        <f t="shared" si="113"/>
        <v>0.36686574152313994</v>
      </c>
      <c r="AH178" s="68">
        <f t="shared" si="114"/>
        <v>0.4274105785879817</v>
      </c>
      <c r="AI178" s="68">
        <f t="shared" si="115"/>
        <v>0.47328200231139689</v>
      </c>
      <c r="AJ178" s="68">
        <f t="shared" si="116"/>
        <v>0.55544165555118274</v>
      </c>
      <c r="AK178" s="68">
        <f t="shared" si="117"/>
        <v>0.65085841163877423</v>
      </c>
      <c r="AL178" s="68">
        <f t="shared" si="118"/>
        <v>0.69885059756568468</v>
      </c>
      <c r="AM178" s="68">
        <f t="shared" si="119"/>
        <v>0.74868519565688174</v>
      </c>
      <c r="AN178" s="68">
        <f t="shared" si="120"/>
        <v>0.84985062076152118</v>
      </c>
      <c r="AO178" s="68">
        <f t="shared" si="121"/>
        <v>0.92899130662927254</v>
      </c>
      <c r="AP178" s="68">
        <f t="shared" si="122"/>
        <v>1</v>
      </c>
      <c r="AQ178" s="92"/>
      <c r="AT178" s="68">
        <f t="shared" si="98"/>
        <v>9.7129430780535764E-2</v>
      </c>
      <c r="AU178" s="68">
        <f t="shared" si="99"/>
        <v>0.17431393111149543</v>
      </c>
      <c r="AV178" s="68">
        <f t="shared" si="100"/>
        <v>0.24816971983788536</v>
      </c>
      <c r="AW178" s="68">
        <f t="shared" si="101"/>
        <v>0.29502751477093547</v>
      </c>
      <c r="AX178" s="68">
        <f t="shared" si="102"/>
        <v>0.35279208577478122</v>
      </c>
      <c r="AY178" s="68">
        <f t="shared" si="103"/>
        <v>0.4305151456822548</v>
      </c>
      <c r="AZ178" s="68">
        <f t="shared" si="104"/>
        <v>0.52059618078353642</v>
      </c>
      <c r="BA178" s="68">
        <f t="shared" si="105"/>
        <v>0.61525708384770261</v>
      </c>
      <c r="BB178" s="68">
        <f t="shared" si="106"/>
        <v>0.69932483344217145</v>
      </c>
      <c r="BC178" s="68">
        <f t="shared" si="107"/>
        <v>0.78448837284770656</v>
      </c>
      <c r="BD178" s="68">
        <f t="shared" si="108"/>
        <v>0.85274652047837785</v>
      </c>
      <c r="BE178" s="68">
        <f t="shared" si="109"/>
        <v>1</v>
      </c>
      <c r="BG178" s="68">
        <f t="shared" si="95"/>
        <v>0.12871919576356883</v>
      </c>
      <c r="BH178" s="68">
        <f t="shared" si="95"/>
        <v>0.21154259263569791</v>
      </c>
      <c r="BI178" s="68">
        <f t="shared" si="95"/>
        <v>0.30751773068051264</v>
      </c>
      <c r="BJ178" s="68">
        <f t="shared" si="94"/>
        <v>0.36121904667945859</v>
      </c>
      <c r="BK178" s="68">
        <f t="shared" si="94"/>
        <v>0.41303704404308905</v>
      </c>
      <c r="BL178" s="68">
        <f t="shared" si="94"/>
        <v>0.49297840061671877</v>
      </c>
      <c r="BM178" s="68">
        <f t="shared" si="94"/>
        <v>0.58572729621115527</v>
      </c>
      <c r="BN178" s="68">
        <f t="shared" si="94"/>
        <v>0.6570538407066937</v>
      </c>
      <c r="BO178" s="68">
        <f t="shared" si="94"/>
        <v>0.72400501454952659</v>
      </c>
      <c r="BP178" s="68">
        <f t="shared" si="110"/>
        <v>0.81716949680461393</v>
      </c>
      <c r="BQ178" s="68">
        <f t="shared" si="110"/>
        <v>0.89086891355382525</v>
      </c>
      <c r="BR178" s="68">
        <f t="shared" si="110"/>
        <v>1</v>
      </c>
    </row>
    <row r="179" spans="1:70">
      <c r="A179" s="239" t="s">
        <v>145</v>
      </c>
      <c r="B179" s="62">
        <v>1673.58</v>
      </c>
      <c r="C179" s="62">
        <v>2120.9</v>
      </c>
      <c r="D179" s="62">
        <v>1382.4199999999998</v>
      </c>
      <c r="E179" s="62">
        <v>1751.8899999999999</v>
      </c>
      <c r="F179" s="62">
        <v>1305.6599999999999</v>
      </c>
      <c r="G179" s="62">
        <v>3016.92</v>
      </c>
      <c r="H179" s="62">
        <v>2699.41</v>
      </c>
      <c r="I179" s="62">
        <v>3514.82</v>
      </c>
      <c r="J179" s="62">
        <v>2342.98</v>
      </c>
      <c r="K179" s="62">
        <v>4315.84</v>
      </c>
      <c r="L179" s="62">
        <v>4941.1499999999996</v>
      </c>
      <c r="M179" s="62">
        <v>4204.12</v>
      </c>
      <c r="N179" s="100">
        <f t="shared" si="96"/>
        <v>33269.69</v>
      </c>
      <c r="P179" s="239" t="s">
        <v>145</v>
      </c>
      <c r="Q179" s="62">
        <v>2482.61</v>
      </c>
      <c r="R179" s="62">
        <v>1640.44</v>
      </c>
      <c r="S179" s="62">
        <v>2445.3199999999997</v>
      </c>
      <c r="T179" s="62">
        <v>1148.8699999999999</v>
      </c>
      <c r="U179" s="62">
        <v>1573.44</v>
      </c>
      <c r="V179" s="62">
        <v>1473.06</v>
      </c>
      <c r="W179" s="62">
        <v>2324.16</v>
      </c>
      <c r="X179" s="62">
        <v>2783.7099999999996</v>
      </c>
      <c r="Y179" s="62">
        <v>3113.3099999999995</v>
      </c>
      <c r="Z179" s="62">
        <v>4862.92</v>
      </c>
      <c r="AA179" s="62">
        <v>3650.08</v>
      </c>
      <c r="AB179" s="62">
        <v>2998.04</v>
      </c>
      <c r="AC179" s="100">
        <f t="shared" si="97"/>
        <v>30495.96</v>
      </c>
      <c r="AE179" s="68">
        <f t="shared" si="111"/>
        <v>5.0303444366328623E-2</v>
      </c>
      <c r="AF179" s="68">
        <f t="shared" si="112"/>
        <v>0.11405215978868453</v>
      </c>
      <c r="AG179" s="68">
        <f t="shared" si="113"/>
        <v>0.15560409489838947</v>
      </c>
      <c r="AH179" s="68">
        <f t="shared" si="114"/>
        <v>0.20826133336379143</v>
      </c>
      <c r="AI179" s="68">
        <f t="shared" si="115"/>
        <v>0.24750606332670963</v>
      </c>
      <c r="AJ179" s="68">
        <f t="shared" si="116"/>
        <v>0.33818680005734947</v>
      </c>
      <c r="AK179" s="68">
        <f t="shared" si="117"/>
        <v>0.41932401534249336</v>
      </c>
      <c r="AL179" s="68">
        <f t="shared" si="118"/>
        <v>0.52497032584313219</v>
      </c>
      <c r="AM179" s="68">
        <f t="shared" si="119"/>
        <v>0.59539418611955797</v>
      </c>
      <c r="AN179" s="68">
        <f t="shared" si="120"/>
        <v>0.72511706601414072</v>
      </c>
      <c r="AO179" s="68">
        <f t="shared" si="121"/>
        <v>0.87363513155668115</v>
      </c>
      <c r="AP179" s="68">
        <f t="shared" si="122"/>
        <v>1</v>
      </c>
      <c r="AQ179" s="92"/>
      <c r="AT179" s="68">
        <f t="shared" si="98"/>
        <v>8.1407832381731882E-2</v>
      </c>
      <c r="AU179" s="68">
        <f t="shared" si="99"/>
        <v>0.13519987565566063</v>
      </c>
      <c r="AV179" s="68">
        <f t="shared" si="100"/>
        <v>0.21538492311768509</v>
      </c>
      <c r="AW179" s="68">
        <f t="shared" si="101"/>
        <v>0.25305778207998697</v>
      </c>
      <c r="AX179" s="68">
        <f t="shared" si="102"/>
        <v>0.30465281302834868</v>
      </c>
      <c r="AY179" s="68">
        <f t="shared" si="103"/>
        <v>0.35295626043580852</v>
      </c>
      <c r="AZ179" s="68">
        <f t="shared" si="104"/>
        <v>0.42916832262371801</v>
      </c>
      <c r="BA179" s="68">
        <f t="shared" si="105"/>
        <v>0.5204495939790057</v>
      </c>
      <c r="BB179" s="68">
        <f t="shared" si="106"/>
        <v>0.62253885432693379</v>
      </c>
      <c r="BC179" s="68">
        <f t="shared" si="107"/>
        <v>0.78199997639031527</v>
      </c>
      <c r="BD179" s="68">
        <f t="shared" si="108"/>
        <v>0.90169058458890949</v>
      </c>
      <c r="BE179" s="68">
        <f t="shared" si="109"/>
        <v>1</v>
      </c>
      <c r="BG179" s="68">
        <f t="shared" si="95"/>
        <v>6.5855638374030245E-2</v>
      </c>
      <c r="BH179" s="68">
        <f t="shared" si="95"/>
        <v>0.12462601772217258</v>
      </c>
      <c r="BI179" s="68">
        <f t="shared" si="95"/>
        <v>0.18549450900803727</v>
      </c>
      <c r="BJ179" s="68">
        <f t="shared" si="94"/>
        <v>0.2306595577218892</v>
      </c>
      <c r="BK179" s="68">
        <f t="shared" si="94"/>
        <v>0.27607943817752917</v>
      </c>
      <c r="BL179" s="68">
        <f t="shared" si="94"/>
        <v>0.345571530246579</v>
      </c>
      <c r="BM179" s="68">
        <f t="shared" si="94"/>
        <v>0.42424616898310569</v>
      </c>
      <c r="BN179" s="68">
        <f t="shared" si="94"/>
        <v>0.52270995991106894</v>
      </c>
      <c r="BO179" s="68">
        <f t="shared" si="94"/>
        <v>0.60896652022324593</v>
      </c>
      <c r="BP179" s="68">
        <f t="shared" si="110"/>
        <v>0.75355852120222799</v>
      </c>
      <c r="BQ179" s="68">
        <f t="shared" si="110"/>
        <v>0.88766285807279532</v>
      </c>
      <c r="BR179" s="68">
        <f t="shared" si="110"/>
        <v>1</v>
      </c>
    </row>
    <row r="180" spans="1:70">
      <c r="BG180"/>
      <c r="BH180"/>
      <c r="BI180"/>
      <c r="BJ180"/>
      <c r="BK180"/>
      <c r="BL180"/>
      <c r="BM180"/>
      <c r="BN180"/>
      <c r="BO180"/>
      <c r="BP180"/>
      <c r="BQ180"/>
      <c r="BR180"/>
    </row>
  </sheetData>
  <mergeCells count="30">
    <mergeCell ref="B31:N31"/>
    <mergeCell ref="Q31:AC31"/>
    <mergeCell ref="AE31:AP31"/>
    <mergeCell ref="AT31:BE31"/>
    <mergeCell ref="BG31:BR31"/>
    <mergeCell ref="B1:N1"/>
    <mergeCell ref="Q1:AC1"/>
    <mergeCell ref="AE1:AP1"/>
    <mergeCell ref="AT1:BE1"/>
    <mergeCell ref="BG1:BR1"/>
    <mergeCell ref="B91:N91"/>
    <mergeCell ref="Q91:AC91"/>
    <mergeCell ref="AE91:AP91"/>
    <mergeCell ref="AT91:BE91"/>
    <mergeCell ref="BG91:BR91"/>
    <mergeCell ref="B61:N61"/>
    <mergeCell ref="Q61:AC61"/>
    <mergeCell ref="AE61:AP61"/>
    <mergeCell ref="AT61:BE61"/>
    <mergeCell ref="BG61:BR61"/>
    <mergeCell ref="B151:N151"/>
    <mergeCell ref="Q151:AC151"/>
    <mergeCell ref="AE151:AP151"/>
    <mergeCell ref="AT151:BE151"/>
    <mergeCell ref="BG151:BR151"/>
    <mergeCell ref="B121:N121"/>
    <mergeCell ref="Q121:AC121"/>
    <mergeCell ref="AE121:AP121"/>
    <mergeCell ref="AT121:BE121"/>
    <mergeCell ref="BG121:BR121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59999389629810485"/>
  </sheetPr>
  <dimension ref="A1:AS2709"/>
  <sheetViews>
    <sheetView topLeftCell="A172" zoomScale="90" zoomScaleNormal="90" workbookViewId="0">
      <selection activeCell="A2" sqref="A2:AC37"/>
    </sheetView>
  </sheetViews>
  <sheetFormatPr defaultRowHeight="15"/>
  <cols>
    <col min="1" max="1" width="14.28515625" style="244" customWidth="1"/>
    <col min="2" max="5" width="14.28515625" style="94" customWidth="1"/>
    <col min="6" max="6" width="23.5703125" style="94" bestFit="1" customWidth="1"/>
    <col min="7" max="14" width="14.28515625" style="94" customWidth="1"/>
    <col min="15" max="15" width="23.5703125" style="94" bestFit="1" customWidth="1"/>
    <col min="16" max="44" width="14.28515625" style="94" customWidth="1"/>
    <col min="45" max="45" width="13.28515625" style="93" bestFit="1" customWidth="1"/>
  </cols>
  <sheetData>
    <row r="1" spans="1:44" ht="21">
      <c r="A1" s="326" t="s">
        <v>391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P1" s="326" t="s">
        <v>161</v>
      </c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E1" s="326" t="s">
        <v>390</v>
      </c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</row>
    <row r="3" spans="1:44" ht="15" customHeight="1">
      <c r="A3" s="327" t="s">
        <v>403</v>
      </c>
      <c r="B3" s="329" t="s">
        <v>27</v>
      </c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P3" s="327" t="s">
        <v>403</v>
      </c>
      <c r="Q3" s="329" t="s">
        <v>27</v>
      </c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E3" s="327" t="s">
        <v>403</v>
      </c>
      <c r="AF3" s="329" t="s">
        <v>27</v>
      </c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</row>
    <row r="4" spans="1:44">
      <c r="A4" s="328"/>
      <c r="B4" s="240" t="s">
        <v>148</v>
      </c>
      <c r="C4" s="240" t="s">
        <v>149</v>
      </c>
      <c r="D4" s="240" t="s">
        <v>150</v>
      </c>
      <c r="E4" s="240" t="s">
        <v>151</v>
      </c>
      <c r="F4" s="240" t="s">
        <v>152</v>
      </c>
      <c r="G4" s="240" t="s">
        <v>153</v>
      </c>
      <c r="H4" s="240" t="s">
        <v>154</v>
      </c>
      <c r="I4" s="240" t="s">
        <v>404</v>
      </c>
      <c r="J4" s="240" t="s">
        <v>405</v>
      </c>
      <c r="K4" s="240" t="s">
        <v>157</v>
      </c>
      <c r="L4" s="240" t="s">
        <v>158</v>
      </c>
      <c r="M4" s="240" t="s">
        <v>159</v>
      </c>
      <c r="N4" s="240" t="s">
        <v>160</v>
      </c>
      <c r="P4" s="328"/>
      <c r="Q4" s="240" t="s">
        <v>148</v>
      </c>
      <c r="R4" s="240" t="s">
        <v>149</v>
      </c>
      <c r="S4" s="240" t="s">
        <v>150</v>
      </c>
      <c r="T4" s="240" t="s">
        <v>151</v>
      </c>
      <c r="U4" s="240" t="s">
        <v>152</v>
      </c>
      <c r="V4" s="240" t="s">
        <v>153</v>
      </c>
      <c r="W4" s="240" t="s">
        <v>154</v>
      </c>
      <c r="X4" s="240" t="s">
        <v>404</v>
      </c>
      <c r="Y4" s="240" t="s">
        <v>405</v>
      </c>
      <c r="Z4" s="240" t="s">
        <v>157</v>
      </c>
      <c r="AA4" s="240" t="s">
        <v>158</v>
      </c>
      <c r="AB4" s="240" t="s">
        <v>159</v>
      </c>
      <c r="AC4" s="240" t="s">
        <v>160</v>
      </c>
      <c r="AE4" s="328"/>
      <c r="AF4" s="240" t="s">
        <v>148</v>
      </c>
      <c r="AG4" s="240" t="s">
        <v>149</v>
      </c>
      <c r="AH4" s="240" t="s">
        <v>150</v>
      </c>
      <c r="AI4" s="240" t="s">
        <v>151</v>
      </c>
      <c r="AJ4" s="240" t="s">
        <v>152</v>
      </c>
      <c r="AK4" s="240" t="s">
        <v>153</v>
      </c>
      <c r="AL4" s="240" t="s">
        <v>154</v>
      </c>
      <c r="AM4" s="240" t="s">
        <v>404</v>
      </c>
      <c r="AN4" s="240" t="s">
        <v>405</v>
      </c>
      <c r="AO4" s="240" t="s">
        <v>157</v>
      </c>
      <c r="AP4" s="240" t="s">
        <v>158</v>
      </c>
      <c r="AQ4" s="240" t="s">
        <v>159</v>
      </c>
      <c r="AR4" s="240" t="s">
        <v>160</v>
      </c>
    </row>
    <row r="5" spans="1:44">
      <c r="A5" s="242" t="s">
        <v>119</v>
      </c>
      <c r="B5" s="235">
        <f>$B$209*'Médias por UF'!BG3</f>
        <v>26641.29484908385</v>
      </c>
      <c r="C5" s="235">
        <f>'Médias por UF'!BH3*'Evolução das Receitas'!$B$209</f>
        <v>62007.520177898587</v>
      </c>
      <c r="D5" s="235">
        <f>'Médias por UF'!BI3*'Evolução das Receitas'!$B$209</f>
        <v>82758.775815167537</v>
      </c>
      <c r="E5" s="235">
        <f>'Médias por UF'!BJ3*'Evolução das Receitas'!$B$209</f>
        <v>102577.73936394785</v>
      </c>
      <c r="F5" s="235">
        <f>'Médias por UF'!BK3*'Evolução das Receitas'!$B$209</f>
        <v>125437.63237550318</v>
      </c>
      <c r="G5" s="235">
        <f>'Médias por UF'!BL3*'Evolução das Receitas'!$B$209</f>
        <v>142227.15265175601</v>
      </c>
      <c r="H5" s="235">
        <f>'Médias por UF'!BM3*'Evolução das Receitas'!$B$209</f>
        <v>150596.31760895316</v>
      </c>
      <c r="I5" s="235">
        <f>'Médias por UF'!BN3*'Evolução das Receitas'!$B$209</f>
        <v>160704.33842569415</v>
      </c>
      <c r="J5" s="235">
        <f>'Médias por UF'!BO3*'Evolução das Receitas'!$B$209</f>
        <v>168907.35850624152</v>
      </c>
      <c r="K5" s="235">
        <f>'Médias por UF'!BP3*'Evolução das Receitas'!$B$209</f>
        <v>175967.13496900848</v>
      </c>
      <c r="L5" s="235">
        <f>'Médias por UF'!BQ3*'Evolução das Receitas'!$B$209</f>
        <v>180565.5492110723</v>
      </c>
      <c r="M5" s="235">
        <f>'Médias por UF'!BR3*'Evolução das Receitas'!$B$209</f>
        <v>185605.81660326422</v>
      </c>
      <c r="N5" s="235">
        <f>M5</f>
        <v>185605.81660326422</v>
      </c>
      <c r="P5" s="237" t="s">
        <v>119</v>
      </c>
      <c r="Q5" s="235">
        <f>'Médias por UF'!BG3*'Evolução das Receitas'!$Q$209</f>
        <v>22345.834080031909</v>
      </c>
      <c r="R5" s="235">
        <f>'Médias por UF'!BH3*'Evolução das Receitas'!$Q$209</f>
        <v>52009.850326670639</v>
      </c>
      <c r="S5" s="235">
        <f>'Médias por UF'!BI3*'Evolução das Receitas'!$Q$209</f>
        <v>69415.314965289173</v>
      </c>
      <c r="T5" s="235">
        <f>'Médias por UF'!BJ3*'Evolução das Receitas'!$Q$209</f>
        <v>86038.803936377037</v>
      </c>
      <c r="U5" s="235">
        <f>'Médias por UF'!BK3*'Evolução das Receitas'!$Q$209</f>
        <v>105212.92363353066</v>
      </c>
      <c r="V5" s="235">
        <f>'Médias por UF'!BL3*'Evolução das Receitas'!$Q$209</f>
        <v>119295.41611378557</v>
      </c>
      <c r="W5" s="235">
        <f>'Médias por UF'!BM3*'Evolução das Receitas'!$Q$209</f>
        <v>126315.19396547569</v>
      </c>
      <c r="X5" s="235">
        <f>'Médias por UF'!BN3*'Evolução das Receitas'!$Q$209</f>
        <v>134793.46641161284</v>
      </c>
      <c r="Y5" s="235">
        <f>'Médias por UF'!BO3*'Evolução das Receitas'!$Q$209</f>
        <v>141673.88745396261</v>
      </c>
      <c r="Z5" s="235">
        <f>'Médias por UF'!BP3*'Evolução das Receitas'!$Q$209</f>
        <v>147595.39368602663</v>
      </c>
      <c r="AA5" s="235">
        <f>'Médias por UF'!BQ3*'Evolução das Receitas'!$Q$209</f>
        <v>151452.39096286686</v>
      </c>
      <c r="AB5" s="235">
        <f>'Médias por UF'!BR3*'Evolução das Receitas'!$Q$209</f>
        <v>155680</v>
      </c>
      <c r="AC5" s="235">
        <f>AB5</f>
        <v>155680</v>
      </c>
      <c r="AE5" s="237" t="s">
        <v>119</v>
      </c>
      <c r="AF5" s="235">
        <f>JAN!B5+JAN!S5</f>
        <v>19383.816000000003</v>
      </c>
      <c r="AG5" s="235">
        <f>FEV!B5+FEV!S5+AF5</f>
        <v>36502.608000000007</v>
      </c>
      <c r="AH5" s="235">
        <f>MAR!B5+MAR!S5+AG5</f>
        <v>47791.744000000006</v>
      </c>
      <c r="AI5" s="235">
        <f>ABR!B5+ABR!S5+AH5</f>
        <v>62046.576000000008</v>
      </c>
      <c r="AJ5" s="235">
        <f>MAI!B5+MAI!S5</f>
        <v>0</v>
      </c>
      <c r="AK5" s="235">
        <f>JUN!B5+JUN!S5</f>
        <v>0</v>
      </c>
      <c r="AL5" s="235">
        <f>JUL!B5+JUL!S5</f>
        <v>0</v>
      </c>
      <c r="AM5" s="235">
        <f>AGO!B5+AGO!S5</f>
        <v>0</v>
      </c>
      <c r="AN5" s="235">
        <f>SET!B5+SET!S5</f>
        <v>0</v>
      </c>
      <c r="AO5" s="235">
        <f>OUT!B5+OUT!S5</f>
        <v>0</v>
      </c>
      <c r="AP5" s="235">
        <f>NOV!B5+NOV!S5</f>
        <v>0</v>
      </c>
      <c r="AQ5" s="235">
        <f>DEZ!B5+DEZ!S5</f>
        <v>0</v>
      </c>
      <c r="AR5" s="235">
        <f>AI5</f>
        <v>62046.576000000008</v>
      </c>
    </row>
    <row r="6" spans="1:44">
      <c r="A6" s="242" t="s">
        <v>120</v>
      </c>
      <c r="B6" s="235">
        <f>$B$210*'Médias por UF'!BG4</f>
        <v>108802.4980329167</v>
      </c>
      <c r="C6" s="235">
        <f>$B$210*'Médias por UF'!BH4</f>
        <v>248591.18546907898</v>
      </c>
      <c r="D6" s="235">
        <f>$B$210*'Médias por UF'!BI4</f>
        <v>325565.01431618346</v>
      </c>
      <c r="E6" s="235">
        <f>$B$210*'Médias por UF'!BJ4</f>
        <v>383406.20877548063</v>
      </c>
      <c r="F6" s="235">
        <f>$B$210*'Médias por UF'!BK4</f>
        <v>463593.27264555061</v>
      </c>
      <c r="G6" s="235">
        <f>$B$210*'Médias por UF'!BL4</f>
        <v>533195.16140771273</v>
      </c>
      <c r="H6" s="235">
        <f>$B$210*'Médias por UF'!BM4</f>
        <v>552932.69414054288</v>
      </c>
      <c r="I6" s="235">
        <f>$B$210*'Médias por UF'!BN4</f>
        <v>573842.97600418993</v>
      </c>
      <c r="J6" s="235">
        <f>$B$210*'Médias por UF'!BO4</f>
        <v>591057.78791427996</v>
      </c>
      <c r="K6" s="235">
        <f>$B$210*'Médias por UF'!BP4</f>
        <v>607003.83051007532</v>
      </c>
      <c r="L6" s="235">
        <f>$B$210*'Médias por UF'!BQ4</f>
        <v>624592.43582409795</v>
      </c>
      <c r="M6" s="235">
        <f>$B$210*'Médias por UF'!BR4</f>
        <v>638126.04026046442</v>
      </c>
      <c r="N6" s="235">
        <f t="shared" ref="N6:N31" si="0">M6</f>
        <v>638126.04026046442</v>
      </c>
      <c r="P6" s="237" t="s">
        <v>120</v>
      </c>
      <c r="Q6" s="235">
        <f>'Médias por UF'!BG4*'Evolução das Receitas'!$Q$210</f>
        <v>86924.550367066331</v>
      </c>
      <c r="R6" s="235">
        <f>'Médias por UF'!BH4*'Evolução das Receitas'!$Q$210</f>
        <v>198604.6038720386</v>
      </c>
      <c r="S6" s="235">
        <f>'Médias por UF'!BI4*'Evolução das Receitas'!$Q$210</f>
        <v>260100.57669926021</v>
      </c>
      <c r="T6" s="235">
        <f>'Médias por UF'!BJ4*'Evolução das Receitas'!$Q$210</f>
        <v>306311.09494992899</v>
      </c>
      <c r="U6" s="235">
        <f>'Médias por UF'!BK4*'Evolução das Receitas'!$Q$210</f>
        <v>370374.18723345647</v>
      </c>
      <c r="V6" s="235">
        <f>'Médias por UF'!BL4*'Evolução das Receitas'!$Q$210</f>
        <v>425980.56571494258</v>
      </c>
      <c r="W6" s="235">
        <f>'Médias por UF'!BM4*'Evolução das Receitas'!$Q$210</f>
        <v>441749.28600330814</v>
      </c>
      <c r="X6" s="235">
        <f>'Médias por UF'!BN4*'Evolução das Receitas'!$Q$210</f>
        <v>458454.93965931388</v>
      </c>
      <c r="Y6" s="235">
        <f>'Médias por UF'!BO4*'Evolução das Receitas'!$Q$210</f>
        <v>472208.20646836708</v>
      </c>
      <c r="Z6" s="235">
        <f>'Médias por UF'!BP4*'Evolução das Receitas'!$Q$210</f>
        <v>484947.82741304662</v>
      </c>
      <c r="AA6" s="235">
        <f>'Médias por UF'!BQ4*'Evolução das Receitas'!$Q$210</f>
        <v>498999.72544982389</v>
      </c>
      <c r="AB6" s="235">
        <f>'Médias por UF'!BR4*'Evolução das Receitas'!$Q$210</f>
        <v>509812</v>
      </c>
      <c r="AC6" s="235">
        <f t="shared" ref="AC6:AC31" si="1">AB6</f>
        <v>509812</v>
      </c>
      <c r="AE6" s="237" t="s">
        <v>120</v>
      </c>
      <c r="AF6" s="235">
        <f>JAN!B6+JAN!S6</f>
        <v>77172.271999999997</v>
      </c>
      <c r="AG6" s="235">
        <f>FEV!B6+FEV!S6+AF6</f>
        <v>171296.44</v>
      </c>
      <c r="AH6" s="235">
        <f>MAR!B6+MAR!S6+AG6</f>
        <v>204189.736</v>
      </c>
      <c r="AI6" s="235">
        <f>ABR!B6+ABR!S6+AH6</f>
        <v>243955.48800000001</v>
      </c>
      <c r="AJ6" s="235">
        <f>MAI!B6+MAI!S6</f>
        <v>0</v>
      </c>
      <c r="AK6" s="235">
        <f>JUN!B6+JUN!S6</f>
        <v>0</v>
      </c>
      <c r="AL6" s="235">
        <f>JUL!B6+JUL!S6</f>
        <v>0</v>
      </c>
      <c r="AM6" s="235">
        <f>AGO!B6+AGO!S6</f>
        <v>0</v>
      </c>
      <c r="AN6" s="235">
        <f>SET!B6+SET!S6</f>
        <v>0</v>
      </c>
      <c r="AO6" s="235">
        <f>OUT!B6+OUT!S6</f>
        <v>0</v>
      </c>
      <c r="AP6" s="235">
        <f>NOV!B6+NOV!S6</f>
        <v>0</v>
      </c>
      <c r="AQ6" s="235">
        <f>DEZ!B6+DEZ!S6</f>
        <v>0</v>
      </c>
      <c r="AR6" s="235">
        <f t="shared" ref="AR6:AR31" si="2">AI6</f>
        <v>243955.48800000001</v>
      </c>
    </row>
    <row r="7" spans="1:44">
      <c r="A7" s="242" t="s">
        <v>121</v>
      </c>
      <c r="B7" s="235">
        <f>$B$211*'Médias por UF'!BG5</f>
        <v>28863.153238806051</v>
      </c>
      <c r="C7" s="235">
        <f>$B$211*'Médias por UF'!BH5</f>
        <v>64580.990180434812</v>
      </c>
      <c r="D7" s="235">
        <f>$B$211*'Médias por UF'!BI5</f>
        <v>92925.174747095181</v>
      </c>
      <c r="E7" s="235">
        <f>$B$211*'Médias por UF'!BJ5</f>
        <v>115700.74668070117</v>
      </c>
      <c r="F7" s="235">
        <f>$B$211*'Médias por UF'!BK5</f>
        <v>139156.12015698059</v>
      </c>
      <c r="G7" s="235">
        <f>$B$211*'Médias por UF'!BL5</f>
        <v>174334.24933529188</v>
      </c>
      <c r="H7" s="235">
        <f>$B$211*'Médias por UF'!BM5</f>
        <v>186550.80612064723</v>
      </c>
      <c r="I7" s="235">
        <f>$B$211*'Médias por UF'!BN5</f>
        <v>197864.69843899587</v>
      </c>
      <c r="J7" s="235">
        <f>$B$211*'Médias por UF'!BO5</f>
        <v>209342.6307545187</v>
      </c>
      <c r="K7" s="235">
        <f>$B$211*'Médias por UF'!BP5</f>
        <v>219111.16574515984</v>
      </c>
      <c r="L7" s="235">
        <f>$B$211*'Médias por UF'!BQ5</f>
        <v>225193.42799591983</v>
      </c>
      <c r="M7" s="235">
        <f>$B$211*'Médias por UF'!BR5</f>
        <v>233610.88845605939</v>
      </c>
      <c r="N7" s="235">
        <f t="shared" si="0"/>
        <v>233610.88845605939</v>
      </c>
      <c r="P7" s="237" t="s">
        <v>121</v>
      </c>
      <c r="Q7" s="235">
        <f>'Médias por UF'!BG5*'Evolução das Receitas'!$Q$211</f>
        <v>22756.225911032128</v>
      </c>
      <c r="R7" s="235">
        <f>'Médias por UF'!BH5*'Evolução das Receitas'!$Q$211</f>
        <v>50916.806973405866</v>
      </c>
      <c r="S7" s="235">
        <f>'Médias por UF'!BI5*'Evolução das Receitas'!$Q$211</f>
        <v>73263.868707316229</v>
      </c>
      <c r="T7" s="235">
        <f>'Médias por UF'!BJ5*'Evolução das Receitas'!$Q$211</f>
        <v>91220.536708415748</v>
      </c>
      <c r="U7" s="235">
        <f>'Médias por UF'!BK5*'Evolução das Receitas'!$Q$211</f>
        <v>109713.17239647423</v>
      </c>
      <c r="V7" s="235">
        <f>'Médias por UF'!BL5*'Evolução das Receitas'!$Q$211</f>
        <v>137448.23821155762</v>
      </c>
      <c r="W7" s="235">
        <f>'Médias por UF'!BM5*'Evolução das Receitas'!$Q$211</f>
        <v>147079.98993883349</v>
      </c>
      <c r="X7" s="235">
        <f>'Médias por UF'!BN5*'Evolução das Receitas'!$Q$211</f>
        <v>156000.06486617302</v>
      </c>
      <c r="Y7" s="235">
        <f>'Médias por UF'!BO5*'Evolução das Receitas'!$Q$211</f>
        <v>165049.47185932173</v>
      </c>
      <c r="Z7" s="235">
        <f>'Médias por UF'!BP5*'Evolução das Receitas'!$Q$211</f>
        <v>172751.15944791061</v>
      </c>
      <c r="AA7" s="235">
        <f>'Médias por UF'!BQ5*'Evolução das Receitas'!$Q$211</f>
        <v>177546.52372025035</v>
      </c>
      <c r="AB7" s="235">
        <f>'Médias por UF'!BR5*'Evolução das Receitas'!$Q$211</f>
        <v>184183</v>
      </c>
      <c r="AC7" s="235">
        <f t="shared" si="1"/>
        <v>184183</v>
      </c>
      <c r="AE7" s="237" t="s">
        <v>121</v>
      </c>
      <c r="AF7" s="235">
        <f>JAN!B7+JAN!S7</f>
        <v>15131.472000000002</v>
      </c>
      <c r="AG7" s="235">
        <f>FEV!B7+FEV!S7+AF7</f>
        <v>34378.784</v>
      </c>
      <c r="AH7" s="235">
        <f>MAR!B7+MAR!S7+AG7</f>
        <v>46574.376000000004</v>
      </c>
      <c r="AI7" s="235">
        <f>ABR!B7+ABR!S7+AH7</f>
        <v>58709.056000000004</v>
      </c>
      <c r="AJ7" s="235">
        <f>MAI!B7+MAI!S7</f>
        <v>0</v>
      </c>
      <c r="AK7" s="235">
        <f>JUN!B7+JUN!S7</f>
        <v>0</v>
      </c>
      <c r="AL7" s="235">
        <f>JUL!B7+JUL!S7</f>
        <v>0</v>
      </c>
      <c r="AM7" s="235">
        <f>AGO!B7+AGO!S7</f>
        <v>0</v>
      </c>
      <c r="AN7" s="235">
        <f>SET!B7+SET!S7</f>
        <v>0</v>
      </c>
      <c r="AO7" s="235">
        <f>OUT!B7+OUT!S7</f>
        <v>0</v>
      </c>
      <c r="AP7" s="235">
        <f>NOV!B7+NOV!S7</f>
        <v>0</v>
      </c>
      <c r="AQ7" s="235">
        <f>DEZ!B7+DEZ!S7</f>
        <v>0</v>
      </c>
      <c r="AR7" s="235">
        <f t="shared" si="2"/>
        <v>58709.056000000004</v>
      </c>
    </row>
    <row r="8" spans="1:44">
      <c r="A8" s="242" t="s">
        <v>122</v>
      </c>
      <c r="B8" s="235">
        <f>$B$212*'Médias por UF'!BG6</f>
        <v>81096.695987564599</v>
      </c>
      <c r="C8" s="235">
        <f>$B$212*'Médias por UF'!BH6</f>
        <v>202738.18669034232</v>
      </c>
      <c r="D8" s="235">
        <f>$B$212*'Médias por UF'!BI6</f>
        <v>289808.47693992197</v>
      </c>
      <c r="E8" s="235">
        <f>$B$212*'Médias por UF'!BJ6</f>
        <v>360454.50618159497</v>
      </c>
      <c r="F8" s="235">
        <f>$B$212*'Médias por UF'!BK6</f>
        <v>449616.04109866457</v>
      </c>
      <c r="G8" s="235">
        <f>$B$212*'Médias por UF'!BL6</f>
        <v>517766.52798297035</v>
      </c>
      <c r="H8" s="235">
        <f>$B$212*'Médias por UF'!BM6</f>
        <v>554676.86318928993</v>
      </c>
      <c r="I8" s="235">
        <f>$B$212*'Médias por UF'!BN6</f>
        <v>595771.27118365013</v>
      </c>
      <c r="J8" s="235">
        <f>$B$212*'Médias por UF'!BO6</f>
        <v>628927.27986841358</v>
      </c>
      <c r="K8" s="235">
        <f>$B$212*'Médias por UF'!BP6</f>
        <v>667639.53260206163</v>
      </c>
      <c r="L8" s="235">
        <f>$B$212*'Médias por UF'!BQ6</f>
        <v>693410.99382710026</v>
      </c>
      <c r="M8" s="235">
        <f>$B$212*'Médias por UF'!BR6</f>
        <v>717365.44657955039</v>
      </c>
      <c r="N8" s="235">
        <f t="shared" si="0"/>
        <v>717365.44657955039</v>
      </c>
      <c r="P8" s="237" t="s">
        <v>122</v>
      </c>
      <c r="Q8" s="235">
        <f>'Médias por UF'!BG6*'Evolução das Receitas'!$Q$212</f>
        <v>62310.788703053171</v>
      </c>
      <c r="R8" s="235">
        <f>'Médias por UF'!BH6*'Evolução das Receitas'!$Q$212</f>
        <v>155774.24158980759</v>
      </c>
      <c r="S8" s="235">
        <f>'Médias por UF'!BI6*'Evolução das Receitas'!$Q$212</f>
        <v>222674.85192893908</v>
      </c>
      <c r="T8" s="235">
        <f>'Médias por UF'!BJ6*'Evolução das Receitas'!$Q$212</f>
        <v>276955.85249476496</v>
      </c>
      <c r="U8" s="235">
        <f>'Médias por UF'!BK6*'Evolução das Receitas'!$Q$212</f>
        <v>345463.27434471727</v>
      </c>
      <c r="V8" s="235">
        <f>'Médias por UF'!BL6*'Evolução das Receitas'!$Q$212</f>
        <v>397826.8205600814</v>
      </c>
      <c r="W8" s="235">
        <f>'Médias por UF'!BM6*'Evolução das Receitas'!$Q$212</f>
        <v>426186.94140091701</v>
      </c>
      <c r="X8" s="235">
        <f>'Médias por UF'!BN6*'Evolução das Receitas'!$Q$212</f>
        <v>457761.90191233275</v>
      </c>
      <c r="Y8" s="235">
        <f>'Médias por UF'!BO6*'Evolução das Receitas'!$Q$212</f>
        <v>483237.37938073277</v>
      </c>
      <c r="Z8" s="235">
        <f>'Médias por UF'!BP6*'Evolução das Receitas'!$Q$212</f>
        <v>512982.00671641884</v>
      </c>
      <c r="AA8" s="235">
        <f>'Médias por UF'!BQ6*'Evolução das Receitas'!$Q$212</f>
        <v>532783.55418277369</v>
      </c>
      <c r="AB8" s="235">
        <f>'Médias por UF'!BR6*'Evolução das Receitas'!$Q$212</f>
        <v>551189</v>
      </c>
      <c r="AC8" s="235">
        <f t="shared" si="1"/>
        <v>551189</v>
      </c>
      <c r="AE8" s="237" t="s">
        <v>122</v>
      </c>
      <c r="AF8" s="235">
        <f>JAN!B8+JAN!S8</f>
        <v>51521.832000000002</v>
      </c>
      <c r="AG8" s="235">
        <f>FEV!B8+FEV!S8+AF8</f>
        <v>109544.736</v>
      </c>
      <c r="AH8" s="235">
        <f>MAR!B8+MAR!S8+AG8</f>
        <v>152062.76800000001</v>
      </c>
      <c r="AI8" s="235">
        <f>ABR!B8+ABR!S8+AH8</f>
        <v>200498.22400000002</v>
      </c>
      <c r="AJ8" s="235">
        <f>MAI!B8+MAI!S8</f>
        <v>0</v>
      </c>
      <c r="AK8" s="235">
        <f>JUN!B8+JUN!S8</f>
        <v>0</v>
      </c>
      <c r="AL8" s="235">
        <f>JUL!B8+JUL!S8</f>
        <v>0</v>
      </c>
      <c r="AM8" s="235">
        <f>AGO!B8+AGO!S8</f>
        <v>0</v>
      </c>
      <c r="AN8" s="235">
        <f>SET!B8+SET!S8</f>
        <v>0</v>
      </c>
      <c r="AO8" s="235">
        <f>OUT!B8+OUT!S8</f>
        <v>0</v>
      </c>
      <c r="AP8" s="235">
        <f>NOV!B8+NOV!S8</f>
        <v>0</v>
      </c>
      <c r="AQ8" s="235">
        <f>DEZ!B8+DEZ!S8</f>
        <v>0</v>
      </c>
      <c r="AR8" s="235">
        <f t="shared" si="2"/>
        <v>200498.22400000002</v>
      </c>
    </row>
    <row r="9" spans="1:44">
      <c r="A9" s="242" t="s">
        <v>123</v>
      </c>
      <c r="B9" s="235">
        <f>$B$213*'Médias por UF'!BG7</f>
        <v>296725.33510318387</v>
      </c>
      <c r="C9" s="235">
        <f>$B$213*'Médias por UF'!BH7</f>
        <v>762990.3212090641</v>
      </c>
      <c r="D9" s="235">
        <f>$B$213*'Médias por UF'!BI7</f>
        <v>980545.77730492759</v>
      </c>
      <c r="E9" s="235">
        <f>$B$213*'Médias por UF'!BJ7</f>
        <v>1123557.3877222843</v>
      </c>
      <c r="F9" s="235">
        <f>$B$213*'Médias por UF'!BK7</f>
        <v>1307948.6983804102</v>
      </c>
      <c r="G9" s="235">
        <f>$B$213*'Médias por UF'!BL7</f>
        <v>1513049.7262656407</v>
      </c>
      <c r="H9" s="235">
        <f>$B$213*'Médias por UF'!BM7</f>
        <v>1567781.1512384608</v>
      </c>
      <c r="I9" s="235">
        <f>$B$213*'Médias por UF'!BN7</f>
        <v>1634200.0337187881</v>
      </c>
      <c r="J9" s="235">
        <f>$B$213*'Médias por UF'!BO7</f>
        <v>1684181.5465619578</v>
      </c>
      <c r="K9" s="235">
        <f>$B$213*'Médias por UF'!BP7</f>
        <v>1729472.1760456001</v>
      </c>
      <c r="L9" s="235">
        <f>$B$213*'Médias por UF'!BQ7</f>
        <v>1774240.5739518465</v>
      </c>
      <c r="M9" s="235">
        <f>$B$213*'Médias por UF'!BR7</f>
        <v>1815915.9938798738</v>
      </c>
      <c r="N9" s="235">
        <f t="shared" si="0"/>
        <v>1815915.9938798738</v>
      </c>
      <c r="P9" s="237" t="s">
        <v>123</v>
      </c>
      <c r="Q9" s="235">
        <f>'Médias por UF'!BG7*'Evolução das Receitas'!$Q$213</f>
        <v>200634.49566813285</v>
      </c>
      <c r="R9" s="235">
        <f>'Médias por UF'!BH7*'Evolução das Receitas'!$Q$213</f>
        <v>515905.31776538113</v>
      </c>
      <c r="S9" s="235">
        <f>'Médias por UF'!BI7*'Evolução das Receitas'!$Q$213</f>
        <v>663008.12312059477</v>
      </c>
      <c r="T9" s="235">
        <f>'Médias por UF'!BJ7*'Evolução das Receitas'!$Q$213</f>
        <v>759707.18766389054</v>
      </c>
      <c r="U9" s="235">
        <f>'Médias por UF'!BK7*'Evolução das Receitas'!$Q$213</f>
        <v>884385.6469758139</v>
      </c>
      <c r="V9" s="235">
        <f>'Médias por UF'!BL7*'Evolução das Receitas'!$Q$213</f>
        <v>1023067.2370613358</v>
      </c>
      <c r="W9" s="235">
        <f>'Médias por UF'!BM7*'Evolução das Receitas'!$Q$213</f>
        <v>1060074.565211463</v>
      </c>
      <c r="X9" s="235">
        <f>'Médias por UF'!BN7*'Evolução das Receitas'!$Q$213</f>
        <v>1104984.5119291826</v>
      </c>
      <c r="Y9" s="235">
        <f>'Médias por UF'!BO7*'Evolução das Receitas'!$Q$213</f>
        <v>1138780.1283989812</v>
      </c>
      <c r="Z9" s="235">
        <f>'Médias por UF'!BP7*'Evolução das Receitas'!$Q$213</f>
        <v>1169403.9462195355</v>
      </c>
      <c r="AA9" s="235">
        <f>'Médias por UF'!BQ7*'Evolução das Receitas'!$Q$213</f>
        <v>1199674.6507169004</v>
      </c>
      <c r="AB9" s="235">
        <f>'Médias por UF'!BR7*'Evolução das Receitas'!$Q$213</f>
        <v>1227854</v>
      </c>
      <c r="AC9" s="235">
        <f t="shared" si="1"/>
        <v>1227854</v>
      </c>
      <c r="AE9" s="237" t="s">
        <v>123</v>
      </c>
      <c r="AF9" s="235">
        <f>JAN!B9+JAN!S9</f>
        <v>190410.25600000002</v>
      </c>
      <c r="AG9" s="235">
        <f>FEV!B9+FEV!S9+AF9</f>
        <v>488379.97600000002</v>
      </c>
      <c r="AH9" s="235">
        <f>MAR!B9+MAR!S9+AG9</f>
        <v>588877.08799999999</v>
      </c>
      <c r="AI9" s="235">
        <f>ABR!B9+ABR!S9+AH9</f>
        <v>699548.81599999999</v>
      </c>
      <c r="AJ9" s="235">
        <f>MAI!B9+MAI!S9</f>
        <v>0</v>
      </c>
      <c r="AK9" s="235">
        <f>JUN!B9+JUN!S9</f>
        <v>0</v>
      </c>
      <c r="AL9" s="235">
        <f>JUL!B9+JUL!S9</f>
        <v>0</v>
      </c>
      <c r="AM9" s="235">
        <f>AGO!B9+AGO!S9</f>
        <v>0</v>
      </c>
      <c r="AN9" s="235">
        <f>SET!B9+SET!S9</f>
        <v>0</v>
      </c>
      <c r="AO9" s="235">
        <f>OUT!B9+OUT!S9</f>
        <v>0</v>
      </c>
      <c r="AP9" s="235">
        <f>NOV!B9+NOV!S9</f>
        <v>0</v>
      </c>
      <c r="AQ9" s="235">
        <f>DEZ!B9+DEZ!S9</f>
        <v>0</v>
      </c>
      <c r="AR9" s="235">
        <f t="shared" si="2"/>
        <v>699548.81599999999</v>
      </c>
    </row>
    <row r="10" spans="1:44">
      <c r="A10" s="242" t="s">
        <v>124</v>
      </c>
      <c r="B10" s="235">
        <f>$B$214*'Médias por UF'!BG8</f>
        <v>195662.05768164343</v>
      </c>
      <c r="C10" s="235">
        <f>$B$214*'Médias por UF'!BH8</f>
        <v>419954.56878312887</v>
      </c>
      <c r="D10" s="235">
        <f>$B$214*'Médias por UF'!BI8</f>
        <v>538409.11300030013</v>
      </c>
      <c r="E10" s="235">
        <f>$B$214*'Médias por UF'!BJ8</f>
        <v>606720.88398518367</v>
      </c>
      <c r="F10" s="235">
        <f>$B$214*'Médias por UF'!BK8</f>
        <v>701390.72310767905</v>
      </c>
      <c r="G10" s="235">
        <f>$B$214*'Médias por UF'!BL8</f>
        <v>800869.53043201263</v>
      </c>
      <c r="H10" s="235">
        <f>$B$214*'Médias por UF'!BM8</f>
        <v>829499.06364755216</v>
      </c>
      <c r="I10" s="235">
        <f>$B$214*'Médias por UF'!BN8</f>
        <v>858308.46021633293</v>
      </c>
      <c r="J10" s="235">
        <f>$B$214*'Médias por UF'!BO8</f>
        <v>881801.26691920531</v>
      </c>
      <c r="K10" s="235">
        <f>$B$214*'Médias por UF'!BP8</f>
        <v>909428.21758850827</v>
      </c>
      <c r="L10" s="235">
        <f>$B$214*'Médias por UF'!BQ8</f>
        <v>934114.99136906338</v>
      </c>
      <c r="M10" s="235">
        <f>$B$214*'Médias por UF'!BR8</f>
        <v>958032.25292431808</v>
      </c>
      <c r="N10" s="235">
        <f t="shared" si="0"/>
        <v>958032.25292431808</v>
      </c>
      <c r="P10" s="237" t="s">
        <v>124</v>
      </c>
      <c r="Q10" s="235">
        <f>'Médias por UF'!BG8*'Evolução das Receitas'!$Q$214</f>
        <v>161887.95052842426</v>
      </c>
      <c r="R10" s="235">
        <f>'Médias por UF'!BH8*'Evolução das Receitas'!$Q$214</f>
        <v>347464.3232361711</v>
      </c>
      <c r="S10" s="235">
        <f>'Médias por UF'!BI8*'Evolução das Receitas'!$Q$214</f>
        <v>445471.89619800623</v>
      </c>
      <c r="T10" s="235">
        <f>'Médias por UF'!BJ8*'Evolução das Receitas'!$Q$214</f>
        <v>501992.06537512614</v>
      </c>
      <c r="U10" s="235">
        <f>'Médias por UF'!BK8*'Evolução das Receitas'!$Q$214</f>
        <v>580320.5180858341</v>
      </c>
      <c r="V10" s="235">
        <f>'Médias por UF'!BL8*'Evolução das Receitas'!$Q$214</f>
        <v>662627.84138380038</v>
      </c>
      <c r="W10" s="235">
        <f>'Médias por UF'!BM8*'Evolução das Receitas'!$Q$214</f>
        <v>686315.50219942094</v>
      </c>
      <c r="X10" s="235">
        <f>'Médias por UF'!BN8*'Evolução das Receitas'!$Q$214</f>
        <v>710151.97934650804</v>
      </c>
      <c r="Y10" s="235">
        <f>'Médias por UF'!BO8*'Evolução das Receitas'!$Q$214</f>
        <v>729589.587099139</v>
      </c>
      <c r="Z10" s="235">
        <f>'Médias por UF'!BP8*'Evolução das Receitas'!$Q$214</f>
        <v>752447.72564780118</v>
      </c>
      <c r="AA10" s="235">
        <f>'Médias por UF'!BQ8*'Evolução das Receitas'!$Q$214</f>
        <v>772873.20445471164</v>
      </c>
      <c r="AB10" s="235">
        <f>'Médias por UF'!BR8*'Evolução das Receitas'!$Q$214</f>
        <v>792662</v>
      </c>
      <c r="AC10" s="235">
        <f t="shared" si="1"/>
        <v>792662</v>
      </c>
      <c r="AE10" s="237" t="s">
        <v>124</v>
      </c>
      <c r="AF10" s="235">
        <f>JAN!B10+JAN!S10</f>
        <v>127077.12800000001</v>
      </c>
      <c r="AG10" s="235">
        <f>FEV!B10+FEV!S10+AF10</f>
        <v>271001.96799999999</v>
      </c>
      <c r="AH10" s="235">
        <f>MAR!B10+MAR!S10+AG10</f>
        <v>331939.63199999998</v>
      </c>
      <c r="AI10" s="235">
        <f>ABR!B10+ABR!S10+AH10</f>
        <v>393609.39199999999</v>
      </c>
      <c r="AJ10" s="235">
        <f>MAI!B10+MAI!S10</f>
        <v>0</v>
      </c>
      <c r="AK10" s="235">
        <f>JUN!B10+JUN!S10</f>
        <v>0</v>
      </c>
      <c r="AL10" s="235">
        <f>JUL!B10+JUL!S10</f>
        <v>0</v>
      </c>
      <c r="AM10" s="235">
        <f>AGO!B10+AGO!S10</f>
        <v>0</v>
      </c>
      <c r="AN10" s="235">
        <f>SET!B10+SET!S10</f>
        <v>0</v>
      </c>
      <c r="AO10" s="235">
        <f>OUT!B10+OUT!S10</f>
        <v>0</v>
      </c>
      <c r="AP10" s="235">
        <f>NOV!B10+NOV!S10</f>
        <v>0</v>
      </c>
      <c r="AQ10" s="235">
        <f>DEZ!B10+DEZ!S10</f>
        <v>0</v>
      </c>
      <c r="AR10" s="235">
        <f t="shared" si="2"/>
        <v>393609.39199999999</v>
      </c>
    </row>
    <row r="11" spans="1:44">
      <c r="A11" s="242" t="s">
        <v>125</v>
      </c>
      <c r="B11" s="235">
        <f>$B$215*'Médias por UF'!BG9</f>
        <v>319776.27995510597</v>
      </c>
      <c r="C11" s="235">
        <f>$B$215*'Médias por UF'!BH9</f>
        <v>832325.68879380706</v>
      </c>
      <c r="D11" s="235">
        <f>$B$215*'Médias por UF'!BI9</f>
        <v>1051395.9874306386</v>
      </c>
      <c r="E11" s="235">
        <f>$B$215*'Médias por UF'!BJ9</f>
        <v>1194391.459320215</v>
      </c>
      <c r="F11" s="235">
        <f>$B$215*'Médias por UF'!BK9</f>
        <v>1380584.1954221737</v>
      </c>
      <c r="G11" s="235">
        <f>$B$215*'Médias por UF'!BL9</f>
        <v>1567413.4649419251</v>
      </c>
      <c r="H11" s="235">
        <f>$B$215*'Médias por UF'!BM9</f>
        <v>1624165.2887142375</v>
      </c>
      <c r="I11" s="235">
        <f>$B$215*'Médias por UF'!BN9</f>
        <v>1679973.0537815311</v>
      </c>
      <c r="J11" s="235">
        <f>$B$215*'Médias por UF'!BO9</f>
        <v>1723253.5161850767</v>
      </c>
      <c r="K11" s="235">
        <f>$B$215*'Médias por UF'!BP9</f>
        <v>1760103.7147591892</v>
      </c>
      <c r="L11" s="235">
        <f>$B$215*'Médias por UF'!BQ9</f>
        <v>1816896.351431173</v>
      </c>
      <c r="M11" s="235">
        <f>$B$215*'Médias por UF'!BR9</f>
        <v>1864955.6577984616</v>
      </c>
      <c r="N11" s="235">
        <f t="shared" si="0"/>
        <v>1864955.6577984616</v>
      </c>
      <c r="P11" s="237" t="s">
        <v>125</v>
      </c>
      <c r="Q11" s="235">
        <f>'Médias por UF'!BG9*'Evolução das Receitas'!$Q$215</f>
        <v>264898.85229753284</v>
      </c>
      <c r="R11" s="235">
        <f>'Médias por UF'!BH9*'Evolução das Receitas'!$Q$215</f>
        <v>689488.66291829688</v>
      </c>
      <c r="S11" s="235">
        <f>'Médias por UF'!BI9*'Evolução das Receitas'!$Q$215</f>
        <v>870963.88268607191</v>
      </c>
      <c r="T11" s="235">
        <f>'Médias por UF'!BJ9*'Evolução das Receitas'!$Q$215</f>
        <v>989419.62428332516</v>
      </c>
      <c r="U11" s="235">
        <f>'Médias por UF'!BK9*'Evolução das Receitas'!$Q$215</f>
        <v>1143659.463793844</v>
      </c>
      <c r="V11" s="235">
        <f>'Médias por UF'!BL9*'Evolução das Receitas'!$Q$215</f>
        <v>1298426.5999876752</v>
      </c>
      <c r="W11" s="235">
        <f>'Médias por UF'!BM9*'Evolução das Receitas'!$Q$215</f>
        <v>1345439.1332036722</v>
      </c>
      <c r="X11" s="235">
        <f>'Médias por UF'!BN9*'Evolução das Receitas'!$Q$215</f>
        <v>1391669.6194601634</v>
      </c>
      <c r="Y11" s="235">
        <f>'Médias por UF'!BO9*'Evolução das Receitas'!$Q$215</f>
        <v>1427522.6377616315</v>
      </c>
      <c r="Z11" s="235">
        <f>'Médias por UF'!BP9*'Evolução das Receitas'!$Q$215</f>
        <v>1458048.9022819048</v>
      </c>
      <c r="AA11" s="235">
        <f>'Médias por UF'!BQ9*'Evolução das Receitas'!$Q$215</f>
        <v>1505095.2444166979</v>
      </c>
      <c r="AB11" s="235">
        <f>'Médias por UF'!BR9*'Evolução das Receitas'!$Q$215</f>
        <v>1544907</v>
      </c>
      <c r="AC11" s="235">
        <f t="shared" si="1"/>
        <v>1544907</v>
      </c>
      <c r="AE11" s="237" t="s">
        <v>125</v>
      </c>
      <c r="AF11" s="235">
        <f>JAN!B11+JAN!S11</f>
        <v>226747.55200000003</v>
      </c>
      <c r="AG11" s="235">
        <f>FEV!B11+FEV!S11+AF11</f>
        <v>548285.99200000009</v>
      </c>
      <c r="AH11" s="235">
        <f>MAR!B11+MAR!S11+AG11</f>
        <v>673134.42400000012</v>
      </c>
      <c r="AI11" s="235">
        <f>ABR!B11+ABR!S11+AH11</f>
        <v>796306.70400000014</v>
      </c>
      <c r="AJ11" s="235">
        <f>MAI!B11+MAI!S11</f>
        <v>0</v>
      </c>
      <c r="AK11" s="235">
        <f>JUN!B11+JUN!S11</f>
        <v>0</v>
      </c>
      <c r="AL11" s="235">
        <f>JUL!B11+JUL!S11</f>
        <v>0</v>
      </c>
      <c r="AM11" s="235">
        <f>AGO!B11+AGO!S11</f>
        <v>0</v>
      </c>
      <c r="AN11" s="235">
        <f>SET!B11+SET!S11</f>
        <v>0</v>
      </c>
      <c r="AO11" s="235">
        <f>OUT!B11+OUT!S11</f>
        <v>0</v>
      </c>
      <c r="AP11" s="235">
        <f>NOV!B11+NOV!S11</f>
        <v>0</v>
      </c>
      <c r="AQ11" s="235">
        <f>DEZ!B11+DEZ!S11</f>
        <v>0</v>
      </c>
      <c r="AR11" s="235">
        <f t="shared" si="2"/>
        <v>796306.70400000014</v>
      </c>
    </row>
    <row r="12" spans="1:44">
      <c r="A12" s="242" t="s">
        <v>126</v>
      </c>
      <c r="B12" s="235">
        <f>$B$216*'Médias por UF'!BG10</f>
        <v>169707.96694506364</v>
      </c>
      <c r="C12" s="235">
        <f>$B$216*'Médias por UF'!BH10</f>
        <v>481169.30242742505</v>
      </c>
      <c r="D12" s="235">
        <f>$B$216*'Médias por UF'!BI10</f>
        <v>632330.09826241806</v>
      </c>
      <c r="E12" s="235">
        <f>$B$216*'Médias por UF'!BJ10</f>
        <v>723321.14871059149</v>
      </c>
      <c r="F12" s="235">
        <f>$B$216*'Médias por UF'!BK10</f>
        <v>850409.57048629539</v>
      </c>
      <c r="G12" s="235">
        <f>$B$216*'Médias por UF'!BL10</f>
        <v>979919.64769301889</v>
      </c>
      <c r="H12" s="235">
        <f>$B$216*'Médias por UF'!BM10</f>
        <v>1016498.694156212</v>
      </c>
      <c r="I12" s="235">
        <f>$B$216*'Médias por UF'!BN10</f>
        <v>1057197.8592214496</v>
      </c>
      <c r="J12" s="235">
        <f>$B$216*'Médias por UF'!BO10</f>
        <v>1088392.7456545953</v>
      </c>
      <c r="K12" s="235">
        <f>$B$216*'Médias por UF'!BP10</f>
        <v>1118921.9899252621</v>
      </c>
      <c r="L12" s="235">
        <f>$B$216*'Médias por UF'!BQ10</f>
        <v>1149310.6329789127</v>
      </c>
      <c r="M12" s="235">
        <f>$B$216*'Médias por UF'!BR10</f>
        <v>1178048.6016358573</v>
      </c>
      <c r="N12" s="235">
        <f t="shared" si="0"/>
        <v>1178048.6016358573</v>
      </c>
      <c r="P12" s="237" t="s">
        <v>126</v>
      </c>
      <c r="Q12" s="235">
        <f>'Médias por UF'!BG10*'Evolução das Receitas'!$Q$216</f>
        <v>146378.75145492816</v>
      </c>
      <c r="R12" s="235">
        <f>'Médias por UF'!BH10*'Evolução das Receitas'!$Q$216</f>
        <v>415024.48586026108</v>
      </c>
      <c r="S12" s="235">
        <f>'Médias por UF'!BI10*'Evolução das Receitas'!$Q$216</f>
        <v>545405.68694095197</v>
      </c>
      <c r="T12" s="235">
        <f>'Médias por UF'!BJ10*'Evolução das Receitas'!$Q$216</f>
        <v>623888.48652859638</v>
      </c>
      <c r="U12" s="235">
        <f>'Médias por UF'!BK10*'Evolução das Receitas'!$Q$216</f>
        <v>733506.46639589884</v>
      </c>
      <c r="V12" s="235">
        <f>'Médias por UF'!BL10*'Evolução das Receitas'!$Q$216</f>
        <v>845213.20440949081</v>
      </c>
      <c r="W12" s="235">
        <f>'Médias por UF'!BM10*'Evolução das Receitas'!$Q$216</f>
        <v>876763.84547295549</v>
      </c>
      <c r="X12" s="235">
        <f>'Médias por UF'!BN10*'Evolução das Receitas'!$Q$216</f>
        <v>911868.22551326314</v>
      </c>
      <c r="Y12" s="235">
        <f>'Médias por UF'!BO10*'Evolução das Receitas'!$Q$216</f>
        <v>938774.84993438015</v>
      </c>
      <c r="Z12" s="235">
        <f>'Médias por UF'!BP10*'Evolução das Receitas'!$Q$216</f>
        <v>965107.33590806054</v>
      </c>
      <c r="AA12" s="235">
        <f>'Médias por UF'!BQ10*'Evolução das Receitas'!$Q$216</f>
        <v>991318.54866769956</v>
      </c>
      <c r="AB12" s="235">
        <f>'Médias por UF'!BR10*'Evolução das Receitas'!$Q$216</f>
        <v>1016106</v>
      </c>
      <c r="AC12" s="235">
        <f t="shared" si="1"/>
        <v>1016106</v>
      </c>
      <c r="AE12" s="237" t="s">
        <v>126</v>
      </c>
      <c r="AF12" s="235">
        <f>JAN!B12+JAN!S12</f>
        <v>153224.20800000001</v>
      </c>
      <c r="AG12" s="235">
        <f>FEV!B12+FEV!S12+AF12</f>
        <v>410054.70400000003</v>
      </c>
      <c r="AH12" s="235">
        <f>MAR!B12+MAR!S12+AG12</f>
        <v>499322.55200000003</v>
      </c>
      <c r="AI12" s="235">
        <f>ABR!B12+ABR!S12+AH12</f>
        <v>583863.72</v>
      </c>
      <c r="AJ12" s="235">
        <f>MAI!B12+MAI!S12</f>
        <v>0</v>
      </c>
      <c r="AK12" s="235">
        <f>JUN!B12+JUN!S12</f>
        <v>0</v>
      </c>
      <c r="AL12" s="235">
        <f>JUL!B12+JUL!S12</f>
        <v>0</v>
      </c>
      <c r="AM12" s="235">
        <f>AGO!B12+AGO!S12</f>
        <v>0</v>
      </c>
      <c r="AN12" s="235">
        <f>SET!B12+SET!S12</f>
        <v>0</v>
      </c>
      <c r="AO12" s="235">
        <f>OUT!B12+OUT!S12</f>
        <v>0</v>
      </c>
      <c r="AP12" s="235">
        <f>NOV!B12+NOV!S12</f>
        <v>0</v>
      </c>
      <c r="AQ12" s="235">
        <f>DEZ!B12+DEZ!S12</f>
        <v>0</v>
      </c>
      <c r="AR12" s="235">
        <f t="shared" si="2"/>
        <v>583863.72</v>
      </c>
    </row>
    <row r="13" spans="1:44">
      <c r="A13" s="242" t="s">
        <v>127</v>
      </c>
      <c r="B13" s="235">
        <f>$B$217*'Médias por UF'!BG11</f>
        <v>160220.95850673591</v>
      </c>
      <c r="C13" s="235">
        <f>$B$217*'Médias por UF'!BH11</f>
        <v>423222.16163882415</v>
      </c>
      <c r="D13" s="235">
        <f>$B$217*'Médias por UF'!BI11</f>
        <v>564100.70559416444</v>
      </c>
      <c r="E13" s="235">
        <f>$B$217*'Médias por UF'!BJ11</f>
        <v>664168.82044556376</v>
      </c>
      <c r="F13" s="235">
        <f>$B$217*'Médias por UF'!BK11</f>
        <v>789930.27653306478</v>
      </c>
      <c r="G13" s="235">
        <f>$B$217*'Médias por UF'!BL11</f>
        <v>924713.65078089759</v>
      </c>
      <c r="H13" s="235">
        <f>$B$217*'Médias por UF'!BM11</f>
        <v>961833.62878453301</v>
      </c>
      <c r="I13" s="235">
        <f>$B$217*'Médias por UF'!BN11</f>
        <v>1000450.0311850786</v>
      </c>
      <c r="J13" s="235">
        <f>$B$217*'Médias por UF'!BO11</f>
        <v>1029663.7288322049</v>
      </c>
      <c r="K13" s="235">
        <f>$B$217*'Médias por UF'!BP11</f>
        <v>1057517.0710852542</v>
      </c>
      <c r="L13" s="235">
        <f>$B$217*'Médias por UF'!BQ11</f>
        <v>1084031.4298624469</v>
      </c>
      <c r="M13" s="235">
        <f>$B$217*'Médias por UF'!BR11</f>
        <v>1108317.096401409</v>
      </c>
      <c r="N13" s="235">
        <f t="shared" si="0"/>
        <v>1108317.096401409</v>
      </c>
      <c r="P13" s="237" t="s">
        <v>127</v>
      </c>
      <c r="Q13" s="235">
        <f>'Médias por UF'!BG11*'Evolução das Receitas'!$Q$217</f>
        <v>160220.94457071868</v>
      </c>
      <c r="R13" s="235">
        <f>'Médias por UF'!BH11*'Evolução das Receitas'!$Q$217</f>
        <v>423222.1248269651</v>
      </c>
      <c r="S13" s="235">
        <f>'Médias por UF'!BI11*'Evolução das Receitas'!$Q$217</f>
        <v>564100.65652869118</v>
      </c>
      <c r="T13" s="235">
        <f>'Médias por UF'!BJ11*'Evolução das Receitas'!$Q$217</f>
        <v>664168.76267616695</v>
      </c>
      <c r="U13" s="235">
        <f>'Médias por UF'!BK11*'Evolução das Receitas'!$Q$217</f>
        <v>789930.20782493788</v>
      </c>
      <c r="V13" s="235">
        <f>'Médias por UF'!BL11*'Evolução das Receitas'!$Q$217</f>
        <v>924713.57034931437</v>
      </c>
      <c r="W13" s="235">
        <f>'Médias por UF'!BM11*'Evolução das Receitas'!$Q$217</f>
        <v>961833.54512425442</v>
      </c>
      <c r="X13" s="235">
        <f>'Médias por UF'!BN11*'Evolução das Receitas'!$Q$217</f>
        <v>1000449.9441659458</v>
      </c>
      <c r="Y13" s="235">
        <f>'Médias por UF'!BO11*'Evolução das Receitas'!$Q$217</f>
        <v>1029663.639272065</v>
      </c>
      <c r="Z13" s="235">
        <f>'Médias por UF'!BP11*'Evolução das Receitas'!$Q$217</f>
        <v>1057516.9791024309</v>
      </c>
      <c r="AA13" s="235">
        <f>'Médias por UF'!BQ11*'Evolução das Receitas'!$Q$217</f>
        <v>1084031.3355734048</v>
      </c>
      <c r="AB13" s="235">
        <f>'Médias por UF'!BR11*'Evolução das Receitas'!$Q$217</f>
        <v>1108317</v>
      </c>
      <c r="AC13" s="235">
        <f t="shared" si="1"/>
        <v>1108317</v>
      </c>
      <c r="AE13" s="237" t="s">
        <v>127</v>
      </c>
      <c r="AF13" s="235">
        <f>JAN!B13+JAN!S13</f>
        <v>142923.17600000001</v>
      </c>
      <c r="AG13" s="235">
        <f>FEV!B13+FEV!S13+AF13</f>
        <v>343011.64800000004</v>
      </c>
      <c r="AH13" s="235">
        <f>MAR!B13+MAR!S13+AG13</f>
        <v>432961.79200000002</v>
      </c>
      <c r="AI13" s="235">
        <f>ABR!B13+ABR!S13+AH13</f>
        <v>534076.53600000008</v>
      </c>
      <c r="AJ13" s="235">
        <f>MAI!B13+MAI!S13</f>
        <v>0</v>
      </c>
      <c r="AK13" s="235">
        <f>JUN!B13+JUN!S13</f>
        <v>0</v>
      </c>
      <c r="AL13" s="235">
        <f>JUL!B13+JUL!S13</f>
        <v>0</v>
      </c>
      <c r="AM13" s="235">
        <f>AGO!B13+AGO!S13</f>
        <v>0</v>
      </c>
      <c r="AN13" s="235">
        <f>SET!B13+SET!S13</f>
        <v>0</v>
      </c>
      <c r="AO13" s="235">
        <f>OUT!B13+OUT!S13</f>
        <v>0</v>
      </c>
      <c r="AP13" s="235">
        <f>NOV!B13+NOV!S13</f>
        <v>0</v>
      </c>
      <c r="AQ13" s="235">
        <f>DEZ!B13+DEZ!S13</f>
        <v>0</v>
      </c>
      <c r="AR13" s="235">
        <f t="shared" si="2"/>
        <v>534076.53600000008</v>
      </c>
    </row>
    <row r="14" spans="1:44">
      <c r="A14" s="242" t="s">
        <v>128</v>
      </c>
      <c r="B14" s="235">
        <f>$B$218*'Médias por UF'!BG12</f>
        <v>83665.27673557974</v>
      </c>
      <c r="C14" s="235">
        <f>$B$218*'Médias por UF'!BH12</f>
        <v>193779.35768712815</v>
      </c>
      <c r="D14" s="235">
        <f>$B$218*'Médias por UF'!BI12</f>
        <v>263348.24037415051</v>
      </c>
      <c r="E14" s="235">
        <f>$B$218*'Médias por UF'!BJ12</f>
        <v>315090.44646218338</v>
      </c>
      <c r="F14" s="235">
        <f>$B$218*'Médias por UF'!BK12</f>
        <v>374848.90426483081</v>
      </c>
      <c r="G14" s="235">
        <f>$B$218*'Médias por UF'!BL12</f>
        <v>429190.72152471245</v>
      </c>
      <c r="H14" s="235">
        <f>$B$218*'Médias por UF'!BM12</f>
        <v>450773.56143598334</v>
      </c>
      <c r="I14" s="235">
        <f>$B$218*'Médias por UF'!BN12</f>
        <v>474733.53173317597</v>
      </c>
      <c r="J14" s="235">
        <f>$B$218*'Médias por UF'!BO12</f>
        <v>491855.71140289685</v>
      </c>
      <c r="K14" s="235">
        <f>$B$218*'Médias por UF'!BP12</f>
        <v>506136.46376702876</v>
      </c>
      <c r="L14" s="235">
        <f>$B$218*'Médias por UF'!BQ12</f>
        <v>524998.1454591339</v>
      </c>
      <c r="M14" s="235">
        <f>$B$218*'Médias por UF'!BR12</f>
        <v>537822.33948183327</v>
      </c>
      <c r="N14" s="235">
        <f t="shared" si="0"/>
        <v>537822.33948183327</v>
      </c>
      <c r="P14" s="237" t="s">
        <v>128</v>
      </c>
      <c r="Q14" s="235">
        <f>'Médias por UF'!BG12*'Evolução das Receitas'!$Q$218</f>
        <v>65812.343058451966</v>
      </c>
      <c r="R14" s="235">
        <f>'Médias por UF'!BH12*'Evolução das Receitas'!$Q$218</f>
        <v>152429.70636501035</v>
      </c>
      <c r="S14" s="235">
        <f>'Médias por UF'!BI12*'Evolução das Receitas'!$Q$218</f>
        <v>207153.61755294111</v>
      </c>
      <c r="T14" s="235">
        <f>'Médias por UF'!BJ12*'Evolução das Receitas'!$Q$218</f>
        <v>247854.80149127857</v>
      </c>
      <c r="U14" s="235">
        <f>'Médias por UF'!BK12*'Evolução das Receitas'!$Q$218</f>
        <v>294861.68748989224</v>
      </c>
      <c r="V14" s="235">
        <f>'Médias por UF'!BL12*'Evolução das Receitas'!$Q$218</f>
        <v>337607.76399221428</v>
      </c>
      <c r="W14" s="235">
        <f>'Médias por UF'!BM12*'Evolução das Receitas'!$Q$218</f>
        <v>354585.14481060772</v>
      </c>
      <c r="X14" s="235">
        <f>'Médias por UF'!BN12*'Evolução das Receitas'!$Q$218</f>
        <v>373432.41151902679</v>
      </c>
      <c r="Y14" s="235">
        <f>'Médias por UF'!BO12*'Evolução das Receitas'!$Q$218</f>
        <v>386900.9710732309</v>
      </c>
      <c r="Z14" s="235">
        <f>'Médias por UF'!BP12*'Evolução das Receitas'!$Q$218</f>
        <v>398134.42191917024</v>
      </c>
      <c r="AA14" s="235">
        <f>'Médias por UF'!BQ12*'Evolução das Receitas'!$Q$218</f>
        <v>412971.29946997686</v>
      </c>
      <c r="AB14" s="235">
        <f>'Médias por UF'!BR12*'Evolução das Receitas'!$Q$218</f>
        <v>423059</v>
      </c>
      <c r="AC14" s="235">
        <f t="shared" si="1"/>
        <v>423059</v>
      </c>
      <c r="AE14" s="237" t="s">
        <v>128</v>
      </c>
      <c r="AF14" s="235">
        <f>JAN!B14+JAN!S14</f>
        <v>46236.048000000003</v>
      </c>
      <c r="AG14" s="235">
        <f>FEV!B14+FEV!S14+AF14</f>
        <v>107895.19200000001</v>
      </c>
      <c r="AH14" s="235">
        <f>MAR!B14+MAR!S14+AG14</f>
        <v>136654.08000000002</v>
      </c>
      <c r="AI14" s="235">
        <f>ABR!B14+ABR!S14+AH14</f>
        <v>168910.94400000002</v>
      </c>
      <c r="AJ14" s="235">
        <f>MAI!B14+MAI!S14</f>
        <v>0</v>
      </c>
      <c r="AK14" s="235">
        <f>JUN!B14+JUN!S14</f>
        <v>0</v>
      </c>
      <c r="AL14" s="235">
        <f>JUL!B14+JUL!S14</f>
        <v>0</v>
      </c>
      <c r="AM14" s="235">
        <f>AGO!B14+AGO!S14</f>
        <v>0</v>
      </c>
      <c r="AN14" s="235">
        <f>SET!B14+SET!S14</f>
        <v>0</v>
      </c>
      <c r="AO14" s="235">
        <f>OUT!B14+OUT!S14</f>
        <v>0</v>
      </c>
      <c r="AP14" s="235">
        <f>NOV!B14+NOV!S14</f>
        <v>0</v>
      </c>
      <c r="AQ14" s="235">
        <f>DEZ!B14+DEZ!S14</f>
        <v>0</v>
      </c>
      <c r="AR14" s="235">
        <f t="shared" si="2"/>
        <v>168910.94400000002</v>
      </c>
    </row>
    <row r="15" spans="1:44">
      <c r="A15" s="242" t="s">
        <v>129</v>
      </c>
      <c r="B15" s="235">
        <f>$B$219*'Médias por UF'!BG13</f>
        <v>137618.02348437949</v>
      </c>
      <c r="C15" s="235">
        <f>$B$219*'Médias por UF'!BH13</f>
        <v>335708.83272639348</v>
      </c>
      <c r="D15" s="235">
        <f>$B$219*'Médias por UF'!BI13</f>
        <v>464095.87268662773</v>
      </c>
      <c r="E15" s="235">
        <f>$B$219*'Médias por UF'!BJ13</f>
        <v>554107.79440261587</v>
      </c>
      <c r="F15" s="235">
        <f>$B$219*'Médias por UF'!BK13</f>
        <v>680403.48529995151</v>
      </c>
      <c r="G15" s="235">
        <f>$B$219*'Médias por UF'!BL13</f>
        <v>789338.68164272874</v>
      </c>
      <c r="H15" s="235">
        <f>$B$219*'Médias por UF'!BM13</f>
        <v>824070.73602420418</v>
      </c>
      <c r="I15" s="235">
        <f>$B$219*'Médias por UF'!BN13</f>
        <v>855156.1560171569</v>
      </c>
      <c r="J15" s="235">
        <f>$B$219*'Médias por UF'!BO13</f>
        <v>876343.79561785131</v>
      </c>
      <c r="K15" s="235">
        <f>$B$219*'Médias por UF'!BP13</f>
        <v>904249.1114501378</v>
      </c>
      <c r="L15" s="235">
        <f>$B$219*'Médias por UF'!BQ13</f>
        <v>937014.60484963912</v>
      </c>
      <c r="M15" s="235">
        <f>$B$219*'Médias por UF'!BR13</f>
        <v>958642.66224313586</v>
      </c>
      <c r="N15" s="235">
        <f t="shared" si="0"/>
        <v>958642.66224313586</v>
      </c>
      <c r="P15" s="237" t="s">
        <v>129</v>
      </c>
      <c r="Q15" s="235">
        <f>'Médias por UF'!BG13*'Evolução das Receitas'!$Q$219</f>
        <v>115866.17567677284</v>
      </c>
      <c r="R15" s="235">
        <f>'Médias por UF'!BH13*'Evolução das Receitas'!$Q$219</f>
        <v>282646.83363466366</v>
      </c>
      <c r="S15" s="235">
        <f>'Médias por UF'!BI13*'Evolução das Receitas'!$Q$219</f>
        <v>390741.071220788</v>
      </c>
      <c r="T15" s="235">
        <f>'Médias por UF'!BJ13*'Evolução das Receitas'!$Q$219</f>
        <v>466525.74586213246</v>
      </c>
      <c r="U15" s="235">
        <f>'Médias por UF'!BK13*'Evolução das Receitas'!$Q$219</f>
        <v>572859.19215226232</v>
      </c>
      <c r="V15" s="235">
        <f>'Médias por UF'!BL13*'Evolução das Receitas'!$Q$219</f>
        <v>664576.13646856125</v>
      </c>
      <c r="W15" s="235">
        <f>'Médias por UF'!BM13*'Evolução das Receitas'!$Q$219</f>
        <v>693818.45671621431</v>
      </c>
      <c r="X15" s="235">
        <f>'Médias por UF'!BN13*'Evolução das Receitas'!$Q$219</f>
        <v>719990.52809681045</v>
      </c>
      <c r="Y15" s="235">
        <f>'Médias por UF'!BO13*'Evolução das Receitas'!$Q$219</f>
        <v>737829.25815551425</v>
      </c>
      <c r="Z15" s="235">
        <f>'Médias por UF'!BP13*'Evolução das Receitas'!$Q$219</f>
        <v>761323.87132227386</v>
      </c>
      <c r="AA15" s="235">
        <f>'Médias por UF'!BQ13*'Evolução das Receitas'!$Q$219</f>
        <v>788910.4644024577</v>
      </c>
      <c r="AB15" s="235">
        <f>'Médias por UF'!BR13*'Evolução das Receitas'!$Q$219</f>
        <v>807120</v>
      </c>
      <c r="AC15" s="235">
        <f t="shared" si="1"/>
        <v>807120</v>
      </c>
      <c r="AE15" s="237" t="s">
        <v>129</v>
      </c>
      <c r="AF15" s="235">
        <f>JAN!B15+JAN!S15</f>
        <v>96164.423999999999</v>
      </c>
      <c r="AG15" s="235">
        <f>FEV!B15+FEV!S15+AF15</f>
        <v>225395.80800000002</v>
      </c>
      <c r="AH15" s="235">
        <f>MAR!B15+MAR!S15+AG15</f>
        <v>294061.95200000005</v>
      </c>
      <c r="AI15" s="235">
        <f>ABR!B15+ABR!S15+AH15</f>
        <v>368076.12800000003</v>
      </c>
      <c r="AJ15" s="235">
        <f>MAI!B15+MAI!S15</f>
        <v>0</v>
      </c>
      <c r="AK15" s="235">
        <f>JUN!B15+JUN!S15</f>
        <v>0</v>
      </c>
      <c r="AL15" s="235">
        <f>JUL!B15+JUL!S15</f>
        <v>0</v>
      </c>
      <c r="AM15" s="235">
        <f>AGO!B15+AGO!S15</f>
        <v>0</v>
      </c>
      <c r="AN15" s="235">
        <f>SET!B15+SET!S15</f>
        <v>0</v>
      </c>
      <c r="AO15" s="235">
        <f>OUT!B15+OUT!S15</f>
        <v>0</v>
      </c>
      <c r="AP15" s="235">
        <f>NOV!B15+NOV!S15</f>
        <v>0</v>
      </c>
      <c r="AQ15" s="235">
        <f>DEZ!B15+DEZ!S15</f>
        <v>0</v>
      </c>
      <c r="AR15" s="235">
        <f t="shared" si="2"/>
        <v>368076.12800000003</v>
      </c>
    </row>
    <row r="16" spans="1:44">
      <c r="A16" s="242" t="s">
        <v>130</v>
      </c>
      <c r="B16" s="235">
        <f>$B$220*'Médias por UF'!BG14</f>
        <v>218947.59392438235</v>
      </c>
      <c r="C16" s="235">
        <f>$B$220*'Médias por UF'!BH14</f>
        <v>440996.89164511935</v>
      </c>
      <c r="D16" s="235">
        <f>$B$220*'Médias por UF'!BI14</f>
        <v>553913.66913445632</v>
      </c>
      <c r="E16" s="235">
        <f>$B$220*'Médias por UF'!BJ14</f>
        <v>642101.56646462809</v>
      </c>
      <c r="F16" s="235">
        <f>$B$220*'Médias por UF'!BK14</f>
        <v>758220.46844467754</v>
      </c>
      <c r="G16" s="235">
        <f>$B$220*'Médias por UF'!BL14</f>
        <v>864305.26509196626</v>
      </c>
      <c r="H16" s="235">
        <f>$B$220*'Médias por UF'!BM14</f>
        <v>898828.56835108111</v>
      </c>
      <c r="I16" s="235">
        <f>$B$220*'Médias por UF'!BN14</f>
        <v>935578.70802588493</v>
      </c>
      <c r="J16" s="235">
        <f>$B$220*'Médias por UF'!BO14</f>
        <v>966030.17973430001</v>
      </c>
      <c r="K16" s="235">
        <f>$B$220*'Médias por UF'!BP14</f>
        <v>995756.12642291689</v>
      </c>
      <c r="L16" s="235">
        <f>$B$220*'Médias por UF'!BQ14</f>
        <v>1019828.9192532505</v>
      </c>
      <c r="M16" s="235">
        <f>$B$220*'Médias por UF'!BR14</f>
        <v>1045558.7416904059</v>
      </c>
      <c r="N16" s="235">
        <f t="shared" si="0"/>
        <v>1045558.7416904059</v>
      </c>
      <c r="P16" s="237" t="s">
        <v>130</v>
      </c>
      <c r="Q16" s="235">
        <f>'Médias por UF'!BG14*'Evolução das Receitas'!$Q$220</f>
        <v>178010.62226192627</v>
      </c>
      <c r="R16" s="235">
        <f>'Médias por UF'!BH14*'Evolução das Receitas'!$Q$220</f>
        <v>358543.01794444543</v>
      </c>
      <c r="S16" s="235">
        <f>'Médias por UF'!BI14*'Evolução das Receitas'!$Q$220</f>
        <v>450347.57018643257</v>
      </c>
      <c r="T16" s="235">
        <f>'Médias por UF'!BJ14*'Evolução das Receitas'!$Q$220</f>
        <v>522046.83939665498</v>
      </c>
      <c r="U16" s="235">
        <f>'Médias por UF'!BK14*'Evolução das Receitas'!$Q$220</f>
        <v>616454.80994041497</v>
      </c>
      <c r="V16" s="235">
        <f>'Médias por UF'!BL14*'Evolução das Receitas'!$Q$220</f>
        <v>702704.76740848285</v>
      </c>
      <c r="W16" s="235">
        <f>'Médias por UF'!BM14*'Evolução das Receitas'!$Q$220</f>
        <v>730773.19504242472</v>
      </c>
      <c r="X16" s="235">
        <f>'Médias por UF'!BN14*'Evolução das Receitas'!$Q$220</f>
        <v>760652.10402912914</v>
      </c>
      <c r="Y16" s="235">
        <f>'Médias por UF'!BO14*'Evolução das Receitas'!$Q$220</f>
        <v>785410.01678097493</v>
      </c>
      <c r="Z16" s="235">
        <f>'Médias por UF'!BP14*'Evolução das Receitas'!$Q$220</f>
        <v>809578.05705271719</v>
      </c>
      <c r="AA16" s="235">
        <f>'Médias por UF'!BQ14*'Evolução das Receitas'!$Q$220</f>
        <v>829149.92242242792</v>
      </c>
      <c r="AB16" s="235">
        <f>'Médias por UF'!BR14*'Evolução das Receitas'!$Q$220</f>
        <v>850069</v>
      </c>
      <c r="AC16" s="235">
        <f t="shared" si="1"/>
        <v>850069</v>
      </c>
      <c r="AE16" s="237" t="s">
        <v>130</v>
      </c>
      <c r="AF16" s="235">
        <f>JAN!B16+JAN!S16</f>
        <v>137175.81599999999</v>
      </c>
      <c r="AG16" s="235">
        <f>FEV!B16+FEV!S16+AF16</f>
        <v>263160.03999999998</v>
      </c>
      <c r="AH16" s="235">
        <f>MAR!B16+MAR!S16+AG16</f>
        <v>310728.07199999999</v>
      </c>
      <c r="AI16" s="235">
        <f>ABR!B16+ABR!S16+AH16</f>
        <v>373195.21600000001</v>
      </c>
      <c r="AJ16" s="235">
        <f>MAI!B16+MAI!S16</f>
        <v>0</v>
      </c>
      <c r="AK16" s="235">
        <f>JUN!B16+JUN!S16</f>
        <v>0</v>
      </c>
      <c r="AL16" s="235">
        <f>JUL!B16+JUL!S16</f>
        <v>0</v>
      </c>
      <c r="AM16" s="235">
        <f>AGO!B16+AGO!S16</f>
        <v>0</v>
      </c>
      <c r="AN16" s="235">
        <f>SET!B16+SET!S16</f>
        <v>0</v>
      </c>
      <c r="AO16" s="235">
        <f>OUT!B16+OUT!S16</f>
        <v>0</v>
      </c>
      <c r="AP16" s="235">
        <f>NOV!B16+NOV!S16</f>
        <v>0</v>
      </c>
      <c r="AQ16" s="235">
        <f>DEZ!B16+DEZ!S16</f>
        <v>0</v>
      </c>
      <c r="AR16" s="235">
        <f t="shared" si="2"/>
        <v>373195.21600000001</v>
      </c>
    </row>
    <row r="17" spans="1:44">
      <c r="A17" s="242" t="s">
        <v>131</v>
      </c>
      <c r="B17" s="235">
        <f>$B$221*'Médias por UF'!BG15</f>
        <v>1641909.4751427071</v>
      </c>
      <c r="C17" s="235">
        <f>$B$221*'Médias por UF'!BH15</f>
        <v>2391655.0796006946</v>
      </c>
      <c r="D17" s="235">
        <f>$B$221*'Médias por UF'!BI15</f>
        <v>3015910.1325838226</v>
      </c>
      <c r="E17" s="235">
        <f>$B$221*'Médias por UF'!BJ15</f>
        <v>3320800.2760847434</v>
      </c>
      <c r="F17" s="235">
        <f>$B$221*'Médias por UF'!BK15</f>
        <v>3935850.045947758</v>
      </c>
      <c r="G17" s="235">
        <f>$B$221*'Médias por UF'!BL15</f>
        <v>4279782.4973108741</v>
      </c>
      <c r="H17" s="235">
        <f>$B$221*'Médias por UF'!BM15</f>
        <v>4401358.7766547212</v>
      </c>
      <c r="I17" s="235">
        <f>$B$221*'Médias por UF'!BN15</f>
        <v>4537865.1096929628</v>
      </c>
      <c r="J17" s="235">
        <f>$B$221*'Médias por UF'!BO15</f>
        <v>4645640.0389164276</v>
      </c>
      <c r="K17" s="235">
        <f>$B$221*'Médias por UF'!BP15</f>
        <v>4758434.2456664089</v>
      </c>
      <c r="L17" s="235">
        <f>$B$221*'Médias por UF'!BQ15</f>
        <v>4867799.6537544122</v>
      </c>
      <c r="M17" s="235">
        <f>$B$221*'Médias por UF'!BR15</f>
        <v>4957061.6566753173</v>
      </c>
      <c r="N17" s="235">
        <f t="shared" si="0"/>
        <v>4957061.6566753173</v>
      </c>
      <c r="P17" s="237" t="s">
        <v>131</v>
      </c>
      <c r="Q17" s="235">
        <f>'Médias por UF'!BG15*'Evolução das Receitas'!$Q$221</f>
        <v>1274585.785739918</v>
      </c>
      <c r="R17" s="235">
        <f>'Médias por UF'!BH15*'Evolução das Receitas'!$Q$221</f>
        <v>1856600.2663373188</v>
      </c>
      <c r="S17" s="235">
        <f>'Médias por UF'!BI15*'Evolução das Receitas'!$Q$221</f>
        <v>2341198.6131124715</v>
      </c>
      <c r="T17" s="235">
        <f>'Médias por UF'!BJ15*'Evolução das Receitas'!$Q$221</f>
        <v>2577879.5318852323</v>
      </c>
      <c r="U17" s="235">
        <f>'Médias por UF'!BK15*'Evolução das Receitas'!$Q$221</f>
        <v>3055331.9773812732</v>
      </c>
      <c r="V17" s="235">
        <f>'Médias por UF'!BL15*'Evolução das Receitas'!$Q$221</f>
        <v>3322320.7611106639</v>
      </c>
      <c r="W17" s="235">
        <f>'Médias por UF'!BM15*'Evolução das Receitas'!$Q$221</f>
        <v>3416698.3135158257</v>
      </c>
      <c r="X17" s="235">
        <f>'Médias por UF'!BN15*'Evolução das Receitas'!$Q$221</f>
        <v>3522665.8070884543</v>
      </c>
      <c r="Y17" s="235">
        <f>'Médias por UF'!BO15*'Evolução das Receitas'!$Q$221</f>
        <v>3606329.6112914318</v>
      </c>
      <c r="Z17" s="235">
        <f>'Médias por UF'!BP15*'Evolução das Receitas'!$Q$221</f>
        <v>3693889.7933927258</v>
      </c>
      <c r="AA17" s="235">
        <f>'Médias por UF'!BQ15*'Evolução das Receitas'!$Q$221</f>
        <v>3778788.2586924033</v>
      </c>
      <c r="AB17" s="235">
        <f>'Médias por UF'!BR15*'Evolução das Receitas'!$Q$221</f>
        <v>3848080.8000000003</v>
      </c>
      <c r="AC17" s="235">
        <f t="shared" si="1"/>
        <v>3848080.8000000003</v>
      </c>
      <c r="AE17" s="237" t="s">
        <v>131</v>
      </c>
      <c r="AF17" s="235">
        <f>JAN!B17+JAN!S17</f>
        <v>763502.576</v>
      </c>
      <c r="AG17" s="235">
        <f>FEV!B17+FEV!S17+AF17</f>
        <v>1439008.328</v>
      </c>
      <c r="AH17" s="235">
        <f>MAR!B17+MAR!S17+AG17</f>
        <v>1703145.68</v>
      </c>
      <c r="AI17" s="235">
        <f>ABR!B17+ABR!S17+AH17</f>
        <v>2007039.7119999998</v>
      </c>
      <c r="AJ17" s="235">
        <f>MAI!B17+MAI!S17</f>
        <v>0</v>
      </c>
      <c r="AK17" s="235">
        <f>JUN!B17+JUN!S17</f>
        <v>0</v>
      </c>
      <c r="AL17" s="235">
        <f>JUL!B17+JUL!S17</f>
        <v>0</v>
      </c>
      <c r="AM17" s="235">
        <f>AGO!B17+AGO!S17</f>
        <v>0</v>
      </c>
      <c r="AN17" s="235">
        <f>SET!B17+SET!S17</f>
        <v>0</v>
      </c>
      <c r="AO17" s="235">
        <f>OUT!B17+OUT!S17</f>
        <v>0</v>
      </c>
      <c r="AP17" s="235">
        <f>NOV!B17+NOV!S17</f>
        <v>0</v>
      </c>
      <c r="AQ17" s="235">
        <f>DEZ!B17+DEZ!S17</f>
        <v>0</v>
      </c>
      <c r="AR17" s="235">
        <f t="shared" si="2"/>
        <v>2007039.7119999998</v>
      </c>
    </row>
    <row r="18" spans="1:44">
      <c r="A18" s="242" t="s">
        <v>132</v>
      </c>
      <c r="B18" s="235">
        <f>$B$222*'Médias por UF'!BG16</f>
        <v>155762.99268862745</v>
      </c>
      <c r="C18" s="235">
        <f>$B$222*'Médias por UF'!BH16</f>
        <v>349202.81319534715</v>
      </c>
      <c r="D18" s="235">
        <f>$B$222*'Médias por UF'!BI16</f>
        <v>474532.33403964579</v>
      </c>
      <c r="E18" s="235">
        <f>$B$222*'Médias por UF'!BJ16</f>
        <v>553860.75219261937</v>
      </c>
      <c r="F18" s="235">
        <f>$B$222*'Médias por UF'!BK16</f>
        <v>678389.80800959934</v>
      </c>
      <c r="G18" s="235">
        <f>$B$222*'Médias por UF'!BL16</f>
        <v>753889.60087866057</v>
      </c>
      <c r="H18" s="235">
        <f>$B$222*'Médias por UF'!BM16</f>
        <v>784302.8840111841</v>
      </c>
      <c r="I18" s="235">
        <f>$B$222*'Médias por UF'!BN16</f>
        <v>815046.28023893433</v>
      </c>
      <c r="J18" s="235">
        <f>$B$222*'Médias por UF'!BO16</f>
        <v>842177.88093909249</v>
      </c>
      <c r="K18" s="235">
        <f>$B$222*'Médias por UF'!BP16</f>
        <v>869237.00957124506</v>
      </c>
      <c r="L18" s="235">
        <f>$B$222*'Médias por UF'!BQ16</f>
        <v>896851.72822471929</v>
      </c>
      <c r="M18" s="235">
        <f>$B$222*'Médias por UF'!BR16</f>
        <v>916503.72740338708</v>
      </c>
      <c r="N18" s="235">
        <f t="shared" si="0"/>
        <v>916503.72740338708</v>
      </c>
      <c r="P18" s="237" t="s">
        <v>132</v>
      </c>
      <c r="Q18" s="235">
        <f>'Médias por UF'!BG16*'Evolução das Receitas'!$Q$222</f>
        <v>119065.83507736932</v>
      </c>
      <c r="R18" s="235">
        <f>'Médias por UF'!BH16*'Evolução das Receitas'!$Q$222</f>
        <v>266931.98330867907</v>
      </c>
      <c r="S18" s="235">
        <f>'Médias por UF'!BI16*'Evolução das Receitas'!$Q$222</f>
        <v>362734.35460109008</v>
      </c>
      <c r="T18" s="235">
        <f>'Médias por UF'!BJ16*'Evolução das Receitas'!$Q$222</f>
        <v>423373.30477606429</v>
      </c>
      <c r="U18" s="235">
        <f>'Médias por UF'!BK16*'Evolução das Receitas'!$Q$222</f>
        <v>518563.79750038392</v>
      </c>
      <c r="V18" s="235">
        <f>'Médias por UF'!BL16*'Evolução das Receitas'!$Q$222</f>
        <v>576276.13167524943</v>
      </c>
      <c r="W18" s="235">
        <f>'Médias por UF'!BM16*'Evolução das Receitas'!$Q$222</f>
        <v>599524.16313068743</v>
      </c>
      <c r="X18" s="235">
        <f>'Médias por UF'!BN16*'Evolução das Receitas'!$Q$222</f>
        <v>623024.53431506047</v>
      </c>
      <c r="Y18" s="235">
        <f>'Médias por UF'!BO16*'Evolução das Receitas'!$Q$222</f>
        <v>643764.03500511067</v>
      </c>
      <c r="Z18" s="235">
        <f>'Médias por UF'!BP16*'Evolução das Receitas'!$Q$222</f>
        <v>664448.13776560186</v>
      </c>
      <c r="AA18" s="235">
        <f>'Médias por UF'!BQ16*'Evolução das Receitas'!$Q$222</f>
        <v>685556.93569089088</v>
      </c>
      <c r="AB18" s="235">
        <f>'Médias por UF'!BR16*'Evolução das Receitas'!$Q$222</f>
        <v>700579</v>
      </c>
      <c r="AC18" s="235">
        <f t="shared" si="1"/>
        <v>700579</v>
      </c>
      <c r="AE18" s="237" t="s">
        <v>132</v>
      </c>
      <c r="AF18" s="235">
        <f>JAN!B18+JAN!S18</f>
        <v>81777.952000000005</v>
      </c>
      <c r="AG18" s="235">
        <f>FEV!B18+FEV!S18+AF18</f>
        <v>183327.83199999999</v>
      </c>
      <c r="AH18" s="235">
        <f>MAR!B18+MAR!S18+AG18</f>
        <v>229739.72</v>
      </c>
      <c r="AI18" s="235">
        <f>ABR!B18+ABR!S18+AH18</f>
        <v>280469.84000000003</v>
      </c>
      <c r="AJ18" s="235">
        <f>MAI!B18+MAI!S18</f>
        <v>0</v>
      </c>
      <c r="AK18" s="235">
        <f>JUN!B18+JUN!S18</f>
        <v>0</v>
      </c>
      <c r="AL18" s="235">
        <f>JUL!B18+JUL!S18</f>
        <v>0</v>
      </c>
      <c r="AM18" s="235">
        <f>AGO!B18+AGO!S18</f>
        <v>0</v>
      </c>
      <c r="AN18" s="235">
        <f>SET!B18+SET!S18</f>
        <v>0</v>
      </c>
      <c r="AO18" s="235">
        <f>OUT!B18+OUT!S18</f>
        <v>0</v>
      </c>
      <c r="AP18" s="235">
        <f>NOV!B18+NOV!S18</f>
        <v>0</v>
      </c>
      <c r="AQ18" s="235">
        <f>DEZ!B18+DEZ!S18</f>
        <v>0</v>
      </c>
      <c r="AR18" s="235">
        <f t="shared" si="2"/>
        <v>280469.84000000003</v>
      </c>
    </row>
    <row r="19" spans="1:44">
      <c r="A19" s="242" t="s">
        <v>133</v>
      </c>
      <c r="B19" s="235">
        <f>$B$223*'Médias por UF'!BG17</f>
        <v>143415.58365027484</v>
      </c>
      <c r="C19" s="235">
        <f>$B$223*'Médias por UF'!BH17</f>
        <v>324004.85698366712</v>
      </c>
      <c r="D19" s="235">
        <f>$B$223*'Médias por UF'!BI17</f>
        <v>416945.75884933944</v>
      </c>
      <c r="E19" s="235">
        <f>$B$223*'Médias por UF'!BJ17</f>
        <v>480554.25205977168</v>
      </c>
      <c r="F19" s="235">
        <f>$B$223*'Médias por UF'!BK17</f>
        <v>555620.42987509014</v>
      </c>
      <c r="G19" s="235">
        <f>$B$223*'Médias por UF'!BL17</f>
        <v>638709.08787038922</v>
      </c>
      <c r="H19" s="235">
        <f>$B$223*'Médias por UF'!BM17</f>
        <v>660730.42299187486</v>
      </c>
      <c r="I19" s="235">
        <f>$B$223*'Médias por UF'!BN17</f>
        <v>685752.35566056217</v>
      </c>
      <c r="J19" s="235">
        <f>$B$223*'Médias por UF'!BO17</f>
        <v>706370.68376937974</v>
      </c>
      <c r="K19" s="235">
        <f>$B$223*'Médias por UF'!BP17</f>
        <v>727820.53829361836</v>
      </c>
      <c r="L19" s="235">
        <f>$B$223*'Médias por UF'!BQ17</f>
        <v>744186.17247621412</v>
      </c>
      <c r="M19" s="235">
        <f>$B$223*'Médias por UF'!BR17</f>
        <v>760632.08677101368</v>
      </c>
      <c r="N19" s="235">
        <f t="shared" si="0"/>
        <v>760632.08677101368</v>
      </c>
      <c r="P19" s="237" t="s">
        <v>133</v>
      </c>
      <c r="Q19" s="235">
        <f>'Médias por UF'!BG17*'Evolução das Receitas'!$Q$223</f>
        <v>113080.28399157006</v>
      </c>
      <c r="R19" s="235">
        <f>'Médias por UF'!BH17*'Evolução das Receitas'!$Q$223</f>
        <v>255471.26964741747</v>
      </c>
      <c r="S19" s="235">
        <f>'Médias por UF'!BI17*'Evolução das Receitas'!$Q$223</f>
        <v>328753.28900614654</v>
      </c>
      <c r="T19" s="235">
        <f>'Médias por UF'!BJ17*'Evolução das Receitas'!$Q$223</f>
        <v>378907.29802968231</v>
      </c>
      <c r="U19" s="235">
        <f>'Médias por UF'!BK17*'Evolução das Receitas'!$Q$223</f>
        <v>438095.45938192069</v>
      </c>
      <c r="V19" s="235">
        <f>'Médias por UF'!BL17*'Evolução das Receitas'!$Q$223</f>
        <v>503609.18392596091</v>
      </c>
      <c r="W19" s="235">
        <f>'Médias por UF'!BM17*'Evolução das Receitas'!$Q$223</f>
        <v>520972.56080614385</v>
      </c>
      <c r="X19" s="235">
        <f>'Médias por UF'!BN17*'Evolução das Receitas'!$Q$223</f>
        <v>540701.84809958702</v>
      </c>
      <c r="Y19" s="235">
        <f>'Médias por UF'!BO17*'Evolução das Receitas'!$Q$223</f>
        <v>556958.98235678172</v>
      </c>
      <c r="Z19" s="235">
        <f>'Médias por UF'!BP17*'Evolução das Receitas'!$Q$223</f>
        <v>573871.75835672882</v>
      </c>
      <c r="AA19" s="235">
        <f>'Médias por UF'!BQ17*'Evolução das Receitas'!$Q$223</f>
        <v>586775.72955683852</v>
      </c>
      <c r="AB19" s="235">
        <f>'Médias por UF'!BR17*'Evolução das Receitas'!$Q$223</f>
        <v>599743</v>
      </c>
      <c r="AC19" s="235">
        <f t="shared" si="1"/>
        <v>599743</v>
      </c>
      <c r="AE19" s="237" t="s">
        <v>133</v>
      </c>
      <c r="AF19" s="235">
        <f>JAN!B19+JAN!S19</f>
        <v>87059.088000000003</v>
      </c>
      <c r="AG19" s="235">
        <f>FEV!B19+FEV!S19+AF19</f>
        <v>194128</v>
      </c>
      <c r="AH19" s="235">
        <f>MAR!B19+MAR!S19+AG19</f>
        <v>238285.18400000001</v>
      </c>
      <c r="AI19" s="235">
        <f>ABR!B19+ABR!S19+AH19</f>
        <v>288798.68</v>
      </c>
      <c r="AJ19" s="235">
        <f>MAI!B19+MAI!S19</f>
        <v>0</v>
      </c>
      <c r="AK19" s="235">
        <f>JUN!B19+JUN!S19</f>
        <v>0</v>
      </c>
      <c r="AL19" s="235">
        <f>JUL!B19+JUL!S19</f>
        <v>0</v>
      </c>
      <c r="AM19" s="235">
        <f>AGO!B19+AGO!S19</f>
        <v>0</v>
      </c>
      <c r="AN19" s="235">
        <f>SET!B19+SET!S19</f>
        <v>0</v>
      </c>
      <c r="AO19" s="235">
        <f>OUT!B19+OUT!S19</f>
        <v>0</v>
      </c>
      <c r="AP19" s="235">
        <f>NOV!B19+NOV!S19</f>
        <v>0</v>
      </c>
      <c r="AQ19" s="235">
        <f>DEZ!B19+DEZ!S19</f>
        <v>0</v>
      </c>
      <c r="AR19" s="235">
        <f t="shared" si="2"/>
        <v>288798.68</v>
      </c>
    </row>
    <row r="20" spans="1:44">
      <c r="A20" s="242" t="s">
        <v>134</v>
      </c>
      <c r="B20" s="235">
        <f>$B$224*'Médias por UF'!BG18</f>
        <v>854844.92757195036</v>
      </c>
      <c r="C20" s="235">
        <f>$B$224*'Médias por UF'!BH18</f>
        <v>1731273.367679771</v>
      </c>
      <c r="D20" s="235">
        <f>$B$224*'Médias por UF'!BI18</f>
        <v>2190084.9821352386</v>
      </c>
      <c r="E20" s="235">
        <f>$B$224*'Médias por UF'!BJ18</f>
        <v>2505372.9889696208</v>
      </c>
      <c r="F20" s="235">
        <f>$B$224*'Médias por UF'!BK18</f>
        <v>2951789.9647305249</v>
      </c>
      <c r="G20" s="235">
        <f>$B$224*'Médias por UF'!BL18</f>
        <v>3349712.0257920432</v>
      </c>
      <c r="H20" s="235">
        <f>$B$224*'Médias por UF'!BM18</f>
        <v>3467989.683330175</v>
      </c>
      <c r="I20" s="235">
        <f>$B$224*'Médias por UF'!BN18</f>
        <v>3574799.0771441455</v>
      </c>
      <c r="J20" s="235">
        <f>$B$224*'Médias por UF'!BO18</f>
        <v>3646842.3194577764</v>
      </c>
      <c r="K20" s="235">
        <f>$B$224*'Médias por UF'!BP18</f>
        <v>3736109.508910974</v>
      </c>
      <c r="L20" s="235">
        <f>$B$224*'Médias por UF'!BQ18</f>
        <v>3822736.6635586275</v>
      </c>
      <c r="M20" s="235">
        <f>$B$224*'Médias por UF'!BR18</f>
        <v>3900670.7360560582</v>
      </c>
      <c r="N20" s="235">
        <f t="shared" si="0"/>
        <v>3900670.7360560582</v>
      </c>
      <c r="P20" s="237" t="s">
        <v>134</v>
      </c>
      <c r="Q20" s="235">
        <f>'Médias por UF'!BG18*'Evolução das Receitas'!$Q$224</f>
        <v>714279.82919278869</v>
      </c>
      <c r="R20" s="235">
        <f>'Médias por UF'!BH18*'Evolução das Receitas'!$Q$224</f>
        <v>1446594.1195495343</v>
      </c>
      <c r="S20" s="235">
        <f>'Médias por UF'!BI18*'Evolução das Receitas'!$Q$224</f>
        <v>1829961.7585618575</v>
      </c>
      <c r="T20" s="235">
        <f>'Médias por UF'!BJ18*'Evolução das Receitas'!$Q$224</f>
        <v>2093405.871528466</v>
      </c>
      <c r="U20" s="235">
        <f>'Médias por UF'!BK18*'Evolução das Receitas'!$Q$224</f>
        <v>2466416.9650152689</v>
      </c>
      <c r="V20" s="235">
        <f>'Médias por UF'!BL18*'Evolução das Receitas'!$Q$224</f>
        <v>2798907.3298050174</v>
      </c>
      <c r="W20" s="235">
        <f>'Médias por UF'!BM18*'Evolução das Receitas'!$Q$224</f>
        <v>2897736.1843712144</v>
      </c>
      <c r="X20" s="235">
        <f>'Médias por UF'!BN18*'Evolução das Receitas'!$Q$224</f>
        <v>2986982.5413523838</v>
      </c>
      <c r="Y20" s="235">
        <f>'Médias por UF'!BO18*'Evolução das Receitas'!$Q$224</f>
        <v>3047179.4649750534</v>
      </c>
      <c r="Z20" s="235">
        <f>'Médias por UF'!BP18*'Evolução das Receitas'!$Q$224</f>
        <v>3121768.1427323809</v>
      </c>
      <c r="AA20" s="235">
        <f>'Médias por UF'!BQ18*'Evolução das Receitas'!$Q$224</f>
        <v>3194150.8957083295</v>
      </c>
      <c r="AB20" s="235">
        <f>'Médias por UF'!BR18*'Evolução das Receitas'!$Q$224</f>
        <v>3259270</v>
      </c>
      <c r="AC20" s="235">
        <f t="shared" si="1"/>
        <v>3259270</v>
      </c>
      <c r="AE20" s="237" t="s">
        <v>134</v>
      </c>
      <c r="AF20" s="235">
        <f>JAN!B20+JAN!S20</f>
        <v>639004.70400000003</v>
      </c>
      <c r="AG20" s="235">
        <f>FEV!B20+FEV!S20+AF20</f>
        <v>1239356.496</v>
      </c>
      <c r="AH20" s="235">
        <f>MAR!B20+MAR!S20+AG20</f>
        <v>1488718.7120000001</v>
      </c>
      <c r="AI20" s="235">
        <f>ABR!B20+ABR!S20+AH20</f>
        <v>1786485.4080000001</v>
      </c>
      <c r="AJ20" s="235">
        <f>MAI!B20+MAI!S20</f>
        <v>0</v>
      </c>
      <c r="AK20" s="235">
        <f>JUN!B20+JUN!S20</f>
        <v>0</v>
      </c>
      <c r="AL20" s="235">
        <f>JUL!B20+JUL!S20</f>
        <v>0</v>
      </c>
      <c r="AM20" s="235">
        <f>AGO!B20+AGO!S20</f>
        <v>0</v>
      </c>
      <c r="AN20" s="235">
        <f>SET!B20+SET!S20</f>
        <v>0</v>
      </c>
      <c r="AO20" s="235">
        <f>OUT!B20+OUT!S20</f>
        <v>0</v>
      </c>
      <c r="AP20" s="235">
        <f>NOV!B20+NOV!S20</f>
        <v>0</v>
      </c>
      <c r="AQ20" s="235">
        <f>DEZ!B20+DEZ!S20</f>
        <v>0</v>
      </c>
      <c r="AR20" s="235">
        <f t="shared" si="2"/>
        <v>1786485.4080000001</v>
      </c>
    </row>
    <row r="21" spans="1:44">
      <c r="A21" s="242" t="s">
        <v>135</v>
      </c>
      <c r="B21" s="235">
        <f>$B$225*'Médias por UF'!BG19</f>
        <v>278658.51670531661</v>
      </c>
      <c r="C21" s="235">
        <f>$B$225*'Médias por UF'!BH19</f>
        <v>682996.26408314914</v>
      </c>
      <c r="D21" s="235">
        <f>$B$225*'Médias por UF'!BI19</f>
        <v>883880.75835514022</v>
      </c>
      <c r="E21" s="235">
        <f>$B$225*'Médias por UF'!BJ19</f>
        <v>1024620.9713806272</v>
      </c>
      <c r="F21" s="235">
        <f>$B$225*'Médias por UF'!BK19</f>
        <v>1188891.0842980936</v>
      </c>
      <c r="G21" s="235">
        <f>$B$225*'Médias por UF'!BL19</f>
        <v>1357884.4542124392</v>
      </c>
      <c r="H21" s="235">
        <f>$B$225*'Médias por UF'!BM19</f>
        <v>1412050.64275369</v>
      </c>
      <c r="I21" s="235">
        <f>$B$225*'Médias por UF'!BN19</f>
        <v>1467130.7165055904</v>
      </c>
      <c r="J21" s="235">
        <f>$B$225*'Médias por UF'!BO19</f>
        <v>1505971.0523109552</v>
      </c>
      <c r="K21" s="235">
        <f>$B$225*'Médias por UF'!BP19</f>
        <v>1549126.3867154946</v>
      </c>
      <c r="L21" s="235">
        <f>$B$225*'Médias por UF'!BQ19</f>
        <v>1591930.1597141176</v>
      </c>
      <c r="M21" s="235">
        <f>$B$225*'Médias por UF'!BR19</f>
        <v>1621826.522337107</v>
      </c>
      <c r="N21" s="235">
        <f t="shared" si="0"/>
        <v>1621826.522337107</v>
      </c>
      <c r="P21" s="237" t="s">
        <v>135</v>
      </c>
      <c r="Q21" s="235">
        <f>'Médias por UF'!BG19*'Evolução das Receitas'!$Q$225</f>
        <v>230099.30617307549</v>
      </c>
      <c r="R21" s="235">
        <f>'Médias por UF'!BH19*'Evolução das Receitas'!$Q$225</f>
        <v>563976.90026653628</v>
      </c>
      <c r="S21" s="235">
        <f>'Médias por UF'!BI19*'Evolução das Receitas'!$Q$225</f>
        <v>729855.13467124978</v>
      </c>
      <c r="T21" s="235">
        <f>'Médias por UF'!BJ19*'Evolução das Receitas'!$Q$225</f>
        <v>846069.86857102846</v>
      </c>
      <c r="U21" s="235">
        <f>'Médias por UF'!BK19*'Evolução das Receitas'!$Q$225</f>
        <v>981714.16702702676</v>
      </c>
      <c r="V21" s="235">
        <f>'Médias por UF'!BL19*'Evolução das Receitas'!$Q$225</f>
        <v>1121258.6447085121</v>
      </c>
      <c r="W21" s="235">
        <f>'Médias por UF'!BM19*'Evolução das Receitas'!$Q$225</f>
        <v>1165985.7987490331</v>
      </c>
      <c r="X21" s="235">
        <f>'Médias por UF'!BN19*'Evolução das Receitas'!$Q$225</f>
        <v>1211467.5837815602</v>
      </c>
      <c r="Y21" s="235">
        <f>'Médias por UF'!BO19*'Evolução das Receitas'!$Q$225</f>
        <v>1243539.5779413325</v>
      </c>
      <c r="Z21" s="235">
        <f>'Médias por UF'!BP19*'Evolução das Receitas'!$Q$225</f>
        <v>1279174.6362971931</v>
      </c>
      <c r="AA21" s="235">
        <f>'Médias por UF'!BQ19*'Evolução das Receitas'!$Q$225</f>
        <v>1314519.3965615584</v>
      </c>
      <c r="AB21" s="235">
        <f>'Médias por UF'!BR19*'Evolução das Receitas'!$Q$225</f>
        <v>1339206</v>
      </c>
      <c r="AC21" s="235">
        <f t="shared" si="1"/>
        <v>1339206</v>
      </c>
      <c r="AE21" s="237" t="s">
        <v>135</v>
      </c>
      <c r="AF21" s="235">
        <f>JAN!B21+JAN!S21</f>
        <v>187568.74400000001</v>
      </c>
      <c r="AG21" s="235">
        <f>FEV!B21+FEV!S21+AF21</f>
        <v>427938.18400000001</v>
      </c>
      <c r="AH21" s="235">
        <f>MAR!B21+MAR!S21+AG21</f>
        <v>536777.49600000004</v>
      </c>
      <c r="AI21" s="235">
        <f>ABR!B21+ABR!S21+AH21</f>
        <v>648099.57600000012</v>
      </c>
      <c r="AJ21" s="235">
        <f>MAI!B21+MAI!S21</f>
        <v>0</v>
      </c>
      <c r="AK21" s="235">
        <f>JUN!B21+JUN!S21</f>
        <v>0</v>
      </c>
      <c r="AL21" s="235">
        <f>JUL!B21+JUL!S21</f>
        <v>0</v>
      </c>
      <c r="AM21" s="235">
        <f>AGO!B21+AGO!S21</f>
        <v>0</v>
      </c>
      <c r="AN21" s="235">
        <f>SET!B21+SET!S21</f>
        <v>0</v>
      </c>
      <c r="AO21" s="235">
        <f>OUT!B21+OUT!S21</f>
        <v>0</v>
      </c>
      <c r="AP21" s="235">
        <f>NOV!B21+NOV!S21</f>
        <v>0</v>
      </c>
      <c r="AQ21" s="235">
        <f>DEZ!B21+DEZ!S21</f>
        <v>0</v>
      </c>
      <c r="AR21" s="235">
        <f t="shared" si="2"/>
        <v>648099.57600000012</v>
      </c>
    </row>
    <row r="22" spans="1:44">
      <c r="A22" s="242" t="s">
        <v>136</v>
      </c>
      <c r="B22" s="235">
        <f>$B$226*'Médias por UF'!BG20</f>
        <v>73031.305057305857</v>
      </c>
      <c r="C22" s="235">
        <f>$B$226*'Médias por UF'!BH20</f>
        <v>158497.63339475871</v>
      </c>
      <c r="D22" s="235">
        <f>$B$226*'Médias por UF'!BI20</f>
        <v>201899.38974926859</v>
      </c>
      <c r="E22" s="235">
        <f>$B$226*'Médias por UF'!BJ20</f>
        <v>232780.07184901336</v>
      </c>
      <c r="F22" s="235">
        <f>$B$226*'Médias por UF'!BK20</f>
        <v>268869.38190461742</v>
      </c>
      <c r="G22" s="235">
        <f>$B$226*'Médias por UF'!BL20</f>
        <v>302656.07902267779</v>
      </c>
      <c r="H22" s="235">
        <f>$B$226*'Médias por UF'!BM20</f>
        <v>313301.66404652037</v>
      </c>
      <c r="I22" s="235">
        <f>$B$226*'Médias por UF'!BN20</f>
        <v>325572.09263884532</v>
      </c>
      <c r="J22" s="235">
        <f>$B$226*'Médias por UF'!BO20</f>
        <v>337644.7695912316</v>
      </c>
      <c r="K22" s="235">
        <f>$B$226*'Médias por UF'!BP20</f>
        <v>345390.46250163321</v>
      </c>
      <c r="L22" s="235">
        <f>$B$226*'Médias por UF'!BQ20</f>
        <v>355433.47180810466</v>
      </c>
      <c r="M22" s="235">
        <f>$B$226*'Médias por UF'!BR20</f>
        <v>360451.87572228117</v>
      </c>
      <c r="N22" s="235">
        <f t="shared" si="0"/>
        <v>360451.87572228117</v>
      </c>
      <c r="P22" s="237" t="s">
        <v>136</v>
      </c>
      <c r="Q22" s="235">
        <f>'Médias por UF'!BG20*'Evolução das Receitas'!$Q$226</f>
        <v>62110.426119328622</v>
      </c>
      <c r="R22" s="235">
        <f>'Médias por UF'!BH20*'Evolução das Receitas'!$Q$226</f>
        <v>134796.38000894236</v>
      </c>
      <c r="S22" s="235">
        <f>'Médias por UF'!BI20*'Evolução das Receitas'!$Q$226</f>
        <v>171707.96990029974</v>
      </c>
      <c r="T22" s="235">
        <f>'Médias por UF'!BJ20*'Evolução das Receitas'!$Q$226</f>
        <v>197970.84884742595</v>
      </c>
      <c r="U22" s="235">
        <f>'Médias por UF'!BK20*'Evolução das Receitas'!$Q$226</f>
        <v>228663.47338901498</v>
      </c>
      <c r="V22" s="235">
        <f>'Médias por UF'!BL20*'Evolução das Receitas'!$Q$226</f>
        <v>257397.81071902404</v>
      </c>
      <c r="W22" s="235">
        <f>'Médias por UF'!BM20*'Evolução das Receitas'!$Q$226</f>
        <v>266451.48738003365</v>
      </c>
      <c r="X22" s="235">
        <f>'Médias por UF'!BN20*'Evolução das Receitas'!$Q$226</f>
        <v>276887.03345083271</v>
      </c>
      <c r="Y22" s="235">
        <f>'Médias por UF'!BO20*'Evolução das Receitas'!$Q$226</f>
        <v>287154.3990596676</v>
      </c>
      <c r="Z22" s="235">
        <f>'Médias por UF'!BP20*'Evolução das Receitas'!$Q$226</f>
        <v>293741.82464212168</v>
      </c>
      <c r="AA22" s="235">
        <f>'Médias por UF'!BQ20*'Evolução das Receitas'!$Q$226</f>
        <v>302283.03292336309</v>
      </c>
      <c r="AB22" s="235">
        <f>'Médias por UF'!BR20*'Evolução das Receitas'!$Q$226</f>
        <v>306551</v>
      </c>
      <c r="AC22" s="235">
        <f t="shared" si="1"/>
        <v>306551</v>
      </c>
      <c r="AE22" s="237" t="s">
        <v>136</v>
      </c>
      <c r="AF22" s="235">
        <f>JAN!B22+JAN!S22</f>
        <v>46910.080000000002</v>
      </c>
      <c r="AG22" s="235">
        <f>FEV!B22+FEV!S22+AF22</f>
        <v>104282.48000000001</v>
      </c>
      <c r="AH22" s="235">
        <f>MAR!B22+MAR!S22+AG22</f>
        <v>124467.57600000002</v>
      </c>
      <c r="AI22" s="235">
        <f>ABR!B22+ABR!S22+AH22</f>
        <v>148691.54400000002</v>
      </c>
      <c r="AJ22" s="235">
        <f>MAI!B22+MAI!S22</f>
        <v>0</v>
      </c>
      <c r="AK22" s="235">
        <f>JUN!B22+JUN!S22</f>
        <v>0</v>
      </c>
      <c r="AL22" s="235">
        <f>JUL!B22+JUL!S22</f>
        <v>0</v>
      </c>
      <c r="AM22" s="235">
        <f>AGO!B22+AGO!S22</f>
        <v>0</v>
      </c>
      <c r="AN22" s="235">
        <f>SET!B22+SET!S22</f>
        <v>0</v>
      </c>
      <c r="AO22" s="235">
        <f>OUT!B22+OUT!S22</f>
        <v>0</v>
      </c>
      <c r="AP22" s="235">
        <f>NOV!B22+NOV!S22</f>
        <v>0</v>
      </c>
      <c r="AQ22" s="235">
        <f>DEZ!B22+DEZ!S22</f>
        <v>0</v>
      </c>
      <c r="AR22" s="235">
        <f t="shared" si="2"/>
        <v>148691.54400000002</v>
      </c>
    </row>
    <row r="23" spans="1:44">
      <c r="A23" s="242" t="s">
        <v>137</v>
      </c>
      <c r="B23" s="235">
        <f>$B$227*'Médias por UF'!BG21</f>
        <v>1455926.8704973005</v>
      </c>
      <c r="C23" s="235">
        <f>$B$227*'Médias por UF'!BH21</f>
        <v>2856032.9562368952</v>
      </c>
      <c r="D23" s="235">
        <f>$B$227*'Médias por UF'!BI21</f>
        <v>3547537.672569362</v>
      </c>
      <c r="E23" s="235">
        <f>$B$227*'Médias por UF'!BJ21</f>
        <v>3979916.4474771032</v>
      </c>
      <c r="F23" s="235">
        <f>$B$227*'Médias por UF'!BK21</f>
        <v>4570234.4247847898</v>
      </c>
      <c r="G23" s="235">
        <f>$B$227*'Médias por UF'!BL21</f>
        <v>5151838.6032904899</v>
      </c>
      <c r="H23" s="235">
        <f>$B$227*'Médias por UF'!BM21</f>
        <v>5371456.0873968014</v>
      </c>
      <c r="I23" s="235">
        <f>$B$227*'Médias por UF'!BN21</f>
        <v>5641591.3959232019</v>
      </c>
      <c r="J23" s="235">
        <f>$B$227*'Médias por UF'!BO21</f>
        <v>5823833.8418004941</v>
      </c>
      <c r="K23" s="235">
        <f>$B$227*'Médias por UF'!BP21</f>
        <v>6013526.0438422672</v>
      </c>
      <c r="L23" s="235">
        <f>$B$227*'Médias por UF'!BQ21</f>
        <v>6155312.9836241957</v>
      </c>
      <c r="M23" s="235">
        <f>$B$227*'Médias por UF'!BR21</f>
        <v>6296527.3124161987</v>
      </c>
      <c r="N23" s="235">
        <f t="shared" si="0"/>
        <v>6296527.3124161987</v>
      </c>
      <c r="P23" s="237" t="s">
        <v>137</v>
      </c>
      <c r="Q23" s="235">
        <f>'Médias por UF'!BG21*'Evolução das Receitas'!$Q$227</f>
        <v>1106276.0254284991</v>
      </c>
      <c r="R23" s="235">
        <f>'Médias por UF'!BH21*'Evolução das Receitas'!$Q$227</f>
        <v>2170137.0112355631</v>
      </c>
      <c r="S23" s="235">
        <f>'Médias por UF'!BI21*'Evolução das Receitas'!$Q$227</f>
        <v>2695572.1169754853</v>
      </c>
      <c r="T23" s="235">
        <f>'Médias por UF'!BJ21*'Evolução das Receitas'!$Q$227</f>
        <v>3024112.1571913767</v>
      </c>
      <c r="U23" s="235">
        <f>'Médias por UF'!BK21*'Evolução das Receitas'!$Q$227</f>
        <v>3472661.2147768545</v>
      </c>
      <c r="V23" s="235">
        <f>'Médias por UF'!BL21*'Evolução das Receitas'!$Q$227</f>
        <v>3914589.1522357748</v>
      </c>
      <c r="W23" s="235">
        <f>'Médias por UF'!BM21*'Evolução das Receitas'!$Q$227</f>
        <v>4081463.9880225137</v>
      </c>
      <c r="X23" s="235">
        <f>'Médias por UF'!BN21*'Evolução das Receitas'!$Q$227</f>
        <v>4286724.445467338</v>
      </c>
      <c r="Y23" s="235">
        <f>'Médias por UF'!BO21*'Evolução das Receitas'!$Q$227</f>
        <v>4425200.1153480886</v>
      </c>
      <c r="Z23" s="235">
        <f>'Médias por UF'!BP21*'Evolução das Receitas'!$Q$227</f>
        <v>4569336.431245517</v>
      </c>
      <c r="AA23" s="235">
        <f>'Médias por UF'!BQ21*'Evolução das Receitas'!$Q$227</f>
        <v>4677072.2628852231</v>
      </c>
      <c r="AB23" s="235">
        <f>'Médias por UF'!BR21*'Evolução das Receitas'!$Q$227</f>
        <v>4784373</v>
      </c>
      <c r="AC23" s="235">
        <f t="shared" si="1"/>
        <v>4784373</v>
      </c>
      <c r="AE23" s="237" t="s">
        <v>137</v>
      </c>
      <c r="AF23" s="235">
        <f>JAN!B23+JAN!S23</f>
        <v>968442.56</v>
      </c>
      <c r="AG23" s="235">
        <f>FEV!B23+FEV!S23+AF23</f>
        <v>1867364.0080000001</v>
      </c>
      <c r="AH23" s="235">
        <f>MAR!B23+MAR!S23+AG23</f>
        <v>2176875.44</v>
      </c>
      <c r="AI23" s="235">
        <f>ABR!B23+ABR!S23+AH23</f>
        <v>2530541.3199999998</v>
      </c>
      <c r="AJ23" s="235">
        <f>MAI!B23+MAI!S23</f>
        <v>0</v>
      </c>
      <c r="AK23" s="235">
        <f>JUN!B23+JUN!S23</f>
        <v>0</v>
      </c>
      <c r="AL23" s="235">
        <f>JUL!B23+JUL!S23</f>
        <v>0</v>
      </c>
      <c r="AM23" s="235">
        <f>AGO!B23+AGO!S23</f>
        <v>0</v>
      </c>
      <c r="AN23" s="235">
        <f>SET!B23+SET!S23</f>
        <v>0</v>
      </c>
      <c r="AO23" s="235">
        <f>OUT!B23+OUT!S23</f>
        <v>0</v>
      </c>
      <c r="AP23" s="235">
        <f>NOV!B23+NOV!S23</f>
        <v>0</v>
      </c>
      <c r="AQ23" s="235">
        <f>DEZ!B23+DEZ!S23</f>
        <v>0</v>
      </c>
      <c r="AR23" s="235">
        <f t="shared" si="2"/>
        <v>2530541.3199999998</v>
      </c>
    </row>
    <row r="24" spans="1:44">
      <c r="A24" s="242" t="s">
        <v>138</v>
      </c>
      <c r="B24" s="235">
        <f>$B$228*'Médias por UF'!BG22</f>
        <v>127506.05904164808</v>
      </c>
      <c r="C24" s="235">
        <f>$B$228*'Médias por UF'!BH22</f>
        <v>337890.26863533148</v>
      </c>
      <c r="D24" s="235">
        <f>$B$228*'Médias por UF'!BI22</f>
        <v>447402.67323209584</v>
      </c>
      <c r="E24" s="235">
        <f>$B$228*'Médias por UF'!BJ22</f>
        <v>522365.80958466302</v>
      </c>
      <c r="F24" s="235">
        <f>$B$228*'Médias por UF'!BK22</f>
        <v>620711.73209891701</v>
      </c>
      <c r="G24" s="235">
        <f>$B$228*'Médias por UF'!BL22</f>
        <v>722125.42443628015</v>
      </c>
      <c r="H24" s="235">
        <f>$B$228*'Médias por UF'!BM22</f>
        <v>751642.80723410146</v>
      </c>
      <c r="I24" s="235">
        <f>$B$228*'Médias por UF'!BN22</f>
        <v>776602.0779543781</v>
      </c>
      <c r="J24" s="235">
        <f>$B$228*'Médias por UF'!BO22</f>
        <v>799451.12812936679</v>
      </c>
      <c r="K24" s="235">
        <f>$B$228*'Médias por UF'!BP22</f>
        <v>819388.93823841971</v>
      </c>
      <c r="L24" s="235">
        <f>$B$228*'Médias por UF'!BQ22</f>
        <v>841145.59697632759</v>
      </c>
      <c r="M24" s="235">
        <f>$B$228*'Médias por UF'!BR22</f>
        <v>856435.31206344534</v>
      </c>
      <c r="N24" s="235">
        <f t="shared" si="0"/>
        <v>856435.31206344534</v>
      </c>
      <c r="P24" s="237" t="s">
        <v>138</v>
      </c>
      <c r="Q24" s="235">
        <f>'Médias por UF'!BG22*'Evolução das Receitas'!$Q$228</f>
        <v>102906.12937171409</v>
      </c>
      <c r="R24" s="235">
        <f>'Médias por UF'!BH22*'Evolução das Receitas'!$Q$228</f>
        <v>272700.60700623796</v>
      </c>
      <c r="S24" s="235">
        <f>'Médias por UF'!BI22*'Evolução das Receitas'!$Q$228</f>
        <v>361084.62389096583</v>
      </c>
      <c r="T24" s="235">
        <f>'Médias por UF'!BJ22*'Evolução das Receitas'!$Q$228</f>
        <v>421585.01317118813</v>
      </c>
      <c r="U24" s="235">
        <f>'Médias por UF'!BK22*'Evolução das Receitas'!$Q$228</f>
        <v>500956.91362437914</v>
      </c>
      <c r="V24" s="235">
        <f>'Médias por UF'!BL22*'Evolução das Receitas'!$Q$228</f>
        <v>582804.71460082615</v>
      </c>
      <c r="W24" s="235">
        <f>'Médias por UF'!BM22*'Evolução das Receitas'!$Q$228</f>
        <v>606627.26574653166</v>
      </c>
      <c r="X24" s="235">
        <f>'Médias por UF'!BN22*'Evolução das Receitas'!$Q$228</f>
        <v>626771.10801621911</v>
      </c>
      <c r="Y24" s="235">
        <f>'Médias por UF'!BO22*'Evolução das Receitas'!$Q$228</f>
        <v>645211.85766373319</v>
      </c>
      <c r="Z24" s="235">
        <f>'Médias por UF'!BP22*'Evolução das Receitas'!$Q$228</f>
        <v>661303.03703114425</v>
      </c>
      <c r="AA24" s="235">
        <f>'Médias por UF'!BQ22*'Evolução das Receitas'!$Q$228</f>
        <v>678862.15191248548</v>
      </c>
      <c r="AB24" s="235">
        <f>'Médias por UF'!BR22*'Evolução das Receitas'!$Q$228</f>
        <v>691202</v>
      </c>
      <c r="AC24" s="235">
        <f t="shared" si="1"/>
        <v>691202</v>
      </c>
      <c r="AE24" s="237" t="s">
        <v>138</v>
      </c>
      <c r="AF24" s="235">
        <f>JAN!B24+JAN!S24</f>
        <v>76553.728000000003</v>
      </c>
      <c r="AG24" s="235">
        <f>FEV!B24+FEV!S24+AF24</f>
        <v>193226.77600000001</v>
      </c>
      <c r="AH24" s="235">
        <f>MAR!B24+MAR!S24+AG24</f>
        <v>240201.424</v>
      </c>
      <c r="AI24" s="235">
        <f>ABR!B24+ABR!S24+AH24</f>
        <v>293633.62400000001</v>
      </c>
      <c r="AJ24" s="235">
        <f>MAI!B24+MAI!S24</f>
        <v>0</v>
      </c>
      <c r="AK24" s="235">
        <f>JUN!B24+JUN!S24</f>
        <v>0</v>
      </c>
      <c r="AL24" s="235">
        <f>JUL!B24+JUL!S24</f>
        <v>0</v>
      </c>
      <c r="AM24" s="235">
        <f>AGO!B24+AGO!S24</f>
        <v>0</v>
      </c>
      <c r="AN24" s="235">
        <f>SET!B24+SET!S24</f>
        <v>0</v>
      </c>
      <c r="AO24" s="235">
        <f>OUT!B24+OUT!S24</f>
        <v>0</v>
      </c>
      <c r="AP24" s="235">
        <f>NOV!B24+NOV!S24</f>
        <v>0</v>
      </c>
      <c r="AQ24" s="235">
        <f>DEZ!B24+DEZ!S24</f>
        <v>0</v>
      </c>
      <c r="AR24" s="235">
        <f t="shared" si="2"/>
        <v>293633.62400000001</v>
      </c>
    </row>
    <row r="25" spans="1:44">
      <c r="A25" s="242" t="s">
        <v>139</v>
      </c>
      <c r="B25" s="235">
        <f>$B$229*'Médias por UF'!BG23</f>
        <v>1191906.283775765</v>
      </c>
      <c r="C25" s="235">
        <f>$B$229*'Médias por UF'!BH23</f>
        <v>2473085.9973391788</v>
      </c>
      <c r="D25" s="235">
        <f>$B$229*'Médias por UF'!BI23</f>
        <v>3057670.261995004</v>
      </c>
      <c r="E25" s="235">
        <f>$B$229*'Médias por UF'!BJ23</f>
        <v>3487495.6792665003</v>
      </c>
      <c r="F25" s="235">
        <f>$B$229*'Médias por UF'!BK23</f>
        <v>4070110.1218195003</v>
      </c>
      <c r="G25" s="235">
        <f>$B$229*'Médias por UF'!BL23</f>
        <v>4616922.5080320239</v>
      </c>
      <c r="H25" s="235">
        <f>$B$229*'Médias por UF'!BM23</f>
        <v>4750064.150486337</v>
      </c>
      <c r="I25" s="235">
        <f>$B$229*'Médias por UF'!BN23</f>
        <v>4870859.7703668782</v>
      </c>
      <c r="J25" s="235">
        <f>$B$229*'Médias por UF'!BO23</f>
        <v>4968928.2138487864</v>
      </c>
      <c r="K25" s="235">
        <f>$B$229*'Médias por UF'!BP23</f>
        <v>5091979.7905362537</v>
      </c>
      <c r="L25" s="235">
        <f>$B$229*'Médias por UF'!BQ23</f>
        <v>5205480.0468119299</v>
      </c>
      <c r="M25" s="235">
        <f>$B$229*'Médias por UF'!BR23</f>
        <v>5313044.0946733728</v>
      </c>
      <c r="N25" s="235">
        <f t="shared" si="0"/>
        <v>5313044.0946733728</v>
      </c>
      <c r="P25" s="237" t="s">
        <v>139</v>
      </c>
      <c r="Q25" s="235">
        <f>'Médias por UF'!BG23*'Evolução das Receitas'!$Q$229</f>
        <v>1001384.5518972606</v>
      </c>
      <c r="R25" s="235">
        <f>'Médias por UF'!BH23*'Evolução das Receitas'!$Q$229</f>
        <v>2077772.5119492637</v>
      </c>
      <c r="S25" s="235">
        <f>'Médias por UF'!BI23*'Evolução das Receitas'!$Q$229</f>
        <v>2568913.1828870252</v>
      </c>
      <c r="T25" s="235">
        <f>'Médias por UF'!BJ23*'Evolução das Receitas'!$Q$229</f>
        <v>2930032.625520525</v>
      </c>
      <c r="U25" s="235">
        <f>'Médias por UF'!BK23*'Evolução das Receitas'!$Q$229</f>
        <v>3419518.3430021252</v>
      </c>
      <c r="V25" s="235">
        <f>'Médias por UF'!BL23*'Evolução das Receitas'!$Q$229</f>
        <v>3878924.8280528528</v>
      </c>
      <c r="W25" s="235">
        <f>'Médias por UF'!BM23*'Evolução das Receitas'!$Q$229</f>
        <v>3990784.2802453721</v>
      </c>
      <c r="X25" s="235">
        <f>'Médias por UF'!BN23*'Evolução das Receitas'!$Q$229</f>
        <v>4092271.1750891819</v>
      </c>
      <c r="Y25" s="235">
        <f>'Médias por UF'!BO23*'Evolução das Receitas'!$Q$229</f>
        <v>4174663.7471127957</v>
      </c>
      <c r="Z25" s="235">
        <f>'Médias por UF'!BP23*'Evolução das Receitas'!$Q$229</f>
        <v>4278045.9925617278</v>
      </c>
      <c r="AA25" s="235">
        <f>'Médias por UF'!BQ23*'Evolução das Receitas'!$Q$229</f>
        <v>4373403.6602055244</v>
      </c>
      <c r="AB25" s="235">
        <f>'Médias por UF'!BR23*'Evolução das Receitas'!$Q$229</f>
        <v>4463774</v>
      </c>
      <c r="AC25" s="235">
        <f t="shared" si="1"/>
        <v>4463774</v>
      </c>
      <c r="AE25" s="237" t="s">
        <v>139</v>
      </c>
      <c r="AF25" s="235">
        <f>JAN!B25+JAN!S25</f>
        <v>830891.91200000001</v>
      </c>
      <c r="AG25" s="235">
        <f>FEV!B25+FEV!S25+AF25</f>
        <v>1721764.0080000001</v>
      </c>
      <c r="AH25" s="235">
        <f>MAR!B25+MAR!S25+AG25</f>
        <v>2045309.5920000002</v>
      </c>
      <c r="AI25" s="235">
        <f>ABR!B25+ABR!S25+AH25</f>
        <v>2434621.4160000002</v>
      </c>
      <c r="AJ25" s="235">
        <f>MAI!B25+MAI!S25</f>
        <v>0</v>
      </c>
      <c r="AK25" s="235">
        <f>JUN!B25+JUN!S25</f>
        <v>0</v>
      </c>
      <c r="AL25" s="235">
        <f>JUL!B25+JUL!S25</f>
        <v>0</v>
      </c>
      <c r="AM25" s="235">
        <f>AGO!B25+AGO!S25</f>
        <v>0</v>
      </c>
      <c r="AN25" s="235">
        <f>SET!B25+SET!S25</f>
        <v>0</v>
      </c>
      <c r="AO25" s="235">
        <f>OUT!B25+OUT!S25</f>
        <v>0</v>
      </c>
      <c r="AP25" s="235">
        <f>NOV!B25+NOV!S25</f>
        <v>0</v>
      </c>
      <c r="AQ25" s="235">
        <f>DEZ!B25+DEZ!S25</f>
        <v>0</v>
      </c>
      <c r="AR25" s="235">
        <f t="shared" si="2"/>
        <v>2434621.4160000002</v>
      </c>
    </row>
    <row r="26" spans="1:44">
      <c r="A26" s="242" t="s">
        <v>140</v>
      </c>
      <c r="B26" s="235">
        <f>$B$230*'Médias por UF'!BG24</f>
        <v>46861.482948394616</v>
      </c>
      <c r="C26" s="235">
        <f>$B$230*'Médias por UF'!BH24</f>
        <v>112328.0974823584</v>
      </c>
      <c r="D26" s="235">
        <f>$B$230*'Médias por UF'!BI24</f>
        <v>153439.79170100574</v>
      </c>
      <c r="E26" s="235">
        <f>$B$230*'Médias por UF'!BJ24</f>
        <v>183542.45955963939</v>
      </c>
      <c r="F26" s="235">
        <f>$B$230*'Médias por UF'!BK24</f>
        <v>225701.53608866411</v>
      </c>
      <c r="G26" s="235">
        <f>$B$230*'Médias por UF'!BL24</f>
        <v>270556.69749345473</v>
      </c>
      <c r="H26" s="235">
        <f>$B$230*'Médias por UF'!BM24</f>
        <v>282565.07693883148</v>
      </c>
      <c r="I26" s="235">
        <f>$B$230*'Médias por UF'!BN24</f>
        <v>293846.74777093437</v>
      </c>
      <c r="J26" s="235">
        <f>$B$230*'Médias por UF'!BO24</f>
        <v>305378.28390368336</v>
      </c>
      <c r="K26" s="235">
        <f>$B$230*'Médias por UF'!BP24</f>
        <v>313162.10582144995</v>
      </c>
      <c r="L26" s="235">
        <f>$B$230*'Médias por UF'!BQ24</f>
        <v>320695.52180786146</v>
      </c>
      <c r="M26" s="235">
        <f>$B$230*'Médias por UF'!BR24</f>
        <v>330655.62422744284</v>
      </c>
      <c r="N26" s="235">
        <f t="shared" si="0"/>
        <v>330655.62422744284</v>
      </c>
      <c r="P26" s="237" t="s">
        <v>140</v>
      </c>
      <c r="Q26" s="235">
        <f>'Médias por UF'!BG24*'Evolução das Receitas'!$Q$230</f>
        <v>39161.446125365779</v>
      </c>
      <c r="R26" s="235">
        <f>'Médias por UF'!BH24*'Evolução das Receitas'!$Q$230</f>
        <v>93870.924715815316</v>
      </c>
      <c r="S26" s="235">
        <f>'Médias por UF'!BI24*'Evolução das Receitas'!$Q$230</f>
        <v>128227.35769594627</v>
      </c>
      <c r="T26" s="235">
        <f>'Médias por UF'!BJ24*'Evolução das Receitas'!$Q$230</f>
        <v>153383.71066228038</v>
      </c>
      <c r="U26" s="235">
        <f>'Médias por UF'!BK24*'Evolução das Receitas'!$Q$230</f>
        <v>188615.42550162339</v>
      </c>
      <c r="V26" s="235">
        <f>'Médias por UF'!BL24*'Evolução das Receitas'!$Q$230</f>
        <v>226100.21847611613</v>
      </c>
      <c r="W26" s="235">
        <f>'Médias por UF'!BM24*'Evolução das Receitas'!$Q$230</f>
        <v>236135.44303827826</v>
      </c>
      <c r="X26" s="235">
        <f>'Médias por UF'!BN24*'Evolução das Receitas'!$Q$230</f>
        <v>245563.36799280948</v>
      </c>
      <c r="Y26" s="235">
        <f>'Médias por UF'!BO24*'Evolução das Receitas'!$Q$230</f>
        <v>255200.10167242147</v>
      </c>
      <c r="Z26" s="235">
        <f>'Médias por UF'!BP24*'Evolução das Receitas'!$Q$230</f>
        <v>261704.92617867413</v>
      </c>
      <c r="AA26" s="235">
        <f>'Médias por UF'!BQ24*'Evolução das Receitas'!$Q$230</f>
        <v>268000.49016278255</v>
      </c>
      <c r="AB26" s="235">
        <f>'Médias por UF'!BR24*'Evolução das Receitas'!$Q$230</f>
        <v>276324</v>
      </c>
      <c r="AC26" s="235">
        <f t="shared" si="1"/>
        <v>276324</v>
      </c>
      <c r="AE26" s="237" t="s">
        <v>140</v>
      </c>
      <c r="AF26" s="235">
        <f>JAN!B26+JAN!S26</f>
        <v>31013.360000000001</v>
      </c>
      <c r="AG26" s="235">
        <f>FEV!B26+FEV!S26+AF26</f>
        <v>69754.775999999998</v>
      </c>
      <c r="AH26" s="235">
        <f>MAR!B26+MAR!S26+AG26</f>
        <v>90743.312000000005</v>
      </c>
      <c r="AI26" s="235">
        <f>ABR!B26+ABR!S26+AH26</f>
        <v>113993.09600000001</v>
      </c>
      <c r="AJ26" s="235">
        <f>MAI!B26+MAI!S26</f>
        <v>0</v>
      </c>
      <c r="AK26" s="235">
        <f>JUN!B26+JUN!S26</f>
        <v>0</v>
      </c>
      <c r="AL26" s="235">
        <f>JUL!B26+JUL!S26</f>
        <v>0</v>
      </c>
      <c r="AM26" s="235">
        <f>AGO!B26+AGO!S26</f>
        <v>0</v>
      </c>
      <c r="AN26" s="235">
        <f>SET!B26+SET!S26</f>
        <v>0</v>
      </c>
      <c r="AO26" s="235">
        <f>OUT!B26+OUT!S26</f>
        <v>0</v>
      </c>
      <c r="AP26" s="235">
        <f>NOV!B26+NOV!S26</f>
        <v>0</v>
      </c>
      <c r="AQ26" s="235">
        <f>DEZ!B26+DEZ!S26</f>
        <v>0</v>
      </c>
      <c r="AR26" s="235">
        <f t="shared" si="2"/>
        <v>113993.09600000001</v>
      </c>
    </row>
    <row r="27" spans="1:44">
      <c r="A27" s="242" t="s">
        <v>141</v>
      </c>
      <c r="B27" s="235">
        <f>$B$231*'Médias por UF'!BG25</f>
        <v>13843.991412944475</v>
      </c>
      <c r="C27" s="235">
        <f>$B$231*'Médias por UF'!BH25</f>
        <v>26129.135480712666</v>
      </c>
      <c r="D27" s="235">
        <f>$B$231*'Médias por UF'!BI25</f>
        <v>36737.968750254237</v>
      </c>
      <c r="E27" s="235">
        <f>$B$231*'Médias por UF'!BJ25</f>
        <v>44104.23445696626</v>
      </c>
      <c r="F27" s="235">
        <f>$B$231*'Médias por UF'!BK25</f>
        <v>50885.065699524181</v>
      </c>
      <c r="G27" s="235">
        <f>$B$231*'Médias por UF'!BL25</f>
        <v>57638.927781557482</v>
      </c>
      <c r="H27" s="235">
        <f>$B$231*'Médias por UF'!BM25</f>
        <v>61223.651565550674</v>
      </c>
      <c r="I27" s="235">
        <f>$B$231*'Médias por UF'!BN25</f>
        <v>63048.413528806632</v>
      </c>
      <c r="J27" s="235">
        <f>$B$231*'Médias por UF'!BO25</f>
        <v>64322.953058489227</v>
      </c>
      <c r="K27" s="235">
        <f>$B$231*'Médias por UF'!BP25</f>
        <v>66620.42320391933</v>
      </c>
      <c r="L27" s="235">
        <f>$B$231*'Médias por UF'!BQ25</f>
        <v>68662.967406435768</v>
      </c>
      <c r="M27" s="235">
        <f>$B$231*'Médias por UF'!BR25</f>
        <v>69938.423647606804</v>
      </c>
      <c r="N27" s="235">
        <f t="shared" si="0"/>
        <v>69938.423647606804</v>
      </c>
      <c r="P27" s="237" t="s">
        <v>141</v>
      </c>
      <c r="Q27" s="235">
        <f>'Médias por UF'!BG25*'Evolução das Receitas'!$Q$231</f>
        <v>12156.224809062283</v>
      </c>
      <c r="R27" s="235">
        <f>'Médias por UF'!BH25*'Evolução das Receitas'!$Q$231</f>
        <v>22943.646488612772</v>
      </c>
      <c r="S27" s="235">
        <f>'Médias por UF'!BI25*'Evolução das Receitas'!$Q$231</f>
        <v>32259.121942160269</v>
      </c>
      <c r="T27" s="235">
        <f>'Médias por UF'!BJ25*'Evolução das Receitas'!$Q$231</f>
        <v>38727.341927499881</v>
      </c>
      <c r="U27" s="235">
        <f>'Médias por UF'!BK25*'Evolução das Receitas'!$Q$231</f>
        <v>44681.499692996164</v>
      </c>
      <c r="V27" s="235">
        <f>'Médias por UF'!BL25*'Evolução das Receitas'!$Q$231</f>
        <v>50611.9761971806</v>
      </c>
      <c r="W27" s="235">
        <f>'Médias por UF'!BM25*'Evolução das Receitas'!$Q$231</f>
        <v>53759.674494354367</v>
      </c>
      <c r="X27" s="235">
        <f>'Médias por UF'!BN25*'Evolução das Receitas'!$Q$231</f>
        <v>55361.973714767373</v>
      </c>
      <c r="Y27" s="235">
        <f>'Médias por UF'!BO25*'Evolução das Receitas'!$Q$231</f>
        <v>56481.129931259333</v>
      </c>
      <c r="Z27" s="235">
        <f>'Médias por UF'!BP25*'Evolução das Receitas'!$Q$231</f>
        <v>58498.507921962468</v>
      </c>
      <c r="AA27" s="235">
        <f>'Médias por UF'!BQ25*'Evolução das Receitas'!$Q$231</f>
        <v>60292.038831337377</v>
      </c>
      <c r="AB27" s="235">
        <f>'Médias por UF'!BR25*'Evolução das Receitas'!$Q$231</f>
        <v>61412</v>
      </c>
      <c r="AC27" s="235">
        <f t="shared" si="1"/>
        <v>61412</v>
      </c>
      <c r="AE27" s="237" t="s">
        <v>141</v>
      </c>
      <c r="AF27" s="235">
        <f>JAN!B27+JAN!S27</f>
        <v>11221.416000000001</v>
      </c>
      <c r="AG27" s="235">
        <f>FEV!B27+FEV!S27+AF27</f>
        <v>20040.175999999999</v>
      </c>
      <c r="AH27" s="235">
        <f>MAR!B27+MAR!S27+AG27</f>
        <v>22390.471999999998</v>
      </c>
      <c r="AI27" s="235">
        <f>ABR!B27+ABR!S27+AH27</f>
        <v>26127.167999999998</v>
      </c>
      <c r="AJ27" s="235">
        <f>MAI!B27+MAI!S27</f>
        <v>0</v>
      </c>
      <c r="AK27" s="235">
        <f>JUN!B27+JUN!S27</f>
        <v>0</v>
      </c>
      <c r="AL27" s="235">
        <f>JUL!B27+JUL!S27</f>
        <v>0</v>
      </c>
      <c r="AM27" s="235">
        <f>AGO!B27+AGO!S27</f>
        <v>0</v>
      </c>
      <c r="AN27" s="235">
        <f>SET!B27+SET!S27</f>
        <v>0</v>
      </c>
      <c r="AO27" s="235">
        <f>OUT!B27+OUT!S27</f>
        <v>0</v>
      </c>
      <c r="AP27" s="235">
        <f>NOV!B27+NOV!S27</f>
        <v>0</v>
      </c>
      <c r="AQ27" s="235">
        <f>DEZ!B27+DEZ!S27</f>
        <v>0</v>
      </c>
      <c r="AR27" s="235">
        <f t="shared" si="2"/>
        <v>26127.167999999998</v>
      </c>
    </row>
    <row r="28" spans="1:44">
      <c r="A28" s="242" t="s">
        <v>142</v>
      </c>
      <c r="B28" s="235">
        <f>$B$232*'Médias por UF'!BG26</f>
        <v>603212.6741274806</v>
      </c>
      <c r="C28" s="235">
        <f>$B$232*'Médias por UF'!BH26</f>
        <v>1488283.437591813</v>
      </c>
      <c r="D28" s="235">
        <f>$B$232*'Médias por UF'!BI26</f>
        <v>1893995.6312770294</v>
      </c>
      <c r="E28" s="235">
        <f>$B$232*'Médias por UF'!BJ26</f>
        <v>2184432.4013375416</v>
      </c>
      <c r="F28" s="235">
        <f>$B$232*'Médias por UF'!BK26</f>
        <v>2536055.1181233888</v>
      </c>
      <c r="G28" s="235">
        <f>$B$232*'Médias por UF'!BL26</f>
        <v>2906055.0627116999</v>
      </c>
      <c r="H28" s="235">
        <f>$B$232*'Médias por UF'!BM26</f>
        <v>2987692.4241664633</v>
      </c>
      <c r="I28" s="235">
        <f>$B$232*'Médias por UF'!BN26</f>
        <v>3060417.5372483097</v>
      </c>
      <c r="J28" s="235">
        <f>$B$232*'Médias por UF'!BO26</f>
        <v>3120483.7045711209</v>
      </c>
      <c r="K28" s="235">
        <f>$B$232*'Médias por UF'!BP26</f>
        <v>3184399.5283530965</v>
      </c>
      <c r="L28" s="235">
        <f>$B$232*'Médias por UF'!BQ26</f>
        <v>3249548.2155887452</v>
      </c>
      <c r="M28" s="235">
        <f>$B$232*'Médias por UF'!BR26</f>
        <v>3302831.7108375733</v>
      </c>
      <c r="N28" s="235">
        <f t="shared" si="0"/>
        <v>3302831.7108375733</v>
      </c>
      <c r="P28" s="237" t="s">
        <v>142</v>
      </c>
      <c r="Q28" s="235">
        <f>'Médias por UF'!BG26*'Evolução das Receitas'!$Q$232</f>
        <v>520615.49965123291</v>
      </c>
      <c r="R28" s="235">
        <f>'Médias por UF'!BH26*'Evolução das Receitas'!$Q$232</f>
        <v>1284494.6048344602</v>
      </c>
      <c r="S28" s="235">
        <f>'Médias por UF'!BI26*'Evolução das Receitas'!$Q$232</f>
        <v>1634653.1235286284</v>
      </c>
      <c r="T28" s="235">
        <f>'Médias por UF'!BJ26*'Evolução das Receitas'!$Q$232</f>
        <v>1885320.7415140367</v>
      </c>
      <c r="U28" s="235">
        <f>'Médias por UF'!BK26*'Evolução das Receitas'!$Q$232</f>
        <v>2188796.1892953287</v>
      </c>
      <c r="V28" s="235">
        <f>'Médias por UF'!BL26*'Evolução das Receitas'!$Q$232</f>
        <v>2508132.4935289877</v>
      </c>
      <c r="W28" s="235">
        <f>'Médias por UF'!BM26*'Evolução das Receitas'!$Q$232</f>
        <v>2578591.3508224897</v>
      </c>
      <c r="X28" s="235">
        <f>'Médias por UF'!BN26*'Evolução das Receitas'!$Q$232</f>
        <v>2641358.3030239884</v>
      </c>
      <c r="Y28" s="235">
        <f>'Médias por UF'!BO26*'Evolução das Receitas'!$Q$232</f>
        <v>2693199.6834428143</v>
      </c>
      <c r="Z28" s="235">
        <f>'Médias por UF'!BP26*'Evolução das Receitas'!$Q$232</f>
        <v>2748363.591565277</v>
      </c>
      <c r="AA28" s="235">
        <f>'Médias por UF'!BQ26*'Evolução das Receitas'!$Q$232</f>
        <v>2804591.548654987</v>
      </c>
      <c r="AB28" s="235">
        <f>'Médias por UF'!BR26*'Evolução das Receitas'!$Q$232</f>
        <v>2850579</v>
      </c>
      <c r="AC28" s="235">
        <f t="shared" si="1"/>
        <v>2850579</v>
      </c>
      <c r="AE28" s="237" t="s">
        <v>142</v>
      </c>
      <c r="AF28" s="235">
        <f>JAN!B28+JAN!S28</f>
        <v>456624.64000000007</v>
      </c>
      <c r="AG28" s="235">
        <f>FEV!B28+FEV!S28+AF28</f>
        <v>1064889.304</v>
      </c>
      <c r="AH28" s="235">
        <f>MAR!B28+MAR!S28+AG28</f>
        <v>1300706.8640000001</v>
      </c>
      <c r="AI28" s="235">
        <f>ABR!B28+ABR!S28+AH28</f>
        <v>1550006.76</v>
      </c>
      <c r="AJ28" s="235">
        <f>MAI!B28+MAI!S28</f>
        <v>0</v>
      </c>
      <c r="AK28" s="235">
        <f>JUN!B28+JUN!S28</f>
        <v>0</v>
      </c>
      <c r="AL28" s="235">
        <f>JUL!B28+JUL!S28</f>
        <v>0</v>
      </c>
      <c r="AM28" s="235">
        <f>AGO!B28+AGO!S28</f>
        <v>0</v>
      </c>
      <c r="AN28" s="235">
        <f>SET!B28+SET!S28</f>
        <v>0</v>
      </c>
      <c r="AO28" s="235">
        <f>OUT!B28+OUT!S28</f>
        <v>0</v>
      </c>
      <c r="AP28" s="235">
        <f>NOV!B28+NOV!S28</f>
        <v>0</v>
      </c>
      <c r="AQ28" s="235">
        <f>DEZ!B28+DEZ!S28</f>
        <v>0</v>
      </c>
      <c r="AR28" s="235">
        <f t="shared" si="2"/>
        <v>1550006.76</v>
      </c>
    </row>
    <row r="29" spans="1:44">
      <c r="A29" s="242" t="s">
        <v>143</v>
      </c>
      <c r="B29" s="235">
        <f>$B$233*'Médias por UF'!BG27</f>
        <v>7190282.1257107351</v>
      </c>
      <c r="C29" s="235">
        <f>$B$233*'Médias por UF'!BH27</f>
        <v>10053517.649986545</v>
      </c>
      <c r="D29" s="235">
        <f>$B$233*'Médias por UF'!BI27</f>
        <v>11599184.226995261</v>
      </c>
      <c r="E29" s="235">
        <f>$B$233*'Médias por UF'!BJ27</f>
        <v>13210007.730456602</v>
      </c>
      <c r="F29" s="235">
        <f>$B$233*'Médias por UF'!BK27</f>
        <v>15569400.966024837</v>
      </c>
      <c r="G29" s="235">
        <f>$B$233*'Médias por UF'!BL27</f>
        <v>16652625.828338638</v>
      </c>
      <c r="H29" s="235">
        <f>$B$233*'Médias por UF'!BM27</f>
        <v>17148635.185860615</v>
      </c>
      <c r="I29" s="235">
        <f>$B$233*'Médias por UF'!BN27</f>
        <v>17637223.433941431</v>
      </c>
      <c r="J29" s="235">
        <f>$B$233*'Médias por UF'!BO27</f>
        <v>17933840.95177513</v>
      </c>
      <c r="K29" s="235">
        <f>$B$233*'Médias por UF'!BP27</f>
        <v>18456910.587655168</v>
      </c>
      <c r="L29" s="235">
        <f>$B$233*'Médias por UF'!BQ27</f>
        <v>18828903.299058154</v>
      </c>
      <c r="M29" s="235">
        <f>$B$233*'Médias por UF'!BR27</f>
        <v>19116778.354896735</v>
      </c>
      <c r="N29" s="235">
        <f t="shared" si="0"/>
        <v>19116778.354896735</v>
      </c>
      <c r="P29" s="237" t="s">
        <v>143</v>
      </c>
      <c r="Q29" s="235">
        <f>'Médias por UF'!BG27*'Evolução das Receitas'!$Q$233</f>
        <v>4910931.8597120158</v>
      </c>
      <c r="R29" s="235">
        <f>'Médias por UF'!BH27*'Evolução das Receitas'!$Q$233</f>
        <v>6866509.4451513933</v>
      </c>
      <c r="S29" s="235">
        <f>'Médias por UF'!BI27*'Evolução das Receitas'!$Q$233</f>
        <v>7922193.0893830592</v>
      </c>
      <c r="T29" s="235">
        <f>'Médias por UF'!BJ27*'Evolução das Receitas'!$Q$233</f>
        <v>9022378.6349869855</v>
      </c>
      <c r="U29" s="235">
        <f>'Médias por UF'!BK27*'Evolução das Receitas'!$Q$233</f>
        <v>10633834.097730147</v>
      </c>
      <c r="V29" s="235">
        <f>'Médias por UF'!BL27*'Evolução das Receitas'!$Q$233</f>
        <v>11373672.03378932</v>
      </c>
      <c r="W29" s="235">
        <f>'Médias por UF'!BM27*'Evolução das Receitas'!$Q$233</f>
        <v>11712444.298073621</v>
      </c>
      <c r="X29" s="235">
        <f>'Médias por UF'!BN27*'Evolução das Receitas'!$Q$233</f>
        <v>12046147.976431554</v>
      </c>
      <c r="Y29" s="235">
        <f>'Médias por UF'!BO27*'Evolução das Receitas'!$Q$233</f>
        <v>12248736.469207034</v>
      </c>
      <c r="Z29" s="235">
        <f>'Médias por UF'!BP27*'Evolução das Receitas'!$Q$233</f>
        <v>12605990.787574595</v>
      </c>
      <c r="AA29" s="235">
        <f>'Médias por UF'!BQ27*'Evolução das Receitas'!$Q$233</f>
        <v>12860060.214346774</v>
      </c>
      <c r="AB29" s="235">
        <f>'Médias por UF'!BR27*'Evolução das Receitas'!$Q$233</f>
        <v>13056677.643067531</v>
      </c>
      <c r="AC29" s="235">
        <f t="shared" si="1"/>
        <v>13056677.643067531</v>
      </c>
      <c r="AE29" s="237" t="s">
        <v>143</v>
      </c>
      <c r="AF29" s="235">
        <f>JAN!B29+JAN!S29</f>
        <v>3077291.2719999999</v>
      </c>
      <c r="AG29" s="235">
        <f>FEV!B29+FEV!S29+AF29</f>
        <v>6024799.9440000001</v>
      </c>
      <c r="AH29" s="235">
        <f>MAR!B29+MAR!S29+AG29</f>
        <v>7192054.7360000005</v>
      </c>
      <c r="AI29" s="235">
        <f>ABR!B29+ABR!S29+AH29</f>
        <v>8507058.2400000002</v>
      </c>
      <c r="AJ29" s="235">
        <f>MAI!B29+MAI!S29</f>
        <v>0</v>
      </c>
      <c r="AK29" s="235">
        <f>JUN!B29+JUN!S29</f>
        <v>0</v>
      </c>
      <c r="AL29" s="235">
        <f>JUL!B29+JUL!S29</f>
        <v>0</v>
      </c>
      <c r="AM29" s="235">
        <f>AGO!B29+AGO!S29</f>
        <v>0</v>
      </c>
      <c r="AN29" s="235">
        <f>SET!B29+SET!S29</f>
        <v>0</v>
      </c>
      <c r="AO29" s="235">
        <f>OUT!B29+OUT!S29</f>
        <v>0</v>
      </c>
      <c r="AP29" s="235">
        <f>NOV!B29+NOV!S29</f>
        <v>0</v>
      </c>
      <c r="AQ29" s="235">
        <f>DEZ!B29+DEZ!S29</f>
        <v>0</v>
      </c>
      <c r="AR29" s="235">
        <f t="shared" si="2"/>
        <v>8507058.2400000002</v>
      </c>
    </row>
    <row r="30" spans="1:44">
      <c r="A30" s="242" t="s">
        <v>144</v>
      </c>
      <c r="B30" s="235">
        <f>$B$234*'Médias por UF'!BG28</f>
        <v>85956.193188437755</v>
      </c>
      <c r="C30" s="235">
        <f>$B$234*'Médias por UF'!BH28</f>
        <v>194025.9007361145</v>
      </c>
      <c r="D30" s="235">
        <f>$B$234*'Médias por UF'!BI28</f>
        <v>253023.8725956023</v>
      </c>
      <c r="E30" s="235">
        <f>$B$234*'Médias por UF'!BJ28</f>
        <v>290861.36173217808</v>
      </c>
      <c r="F30" s="235">
        <f>$B$234*'Médias por UF'!BK28</f>
        <v>339005.0238560958</v>
      </c>
      <c r="G30" s="235">
        <f>$B$234*'Médias por UF'!BL28</f>
        <v>389813.54517644626</v>
      </c>
      <c r="H30" s="235">
        <f>$B$234*'Médias por UF'!BM28</f>
        <v>405119.77173650038</v>
      </c>
      <c r="I30" s="235">
        <f>$B$234*'Médias por UF'!BN28</f>
        <v>422410.04402706929</v>
      </c>
      <c r="J30" s="235">
        <f>$B$234*'Médias por UF'!BO28</f>
        <v>436715.44795197033</v>
      </c>
      <c r="K30" s="235">
        <f>$B$234*'Médias por UF'!BP28</f>
        <v>449506.33789011493</v>
      </c>
      <c r="L30" s="235">
        <f>$B$234*'Médias por UF'!BQ28</f>
        <v>458900.02121759142</v>
      </c>
      <c r="M30" s="235">
        <f>$B$234*'Médias por UF'!BR28</f>
        <v>469911.71628318058</v>
      </c>
      <c r="N30" s="235">
        <f t="shared" si="0"/>
        <v>469911.71628318058</v>
      </c>
      <c r="P30" s="237" t="s">
        <v>144</v>
      </c>
      <c r="Q30" s="235">
        <f>'Médias por UF'!BG28*'Evolução das Receitas'!$Q$234</f>
        <v>70685.179182065258</v>
      </c>
      <c r="R30" s="235">
        <f>'Médias por UF'!BH28*'Evolução das Receitas'!$Q$234</f>
        <v>159555.17631437731</v>
      </c>
      <c r="S30" s="235">
        <f>'Médias por UF'!BI28*'Evolução das Receitas'!$Q$234</f>
        <v>208071.54328660958</v>
      </c>
      <c r="T30" s="235">
        <f>'Médias por UF'!BJ28*'Evolução das Receitas'!$Q$234</f>
        <v>239186.80793723246</v>
      </c>
      <c r="U30" s="235">
        <f>'Médias por UF'!BK28*'Evolução das Receitas'!$Q$234</f>
        <v>278777.24647898594</v>
      </c>
      <c r="V30" s="235">
        <f>'Médias por UF'!BL28*'Evolução das Receitas'!$Q$234</f>
        <v>320559.10419378115</v>
      </c>
      <c r="W30" s="235">
        <f>'Médias por UF'!BM28*'Evolução das Receitas'!$Q$234</f>
        <v>333146.02000363864</v>
      </c>
      <c r="X30" s="235">
        <f>'Médias por UF'!BN28*'Evolução das Receitas'!$Q$234</f>
        <v>347364.4951318503</v>
      </c>
      <c r="Y30" s="235">
        <f>'Médias por UF'!BO28*'Evolução das Receitas'!$Q$234</f>
        <v>359128.39488351438</v>
      </c>
      <c r="Z30" s="235">
        <f>'Médias por UF'!BP28*'Evolução das Receitas'!$Q$234</f>
        <v>369646.84985038044</v>
      </c>
      <c r="AA30" s="235">
        <f>'Médias por UF'!BQ28*'Evolução das Receitas'!$Q$234</f>
        <v>377371.64738447568</v>
      </c>
      <c r="AB30" s="235">
        <f>'Médias por UF'!BR28*'Evolução das Receitas'!$Q$234</f>
        <v>386427</v>
      </c>
      <c r="AC30" s="235">
        <f t="shared" si="1"/>
        <v>386427</v>
      </c>
      <c r="AE30" s="237" t="s">
        <v>144</v>
      </c>
      <c r="AF30" s="235">
        <f>JAN!B30+JAN!S30</f>
        <v>44751.808000000005</v>
      </c>
      <c r="AG30" s="235">
        <f>FEV!B30+FEV!S30+AF30</f>
        <v>113321.36000000002</v>
      </c>
      <c r="AH30" s="235">
        <f>MAR!B30+MAR!S30+AG30</f>
        <v>140855.12000000002</v>
      </c>
      <c r="AI30" s="235">
        <f>ABR!B30+ABR!S30+AH30</f>
        <v>170012.89600000004</v>
      </c>
      <c r="AJ30" s="235">
        <f>MAI!B30+MAI!S30</f>
        <v>0</v>
      </c>
      <c r="AK30" s="235">
        <f>JUN!B30+JUN!S30</f>
        <v>0</v>
      </c>
      <c r="AL30" s="235">
        <f>JUL!B30+JUL!S30</f>
        <v>0</v>
      </c>
      <c r="AM30" s="235">
        <f>AGO!B30+AGO!S30</f>
        <v>0</v>
      </c>
      <c r="AN30" s="235">
        <f>SET!B30+SET!S30</f>
        <v>0</v>
      </c>
      <c r="AO30" s="235">
        <f>OUT!B30+OUT!S30</f>
        <v>0</v>
      </c>
      <c r="AP30" s="235">
        <f>NOV!B30+NOV!S30</f>
        <v>0</v>
      </c>
      <c r="AQ30" s="235">
        <f>DEZ!B30+DEZ!S30</f>
        <v>0</v>
      </c>
      <c r="AR30" s="235">
        <f t="shared" si="2"/>
        <v>170012.89600000004</v>
      </c>
    </row>
    <row r="31" spans="1:44">
      <c r="A31" s="242" t="s">
        <v>145</v>
      </c>
      <c r="B31" s="235">
        <f>$B$235*'Médias por UF'!BG29</f>
        <v>27289.083529494212</v>
      </c>
      <c r="C31" s="235">
        <f>$B$235*'Médias por UF'!BH29</f>
        <v>78406.656259546682</v>
      </c>
      <c r="D31" s="235">
        <f>$B$235*'Médias por UF'!BI29</f>
        <v>113585.77890782277</v>
      </c>
      <c r="E31" s="235">
        <f>$B$235*'Médias por UF'!BJ29</f>
        <v>136247.66698241365</v>
      </c>
      <c r="F31" s="235">
        <f>$B$235*'Médias por UF'!BK29</f>
        <v>160927.93909973791</v>
      </c>
      <c r="G31" s="235">
        <f>$B$235*'Médias por UF'!BL29</f>
        <v>185309.85530853466</v>
      </c>
      <c r="H31" s="235">
        <f>$B$235*'Médias por UF'!BM29</f>
        <v>195467.43756295377</v>
      </c>
      <c r="I31" s="235">
        <f>$B$235*'Médias por UF'!BN29</f>
        <v>206117.5599772635</v>
      </c>
      <c r="J31" s="235">
        <f>$B$235*'Médias por UF'!BO29</f>
        <v>216391.5624581828</v>
      </c>
      <c r="K31" s="235">
        <f>$B$235*'Médias por UF'!BP29</f>
        <v>229349.16781545698</v>
      </c>
      <c r="L31" s="235">
        <f>$B$235*'Médias por UF'!BQ29</f>
        <v>238068.64455711277</v>
      </c>
      <c r="M31" s="235">
        <f>$B$235*'Médias por UF'!BR29</f>
        <v>245612.15641925824</v>
      </c>
      <c r="N31" s="235">
        <f t="shared" si="0"/>
        <v>245612.15641925824</v>
      </c>
      <c r="P31" s="237" t="s">
        <v>145</v>
      </c>
      <c r="Q31" s="235">
        <f>'Médias por UF'!BG29*'Evolução das Receitas'!$Q$235</f>
        <v>21807.742805119909</v>
      </c>
      <c r="R31" s="235">
        <f>'Médias por UF'!BH29*'Evolução das Receitas'!$Q$235</f>
        <v>62657.736089583166</v>
      </c>
      <c r="S31" s="235">
        <f>'Médias por UF'!BI29*'Evolução das Receitas'!$Q$235</f>
        <v>90770.708736473403</v>
      </c>
      <c r="T31" s="235">
        <f>'Médias por UF'!BJ29*'Evolução das Receitas'!$Q$235</f>
        <v>108880.68396063044</v>
      </c>
      <c r="U31" s="235">
        <f>'Médias por UF'!BK29*'Evolução das Receitas'!$Q$235</f>
        <v>128603.62651065295</v>
      </c>
      <c r="V31" s="235">
        <f>'Médias por UF'!BL29*'Evolução das Receitas'!$Q$235</f>
        <v>148088.14152570441</v>
      </c>
      <c r="W31" s="235">
        <f>'Médias por UF'!BM29*'Evolução das Receitas'!$Q$235</f>
        <v>156205.45118496096</v>
      </c>
      <c r="X31" s="235">
        <f>'Médias por UF'!BN29*'Evolução das Receitas'!$Q$235</f>
        <v>164716.36838755908</v>
      </c>
      <c r="Y31" s="235">
        <f>'Médias por UF'!BO29*'Evolução das Receitas'!$Q$235</f>
        <v>172926.71387024611</v>
      </c>
      <c r="Z31" s="235">
        <f>'Médias por UF'!BP29*'Evolução das Receitas'!$Q$235</f>
        <v>183281.62830686575</v>
      </c>
      <c r="AA31" s="235">
        <f>'Médias por UF'!BQ29*'Evolução das Receitas'!$Q$235</f>
        <v>190249.6932465233</v>
      </c>
      <c r="AB31" s="235">
        <f>'Médias por UF'!BR29*'Evolução das Receitas'!$Q$235</f>
        <v>196278</v>
      </c>
      <c r="AC31" s="235">
        <f t="shared" si="1"/>
        <v>196278</v>
      </c>
      <c r="AE31" s="237" t="s">
        <v>145</v>
      </c>
      <c r="AF31" s="235">
        <f>JAN!B31+JAN!S31</f>
        <v>18112.760000000002</v>
      </c>
      <c r="AG31" s="235">
        <f>FEV!B31+FEV!S31+AF31</f>
        <v>46821.528000000006</v>
      </c>
      <c r="AH31" s="235">
        <f>MAR!B31+MAR!S31+AG31</f>
        <v>62633.400000000009</v>
      </c>
      <c r="AI31" s="235">
        <f>ABR!B31+ABR!S31+AH31</f>
        <v>81492.112000000008</v>
      </c>
      <c r="AJ31" s="235">
        <f>MAI!B31+MAI!S31</f>
        <v>0</v>
      </c>
      <c r="AK31" s="235">
        <f>JUN!B31+JUN!S31</f>
        <v>0</v>
      </c>
      <c r="AL31" s="235">
        <f>JUL!B31+JUL!S31</f>
        <v>0</v>
      </c>
      <c r="AM31" s="235">
        <f>AGO!B31+AGO!S31</f>
        <v>0</v>
      </c>
      <c r="AN31" s="235">
        <f>SET!B31+SET!S31</f>
        <v>0</v>
      </c>
      <c r="AO31" s="235">
        <f>OUT!B31+OUT!S31</f>
        <v>0</v>
      </c>
      <c r="AP31" s="235">
        <f>NOV!B31+NOV!S31</f>
        <v>0</v>
      </c>
      <c r="AQ31" s="235">
        <f>DEZ!B31+DEZ!S31</f>
        <v>0</v>
      </c>
      <c r="AR31" s="235">
        <f t="shared" si="2"/>
        <v>81492.112000000008</v>
      </c>
    </row>
    <row r="32" spans="1:44">
      <c r="A32" s="243" t="s">
        <v>37</v>
      </c>
      <c r="B32" s="236">
        <f>SUM(B5:B31)</f>
        <v>15718134.699492829</v>
      </c>
      <c r="C32" s="236">
        <f t="shared" ref="C32:D32" si="3">SUM(C5:C31)</f>
        <v>27725395.122114528</v>
      </c>
      <c r="D32" s="236">
        <f t="shared" si="3"/>
        <v>34125028.139341936</v>
      </c>
      <c r="E32" s="236">
        <f>SUM(E5:E31)</f>
        <v>38942561.811904989</v>
      </c>
      <c r="F32" s="236">
        <f t="shared" ref="F32:N32" si="4">SUM(F5:F31)</f>
        <v>45743982.030576922</v>
      </c>
      <c r="G32" s="236">
        <f t="shared" si="4"/>
        <v>50871843.977406837</v>
      </c>
      <c r="H32" s="236">
        <f t="shared" si="4"/>
        <v>52611808.04014802</v>
      </c>
      <c r="I32" s="236">
        <f t="shared" si="4"/>
        <v>54402063.73057124</v>
      </c>
      <c r="J32" s="236">
        <f t="shared" si="4"/>
        <v>55693750.380433626</v>
      </c>
      <c r="K32" s="236">
        <f t="shared" si="4"/>
        <v>57262267.60988573</v>
      </c>
      <c r="L32" s="236">
        <f t="shared" si="4"/>
        <v>58609853.202598214</v>
      </c>
      <c r="M32" s="236">
        <f t="shared" si="4"/>
        <v>59760882.848384604</v>
      </c>
      <c r="N32" s="236">
        <f t="shared" si="4"/>
        <v>59760882.848384604</v>
      </c>
      <c r="P32" s="238" t="s">
        <v>37</v>
      </c>
      <c r="Q32" s="236">
        <f>SUM(Q5:Q31)</f>
        <v>11787193.659854457</v>
      </c>
      <c r="R32" s="236">
        <f t="shared" ref="R32:S32" si="5">SUM(R5:R31)</f>
        <v>21177042.558216851</v>
      </c>
      <c r="S32" s="236">
        <f t="shared" si="5"/>
        <v>26168603.104914751</v>
      </c>
      <c r="T32" s="236">
        <f>SUM(T5:T31)</f>
        <v>29877344.241876312</v>
      </c>
      <c r="U32" s="236">
        <f t="shared" ref="U32:AC32" si="6">SUM(U5:U31)</f>
        <v>35091971.946575053</v>
      </c>
      <c r="V32" s="236">
        <f t="shared" si="6"/>
        <v>39122740.686206222</v>
      </c>
      <c r="W32" s="236">
        <f t="shared" si="6"/>
        <v>40467461.078674242</v>
      </c>
      <c r="X32" s="236">
        <f t="shared" si="6"/>
        <v>41848218.258252613</v>
      </c>
      <c r="Y32" s="236">
        <f t="shared" si="6"/>
        <v>42852314.317399591</v>
      </c>
      <c r="Z32" s="236">
        <f t="shared" si="6"/>
        <v>44052903.672140196</v>
      </c>
      <c r="AA32" s="236">
        <f t="shared" si="6"/>
        <v>45096784.821203485</v>
      </c>
      <c r="AB32" s="236">
        <f t="shared" si="6"/>
        <v>45991434.443067536</v>
      </c>
      <c r="AC32" s="236">
        <f t="shared" si="6"/>
        <v>45991434.443067536</v>
      </c>
      <c r="AE32" s="238" t="s">
        <v>37</v>
      </c>
      <c r="AF32" s="236">
        <f>SUM(AF5:AF31)</f>
        <v>8603894.6000000015</v>
      </c>
      <c r="AG32" s="236">
        <f t="shared" ref="AG32:AL32" si="7">SUM(AG5:AG31)</f>
        <v>17718931.096000005</v>
      </c>
      <c r="AH32" s="236">
        <f t="shared" si="7"/>
        <v>21311202.944000002</v>
      </c>
      <c r="AI32" s="236">
        <f>SUM(AI5:AI31)</f>
        <v>25349868.192000002</v>
      </c>
      <c r="AJ32" s="236">
        <f t="shared" si="7"/>
        <v>0</v>
      </c>
      <c r="AK32" s="236">
        <f t="shared" si="7"/>
        <v>0</v>
      </c>
      <c r="AL32" s="236">
        <f t="shared" si="7"/>
        <v>0</v>
      </c>
      <c r="AM32" s="236">
        <f t="shared" ref="AM32:AR32" si="8">SUM(AM5:AM31)</f>
        <v>0</v>
      </c>
      <c r="AN32" s="236">
        <f t="shared" si="8"/>
        <v>0</v>
      </c>
      <c r="AO32" s="236">
        <f t="shared" si="8"/>
        <v>0</v>
      </c>
      <c r="AP32" s="236">
        <f t="shared" si="8"/>
        <v>0</v>
      </c>
      <c r="AQ32" s="236">
        <f t="shared" si="8"/>
        <v>0</v>
      </c>
      <c r="AR32" s="236">
        <f t="shared" si="8"/>
        <v>25349868.192000002</v>
      </c>
    </row>
    <row r="33" spans="1:45">
      <c r="N33" s="94">
        <f>N32-SUM(B209:B235)</f>
        <v>0</v>
      </c>
      <c r="AC33" s="94">
        <f>AC32-SUM(Q209:Q235)</f>
        <v>0</v>
      </c>
      <c r="AR33" s="94">
        <f>AR32-'TOTAL POR UF'!B32</f>
        <v>0</v>
      </c>
    </row>
    <row r="34" spans="1:45">
      <c r="A34" s="242" t="s">
        <v>337</v>
      </c>
      <c r="B34" s="235">
        <f>B32*0.2/0.8</f>
        <v>3929533.6748732072</v>
      </c>
      <c r="C34" s="235">
        <f t="shared" ref="C34:M34" si="9">C32*0.2/0.8</f>
        <v>6931348.7805286329</v>
      </c>
      <c r="D34" s="235">
        <f t="shared" si="9"/>
        <v>8531257.0348354839</v>
      </c>
      <c r="E34" s="235">
        <f t="shared" si="9"/>
        <v>9735640.4529762473</v>
      </c>
      <c r="F34" s="235">
        <f t="shared" si="9"/>
        <v>11435995.50764423</v>
      </c>
      <c r="G34" s="235">
        <f t="shared" si="9"/>
        <v>12717960.994351711</v>
      </c>
      <c r="H34" s="235">
        <f t="shared" si="9"/>
        <v>13152952.010037005</v>
      </c>
      <c r="I34" s="235">
        <f t="shared" si="9"/>
        <v>13600515.93264281</v>
      </c>
      <c r="J34" s="235">
        <f t="shared" si="9"/>
        <v>13923437.595108407</v>
      </c>
      <c r="K34" s="235">
        <f t="shared" si="9"/>
        <v>14315566.902471432</v>
      </c>
      <c r="L34" s="235">
        <f t="shared" si="9"/>
        <v>14652463.300649554</v>
      </c>
      <c r="M34" s="235">
        <f t="shared" si="9"/>
        <v>14940220.712096151</v>
      </c>
      <c r="N34" s="235">
        <f t="shared" ref="N34" si="10">M34</f>
        <v>14940220.712096151</v>
      </c>
      <c r="P34" s="242" t="s">
        <v>337</v>
      </c>
      <c r="Q34" s="235">
        <f>Q32*0.2/0.8</f>
        <v>2946798.4149636142</v>
      </c>
      <c r="R34" s="235">
        <f t="shared" ref="R34:AB34" si="11">R32*0.2/0.8</f>
        <v>5294260.6395542128</v>
      </c>
      <c r="S34" s="235">
        <f t="shared" si="11"/>
        <v>6542150.7762286877</v>
      </c>
      <c r="T34" s="235">
        <f t="shared" si="11"/>
        <v>7469336.0604690779</v>
      </c>
      <c r="U34" s="235">
        <f t="shared" si="11"/>
        <v>8772992.9866437633</v>
      </c>
      <c r="V34" s="235">
        <f t="shared" si="11"/>
        <v>9780685.1715515554</v>
      </c>
      <c r="W34" s="235">
        <f t="shared" si="11"/>
        <v>10116865.26966856</v>
      </c>
      <c r="X34" s="235">
        <f t="shared" si="11"/>
        <v>10462054.564563153</v>
      </c>
      <c r="Y34" s="235">
        <f t="shared" si="11"/>
        <v>10713078.579349896</v>
      </c>
      <c r="Z34" s="235">
        <f t="shared" si="11"/>
        <v>11013225.918035047</v>
      </c>
      <c r="AA34" s="235">
        <f t="shared" si="11"/>
        <v>11274196.205300871</v>
      </c>
      <c r="AB34" s="235">
        <f t="shared" si="11"/>
        <v>11497858.610766884</v>
      </c>
      <c r="AC34" s="235">
        <f t="shared" ref="AC34" si="12">AB34</f>
        <v>11497858.610766884</v>
      </c>
      <c r="AE34" s="237" t="s">
        <v>337</v>
      </c>
      <c r="AF34" s="235">
        <f>JAN!B67+JAN!S67</f>
        <v>2150973.6500000004</v>
      </c>
      <c r="AG34" s="235">
        <f>FEV!B67+FEV!S67+AF34</f>
        <v>4429732.7740000002</v>
      </c>
      <c r="AH34" s="235">
        <f>MAR!B67+MAR!S67+AG34</f>
        <v>5327800.7360000005</v>
      </c>
      <c r="AI34" s="235">
        <f>ABR!B67+ABR!S67+AH34</f>
        <v>6337467.0480000004</v>
      </c>
      <c r="AJ34" s="235">
        <f>MAI!B67+MAI!S67</f>
        <v>0</v>
      </c>
      <c r="AK34" s="235">
        <f>JUN!B67+JUN!S67</f>
        <v>0</v>
      </c>
      <c r="AL34" s="235">
        <f>JUL!B67+JUL!S67</f>
        <v>0</v>
      </c>
      <c r="AM34" s="235">
        <f>AGO!B67+AGO!S67</f>
        <v>0</v>
      </c>
      <c r="AN34" s="235">
        <f>SET!B67+SET!S67</f>
        <v>0</v>
      </c>
      <c r="AO34" s="235">
        <f>OUT!B67+OUT!S67</f>
        <v>0</v>
      </c>
      <c r="AP34" s="235">
        <f>NOV!B67+NOV!S67</f>
        <v>0</v>
      </c>
      <c r="AQ34" s="235">
        <f>DEZ!B67+DEZ!S67</f>
        <v>0</v>
      </c>
      <c r="AR34" s="235">
        <f>AI34</f>
        <v>6337467.0480000004</v>
      </c>
      <c r="AS34" s="93">
        <f>AR34-'TOTAL POR UF'!B65</f>
        <v>0</v>
      </c>
    </row>
    <row r="35" spans="1:45" ht="21">
      <c r="A35" s="326" t="s">
        <v>391</v>
      </c>
      <c r="B35" s="326"/>
      <c r="C35" s="326"/>
      <c r="D35" s="326"/>
      <c r="E35" s="326"/>
      <c r="F35" s="326"/>
      <c r="G35" s="326"/>
      <c r="H35" s="326"/>
      <c r="I35" s="326"/>
      <c r="J35" s="326"/>
      <c r="K35" s="326"/>
      <c r="L35" s="326"/>
      <c r="M35" s="326"/>
      <c r="N35" s="326"/>
      <c r="P35" s="326" t="s">
        <v>161</v>
      </c>
      <c r="Q35" s="326"/>
      <c r="R35" s="326"/>
      <c r="S35" s="326"/>
      <c r="T35" s="326"/>
      <c r="U35" s="326"/>
      <c r="V35" s="326"/>
      <c r="W35" s="326"/>
      <c r="X35" s="326"/>
      <c r="Y35" s="326"/>
      <c r="Z35" s="326"/>
      <c r="AA35" s="326"/>
      <c r="AB35" s="326"/>
      <c r="AC35" s="326"/>
      <c r="AE35" s="326" t="s">
        <v>390</v>
      </c>
      <c r="AF35" s="326"/>
      <c r="AG35" s="326"/>
      <c r="AH35" s="326"/>
      <c r="AI35" s="326"/>
      <c r="AJ35" s="326"/>
      <c r="AK35" s="326"/>
      <c r="AL35" s="326"/>
      <c r="AM35" s="326"/>
      <c r="AN35" s="326"/>
      <c r="AO35" s="326"/>
      <c r="AP35" s="326"/>
      <c r="AQ35" s="326"/>
      <c r="AR35" s="326"/>
    </row>
    <row r="37" spans="1:45">
      <c r="A37" s="327" t="s">
        <v>33</v>
      </c>
      <c r="B37" s="329" t="s">
        <v>392</v>
      </c>
      <c r="C37" s="330"/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P37" s="327" t="s">
        <v>33</v>
      </c>
      <c r="Q37" s="329" t="s">
        <v>392</v>
      </c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E37" s="327" t="s">
        <v>33</v>
      </c>
      <c r="AF37" s="329" t="s">
        <v>392</v>
      </c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</row>
    <row r="38" spans="1:45">
      <c r="A38" s="328"/>
      <c r="B38" s="240" t="s">
        <v>148</v>
      </c>
      <c r="C38" s="240" t="s">
        <v>149</v>
      </c>
      <c r="D38" s="240" t="s">
        <v>150</v>
      </c>
      <c r="E38" s="240" t="s">
        <v>151</v>
      </c>
      <c r="F38" s="240" t="s">
        <v>152</v>
      </c>
      <c r="G38" s="240" t="s">
        <v>153</v>
      </c>
      <c r="H38" s="240" t="s">
        <v>154</v>
      </c>
      <c r="I38" s="240" t="s">
        <v>155</v>
      </c>
      <c r="J38" s="240" t="s">
        <v>156</v>
      </c>
      <c r="K38" s="240" t="s">
        <v>157</v>
      </c>
      <c r="L38" s="240" t="s">
        <v>158</v>
      </c>
      <c r="M38" s="240" t="s">
        <v>159</v>
      </c>
      <c r="N38" s="240" t="s">
        <v>160</v>
      </c>
      <c r="P38" s="328"/>
      <c r="Q38" s="240" t="s">
        <v>148</v>
      </c>
      <c r="R38" s="240" t="s">
        <v>149</v>
      </c>
      <c r="S38" s="240" t="s">
        <v>150</v>
      </c>
      <c r="T38" s="240" t="s">
        <v>151</v>
      </c>
      <c r="U38" s="240" t="s">
        <v>152</v>
      </c>
      <c r="V38" s="240" t="s">
        <v>153</v>
      </c>
      <c r="W38" s="240" t="s">
        <v>154</v>
      </c>
      <c r="X38" s="240" t="s">
        <v>155</v>
      </c>
      <c r="Y38" s="240" t="s">
        <v>156</v>
      </c>
      <c r="Z38" s="240" t="s">
        <v>157</v>
      </c>
      <c r="AA38" s="240" t="s">
        <v>158</v>
      </c>
      <c r="AB38" s="240" t="s">
        <v>159</v>
      </c>
      <c r="AC38" s="240" t="s">
        <v>160</v>
      </c>
      <c r="AE38" s="328"/>
      <c r="AF38" s="240" t="s">
        <v>148</v>
      </c>
      <c r="AG38" s="240" t="s">
        <v>149</v>
      </c>
      <c r="AH38" s="240" t="s">
        <v>150</v>
      </c>
      <c r="AI38" s="240" t="s">
        <v>151</v>
      </c>
      <c r="AJ38" s="240" t="s">
        <v>152</v>
      </c>
      <c r="AK38" s="240" t="s">
        <v>153</v>
      </c>
      <c r="AL38" s="240" t="s">
        <v>154</v>
      </c>
      <c r="AM38" s="240" t="s">
        <v>155</v>
      </c>
      <c r="AN38" s="240" t="s">
        <v>156</v>
      </c>
      <c r="AO38" s="240" t="s">
        <v>157</v>
      </c>
      <c r="AP38" s="240" t="s">
        <v>158</v>
      </c>
      <c r="AQ38" s="240" t="s">
        <v>159</v>
      </c>
      <c r="AR38" s="240" t="s">
        <v>160</v>
      </c>
    </row>
    <row r="39" spans="1:45">
      <c r="A39" s="242" t="s">
        <v>119</v>
      </c>
      <c r="B39" s="235">
        <f>$C$209*'Médias por UF'!BG33</f>
        <v>1139.0847192379565</v>
      </c>
      <c r="C39" s="235">
        <f>$C$209*'Médias por UF'!BH33</f>
        <v>1735.3126370487191</v>
      </c>
      <c r="D39" s="235">
        <f>$C$209*'Médias por UF'!BI33</f>
        <v>2254.2103627985921</v>
      </c>
      <c r="E39" s="235">
        <f>$C$209*'Médias por UF'!BJ33</f>
        <v>2656.6393582070864</v>
      </c>
      <c r="F39" s="235">
        <f>$C$209*'Médias por UF'!BK33</f>
        <v>3373.6192563893042</v>
      </c>
      <c r="G39" s="235">
        <f>$C$209*'Médias por UF'!BL33</f>
        <v>3573.5279991701841</v>
      </c>
      <c r="H39" s="235">
        <f>$C$209*'Médias por UF'!BM33</f>
        <v>4189.8622620381038</v>
      </c>
      <c r="I39" s="235">
        <f>$C$209*'Médias por UF'!BN33</f>
        <v>5215.952084506006</v>
      </c>
      <c r="J39" s="235">
        <f>$C$209*'Médias por UF'!BO33</f>
        <v>5561.5786408325694</v>
      </c>
      <c r="K39" s="235">
        <f>$C$209*'Médias por UF'!BP33</f>
        <v>6117.1286239142555</v>
      </c>
      <c r="L39" s="235">
        <f>$C$209*'Médias por UF'!BQ33</f>
        <v>6738.010243192286</v>
      </c>
      <c r="M39" s="235">
        <f>$C$209*'Médias por UF'!BR33</f>
        <v>7000</v>
      </c>
      <c r="N39" s="235">
        <f>M39</f>
        <v>7000</v>
      </c>
      <c r="P39" s="237" t="s">
        <v>119</v>
      </c>
      <c r="Q39" s="235">
        <f>'Médias por UF'!BG33*'Evolução das Receitas'!$R$209</f>
        <v>1139.0847192379565</v>
      </c>
      <c r="R39" s="235">
        <f>'Médias por UF'!BH33*'Evolução das Receitas'!$R$209</f>
        <v>1735.3126370487191</v>
      </c>
      <c r="S39" s="235">
        <f>'Médias por UF'!BI33*'Evolução das Receitas'!$R$209</f>
        <v>2254.2103627985921</v>
      </c>
      <c r="T39" s="235">
        <f>'Médias por UF'!BJ33*'Evolução das Receitas'!$R$209</f>
        <v>2656.6393582070864</v>
      </c>
      <c r="U39" s="235">
        <f>'Médias por UF'!BK33*'Evolução das Receitas'!$R$209</f>
        <v>3373.6192563893042</v>
      </c>
      <c r="V39" s="235">
        <f>'Médias por UF'!BL33*'Evolução das Receitas'!$R$209</f>
        <v>3573.5279991701841</v>
      </c>
      <c r="W39" s="235">
        <f>'Médias por UF'!BM33*'Evolução das Receitas'!$R$209</f>
        <v>4189.8622620381038</v>
      </c>
      <c r="X39" s="235">
        <f>'Médias por UF'!BN33*'Evolução das Receitas'!$R$209</f>
        <v>5215.952084506006</v>
      </c>
      <c r="Y39" s="235">
        <f>'Médias por UF'!BO33*'Evolução das Receitas'!$R$209</f>
        <v>5561.5786408325694</v>
      </c>
      <c r="Z39" s="235">
        <f>'Médias por UF'!BP33*'Evolução das Receitas'!$R$209</f>
        <v>6117.1286239142555</v>
      </c>
      <c r="AA39" s="235">
        <f>'Médias por UF'!BQ33*'Evolução das Receitas'!$R$209</f>
        <v>6738.010243192286</v>
      </c>
      <c r="AB39" s="235">
        <f>'Médias por UF'!BR33*'Evolução das Receitas'!$R$209</f>
        <v>7000</v>
      </c>
      <c r="AC39" s="235">
        <f>AB39</f>
        <v>7000</v>
      </c>
      <c r="AE39" s="237" t="s">
        <v>119</v>
      </c>
      <c r="AF39" s="235">
        <f>JAN!C5+JAN!T5</f>
        <v>2543.8880000000004</v>
      </c>
      <c r="AG39" s="235">
        <f>FEV!C5+FEV!T5+AF39</f>
        <v>4448.5920000000006</v>
      </c>
      <c r="AH39" s="235">
        <f>MAR!C5+MAR!T5+AG39</f>
        <v>5044.4640000000009</v>
      </c>
      <c r="AI39" s="235">
        <f>ABR!C5+ABR!T5+AH39</f>
        <v>6688.7520000000013</v>
      </c>
      <c r="AJ39" s="235">
        <f>MAI!C5+MAI!T5</f>
        <v>0</v>
      </c>
      <c r="AK39" s="235">
        <f>JUN!C5+JUN!T5</f>
        <v>0</v>
      </c>
      <c r="AL39" s="235">
        <f>JUL!C5+JUL!T5</f>
        <v>0</v>
      </c>
      <c r="AM39" s="235">
        <f>AGO!C5+AGO!T5</f>
        <v>0</v>
      </c>
      <c r="AN39" s="235">
        <f>SET!C5+SET!T5</f>
        <v>0</v>
      </c>
      <c r="AO39" s="235">
        <f>OUT!C5+OUT!T5</f>
        <v>0</v>
      </c>
      <c r="AP39" s="235">
        <f>NOV!C5+NOV!T5</f>
        <v>0</v>
      </c>
      <c r="AQ39" s="235">
        <f>DEZ!C5+DEZ!T5</f>
        <v>0</v>
      </c>
      <c r="AR39" s="235">
        <f>AI39</f>
        <v>6688.7520000000013</v>
      </c>
    </row>
    <row r="40" spans="1:45">
      <c r="A40" s="242" t="s">
        <v>120</v>
      </c>
      <c r="B40" s="235">
        <f>$C$210*'Médias por UF'!BG34</f>
        <v>4638.4203532002521</v>
      </c>
      <c r="C40" s="235">
        <f>$C$210*'Médias por UF'!BH34</f>
        <v>8758.7929751492084</v>
      </c>
      <c r="D40" s="235">
        <f>$C$210*'Médias por UF'!BI34</f>
        <v>11548.156056363172</v>
      </c>
      <c r="E40" s="235">
        <f>$C$210*'Médias por UF'!BJ34</f>
        <v>13984.328207868881</v>
      </c>
      <c r="F40" s="235">
        <f>$C$210*'Médias por UF'!BK34</f>
        <v>17244.066062957725</v>
      </c>
      <c r="G40" s="235">
        <f>$C$210*'Médias por UF'!BL34</f>
        <v>19436.614709178131</v>
      </c>
      <c r="H40" s="235">
        <f>$C$210*'Médias por UF'!BM34</f>
        <v>21063.412193555232</v>
      </c>
      <c r="I40" s="235">
        <f>$C$210*'Médias por UF'!BN34</f>
        <v>23210.573469560048</v>
      </c>
      <c r="J40" s="235">
        <f>$C$210*'Médias por UF'!BO34</f>
        <v>24859.764234121314</v>
      </c>
      <c r="K40" s="235">
        <f>$C$210*'Médias por UF'!BP34</f>
        <v>26286.968249612019</v>
      </c>
      <c r="L40" s="235">
        <f>$C$210*'Médias por UF'!BQ34</f>
        <v>28152.51927839372</v>
      </c>
      <c r="M40" s="235">
        <f>$C$210*'Médias por UF'!BR34</f>
        <v>30000</v>
      </c>
      <c r="N40" s="235">
        <f t="shared" ref="N40:N65" si="13">M40</f>
        <v>30000</v>
      </c>
      <c r="P40" s="237" t="s">
        <v>120</v>
      </c>
      <c r="Q40" s="235">
        <f>'Médias por UF'!BG34*'Evolução das Receitas'!$R$210</f>
        <v>4638.4203532002521</v>
      </c>
      <c r="R40" s="235">
        <f>'Médias por UF'!BH34*'Evolução das Receitas'!$R$210</f>
        <v>8758.7929751492084</v>
      </c>
      <c r="S40" s="235">
        <f>'Médias por UF'!BI34*'Evolução das Receitas'!$R$210</f>
        <v>11548.156056363172</v>
      </c>
      <c r="T40" s="235">
        <f>'Médias por UF'!BJ34*'Evolução das Receitas'!$R$210</f>
        <v>13984.328207868881</v>
      </c>
      <c r="U40" s="235">
        <f>'Médias por UF'!BK34*'Evolução das Receitas'!$R$210</f>
        <v>17244.066062957725</v>
      </c>
      <c r="V40" s="235">
        <f>'Médias por UF'!BL34*'Evolução das Receitas'!$R$210</f>
        <v>19436.614709178131</v>
      </c>
      <c r="W40" s="235">
        <f>'Médias por UF'!BM34*'Evolução das Receitas'!$R$210</f>
        <v>21063.412193555232</v>
      </c>
      <c r="X40" s="235">
        <f>'Médias por UF'!BN34*'Evolução das Receitas'!$R$210</f>
        <v>23210.573469560048</v>
      </c>
      <c r="Y40" s="235">
        <f>'Médias por UF'!BO34*'Evolução das Receitas'!$R$210</f>
        <v>24859.764234121314</v>
      </c>
      <c r="Z40" s="235">
        <f>'Médias por UF'!BP34*'Evolução das Receitas'!$R$210</f>
        <v>26286.968249612019</v>
      </c>
      <c r="AA40" s="235">
        <f>'Médias por UF'!BQ34*'Evolução das Receitas'!$R$210</f>
        <v>28152.51927839372</v>
      </c>
      <c r="AB40" s="235">
        <f>'Médias por UF'!BR34*'Evolução das Receitas'!$R$210</f>
        <v>30000</v>
      </c>
      <c r="AC40" s="235">
        <f t="shared" ref="AC40:AC65" si="14">AB40</f>
        <v>30000</v>
      </c>
      <c r="AE40" s="237" t="s">
        <v>120</v>
      </c>
      <c r="AF40" s="235">
        <f>JAN!C6+JAN!T6</f>
        <v>9894.4800000000014</v>
      </c>
      <c r="AG40" s="235">
        <f>FEV!C6+FEV!T6+AF40</f>
        <v>23580.464</v>
      </c>
      <c r="AH40" s="235">
        <f>MAR!C6+MAR!T6+AG40</f>
        <v>31922.584000000003</v>
      </c>
      <c r="AI40" s="235">
        <f>ABR!C6+ABR!T6+AH40</f>
        <v>38132.104000000007</v>
      </c>
      <c r="AJ40" s="235">
        <f>MAI!C6+MAI!T6</f>
        <v>0</v>
      </c>
      <c r="AK40" s="235">
        <f>JUN!C6+JUN!T6</f>
        <v>0</v>
      </c>
      <c r="AL40" s="235">
        <f>JUL!C6+JUL!T6</f>
        <v>0</v>
      </c>
      <c r="AM40" s="235">
        <f>AGO!C6+AGO!T6</f>
        <v>0</v>
      </c>
      <c r="AN40" s="235">
        <f>SET!C6+SET!T6</f>
        <v>0</v>
      </c>
      <c r="AO40" s="235">
        <f>OUT!C6+OUT!T6</f>
        <v>0</v>
      </c>
      <c r="AP40" s="235">
        <f>NOV!C6+NOV!T6</f>
        <v>0</v>
      </c>
      <c r="AQ40" s="235">
        <f>DEZ!C6+DEZ!T6</f>
        <v>0</v>
      </c>
      <c r="AR40" s="235">
        <f t="shared" ref="AR40:AR65" si="15">AI40</f>
        <v>38132.104000000007</v>
      </c>
    </row>
    <row r="41" spans="1:45">
      <c r="A41" s="242" t="s">
        <v>121</v>
      </c>
      <c r="B41" s="235">
        <f>$C$211*'Médias por UF'!BG35</f>
        <v>1024.1631691279385</v>
      </c>
      <c r="C41" s="235">
        <f>$C$211*'Médias por UF'!BH35</f>
        <v>1900.8284839503694</v>
      </c>
      <c r="D41" s="235">
        <f>$C$211*'Médias por UF'!BI35</f>
        <v>3062.8996069898244</v>
      </c>
      <c r="E41" s="235">
        <f>$C$211*'Médias por UF'!BJ35</f>
        <v>3777.6997022369328</v>
      </c>
      <c r="F41" s="235">
        <f>$C$211*'Médias por UF'!BK35</f>
        <v>4468.1571371702721</v>
      </c>
      <c r="G41" s="235">
        <f>$C$211*'Médias por UF'!BL35</f>
        <v>5138.3679344450366</v>
      </c>
      <c r="H41" s="235">
        <f>$C$211*'Médias por UF'!BM35</f>
        <v>5882.7574484180741</v>
      </c>
      <c r="I41" s="235">
        <f>$C$211*'Médias por UF'!BN35</f>
        <v>6538.1681723892234</v>
      </c>
      <c r="J41" s="235">
        <f>$C$211*'Médias por UF'!BO35</f>
        <v>7374.4314408271402</v>
      </c>
      <c r="K41" s="235">
        <f>$C$211*'Médias por UF'!BP35</f>
        <v>8230.0356224888728</v>
      </c>
      <c r="L41" s="235">
        <f>$C$211*'Médias por UF'!BQ35</f>
        <v>9211.2177425176233</v>
      </c>
      <c r="M41" s="235">
        <f>$C$211*'Médias por UF'!BR35</f>
        <v>9748</v>
      </c>
      <c r="N41" s="235">
        <f t="shared" si="13"/>
        <v>9748</v>
      </c>
      <c r="P41" s="237" t="s">
        <v>121</v>
      </c>
      <c r="Q41" s="235">
        <f>'Médias por UF'!BG35*'Evolução das Receitas'!$R$211</f>
        <v>1024.1631691279385</v>
      </c>
      <c r="R41" s="235">
        <f>'Médias por UF'!BH35*'Evolução das Receitas'!$R$211</f>
        <v>1900.8284839503694</v>
      </c>
      <c r="S41" s="235">
        <f>'Médias por UF'!BI35*'Evolução das Receitas'!$R$211</f>
        <v>3062.8996069898244</v>
      </c>
      <c r="T41" s="235">
        <f>'Médias por UF'!BJ35*'Evolução das Receitas'!$R$211</f>
        <v>3777.6997022369328</v>
      </c>
      <c r="U41" s="235">
        <f>'Médias por UF'!BK35*'Evolução das Receitas'!$R$211</f>
        <v>4468.1571371702721</v>
      </c>
      <c r="V41" s="235">
        <f>'Médias por UF'!BL35*'Evolução das Receitas'!$R$211</f>
        <v>5138.3679344450366</v>
      </c>
      <c r="W41" s="235">
        <f>'Médias por UF'!BM35*'Evolução das Receitas'!$R$211</f>
        <v>5882.7574484180741</v>
      </c>
      <c r="X41" s="235">
        <f>'Médias por UF'!BN35*'Evolução das Receitas'!$R$211</f>
        <v>6538.1681723892234</v>
      </c>
      <c r="Y41" s="235">
        <f>'Médias por UF'!BO35*'Evolução das Receitas'!$R$211</f>
        <v>7374.4314408271402</v>
      </c>
      <c r="Z41" s="235">
        <f>'Médias por UF'!BP35*'Evolução das Receitas'!$R$211</f>
        <v>8230.0356224888728</v>
      </c>
      <c r="AA41" s="235">
        <f>'Médias por UF'!BQ35*'Evolução das Receitas'!$R$211</f>
        <v>9211.2177425176233</v>
      </c>
      <c r="AB41" s="235">
        <f>'Médias por UF'!BR35*'Evolução das Receitas'!$R$211</f>
        <v>9748</v>
      </c>
      <c r="AC41" s="235">
        <f t="shared" si="14"/>
        <v>9748</v>
      </c>
      <c r="AE41" s="237" t="s">
        <v>121</v>
      </c>
      <c r="AF41" s="235">
        <f>JAN!C7+JAN!T7</f>
        <v>8753.6479999999992</v>
      </c>
      <c r="AG41" s="235">
        <f>FEV!C7+FEV!T7+AF41</f>
        <v>13793.376</v>
      </c>
      <c r="AH41" s="235">
        <f>MAR!C7+MAR!T7+AG41</f>
        <v>18409.599999999999</v>
      </c>
      <c r="AI41" s="235">
        <f>ABR!C7+ABR!T7+AH41</f>
        <v>23777.103999999999</v>
      </c>
      <c r="AJ41" s="235">
        <f>MAI!C7+MAI!T7</f>
        <v>0</v>
      </c>
      <c r="AK41" s="235">
        <f>JUN!C7+JUN!T7</f>
        <v>0</v>
      </c>
      <c r="AL41" s="235">
        <f>JUL!C7+JUL!T7</f>
        <v>0</v>
      </c>
      <c r="AM41" s="235">
        <f>AGO!C7+AGO!T7</f>
        <v>0</v>
      </c>
      <c r="AN41" s="235">
        <f>SET!C7+SET!T7</f>
        <v>0</v>
      </c>
      <c r="AO41" s="235">
        <f>OUT!C7+OUT!T7</f>
        <v>0</v>
      </c>
      <c r="AP41" s="235">
        <f>NOV!C7+NOV!T7</f>
        <v>0</v>
      </c>
      <c r="AQ41" s="235">
        <f>DEZ!C7+DEZ!T7</f>
        <v>0</v>
      </c>
      <c r="AR41" s="235">
        <f t="shared" si="15"/>
        <v>23777.103999999999</v>
      </c>
    </row>
    <row r="42" spans="1:45">
      <c r="A42" s="242" t="s">
        <v>122</v>
      </c>
      <c r="B42" s="235">
        <f>$C$212*'Médias por UF'!BG36</f>
        <v>4490.0239214703133</v>
      </c>
      <c r="C42" s="235">
        <f>$C$212*'Médias por UF'!BH36</f>
        <v>7901.3077453415754</v>
      </c>
      <c r="D42" s="235">
        <f>$C$212*'Médias por UF'!BI36</f>
        <v>10649.511118808778</v>
      </c>
      <c r="E42" s="235">
        <f>$C$212*'Médias por UF'!BJ36</f>
        <v>12872.93900145625</v>
      </c>
      <c r="F42" s="235">
        <f>$C$212*'Médias por UF'!BK36</f>
        <v>15045.225102730219</v>
      </c>
      <c r="G42" s="235">
        <f>$C$212*'Médias por UF'!BL36</f>
        <v>17264.320474071064</v>
      </c>
      <c r="H42" s="235">
        <f>$C$212*'Médias por UF'!BM36</f>
        <v>19703.60716087517</v>
      </c>
      <c r="I42" s="235">
        <f>$C$212*'Médias por UF'!BN36</f>
        <v>22401.001825128329</v>
      </c>
      <c r="J42" s="235">
        <f>$C$212*'Médias por UF'!BO36</f>
        <v>24742.765229979024</v>
      </c>
      <c r="K42" s="235">
        <f>$C$212*'Médias por UF'!BP36</f>
        <v>27037.506326662944</v>
      </c>
      <c r="L42" s="235">
        <f>$C$212*'Médias por UF'!BQ36</f>
        <v>28977.486607479794</v>
      </c>
      <c r="M42" s="235">
        <f>$C$212*'Médias por UF'!BR36</f>
        <v>30791.06</v>
      </c>
      <c r="N42" s="235">
        <f t="shared" si="13"/>
        <v>30791.06</v>
      </c>
      <c r="P42" s="237" t="s">
        <v>122</v>
      </c>
      <c r="Q42" s="235">
        <f>'Médias por UF'!BG36*'Evolução das Receitas'!$R$212</f>
        <v>4490.0239214703133</v>
      </c>
      <c r="R42" s="235">
        <f>'Médias por UF'!BH36*'Evolução das Receitas'!$R$212</f>
        <v>7901.3077453415754</v>
      </c>
      <c r="S42" s="235">
        <f>'Médias por UF'!BI36*'Evolução das Receitas'!$R$212</f>
        <v>10649.511118808778</v>
      </c>
      <c r="T42" s="235">
        <f>'Médias por UF'!BJ36*'Evolução das Receitas'!$R$212</f>
        <v>12872.93900145625</v>
      </c>
      <c r="U42" s="235">
        <f>'Médias por UF'!BK36*'Evolução das Receitas'!$R$212</f>
        <v>15045.225102730219</v>
      </c>
      <c r="V42" s="235">
        <f>'Médias por UF'!BL36*'Evolução das Receitas'!$R$212</f>
        <v>17264.320474071064</v>
      </c>
      <c r="W42" s="235">
        <f>'Médias por UF'!BM36*'Evolução das Receitas'!$R$212</f>
        <v>19703.60716087517</v>
      </c>
      <c r="X42" s="235">
        <f>'Médias por UF'!BN36*'Evolução das Receitas'!$R$212</f>
        <v>22401.001825128329</v>
      </c>
      <c r="Y42" s="235">
        <f>'Médias por UF'!BO36*'Evolução das Receitas'!$R$212</f>
        <v>24742.765229979024</v>
      </c>
      <c r="Z42" s="235">
        <f>'Médias por UF'!BP36*'Evolução das Receitas'!$R$212</f>
        <v>27037.506326662944</v>
      </c>
      <c r="AA42" s="235">
        <f>'Médias por UF'!BQ36*'Evolução das Receitas'!$R$212</f>
        <v>28977.486607479794</v>
      </c>
      <c r="AB42" s="235">
        <f>'Médias por UF'!BR36*'Evolução das Receitas'!$R$212</f>
        <v>30791.06</v>
      </c>
      <c r="AC42" s="235">
        <f t="shared" si="14"/>
        <v>30791.06</v>
      </c>
      <c r="AE42" s="237" t="s">
        <v>122</v>
      </c>
      <c r="AF42" s="235">
        <f>JAN!C8+JAN!T8</f>
        <v>13938.920000000002</v>
      </c>
      <c r="AG42" s="235">
        <f>FEV!C8+FEV!T8+AF42</f>
        <v>38148.168000000005</v>
      </c>
      <c r="AH42" s="235">
        <f>MAR!C8+MAR!T8+AG42</f>
        <v>57225.04800000001</v>
      </c>
      <c r="AI42" s="235">
        <f>ABR!C8+ABR!T8+AH42</f>
        <v>74752.216000000015</v>
      </c>
      <c r="AJ42" s="235">
        <f>MAI!C8+MAI!T8</f>
        <v>0</v>
      </c>
      <c r="AK42" s="235">
        <f>JUN!C8+JUN!T8</f>
        <v>0</v>
      </c>
      <c r="AL42" s="235">
        <f>JUL!C8+JUL!T8</f>
        <v>0</v>
      </c>
      <c r="AM42" s="235">
        <f>AGO!C8+AGO!T8</f>
        <v>0</v>
      </c>
      <c r="AN42" s="235">
        <f>SET!C8+SET!T8</f>
        <v>0</v>
      </c>
      <c r="AO42" s="235">
        <f>OUT!C8+OUT!T8</f>
        <v>0</v>
      </c>
      <c r="AP42" s="235">
        <f>NOV!C8+NOV!T8</f>
        <v>0</v>
      </c>
      <c r="AQ42" s="235">
        <f>DEZ!C8+DEZ!T8</f>
        <v>0</v>
      </c>
      <c r="AR42" s="235">
        <f t="shared" si="15"/>
        <v>74752.216000000015</v>
      </c>
    </row>
    <row r="43" spans="1:45">
      <c r="A43" s="242" t="s">
        <v>123</v>
      </c>
      <c r="B43" s="235">
        <f>$C$213*'Médias por UF'!BG37</f>
        <v>26689.704835546414</v>
      </c>
      <c r="C43" s="235">
        <f>$C$213*'Médias por UF'!BH37</f>
        <v>49113.672900155696</v>
      </c>
      <c r="D43" s="235">
        <f>$C$213*'Médias por UF'!BI37</f>
        <v>64011.73216777073</v>
      </c>
      <c r="E43" s="235">
        <f>$C$213*'Médias por UF'!BJ37</f>
        <v>81257.673720975421</v>
      </c>
      <c r="F43" s="235">
        <f>$C$213*'Médias por UF'!BK37</f>
        <v>93858.117745124851</v>
      </c>
      <c r="G43" s="235">
        <f>$C$213*'Médias por UF'!BL37</f>
        <v>105663.93730177205</v>
      </c>
      <c r="H43" s="235">
        <f>$C$213*'Médias por UF'!BM37</f>
        <v>119360.55981256804</v>
      </c>
      <c r="I43" s="235">
        <f>$C$213*'Médias por UF'!BN37</f>
        <v>133647.52217958958</v>
      </c>
      <c r="J43" s="235">
        <f>$C$213*'Médias por UF'!BO37</f>
        <v>144057.93487863918</v>
      </c>
      <c r="K43" s="235">
        <f>$C$213*'Médias por UF'!BP37</f>
        <v>156151.54986923985</v>
      </c>
      <c r="L43" s="235">
        <f>$C$213*'Médias por UF'!BQ37</f>
        <v>165564.0341418653</v>
      </c>
      <c r="M43" s="235">
        <f>$C$213*'Médias por UF'!BR37</f>
        <v>180000</v>
      </c>
      <c r="N43" s="235">
        <f t="shared" si="13"/>
        <v>180000</v>
      </c>
      <c r="P43" s="237" t="s">
        <v>123</v>
      </c>
      <c r="Q43" s="235">
        <f>'Médias por UF'!BG37*'Evolução das Receitas'!$R$213</f>
        <v>26689.704835546414</v>
      </c>
      <c r="R43" s="235">
        <f>'Médias por UF'!BH37*'Evolução das Receitas'!$R$213</f>
        <v>49113.672900155696</v>
      </c>
      <c r="S43" s="235">
        <f>'Médias por UF'!BI37*'Evolução das Receitas'!$R$213</f>
        <v>64011.73216777073</v>
      </c>
      <c r="T43" s="235">
        <f>'Médias por UF'!BJ37*'Evolução das Receitas'!$R$213</f>
        <v>81257.673720975421</v>
      </c>
      <c r="U43" s="235">
        <f>'Médias por UF'!BK37*'Evolução das Receitas'!$R$213</f>
        <v>93858.117745124851</v>
      </c>
      <c r="V43" s="235">
        <f>'Médias por UF'!BL37*'Evolução das Receitas'!$R$213</f>
        <v>105663.93730177205</v>
      </c>
      <c r="W43" s="235">
        <f>'Médias por UF'!BM37*'Evolução das Receitas'!$R$213</f>
        <v>119360.55981256804</v>
      </c>
      <c r="X43" s="235">
        <f>'Médias por UF'!BN37*'Evolução das Receitas'!$R$213</f>
        <v>133647.52217958958</v>
      </c>
      <c r="Y43" s="235">
        <f>'Médias por UF'!BO37*'Evolução das Receitas'!$R$213</f>
        <v>144057.93487863918</v>
      </c>
      <c r="Z43" s="235">
        <f>'Médias por UF'!BP37*'Evolução das Receitas'!$R$213</f>
        <v>156151.54986923985</v>
      </c>
      <c r="AA43" s="235">
        <f>'Médias por UF'!BQ37*'Evolução das Receitas'!$R$213</f>
        <v>165564.0341418653</v>
      </c>
      <c r="AB43" s="235">
        <f>'Médias por UF'!BR37*'Evolução das Receitas'!$R$213</f>
        <v>180000</v>
      </c>
      <c r="AC43" s="235">
        <f t="shared" si="14"/>
        <v>180000</v>
      </c>
      <c r="AE43" s="237" t="s">
        <v>123</v>
      </c>
      <c r="AF43" s="235">
        <f>JAN!C9+JAN!T9</f>
        <v>36033.384000000005</v>
      </c>
      <c r="AG43" s="235">
        <f>FEV!C9+FEV!T9+AF43</f>
        <v>65526.032000000007</v>
      </c>
      <c r="AH43" s="235">
        <f>MAR!C9+MAR!T9+AG43</f>
        <v>84240.688000000009</v>
      </c>
      <c r="AI43" s="235">
        <f>ABR!C9+ABR!T9+AH43</f>
        <v>107484.21600000001</v>
      </c>
      <c r="AJ43" s="235">
        <f>MAI!C9+MAI!T9</f>
        <v>0</v>
      </c>
      <c r="AK43" s="235">
        <f>JUN!C9+JUN!T9</f>
        <v>0</v>
      </c>
      <c r="AL43" s="235">
        <f>JUL!C9+JUL!T9</f>
        <v>0</v>
      </c>
      <c r="AM43" s="235">
        <f>AGO!C9+AGO!T9</f>
        <v>0</v>
      </c>
      <c r="AN43" s="235">
        <f>SET!C9+SET!T9</f>
        <v>0</v>
      </c>
      <c r="AO43" s="235">
        <f>OUT!C9+OUT!T9</f>
        <v>0</v>
      </c>
      <c r="AP43" s="235">
        <f>NOV!C9+NOV!T9</f>
        <v>0</v>
      </c>
      <c r="AQ43" s="235">
        <f>DEZ!C9+DEZ!T9</f>
        <v>0</v>
      </c>
      <c r="AR43" s="235">
        <f t="shared" si="15"/>
        <v>107484.21600000001</v>
      </c>
    </row>
    <row r="44" spans="1:45">
      <c r="A44" s="242" t="s">
        <v>124</v>
      </c>
      <c r="B44" s="235">
        <f>$C$214*'Médias por UF'!BG38</f>
        <v>6882.2677666535074</v>
      </c>
      <c r="C44" s="235">
        <f>$C$214*'Médias por UF'!BH38</f>
        <v>15120.705235453641</v>
      </c>
      <c r="D44" s="235">
        <f>$C$214*'Médias por UF'!BI38</f>
        <v>23310.666023097652</v>
      </c>
      <c r="E44" s="235">
        <f>$C$214*'Médias por UF'!BJ38</f>
        <v>29134.977032147497</v>
      </c>
      <c r="F44" s="235">
        <f>$C$214*'Médias por UF'!BK38</f>
        <v>33829.570383286067</v>
      </c>
      <c r="G44" s="235">
        <f>$C$214*'Médias por UF'!BL38</f>
        <v>39028.339004483612</v>
      </c>
      <c r="H44" s="235">
        <f>$C$214*'Médias por UF'!BM38</f>
        <v>44447.040806787401</v>
      </c>
      <c r="I44" s="235">
        <f>$C$214*'Médias por UF'!BN38</f>
        <v>49683.047857870071</v>
      </c>
      <c r="J44" s="235">
        <f>$C$214*'Médias por UF'!BO38</f>
        <v>52934.916534355885</v>
      </c>
      <c r="K44" s="235">
        <f>$C$214*'Médias por UF'!BP38</f>
        <v>56865.102411087501</v>
      </c>
      <c r="L44" s="235">
        <f>$C$214*'Médias por UF'!BQ38</f>
        <v>60836.551004865549</v>
      </c>
      <c r="M44" s="235">
        <f>$C$214*'Médias por UF'!BR38</f>
        <v>64988</v>
      </c>
      <c r="N44" s="235">
        <f t="shared" si="13"/>
        <v>64988</v>
      </c>
      <c r="P44" s="237" t="s">
        <v>124</v>
      </c>
      <c r="Q44" s="235">
        <f>'Médias por UF'!BG38*'Evolução das Receitas'!$R$214</f>
        <v>6882.2677666535074</v>
      </c>
      <c r="R44" s="235">
        <f>'Médias por UF'!BH38*'Evolução das Receitas'!$R$214</f>
        <v>15120.705235453641</v>
      </c>
      <c r="S44" s="235">
        <f>'Médias por UF'!BI38*'Evolução das Receitas'!$R$214</f>
        <v>23310.666023097652</v>
      </c>
      <c r="T44" s="235">
        <f>'Médias por UF'!BJ38*'Evolução das Receitas'!$R$214</f>
        <v>29134.977032147497</v>
      </c>
      <c r="U44" s="235">
        <f>'Médias por UF'!BK38*'Evolução das Receitas'!$R$214</f>
        <v>33829.570383286067</v>
      </c>
      <c r="V44" s="235">
        <f>'Médias por UF'!BL38*'Evolução das Receitas'!$R$214</f>
        <v>39028.339004483612</v>
      </c>
      <c r="W44" s="235">
        <f>'Médias por UF'!BM38*'Evolução das Receitas'!$R$214</f>
        <v>44447.040806787401</v>
      </c>
      <c r="X44" s="235">
        <f>'Médias por UF'!BN38*'Evolução das Receitas'!$R$214</f>
        <v>49683.047857870071</v>
      </c>
      <c r="Y44" s="235">
        <f>'Médias por UF'!BO38*'Evolução das Receitas'!$R$214</f>
        <v>52934.916534355885</v>
      </c>
      <c r="Z44" s="235">
        <f>'Médias por UF'!BP38*'Evolução das Receitas'!$R$214</f>
        <v>56865.102411087501</v>
      </c>
      <c r="AA44" s="235">
        <f>'Médias por UF'!BQ38*'Evolução das Receitas'!$R$214</f>
        <v>60836.551004865549</v>
      </c>
      <c r="AB44" s="235">
        <f>'Médias por UF'!BR38*'Evolução das Receitas'!$R$214</f>
        <v>64988</v>
      </c>
      <c r="AC44" s="235">
        <f t="shared" si="14"/>
        <v>64988</v>
      </c>
      <c r="AE44" s="237" t="s">
        <v>124</v>
      </c>
      <c r="AF44" s="235">
        <f>JAN!C10+JAN!T10</f>
        <v>20244.376000000004</v>
      </c>
      <c r="AG44" s="235">
        <f>FEV!C10+FEV!T10+AF44</f>
        <v>33938.224000000002</v>
      </c>
      <c r="AH44" s="235">
        <f>MAR!C10+MAR!T10+AG44</f>
        <v>47483.016000000003</v>
      </c>
      <c r="AI44" s="235">
        <f>ABR!C10+ABR!T10+AH44</f>
        <v>61676.376000000004</v>
      </c>
      <c r="AJ44" s="235">
        <f>MAI!C10+MAI!T10</f>
        <v>0</v>
      </c>
      <c r="AK44" s="235">
        <f>JUN!C10+JUN!T10</f>
        <v>0</v>
      </c>
      <c r="AL44" s="235">
        <f>JUL!C10+JUL!T10</f>
        <v>0</v>
      </c>
      <c r="AM44" s="235">
        <f>AGO!C10+AGO!T10</f>
        <v>0</v>
      </c>
      <c r="AN44" s="235">
        <f>SET!C10+SET!T10</f>
        <v>0</v>
      </c>
      <c r="AO44" s="235">
        <f>OUT!C10+OUT!T10</f>
        <v>0</v>
      </c>
      <c r="AP44" s="235">
        <f>NOV!C10+NOV!T10</f>
        <v>0</v>
      </c>
      <c r="AQ44" s="235">
        <f>DEZ!C10+DEZ!T10</f>
        <v>0</v>
      </c>
      <c r="AR44" s="235">
        <f t="shared" si="15"/>
        <v>61676.376000000004</v>
      </c>
    </row>
    <row r="45" spans="1:45">
      <c r="A45" s="242" t="s">
        <v>125</v>
      </c>
      <c r="B45" s="235">
        <f>$C$215*'Médias por UF'!BG39</f>
        <v>25899.761353978556</v>
      </c>
      <c r="C45" s="235">
        <f>$C$215*'Médias por UF'!BH39</f>
        <v>51133.202718563916</v>
      </c>
      <c r="D45" s="235">
        <f>$C$215*'Médias por UF'!BI39</f>
        <v>73465.615892798785</v>
      </c>
      <c r="E45" s="235">
        <f>$C$215*'Médias por UF'!BJ39</f>
        <v>87139.30485726062</v>
      </c>
      <c r="F45" s="235">
        <f>$C$215*'Médias por UF'!BK39</f>
        <v>103652.06035684416</v>
      </c>
      <c r="G45" s="235">
        <f>$C$215*'Médias por UF'!BL39</f>
        <v>118347.19043435014</v>
      </c>
      <c r="H45" s="235">
        <f>$C$215*'Médias por UF'!BM39</f>
        <v>131187.93268091392</v>
      </c>
      <c r="I45" s="235">
        <f>$C$215*'Médias por UF'!BN39</f>
        <v>146307.90512989188</v>
      </c>
      <c r="J45" s="235">
        <f>$C$215*'Médias por UF'!BO39</f>
        <v>157666.98258734687</v>
      </c>
      <c r="K45" s="235">
        <f>$C$215*'Médias por UF'!BP39</f>
        <v>171115.61762739712</v>
      </c>
      <c r="L45" s="235">
        <f>$C$215*'Médias por UF'!BQ39</f>
        <v>184557.94453814422</v>
      </c>
      <c r="M45" s="235">
        <f>$C$215*'Médias por UF'!BR39</f>
        <v>200000</v>
      </c>
      <c r="N45" s="235">
        <f t="shared" si="13"/>
        <v>200000</v>
      </c>
      <c r="P45" s="237" t="s">
        <v>125</v>
      </c>
      <c r="Q45" s="235">
        <f>'Médias por UF'!BG39*'Evolução das Receitas'!$R$215</f>
        <v>25899.761353978556</v>
      </c>
      <c r="R45" s="235">
        <f>'Médias por UF'!BH39*'Evolução das Receitas'!$R$215</f>
        <v>51133.202718563916</v>
      </c>
      <c r="S45" s="235">
        <f>'Médias por UF'!BI39*'Evolução das Receitas'!$R$215</f>
        <v>73465.615892798785</v>
      </c>
      <c r="T45" s="235">
        <f>'Médias por UF'!BJ39*'Evolução das Receitas'!$R$215</f>
        <v>87139.30485726062</v>
      </c>
      <c r="U45" s="235">
        <f>'Médias por UF'!BK39*'Evolução das Receitas'!$R$215</f>
        <v>103652.06035684416</v>
      </c>
      <c r="V45" s="235">
        <f>'Médias por UF'!BL39*'Evolução das Receitas'!$R$215</f>
        <v>118347.19043435014</v>
      </c>
      <c r="W45" s="235">
        <f>'Médias por UF'!BM39*'Evolução das Receitas'!$R$215</f>
        <v>131187.93268091392</v>
      </c>
      <c r="X45" s="235">
        <f>'Médias por UF'!BN39*'Evolução das Receitas'!$R$215</f>
        <v>146307.90512989188</v>
      </c>
      <c r="Y45" s="235">
        <f>'Médias por UF'!BO39*'Evolução das Receitas'!$R$215</f>
        <v>157666.98258734687</v>
      </c>
      <c r="Z45" s="235">
        <f>'Médias por UF'!BP39*'Evolução das Receitas'!$R$215</f>
        <v>171115.61762739712</v>
      </c>
      <c r="AA45" s="235">
        <f>'Médias por UF'!BQ39*'Evolução das Receitas'!$R$215</f>
        <v>184557.94453814422</v>
      </c>
      <c r="AB45" s="235">
        <f>'Médias por UF'!BR39*'Evolução das Receitas'!$R$215</f>
        <v>200000</v>
      </c>
      <c r="AC45" s="235">
        <f t="shared" si="14"/>
        <v>200000</v>
      </c>
      <c r="AE45" s="237" t="s">
        <v>125</v>
      </c>
      <c r="AF45" s="235">
        <f>JAN!C11+JAN!T11</f>
        <v>38673.656000000003</v>
      </c>
      <c r="AG45" s="235">
        <f>FEV!C11+FEV!T11+AF45</f>
        <v>73149.936000000016</v>
      </c>
      <c r="AH45" s="235">
        <f>MAR!C11+MAR!T11+AG45</f>
        <v>97693.670000000013</v>
      </c>
      <c r="AI45" s="235">
        <f>ABR!C11+ABR!T11+AH45</f>
        <v>124401.07200000001</v>
      </c>
      <c r="AJ45" s="235">
        <f>MAI!C11+MAI!T11</f>
        <v>0</v>
      </c>
      <c r="AK45" s="235">
        <f>JUN!C11+JUN!T11</f>
        <v>0</v>
      </c>
      <c r="AL45" s="235">
        <f>JUL!C11+JUL!T11</f>
        <v>0</v>
      </c>
      <c r="AM45" s="235">
        <f>AGO!C11+AGO!T11</f>
        <v>0</v>
      </c>
      <c r="AN45" s="235">
        <f>SET!C11+SET!T11</f>
        <v>0</v>
      </c>
      <c r="AO45" s="235">
        <f>OUT!C11+OUT!T11</f>
        <v>0</v>
      </c>
      <c r="AP45" s="235">
        <f>NOV!C11+NOV!T11</f>
        <v>0</v>
      </c>
      <c r="AQ45" s="235">
        <f>DEZ!C11+DEZ!T11</f>
        <v>0</v>
      </c>
      <c r="AR45" s="235">
        <f t="shared" si="15"/>
        <v>124401.07200000001</v>
      </c>
    </row>
    <row r="46" spans="1:45">
      <c r="A46" s="242" t="s">
        <v>126</v>
      </c>
      <c r="B46" s="235">
        <f>$C$216*'Médias por UF'!BG40</f>
        <v>8165.8600481031317</v>
      </c>
      <c r="C46" s="235">
        <f>$C$216*'Médias por UF'!BH40</f>
        <v>14547.922883271525</v>
      </c>
      <c r="D46" s="235">
        <f>$C$216*'Médias por UF'!BI40</f>
        <v>22017.948482679407</v>
      </c>
      <c r="E46" s="235">
        <f>$C$216*'Médias por UF'!BJ40</f>
        <v>26469.038343235112</v>
      </c>
      <c r="F46" s="235">
        <f>$C$216*'Médias por UF'!BK40</f>
        <v>31185.872427169481</v>
      </c>
      <c r="G46" s="235">
        <f>$C$216*'Médias por UF'!BL40</f>
        <v>35259.809276784406</v>
      </c>
      <c r="H46" s="235">
        <f>$C$216*'Médias por UF'!BM40</f>
        <v>40672.443153871471</v>
      </c>
      <c r="I46" s="235">
        <f>$C$216*'Médias por UF'!BN40</f>
        <v>46548.88227243795</v>
      </c>
      <c r="J46" s="235">
        <f>$C$216*'Médias por UF'!BO40</f>
        <v>51697.725836742597</v>
      </c>
      <c r="K46" s="235">
        <f>$C$216*'Médias por UF'!BP40</f>
        <v>56188.931208333823</v>
      </c>
      <c r="L46" s="235">
        <f>$C$216*'Médias por UF'!BQ40</f>
        <v>61045.260431874514</v>
      </c>
      <c r="M46" s="235">
        <f>$C$216*'Médias por UF'!BR40</f>
        <v>68000</v>
      </c>
      <c r="N46" s="235">
        <f t="shared" si="13"/>
        <v>68000</v>
      </c>
      <c r="P46" s="237" t="s">
        <v>126</v>
      </c>
      <c r="Q46" s="235">
        <f>'Médias por UF'!BG40*'Evolução das Receitas'!$R$216</f>
        <v>8165.8600481031317</v>
      </c>
      <c r="R46" s="235">
        <f>'Médias por UF'!BH40*'Evolução das Receitas'!$R$216</f>
        <v>14547.922883271525</v>
      </c>
      <c r="S46" s="235">
        <f>'Médias por UF'!BI40*'Evolução das Receitas'!$R$216</f>
        <v>22017.948482679407</v>
      </c>
      <c r="T46" s="235">
        <f>'Médias por UF'!BJ40*'Evolução das Receitas'!$R$216</f>
        <v>26469.038343235112</v>
      </c>
      <c r="U46" s="235">
        <f>'Médias por UF'!BK40*'Evolução das Receitas'!$R$216</f>
        <v>31185.872427169481</v>
      </c>
      <c r="V46" s="235">
        <f>'Médias por UF'!BL40*'Evolução das Receitas'!$R$216</f>
        <v>35259.809276784406</v>
      </c>
      <c r="W46" s="235">
        <f>'Médias por UF'!BM40*'Evolução das Receitas'!$R$216</f>
        <v>40672.443153871471</v>
      </c>
      <c r="X46" s="235">
        <f>'Médias por UF'!BN40*'Evolução das Receitas'!$R$216</f>
        <v>46548.88227243795</v>
      </c>
      <c r="Y46" s="235">
        <f>'Médias por UF'!BO40*'Evolução das Receitas'!$R$216</f>
        <v>51697.725836742597</v>
      </c>
      <c r="Z46" s="235">
        <f>'Médias por UF'!BP40*'Evolução das Receitas'!$R$216</f>
        <v>56188.931208333823</v>
      </c>
      <c r="AA46" s="235">
        <f>'Médias por UF'!BQ40*'Evolução das Receitas'!$R$216</f>
        <v>61045.260431874514</v>
      </c>
      <c r="AB46" s="235">
        <f>'Médias por UF'!BR40*'Evolução das Receitas'!$R$216</f>
        <v>68000</v>
      </c>
      <c r="AC46" s="235">
        <f t="shared" si="14"/>
        <v>68000</v>
      </c>
      <c r="AE46" s="237" t="s">
        <v>126</v>
      </c>
      <c r="AF46" s="235">
        <f>JAN!C12+JAN!T12</f>
        <v>24987.440000000002</v>
      </c>
      <c r="AG46" s="235">
        <f>FEV!C12+FEV!T12+AF46</f>
        <v>52805.104000000007</v>
      </c>
      <c r="AH46" s="235">
        <f>MAR!C12+MAR!T12+AG46</f>
        <v>71941.392000000007</v>
      </c>
      <c r="AI46" s="235">
        <f>ABR!C12+ABR!T12+AH46</f>
        <v>86065.864000000001</v>
      </c>
      <c r="AJ46" s="235">
        <f>MAI!C12+MAI!T12</f>
        <v>0</v>
      </c>
      <c r="AK46" s="235">
        <f>JUN!C12+JUN!T12</f>
        <v>0</v>
      </c>
      <c r="AL46" s="235">
        <f>JUL!C12+JUL!T12</f>
        <v>0</v>
      </c>
      <c r="AM46" s="235">
        <f>AGO!C12+AGO!T12</f>
        <v>0</v>
      </c>
      <c r="AN46" s="235">
        <f>SET!C12+SET!T12</f>
        <v>0</v>
      </c>
      <c r="AO46" s="235">
        <f>OUT!C12+OUT!T12</f>
        <v>0</v>
      </c>
      <c r="AP46" s="235">
        <f>NOV!C12+NOV!T12</f>
        <v>0</v>
      </c>
      <c r="AQ46" s="235">
        <f>DEZ!C12+DEZ!T12</f>
        <v>0</v>
      </c>
      <c r="AR46" s="235">
        <f t="shared" si="15"/>
        <v>86065.864000000001</v>
      </c>
    </row>
    <row r="47" spans="1:45">
      <c r="A47" s="242" t="s">
        <v>127</v>
      </c>
      <c r="B47" s="235">
        <f>$C$217*'Médias por UF'!BG41</f>
        <v>21518.153306737033</v>
      </c>
      <c r="C47" s="235">
        <f>$C$217*'Médias por UF'!BH41</f>
        <v>39169.688550331477</v>
      </c>
      <c r="D47" s="235">
        <f>$C$217*'Médias por UF'!BI41</f>
        <v>52029.525328082469</v>
      </c>
      <c r="E47" s="235">
        <f>$C$217*'Médias por UF'!BJ41</f>
        <v>65057.156024946496</v>
      </c>
      <c r="F47" s="235">
        <f>$C$217*'Médias por UF'!BK41</f>
        <v>74497.403449721358</v>
      </c>
      <c r="G47" s="235">
        <f>$C$217*'Médias por UF'!BL41</f>
        <v>83390.701051973476</v>
      </c>
      <c r="H47" s="235">
        <f>$C$217*'Médias por UF'!BM41</f>
        <v>93269.747378822634</v>
      </c>
      <c r="I47" s="235">
        <f>$C$217*'Médias por UF'!BN41</f>
        <v>104372.19312020637</v>
      </c>
      <c r="J47" s="235">
        <f>$C$217*'Médias por UF'!BO41</f>
        <v>112725.05036851364</v>
      </c>
      <c r="K47" s="235">
        <f>$C$217*'Médias por UF'!BP41</f>
        <v>122125.28240163164</v>
      </c>
      <c r="L47" s="235">
        <f>$C$217*'Médias por UF'!BQ41</f>
        <v>129909.75983221811</v>
      </c>
      <c r="M47" s="235">
        <f>$C$217*'Médias por UF'!BR41</f>
        <v>140000</v>
      </c>
      <c r="N47" s="235">
        <f t="shared" si="13"/>
        <v>140000</v>
      </c>
      <c r="P47" s="237" t="s">
        <v>127</v>
      </c>
      <c r="Q47" s="235">
        <f>'Médias por UF'!BG41*'Evolução das Receitas'!$R$217</f>
        <v>21518.153306737033</v>
      </c>
      <c r="R47" s="235">
        <f>'Médias por UF'!BH41*'Evolução das Receitas'!$R$217</f>
        <v>39169.688550331477</v>
      </c>
      <c r="S47" s="235">
        <f>'Médias por UF'!BI41*'Evolução das Receitas'!$R$217</f>
        <v>52029.525328082469</v>
      </c>
      <c r="T47" s="235">
        <f>'Médias por UF'!BJ41*'Evolução das Receitas'!$R$217</f>
        <v>65057.156024946496</v>
      </c>
      <c r="U47" s="235">
        <f>'Médias por UF'!BK41*'Evolução das Receitas'!$R$217</f>
        <v>74497.403449721358</v>
      </c>
      <c r="V47" s="235">
        <f>'Médias por UF'!BL41*'Evolução das Receitas'!$R$217</f>
        <v>83390.701051973476</v>
      </c>
      <c r="W47" s="235">
        <f>'Médias por UF'!BM41*'Evolução das Receitas'!$R$217</f>
        <v>93269.747378822634</v>
      </c>
      <c r="X47" s="235">
        <f>'Médias por UF'!BN41*'Evolução das Receitas'!$R$217</f>
        <v>104372.19312020637</v>
      </c>
      <c r="Y47" s="235">
        <f>'Médias por UF'!BO41*'Evolução das Receitas'!$R$217</f>
        <v>112725.05036851364</v>
      </c>
      <c r="Z47" s="235">
        <f>'Médias por UF'!BP41*'Evolução das Receitas'!$R$217</f>
        <v>122125.28240163164</v>
      </c>
      <c r="AA47" s="235">
        <f>'Médias por UF'!BQ41*'Evolução das Receitas'!$R$217</f>
        <v>129909.75983221811</v>
      </c>
      <c r="AB47" s="235">
        <f>'Médias por UF'!BR41*'Evolução das Receitas'!$R$217</f>
        <v>140000</v>
      </c>
      <c r="AC47" s="235">
        <f t="shared" si="14"/>
        <v>140000</v>
      </c>
      <c r="AE47" s="237" t="s">
        <v>127</v>
      </c>
      <c r="AF47" s="235">
        <f>JAN!C13+JAN!T13</f>
        <v>28439.920000000002</v>
      </c>
      <c r="AG47" s="235">
        <f>FEV!C13+FEV!T13+AF47</f>
        <v>56968.560000000005</v>
      </c>
      <c r="AH47" s="235">
        <f>MAR!C13+MAR!T13+AG47</f>
        <v>78447.744000000006</v>
      </c>
      <c r="AI47" s="235">
        <f>ABR!C13+ABR!T13+AH47</f>
        <v>98818.312000000005</v>
      </c>
      <c r="AJ47" s="235">
        <f>MAI!C13+MAI!T13</f>
        <v>0</v>
      </c>
      <c r="AK47" s="235">
        <f>JUN!C13+JUN!T13</f>
        <v>0</v>
      </c>
      <c r="AL47" s="235">
        <f>JUL!C13+JUL!T13</f>
        <v>0</v>
      </c>
      <c r="AM47" s="235">
        <f>AGO!C13+AGO!T13</f>
        <v>0</v>
      </c>
      <c r="AN47" s="235">
        <f>SET!C13+SET!T13</f>
        <v>0</v>
      </c>
      <c r="AO47" s="235">
        <f>OUT!C13+OUT!T13</f>
        <v>0</v>
      </c>
      <c r="AP47" s="235">
        <f>NOV!C13+NOV!T13</f>
        <v>0</v>
      </c>
      <c r="AQ47" s="235">
        <f>DEZ!C13+DEZ!T13</f>
        <v>0</v>
      </c>
      <c r="AR47" s="235">
        <f t="shared" si="15"/>
        <v>98818.312000000005</v>
      </c>
    </row>
    <row r="48" spans="1:45">
      <c r="A48" s="242" t="s">
        <v>128</v>
      </c>
      <c r="B48" s="235">
        <f>$C$218*'Médias por UF'!BG42</f>
        <v>6770.0063528446681</v>
      </c>
      <c r="C48" s="235">
        <f>$C$218*'Médias por UF'!BH42</f>
        <v>10472.558793299786</v>
      </c>
      <c r="D48" s="235">
        <f>$C$218*'Médias por UF'!BI42</f>
        <v>14741.807577163518</v>
      </c>
      <c r="E48" s="235">
        <f>$C$218*'Médias por UF'!BJ42</f>
        <v>19049.533300725947</v>
      </c>
      <c r="F48" s="235">
        <f>$C$218*'Médias por UF'!BK42</f>
        <v>22383.658436241862</v>
      </c>
      <c r="G48" s="235">
        <f>$C$218*'Médias por UF'!BL42</f>
        <v>25801.697733194927</v>
      </c>
      <c r="H48" s="235">
        <f>$C$218*'Médias por UF'!BM42</f>
        <v>31346.562434546897</v>
      </c>
      <c r="I48" s="235">
        <f>$C$218*'Médias por UF'!BN42</f>
        <v>35621.810828987633</v>
      </c>
      <c r="J48" s="235">
        <f>$C$218*'Médias por UF'!BO42</f>
        <v>39179.414329985542</v>
      </c>
      <c r="K48" s="235">
        <f>$C$218*'Médias por UF'!BP42</f>
        <v>42375.58602503076</v>
      </c>
      <c r="L48" s="235">
        <f>$C$218*'Médias por UF'!BQ42</f>
        <v>47000.091203872485</v>
      </c>
      <c r="M48" s="235">
        <f>$C$218*'Médias por UF'!BR42</f>
        <v>50000</v>
      </c>
      <c r="N48" s="235">
        <f t="shared" si="13"/>
        <v>50000</v>
      </c>
      <c r="P48" s="237" t="s">
        <v>128</v>
      </c>
      <c r="Q48" s="235">
        <f>'Médias por UF'!BG42*'Evolução das Receitas'!$R$218</f>
        <v>6770.0063528446681</v>
      </c>
      <c r="R48" s="235">
        <f>'Médias por UF'!BH42*'Evolução das Receitas'!$R$218</f>
        <v>10472.558793299786</v>
      </c>
      <c r="S48" s="235">
        <f>'Médias por UF'!BI42*'Evolução das Receitas'!$R$218</f>
        <v>14741.807577163518</v>
      </c>
      <c r="T48" s="235">
        <f>'Médias por UF'!BJ42*'Evolução das Receitas'!$R$218</f>
        <v>19049.533300725947</v>
      </c>
      <c r="U48" s="235">
        <f>'Médias por UF'!BK42*'Evolução das Receitas'!$R$218</f>
        <v>22383.658436241862</v>
      </c>
      <c r="V48" s="235">
        <f>'Médias por UF'!BL42*'Evolução das Receitas'!$R$218</f>
        <v>25801.697733194927</v>
      </c>
      <c r="W48" s="235">
        <f>'Médias por UF'!BM42*'Evolução das Receitas'!$R$218</f>
        <v>31346.562434546897</v>
      </c>
      <c r="X48" s="235">
        <f>'Médias por UF'!BN42*'Evolução das Receitas'!$R$218</f>
        <v>35621.810828987633</v>
      </c>
      <c r="Y48" s="235">
        <f>'Médias por UF'!BO42*'Evolução das Receitas'!$R$218</f>
        <v>39179.414329985542</v>
      </c>
      <c r="Z48" s="235">
        <f>'Médias por UF'!BP42*'Evolução das Receitas'!$R$218</f>
        <v>42375.58602503076</v>
      </c>
      <c r="AA48" s="235">
        <f>'Médias por UF'!BQ42*'Evolução das Receitas'!$R$218</f>
        <v>47000.091203872485</v>
      </c>
      <c r="AB48" s="235">
        <f>'Médias por UF'!BR42*'Evolução das Receitas'!$R$218</f>
        <v>50000</v>
      </c>
      <c r="AC48" s="235">
        <f t="shared" si="14"/>
        <v>50000</v>
      </c>
      <c r="AE48" s="237" t="s">
        <v>128</v>
      </c>
      <c r="AF48" s="235">
        <f>JAN!C14+JAN!T14</f>
        <v>13048.512000000001</v>
      </c>
      <c r="AG48" s="235">
        <f>FEV!C14+FEV!T14+AF48</f>
        <v>22485.815999999999</v>
      </c>
      <c r="AH48" s="235">
        <f>MAR!C14+MAR!T14+AG48</f>
        <v>33521.824000000001</v>
      </c>
      <c r="AI48" s="235">
        <f>ABR!C14+ABR!T14+AH48</f>
        <v>43300.28</v>
      </c>
      <c r="AJ48" s="235">
        <f>MAI!C14+MAI!T14</f>
        <v>0</v>
      </c>
      <c r="AK48" s="235">
        <f>JUN!C14+JUN!T14</f>
        <v>0</v>
      </c>
      <c r="AL48" s="235">
        <f>JUL!C14+JUL!T14</f>
        <v>0</v>
      </c>
      <c r="AM48" s="235">
        <f>AGO!C14+AGO!T14</f>
        <v>0</v>
      </c>
      <c r="AN48" s="235">
        <f>SET!C14+SET!T14</f>
        <v>0</v>
      </c>
      <c r="AO48" s="235">
        <f>OUT!C14+OUT!T14</f>
        <v>0</v>
      </c>
      <c r="AP48" s="235">
        <f>NOV!C14+NOV!T14</f>
        <v>0</v>
      </c>
      <c r="AQ48" s="235">
        <f>DEZ!C14+DEZ!T14</f>
        <v>0</v>
      </c>
      <c r="AR48" s="235">
        <f t="shared" si="15"/>
        <v>43300.28</v>
      </c>
    </row>
    <row r="49" spans="1:44">
      <c r="A49" s="242" t="s">
        <v>129</v>
      </c>
      <c r="B49" s="235">
        <f>$C$219*'Médias por UF'!BG43</f>
        <v>0</v>
      </c>
      <c r="C49" s="235">
        <f>$C$219*'Médias por UF'!BH43</f>
        <v>0</v>
      </c>
      <c r="D49" s="235">
        <f>$C$219*'Médias por UF'!BI43</f>
        <v>0</v>
      </c>
      <c r="E49" s="235">
        <f>$C$219*'Médias por UF'!BJ43</f>
        <v>0</v>
      </c>
      <c r="F49" s="235">
        <f>$C$219*'Médias por UF'!BK43</f>
        <v>0</v>
      </c>
      <c r="G49" s="235">
        <f>$C$219*'Médias por UF'!BL43</f>
        <v>0</v>
      </c>
      <c r="H49" s="235">
        <f>$C$219*'Médias por UF'!BM43</f>
        <v>0</v>
      </c>
      <c r="I49" s="235">
        <f>$C$219*'Médias por UF'!BN43</f>
        <v>0</v>
      </c>
      <c r="J49" s="235">
        <f>$C$219*'Médias por UF'!BO43</f>
        <v>0</v>
      </c>
      <c r="K49" s="235">
        <f>$C$219*'Médias por UF'!BP43</f>
        <v>0</v>
      </c>
      <c r="L49" s="235">
        <f>$C$219*'Médias por UF'!BQ43</f>
        <v>0</v>
      </c>
      <c r="M49" s="235">
        <f>$C$219*'Médias por UF'!BR43</f>
        <v>0</v>
      </c>
      <c r="N49" s="235">
        <f t="shared" si="13"/>
        <v>0</v>
      </c>
      <c r="P49" s="237" t="s">
        <v>129</v>
      </c>
      <c r="Q49" s="235">
        <f>'Médias por UF'!BG43*'Evolução das Receitas'!$R$219</f>
        <v>0</v>
      </c>
      <c r="R49" s="235">
        <f>'Médias por UF'!BH43*'Evolução das Receitas'!$R$219</f>
        <v>0</v>
      </c>
      <c r="S49" s="235">
        <f>'Médias por UF'!BI43*'Evolução das Receitas'!$R$219</f>
        <v>0</v>
      </c>
      <c r="T49" s="235">
        <f>'Médias por UF'!BJ43*'Evolução das Receitas'!$R$219</f>
        <v>0</v>
      </c>
      <c r="U49" s="235">
        <f>'Médias por UF'!BK43*'Evolução das Receitas'!$R$219</f>
        <v>0</v>
      </c>
      <c r="V49" s="235">
        <f>'Médias por UF'!BL43*'Evolução das Receitas'!$R$219</f>
        <v>0</v>
      </c>
      <c r="W49" s="235">
        <f>'Médias por UF'!BM43*'Evolução das Receitas'!$R$219</f>
        <v>0</v>
      </c>
      <c r="X49" s="235">
        <f>'Médias por UF'!BN43*'Evolução das Receitas'!$R$219</f>
        <v>0</v>
      </c>
      <c r="Y49" s="235">
        <f>'Médias por UF'!BO43*'Evolução das Receitas'!$R$219</f>
        <v>0</v>
      </c>
      <c r="Z49" s="235">
        <f>'Médias por UF'!BP43*'Evolução das Receitas'!$R$219</f>
        <v>0</v>
      </c>
      <c r="AA49" s="235">
        <f>'Médias por UF'!BQ43*'Evolução das Receitas'!$R$219</f>
        <v>0</v>
      </c>
      <c r="AB49" s="235">
        <f>'Médias por UF'!BR43*'Evolução das Receitas'!$R$219</f>
        <v>0</v>
      </c>
      <c r="AC49" s="235">
        <f t="shared" si="14"/>
        <v>0</v>
      </c>
      <c r="AE49" s="237" t="s">
        <v>129</v>
      </c>
      <c r="AF49" s="235">
        <f>JAN!C15+JAN!T15</f>
        <v>13720.488000000001</v>
      </c>
      <c r="AG49" s="235">
        <f>FEV!C15+FEV!T15+AF49</f>
        <v>32128.191999999999</v>
      </c>
      <c r="AH49" s="235">
        <f>MAR!C15+MAR!T15+AG49</f>
        <v>48195.81</v>
      </c>
      <c r="AI49" s="235">
        <f>ABR!C15+ABR!T15+AH49</f>
        <v>60100.625999999997</v>
      </c>
      <c r="AJ49" s="235">
        <f>MAI!C15+MAI!T15</f>
        <v>0</v>
      </c>
      <c r="AK49" s="235">
        <f>JUN!C15+JUN!T15</f>
        <v>0</v>
      </c>
      <c r="AL49" s="235">
        <f>JUL!C15+JUL!T15</f>
        <v>0</v>
      </c>
      <c r="AM49" s="235">
        <f>AGO!C15+AGO!T15</f>
        <v>0</v>
      </c>
      <c r="AN49" s="235">
        <f>SET!C15+SET!T15</f>
        <v>0</v>
      </c>
      <c r="AO49" s="235">
        <f>OUT!C15+OUT!T15</f>
        <v>0</v>
      </c>
      <c r="AP49" s="235">
        <f>NOV!C15+NOV!T15</f>
        <v>0</v>
      </c>
      <c r="AQ49" s="235">
        <f>DEZ!C15+DEZ!T15</f>
        <v>0</v>
      </c>
      <c r="AR49" s="235">
        <f t="shared" si="15"/>
        <v>60100.625999999997</v>
      </c>
    </row>
    <row r="50" spans="1:44">
      <c r="A50" s="242" t="s">
        <v>130</v>
      </c>
      <c r="B50" s="235">
        <f>$C$220*'Médias por UF'!BG44</f>
        <v>8053.4648625411619</v>
      </c>
      <c r="C50" s="235">
        <f>$C$220*'Médias por UF'!BH44</f>
        <v>16330.396029765952</v>
      </c>
      <c r="D50" s="235">
        <f>$C$220*'Médias por UF'!BI44</f>
        <v>22058.112851884405</v>
      </c>
      <c r="E50" s="235">
        <f>$C$220*'Médias por UF'!BJ44</f>
        <v>27196.535910726241</v>
      </c>
      <c r="F50" s="235">
        <f>$C$220*'Médias por UF'!BK44</f>
        <v>34303.411927792316</v>
      </c>
      <c r="G50" s="235">
        <f>$C$220*'Médias por UF'!BL44</f>
        <v>41645.789454944141</v>
      </c>
      <c r="H50" s="235">
        <f>$C$220*'Médias por UF'!BM44</f>
        <v>46242.297962621284</v>
      </c>
      <c r="I50" s="235">
        <f>$C$220*'Médias por UF'!BN44</f>
        <v>51363.020294908827</v>
      </c>
      <c r="J50" s="235">
        <f>$C$220*'Médias por UF'!BO44</f>
        <v>54739.074105311818</v>
      </c>
      <c r="K50" s="235">
        <f>$C$220*'Médias por UF'!BP44</f>
        <v>60609.541823626823</v>
      </c>
      <c r="L50" s="235">
        <f>$C$220*'Médias por UF'!BQ44</f>
        <v>64444.105792655493</v>
      </c>
      <c r="M50" s="235">
        <f>$C$220*'Médias por UF'!BR44</f>
        <v>70000</v>
      </c>
      <c r="N50" s="235">
        <f t="shared" si="13"/>
        <v>70000</v>
      </c>
      <c r="P50" s="237" t="s">
        <v>130</v>
      </c>
      <c r="Q50" s="235">
        <f>'Médias por UF'!BG44*'Evolução das Receitas'!$R$220</f>
        <v>8053.4648625411619</v>
      </c>
      <c r="R50" s="235">
        <f>'Médias por UF'!BH44*'Evolução das Receitas'!$R$220</f>
        <v>16330.396029765952</v>
      </c>
      <c r="S50" s="235">
        <f>'Médias por UF'!BI44*'Evolução das Receitas'!$R$220</f>
        <v>22058.112851884405</v>
      </c>
      <c r="T50" s="235">
        <f>'Médias por UF'!BJ44*'Evolução das Receitas'!$R$220</f>
        <v>27196.535910726241</v>
      </c>
      <c r="U50" s="235">
        <f>'Médias por UF'!BK44*'Evolução das Receitas'!$R$220</f>
        <v>34303.411927792316</v>
      </c>
      <c r="V50" s="235">
        <f>'Médias por UF'!BL44*'Evolução das Receitas'!$R$220</f>
        <v>41645.789454944141</v>
      </c>
      <c r="W50" s="235">
        <f>'Médias por UF'!BM44*'Evolução das Receitas'!$R$220</f>
        <v>46242.297962621284</v>
      </c>
      <c r="X50" s="235">
        <f>'Médias por UF'!BN44*'Evolução das Receitas'!$R$220</f>
        <v>51363.020294908827</v>
      </c>
      <c r="Y50" s="235">
        <f>'Médias por UF'!BO44*'Evolução das Receitas'!$R$220</f>
        <v>54739.074105311818</v>
      </c>
      <c r="Z50" s="235">
        <f>'Médias por UF'!BP44*'Evolução das Receitas'!$R$220</f>
        <v>60609.541823626823</v>
      </c>
      <c r="AA50" s="235">
        <f>'Médias por UF'!BQ44*'Evolução das Receitas'!$R$220</f>
        <v>64444.105792655493</v>
      </c>
      <c r="AB50" s="235">
        <f>'Médias por UF'!BR44*'Evolução das Receitas'!$R$220</f>
        <v>70000</v>
      </c>
      <c r="AC50" s="235">
        <f t="shared" si="14"/>
        <v>70000</v>
      </c>
      <c r="AE50" s="237" t="s">
        <v>130</v>
      </c>
      <c r="AF50" s="235">
        <f>JAN!C16+JAN!T16</f>
        <v>18643.216</v>
      </c>
      <c r="AG50" s="235">
        <f>FEV!C16+FEV!T16+AF50</f>
        <v>36664.840000000004</v>
      </c>
      <c r="AH50" s="235">
        <f>MAR!C16+MAR!T16+AG50</f>
        <v>48401.416000000005</v>
      </c>
      <c r="AI50" s="235">
        <f>ABR!C16+ABR!T16+AH50</f>
        <v>60863.672000000006</v>
      </c>
      <c r="AJ50" s="235">
        <f>MAI!C16+MAI!T16</f>
        <v>0</v>
      </c>
      <c r="AK50" s="235">
        <f>JUN!C16+JUN!T16</f>
        <v>0</v>
      </c>
      <c r="AL50" s="235">
        <f>JUL!C16+JUL!T16</f>
        <v>0</v>
      </c>
      <c r="AM50" s="235">
        <f>AGO!C16+AGO!T16</f>
        <v>0</v>
      </c>
      <c r="AN50" s="235">
        <f>SET!C16+SET!T16</f>
        <v>0</v>
      </c>
      <c r="AO50" s="235">
        <f>OUT!C16+OUT!T16</f>
        <v>0</v>
      </c>
      <c r="AP50" s="235">
        <f>NOV!C16+NOV!T16</f>
        <v>0</v>
      </c>
      <c r="AQ50" s="235">
        <f>DEZ!C16+DEZ!T16</f>
        <v>0</v>
      </c>
      <c r="AR50" s="235">
        <f t="shared" si="15"/>
        <v>60863.672000000006</v>
      </c>
    </row>
    <row r="51" spans="1:44">
      <c r="A51" s="242" t="s">
        <v>131</v>
      </c>
      <c r="B51" s="235">
        <f>$C$221*'Médias por UF'!BG45</f>
        <v>94128.664496286568</v>
      </c>
      <c r="C51" s="235">
        <f>$C$221*'Médias por UF'!BH45</f>
        <v>148205.62917550444</v>
      </c>
      <c r="D51" s="235">
        <f>$C$221*'Médias por UF'!BI45</f>
        <v>217177.39943368471</v>
      </c>
      <c r="E51" s="235">
        <f>$C$221*'Médias por UF'!BJ45</f>
        <v>258121.7982007573</v>
      </c>
      <c r="F51" s="235">
        <f>$C$221*'Médias por UF'!BK45</f>
        <v>313975.58751376875</v>
      </c>
      <c r="G51" s="235">
        <f>$C$221*'Médias por UF'!BL45</f>
        <v>355960.50930022716</v>
      </c>
      <c r="H51" s="235">
        <f>$C$221*'Médias por UF'!BM45</f>
        <v>394113.91265406937</v>
      </c>
      <c r="I51" s="235">
        <f>$C$221*'Médias por UF'!BN45</f>
        <v>434567.09767788753</v>
      </c>
      <c r="J51" s="235">
        <f>$C$221*'Médias por UF'!BO45</f>
        <v>475697.73054151097</v>
      </c>
      <c r="K51" s="235">
        <f>$C$221*'Médias por UF'!BP45</f>
        <v>516990.05657109042</v>
      </c>
      <c r="L51" s="235">
        <f>$C$221*'Médias por UF'!BQ45</f>
        <v>560696.29767102608</v>
      </c>
      <c r="M51" s="235">
        <f>$C$221*'Médias por UF'!BR45</f>
        <v>600000</v>
      </c>
      <c r="N51" s="235">
        <f t="shared" si="13"/>
        <v>600000</v>
      </c>
      <c r="P51" s="237" t="s">
        <v>131</v>
      </c>
      <c r="Q51" s="235">
        <f>'Médias por UF'!BG45*'Evolução das Receitas'!$R$221</f>
        <v>94128.664496286568</v>
      </c>
      <c r="R51" s="235">
        <f>'Médias por UF'!BH45*'Evolução das Receitas'!$R$221</f>
        <v>148205.62917550444</v>
      </c>
      <c r="S51" s="235">
        <f>'Médias por UF'!BI45*'Evolução das Receitas'!$R$221</f>
        <v>217177.39943368471</v>
      </c>
      <c r="T51" s="235">
        <f>'Médias por UF'!BJ45*'Evolução das Receitas'!$R$221</f>
        <v>258121.7982007573</v>
      </c>
      <c r="U51" s="235">
        <f>'Médias por UF'!BK45*'Evolução das Receitas'!$R$221</f>
        <v>313975.58751376875</v>
      </c>
      <c r="V51" s="235">
        <f>'Médias por UF'!BL45*'Evolução das Receitas'!$R$221</f>
        <v>355960.50930022716</v>
      </c>
      <c r="W51" s="235">
        <f>'Médias por UF'!BM45*'Evolução das Receitas'!$R$221</f>
        <v>394113.91265406937</v>
      </c>
      <c r="X51" s="235">
        <f>'Médias por UF'!BN45*'Evolução das Receitas'!$R$221</f>
        <v>434567.09767788753</v>
      </c>
      <c r="Y51" s="235">
        <f>'Médias por UF'!BO45*'Evolução das Receitas'!$R$221</f>
        <v>475697.73054151097</v>
      </c>
      <c r="Z51" s="235">
        <f>'Médias por UF'!BP45*'Evolução das Receitas'!$R$221</f>
        <v>516990.05657109042</v>
      </c>
      <c r="AA51" s="235">
        <f>'Médias por UF'!BQ45*'Evolução das Receitas'!$R$221</f>
        <v>560696.29767102608</v>
      </c>
      <c r="AB51" s="235">
        <f>'Médias por UF'!BR45*'Evolução das Receitas'!$R$221</f>
        <v>600000</v>
      </c>
      <c r="AC51" s="235">
        <f t="shared" si="14"/>
        <v>600000</v>
      </c>
      <c r="AE51" s="237" t="s">
        <v>131</v>
      </c>
      <c r="AF51" s="235">
        <f>JAN!C17+JAN!T17</f>
        <v>121946.04600000002</v>
      </c>
      <c r="AG51" s="235">
        <f>FEV!C17+FEV!T17+AF51</f>
        <v>220124.24200000003</v>
      </c>
      <c r="AH51" s="235">
        <f>MAR!C17+MAR!T17+AG51</f>
        <v>287679.37800000003</v>
      </c>
      <c r="AI51" s="235">
        <f>ABR!C17+ABR!T17+AH51</f>
        <v>369531.72800000006</v>
      </c>
      <c r="AJ51" s="235">
        <f>MAI!C17+MAI!T17</f>
        <v>0</v>
      </c>
      <c r="AK51" s="235">
        <f>JUN!C17+JUN!T17</f>
        <v>0</v>
      </c>
      <c r="AL51" s="235">
        <f>JUL!C17+JUL!T17</f>
        <v>0</v>
      </c>
      <c r="AM51" s="235">
        <f>AGO!C17+AGO!T17</f>
        <v>0</v>
      </c>
      <c r="AN51" s="235">
        <f>SET!C17+SET!T17</f>
        <v>0</v>
      </c>
      <c r="AO51" s="235">
        <f>OUT!C17+OUT!T17</f>
        <v>0</v>
      </c>
      <c r="AP51" s="235">
        <f>NOV!C17+NOV!T17</f>
        <v>0</v>
      </c>
      <c r="AQ51" s="235">
        <f>DEZ!C17+DEZ!T17</f>
        <v>0</v>
      </c>
      <c r="AR51" s="235">
        <f t="shared" si="15"/>
        <v>369531.72800000006</v>
      </c>
    </row>
    <row r="52" spans="1:44">
      <c r="A52" s="242" t="s">
        <v>132</v>
      </c>
      <c r="B52" s="235">
        <f>$C$222*'Médias por UF'!BG46</f>
        <v>0</v>
      </c>
      <c r="C52" s="235">
        <f>$C$222*'Médias por UF'!BH46</f>
        <v>0</v>
      </c>
      <c r="D52" s="235">
        <f>$C$222*'Médias por UF'!BI46</f>
        <v>0</v>
      </c>
      <c r="E52" s="235">
        <f>$C$222*'Médias por UF'!BJ46</f>
        <v>0</v>
      </c>
      <c r="F52" s="235">
        <f>$C$222*'Médias por UF'!BK46</f>
        <v>0</v>
      </c>
      <c r="G52" s="235">
        <f>$C$222*'Médias por UF'!BL46</f>
        <v>0</v>
      </c>
      <c r="H52" s="235">
        <f>$C$222*'Médias por UF'!BM46</f>
        <v>0</v>
      </c>
      <c r="I52" s="235">
        <f>$C$222*'Médias por UF'!BN46</f>
        <v>0</v>
      </c>
      <c r="J52" s="235">
        <f>$C$222*'Médias por UF'!BO46</f>
        <v>0</v>
      </c>
      <c r="K52" s="235">
        <f>$C$222*'Médias por UF'!BP46</f>
        <v>0</v>
      </c>
      <c r="L52" s="235">
        <f>$C$222*'Médias por UF'!BQ46</f>
        <v>0</v>
      </c>
      <c r="M52" s="235">
        <f>$C$222*'Médias por UF'!BR46</f>
        <v>0</v>
      </c>
      <c r="N52" s="235">
        <f t="shared" si="13"/>
        <v>0</v>
      </c>
      <c r="P52" s="237" t="s">
        <v>132</v>
      </c>
      <c r="Q52" s="235">
        <f>'Médias por UF'!BG46*'Evolução das Receitas'!$R$222</f>
        <v>0</v>
      </c>
      <c r="R52" s="235">
        <f>'Médias por UF'!BH46*'Evolução das Receitas'!$R$222</f>
        <v>0</v>
      </c>
      <c r="S52" s="235">
        <f>'Médias por UF'!BI46*'Evolução das Receitas'!$R$222</f>
        <v>0</v>
      </c>
      <c r="T52" s="235">
        <f>'Médias por UF'!BJ46*'Evolução das Receitas'!$R$222</f>
        <v>0</v>
      </c>
      <c r="U52" s="235">
        <f>'Médias por UF'!BK46*'Evolução das Receitas'!$R$222</f>
        <v>0</v>
      </c>
      <c r="V52" s="235">
        <f>'Médias por UF'!BL46*'Evolução das Receitas'!$R$222</f>
        <v>0</v>
      </c>
      <c r="W52" s="235">
        <f>'Médias por UF'!BM46*'Evolução das Receitas'!$R$222</f>
        <v>0</v>
      </c>
      <c r="X52" s="235">
        <f>'Médias por UF'!BN46*'Evolução das Receitas'!$R$222</f>
        <v>0</v>
      </c>
      <c r="Y52" s="235">
        <f>'Médias por UF'!BO46*'Evolução das Receitas'!$R$222</f>
        <v>0</v>
      </c>
      <c r="Z52" s="235">
        <f>'Médias por UF'!BP46*'Evolução das Receitas'!$R$222</f>
        <v>0</v>
      </c>
      <c r="AA52" s="235">
        <f>'Médias por UF'!BQ46*'Evolução das Receitas'!$R$222</f>
        <v>0</v>
      </c>
      <c r="AB52" s="235">
        <f>'Médias por UF'!BR46*'Evolução das Receitas'!$R$222</f>
        <v>0</v>
      </c>
      <c r="AC52" s="235">
        <f t="shared" si="14"/>
        <v>0</v>
      </c>
      <c r="AE52" s="237" t="s">
        <v>132</v>
      </c>
      <c r="AF52" s="235">
        <f>JAN!C18+JAN!T18</f>
        <v>18520.456000000002</v>
      </c>
      <c r="AG52" s="235">
        <f>FEV!C18+FEV!T18+AF52</f>
        <v>37515.207999999999</v>
      </c>
      <c r="AH52" s="235">
        <f>MAR!C18+MAR!T18+AG52</f>
        <v>54187.263999999996</v>
      </c>
      <c r="AI52" s="235">
        <f>ABR!C18+ABR!T18+AH52</f>
        <v>70447.831999999995</v>
      </c>
      <c r="AJ52" s="235">
        <f>MAI!C18+MAI!T18</f>
        <v>0</v>
      </c>
      <c r="AK52" s="235">
        <f>JUN!C18+JUN!T18</f>
        <v>0</v>
      </c>
      <c r="AL52" s="235">
        <f>JUL!C18+JUL!T18</f>
        <v>0</v>
      </c>
      <c r="AM52" s="235">
        <f>AGO!C18+AGO!T18</f>
        <v>0</v>
      </c>
      <c r="AN52" s="235">
        <f>SET!C18+SET!T18</f>
        <v>0</v>
      </c>
      <c r="AO52" s="235">
        <f>OUT!C18+OUT!T18</f>
        <v>0</v>
      </c>
      <c r="AP52" s="235">
        <f>NOV!C18+NOV!T18</f>
        <v>0</v>
      </c>
      <c r="AQ52" s="235">
        <f>DEZ!C18+DEZ!T18</f>
        <v>0</v>
      </c>
      <c r="AR52" s="235">
        <f t="shared" si="15"/>
        <v>70447.831999999995</v>
      </c>
    </row>
    <row r="53" spans="1:44">
      <c r="A53" s="242" t="s">
        <v>133</v>
      </c>
      <c r="B53" s="235">
        <f>$C$223*'Médias por UF'!BG47</f>
        <v>11052.834646808138</v>
      </c>
      <c r="C53" s="235">
        <f>$C$223*'Médias por UF'!BH47</f>
        <v>20898.249813241688</v>
      </c>
      <c r="D53" s="235">
        <f>$C$223*'Médias por UF'!BI47</f>
        <v>28015.599584137864</v>
      </c>
      <c r="E53" s="235">
        <f>$C$223*'Médias por UF'!BJ47</f>
        <v>36132.894884152673</v>
      </c>
      <c r="F53" s="235">
        <f>$C$223*'Médias por UF'!BK47</f>
        <v>42709.66025211697</v>
      </c>
      <c r="G53" s="235">
        <f>$C$223*'Médias por UF'!BL47</f>
        <v>51210.311033217753</v>
      </c>
      <c r="H53" s="235">
        <f>$C$223*'Médias por UF'!BM47</f>
        <v>55954.009838829879</v>
      </c>
      <c r="I53" s="235">
        <f>$C$223*'Médias por UF'!BN47</f>
        <v>61526.208664542974</v>
      </c>
      <c r="J53" s="235">
        <f>$C$223*'Médias por UF'!BO47</f>
        <v>67751.453191918074</v>
      </c>
      <c r="K53" s="235">
        <f>$C$223*'Médias por UF'!BP47</f>
        <v>73045.067029177328</v>
      </c>
      <c r="L53" s="235">
        <f>$C$223*'Médias por UF'!BQ47</f>
        <v>77818.013499170222</v>
      </c>
      <c r="M53" s="235">
        <f>$C$223*'Médias por UF'!BR47</f>
        <v>83964</v>
      </c>
      <c r="N53" s="235">
        <f t="shared" si="13"/>
        <v>83964</v>
      </c>
      <c r="P53" s="237" t="s">
        <v>133</v>
      </c>
      <c r="Q53" s="235">
        <f>'Médias por UF'!BG47*'Evolução das Receitas'!$R$223</f>
        <v>11052.834646808138</v>
      </c>
      <c r="R53" s="235">
        <f>'Médias por UF'!BH47*'Evolução das Receitas'!$R$223</f>
        <v>20898.249813241688</v>
      </c>
      <c r="S53" s="235">
        <f>'Médias por UF'!BI47*'Evolução das Receitas'!$R$223</f>
        <v>28015.599584137864</v>
      </c>
      <c r="T53" s="235">
        <f>'Médias por UF'!BJ47*'Evolução das Receitas'!$R$223</f>
        <v>36132.894884152673</v>
      </c>
      <c r="U53" s="235">
        <f>'Médias por UF'!BK47*'Evolução das Receitas'!$R$223</f>
        <v>42709.66025211697</v>
      </c>
      <c r="V53" s="235">
        <f>'Médias por UF'!BL47*'Evolução das Receitas'!$R$223</f>
        <v>51210.311033217753</v>
      </c>
      <c r="W53" s="235">
        <f>'Médias por UF'!BM47*'Evolução das Receitas'!$R$223</f>
        <v>55954.009838829879</v>
      </c>
      <c r="X53" s="235">
        <f>'Médias por UF'!BN47*'Evolução das Receitas'!$R$223</f>
        <v>61526.208664542974</v>
      </c>
      <c r="Y53" s="235">
        <f>'Médias por UF'!BO47*'Evolução das Receitas'!$R$223</f>
        <v>67751.453191918074</v>
      </c>
      <c r="Z53" s="235">
        <f>'Médias por UF'!BP47*'Evolução das Receitas'!$R$223</f>
        <v>73045.067029177328</v>
      </c>
      <c r="AA53" s="235">
        <f>'Médias por UF'!BQ47*'Evolução das Receitas'!$R$223</f>
        <v>77818.013499170222</v>
      </c>
      <c r="AB53" s="235">
        <f>'Médias por UF'!BR47*'Evolução das Receitas'!$R$223</f>
        <v>83964</v>
      </c>
      <c r="AC53" s="235">
        <f t="shared" si="14"/>
        <v>83964</v>
      </c>
      <c r="AE53" s="237" t="s">
        <v>133</v>
      </c>
      <c r="AF53" s="235">
        <f>JAN!C19+JAN!T19</f>
        <v>20980.008000000002</v>
      </c>
      <c r="AG53" s="235">
        <f>FEV!C19+FEV!T19+AF53</f>
        <v>35512.824000000008</v>
      </c>
      <c r="AH53" s="235">
        <f>MAR!C19+MAR!T19+AG53</f>
        <v>47183.936000000009</v>
      </c>
      <c r="AI53" s="235">
        <f>ABR!C19+ABR!T19+AH53</f>
        <v>56843.208000000013</v>
      </c>
      <c r="AJ53" s="235">
        <f>MAI!C19+MAI!T19</f>
        <v>0</v>
      </c>
      <c r="AK53" s="235">
        <f>JUN!C19+JUN!T19</f>
        <v>0</v>
      </c>
      <c r="AL53" s="235">
        <f>JUL!C19+JUL!T19</f>
        <v>0</v>
      </c>
      <c r="AM53" s="235">
        <f>AGO!C19+AGO!T19</f>
        <v>0</v>
      </c>
      <c r="AN53" s="235">
        <f>SET!C19+SET!T19</f>
        <v>0</v>
      </c>
      <c r="AO53" s="235">
        <f>OUT!C19+OUT!T19</f>
        <v>0</v>
      </c>
      <c r="AP53" s="235">
        <f>NOV!C19+NOV!T19</f>
        <v>0</v>
      </c>
      <c r="AQ53" s="235">
        <f>DEZ!C19+DEZ!T19</f>
        <v>0</v>
      </c>
      <c r="AR53" s="235">
        <f t="shared" si="15"/>
        <v>56843.208000000013</v>
      </c>
    </row>
    <row r="54" spans="1:44">
      <c r="A54" s="242" t="s">
        <v>134</v>
      </c>
      <c r="B54" s="235">
        <f>$C$224*'Médias por UF'!BG48</f>
        <v>0</v>
      </c>
      <c r="C54" s="235">
        <f>$C$224*'Médias por UF'!BH48</f>
        <v>0</v>
      </c>
      <c r="D54" s="235">
        <f>$C$224*'Médias por UF'!BI48</f>
        <v>0</v>
      </c>
      <c r="E54" s="235">
        <f>$C$224*'Médias por UF'!BJ48</f>
        <v>0</v>
      </c>
      <c r="F54" s="235">
        <f>$C$224*'Médias por UF'!BK48</f>
        <v>0</v>
      </c>
      <c r="G54" s="235">
        <f>$C$224*'Médias por UF'!BL48</f>
        <v>0</v>
      </c>
      <c r="H54" s="235">
        <f>$C$224*'Médias por UF'!BM48</f>
        <v>0</v>
      </c>
      <c r="I54" s="235">
        <f>$C$224*'Médias por UF'!BN48</f>
        <v>0</v>
      </c>
      <c r="J54" s="235">
        <f>$C$224*'Médias por UF'!BO48</f>
        <v>0</v>
      </c>
      <c r="K54" s="235">
        <f>$C$224*'Médias por UF'!BP48</f>
        <v>0</v>
      </c>
      <c r="L54" s="235">
        <f>$C$224*'Médias por UF'!BQ48</f>
        <v>0</v>
      </c>
      <c r="M54" s="235">
        <f>$C$224*'Médias por UF'!BR48</f>
        <v>0</v>
      </c>
      <c r="N54" s="235">
        <f t="shared" si="13"/>
        <v>0</v>
      </c>
      <c r="P54" s="237" t="s">
        <v>134</v>
      </c>
      <c r="Q54" s="235">
        <f>'Médias por UF'!BG48*'Evolução das Receitas'!$R$224</f>
        <v>0</v>
      </c>
      <c r="R54" s="235">
        <f>'Médias por UF'!BH48*'Evolução das Receitas'!$R$224</f>
        <v>0</v>
      </c>
      <c r="S54" s="235">
        <f>'Médias por UF'!BI48*'Evolução das Receitas'!$R$224</f>
        <v>0</v>
      </c>
      <c r="T54" s="235">
        <f>'Médias por UF'!BJ48*'Evolução das Receitas'!$R$224</f>
        <v>0</v>
      </c>
      <c r="U54" s="235">
        <f>'Médias por UF'!BK48*'Evolução das Receitas'!$R$224</f>
        <v>0</v>
      </c>
      <c r="V54" s="235">
        <f>'Médias por UF'!BL48*'Evolução das Receitas'!$R$224</f>
        <v>0</v>
      </c>
      <c r="W54" s="235">
        <f>'Médias por UF'!BM48*'Evolução das Receitas'!$R$224</f>
        <v>0</v>
      </c>
      <c r="X54" s="235">
        <f>'Médias por UF'!BN48*'Evolução das Receitas'!$R$224</f>
        <v>0</v>
      </c>
      <c r="Y54" s="235">
        <f>'Médias por UF'!BO48*'Evolução das Receitas'!$R$224</f>
        <v>0</v>
      </c>
      <c r="Z54" s="235">
        <f>'Médias por UF'!BP48*'Evolução das Receitas'!$R$224</f>
        <v>0</v>
      </c>
      <c r="AA54" s="235">
        <f>'Médias por UF'!BQ48*'Evolução das Receitas'!$R$224</f>
        <v>0</v>
      </c>
      <c r="AB54" s="235">
        <f>'Médias por UF'!BR48*'Evolução das Receitas'!$R$224</f>
        <v>0</v>
      </c>
      <c r="AC54" s="235">
        <f t="shared" si="14"/>
        <v>0</v>
      </c>
      <c r="AE54" s="237" t="s">
        <v>134</v>
      </c>
      <c r="AF54" s="235">
        <f>JAN!C20+JAN!T20</f>
        <v>68552.12</v>
      </c>
      <c r="AG54" s="235">
        <f>FEV!C20+FEV!T20+AF54</f>
        <v>127093.848</v>
      </c>
      <c r="AH54" s="235">
        <f>MAR!C20+MAR!T20+AG54</f>
        <v>172639.03200000001</v>
      </c>
      <c r="AI54" s="235">
        <f>ABR!C20+ABR!T20+AH54</f>
        <v>215979.24000000002</v>
      </c>
      <c r="AJ54" s="235">
        <f>MAI!C20+MAI!T20</f>
        <v>0</v>
      </c>
      <c r="AK54" s="235">
        <f>JUN!C20+JUN!T20</f>
        <v>0</v>
      </c>
      <c r="AL54" s="235">
        <f>JUL!C20+JUL!T20</f>
        <v>0</v>
      </c>
      <c r="AM54" s="235">
        <f>AGO!C20+AGO!T20</f>
        <v>0</v>
      </c>
      <c r="AN54" s="235">
        <f>SET!C20+SET!T20</f>
        <v>0</v>
      </c>
      <c r="AO54" s="235">
        <f>OUT!C20+OUT!T20</f>
        <v>0</v>
      </c>
      <c r="AP54" s="235">
        <f>NOV!C20+NOV!T20</f>
        <v>0</v>
      </c>
      <c r="AQ54" s="235">
        <f>DEZ!C20+DEZ!T20</f>
        <v>0</v>
      </c>
      <c r="AR54" s="235">
        <f t="shared" si="15"/>
        <v>215979.24000000002</v>
      </c>
    </row>
    <row r="55" spans="1:44">
      <c r="A55" s="242" t="s">
        <v>135</v>
      </c>
      <c r="B55" s="235">
        <f>$C$225*'Médias por UF'!BG49</f>
        <v>40446.605996122504</v>
      </c>
      <c r="C55" s="235">
        <f>$C$225*'Médias por UF'!BH49</f>
        <v>72234.679056576118</v>
      </c>
      <c r="D55" s="235">
        <f>$C$225*'Médias por UF'!BI49</f>
        <v>99907.282580985266</v>
      </c>
      <c r="E55" s="235">
        <f>$C$225*'Médias por UF'!BJ49</f>
        <v>120367.02598259361</v>
      </c>
      <c r="F55" s="235">
        <f>$C$225*'Médias por UF'!BK49</f>
        <v>138015.95420251714</v>
      </c>
      <c r="G55" s="235">
        <f>$C$225*'Médias por UF'!BL49</f>
        <v>154769.36380706783</v>
      </c>
      <c r="H55" s="235">
        <f>$C$225*'Médias por UF'!BM49</f>
        <v>171669.87373906845</v>
      </c>
      <c r="I55" s="235">
        <f>$C$225*'Médias por UF'!BN49</f>
        <v>184626.60987574226</v>
      </c>
      <c r="J55" s="235">
        <f>$C$225*'Médias por UF'!BO49</f>
        <v>193780.62163090729</v>
      </c>
      <c r="K55" s="235">
        <f>$C$225*'Médias por UF'!BP49</f>
        <v>201543.4051227661</v>
      </c>
      <c r="L55" s="235">
        <f>$C$225*'Médias por UF'!BQ49</f>
        <v>209800.45820735334</v>
      </c>
      <c r="M55" s="235">
        <f>$C$225*'Médias por UF'!BR49</f>
        <v>219993</v>
      </c>
      <c r="N55" s="235">
        <f t="shared" si="13"/>
        <v>219993</v>
      </c>
      <c r="P55" s="237" t="s">
        <v>135</v>
      </c>
      <c r="Q55" s="235">
        <f>'Médias por UF'!BG49*'Evolução das Receitas'!$R$225</f>
        <v>40446.605996122504</v>
      </c>
      <c r="R55" s="235">
        <f>'Médias por UF'!BH49*'Evolução das Receitas'!$R$225</f>
        <v>72234.679056576118</v>
      </c>
      <c r="S55" s="235">
        <f>'Médias por UF'!BI49*'Evolução das Receitas'!$R$225</f>
        <v>99907.282580985266</v>
      </c>
      <c r="T55" s="235">
        <f>'Médias por UF'!BJ49*'Evolução das Receitas'!$R$225</f>
        <v>120367.02598259361</v>
      </c>
      <c r="U55" s="235">
        <f>'Médias por UF'!BK49*'Evolução das Receitas'!$R$225</f>
        <v>138015.95420251714</v>
      </c>
      <c r="V55" s="235">
        <f>'Médias por UF'!BL49*'Evolução das Receitas'!$R$225</f>
        <v>154769.36380706783</v>
      </c>
      <c r="W55" s="235">
        <f>'Médias por UF'!BM49*'Evolução das Receitas'!$R$225</f>
        <v>171669.87373906845</v>
      </c>
      <c r="X55" s="235">
        <f>'Médias por UF'!BN49*'Evolução das Receitas'!$R$225</f>
        <v>184626.60987574226</v>
      </c>
      <c r="Y55" s="235">
        <f>'Médias por UF'!BO49*'Evolução das Receitas'!$R$225</f>
        <v>193780.62163090729</v>
      </c>
      <c r="Z55" s="235">
        <f>'Médias por UF'!BP49*'Evolução das Receitas'!$R$225</f>
        <v>201543.4051227661</v>
      </c>
      <c r="AA55" s="235">
        <f>'Médias por UF'!BQ49*'Evolução das Receitas'!$R$225</f>
        <v>209800.45820735334</v>
      </c>
      <c r="AB55" s="235">
        <f>'Médias por UF'!BR49*'Evolução das Receitas'!$R$225</f>
        <v>219993</v>
      </c>
      <c r="AC55" s="235">
        <f t="shared" si="14"/>
        <v>219993</v>
      </c>
      <c r="AE55" s="237" t="s">
        <v>135</v>
      </c>
      <c r="AF55" s="235">
        <f>JAN!C21+JAN!T21</f>
        <v>25726.184000000001</v>
      </c>
      <c r="AG55" s="235">
        <f>FEV!C21+FEV!T21+AF55</f>
        <v>64433.656000000003</v>
      </c>
      <c r="AH55" s="235">
        <f>MAR!C21+MAR!T21+AG55</f>
        <v>99034.872000000003</v>
      </c>
      <c r="AI55" s="235">
        <f>ABR!C21+ABR!T21+AH55</f>
        <v>133308</v>
      </c>
      <c r="AJ55" s="235">
        <f>MAI!C21+MAI!T21</f>
        <v>0</v>
      </c>
      <c r="AK55" s="235">
        <f>JUN!C21+JUN!T21</f>
        <v>0</v>
      </c>
      <c r="AL55" s="235">
        <f>JUL!C21+JUL!T21</f>
        <v>0</v>
      </c>
      <c r="AM55" s="235">
        <f>AGO!C21+AGO!T21</f>
        <v>0</v>
      </c>
      <c r="AN55" s="235">
        <f>SET!C21+SET!T21</f>
        <v>0</v>
      </c>
      <c r="AO55" s="235">
        <f>OUT!C21+OUT!T21</f>
        <v>0</v>
      </c>
      <c r="AP55" s="235">
        <f>NOV!C21+NOV!T21</f>
        <v>0</v>
      </c>
      <c r="AQ55" s="235">
        <f>DEZ!C21+DEZ!T21</f>
        <v>0</v>
      </c>
      <c r="AR55" s="235">
        <f t="shared" si="15"/>
        <v>133308</v>
      </c>
    </row>
    <row r="56" spans="1:44">
      <c r="A56" s="242" t="s">
        <v>136</v>
      </c>
      <c r="B56" s="235">
        <f>$C$226*'Médias por UF'!BG50</f>
        <v>8763.4337220321504</v>
      </c>
      <c r="C56" s="235">
        <f>$C$226*'Médias por UF'!BH50</f>
        <v>14963.962009163992</v>
      </c>
      <c r="D56" s="235">
        <f>$C$226*'Médias por UF'!BI50</f>
        <v>21388.677591946744</v>
      </c>
      <c r="E56" s="235">
        <f>$C$226*'Médias por UF'!BJ50</f>
        <v>25821.404701566491</v>
      </c>
      <c r="F56" s="235">
        <f>$C$226*'Médias por UF'!BK50</f>
        <v>31500.253487638849</v>
      </c>
      <c r="G56" s="235">
        <f>$C$226*'Médias por UF'!BL50</f>
        <v>35533.937243914042</v>
      </c>
      <c r="H56" s="235">
        <f>$C$226*'Médias por UF'!BM50</f>
        <v>38791.549739855604</v>
      </c>
      <c r="I56" s="235">
        <f>$C$226*'Médias por UF'!BN50</f>
        <v>42397.001636975612</v>
      </c>
      <c r="J56" s="235">
        <f>$C$226*'Médias por UF'!BO50</f>
        <v>44606.098727932687</v>
      </c>
      <c r="K56" s="235">
        <f>$C$226*'Médias por UF'!BP50</f>
        <v>46176.87072883232</v>
      </c>
      <c r="L56" s="235">
        <f>$C$226*'Médias por UF'!BQ50</f>
        <v>49658.577801884167</v>
      </c>
      <c r="M56" s="235">
        <f>$C$226*'Médias por UF'!BR50</f>
        <v>52000</v>
      </c>
      <c r="N56" s="235">
        <f t="shared" si="13"/>
        <v>52000</v>
      </c>
      <c r="P56" s="237" t="s">
        <v>136</v>
      </c>
      <c r="Q56" s="235">
        <f>'Médias por UF'!BG50*'Evolução das Receitas'!$R$226</f>
        <v>8763.4337220321504</v>
      </c>
      <c r="R56" s="235">
        <f>'Médias por UF'!BH50*'Evolução das Receitas'!$R$226</f>
        <v>14963.962009163992</v>
      </c>
      <c r="S56" s="235">
        <f>'Médias por UF'!BI50*'Evolução das Receitas'!$R$226</f>
        <v>21388.677591946744</v>
      </c>
      <c r="T56" s="235">
        <f>'Médias por UF'!BJ50*'Evolução das Receitas'!$R$226</f>
        <v>25821.404701566491</v>
      </c>
      <c r="U56" s="235">
        <f>'Médias por UF'!BK50*'Evolução das Receitas'!$R$226</f>
        <v>31500.253487638849</v>
      </c>
      <c r="V56" s="235">
        <f>'Médias por UF'!BL50*'Evolução das Receitas'!$R$226</f>
        <v>35533.937243914042</v>
      </c>
      <c r="W56" s="235">
        <f>'Médias por UF'!BM50*'Evolução das Receitas'!$R$226</f>
        <v>38791.549739855604</v>
      </c>
      <c r="X56" s="235">
        <f>'Médias por UF'!BN50*'Evolução das Receitas'!$R$226</f>
        <v>42397.001636975612</v>
      </c>
      <c r="Y56" s="235">
        <f>'Médias por UF'!BO50*'Evolução das Receitas'!$R$226</f>
        <v>44606.098727932687</v>
      </c>
      <c r="Z56" s="235">
        <f>'Médias por UF'!BP50*'Evolução das Receitas'!$R$226</f>
        <v>46176.87072883232</v>
      </c>
      <c r="AA56" s="235">
        <f>'Médias por UF'!BQ50*'Evolução das Receitas'!$R$226</f>
        <v>49658.577801884167</v>
      </c>
      <c r="AB56" s="235">
        <f>'Médias por UF'!BR50*'Evolução das Receitas'!$R$226</f>
        <v>52000</v>
      </c>
      <c r="AC56" s="235">
        <f t="shared" si="14"/>
        <v>52000</v>
      </c>
      <c r="AE56" s="237" t="s">
        <v>136</v>
      </c>
      <c r="AF56" s="235">
        <f>JAN!C22+JAN!T22</f>
        <v>6157.0080000000007</v>
      </c>
      <c r="AG56" s="235">
        <f>FEV!C22+FEV!T22+AF56</f>
        <v>10241.712000000001</v>
      </c>
      <c r="AH56" s="235">
        <f>MAR!C22+MAR!T22+AG56</f>
        <v>13347.056</v>
      </c>
      <c r="AI56" s="235">
        <f>ABR!C22+ABR!T22+AH56</f>
        <v>16559.36</v>
      </c>
      <c r="AJ56" s="235">
        <f>MAI!C22+MAI!T22</f>
        <v>0</v>
      </c>
      <c r="AK56" s="235">
        <f>JUN!C22+JUN!T22</f>
        <v>0</v>
      </c>
      <c r="AL56" s="235">
        <f>JUL!C22+JUL!T22</f>
        <v>0</v>
      </c>
      <c r="AM56" s="235">
        <f>AGO!C22+AGO!T22</f>
        <v>0</v>
      </c>
      <c r="AN56" s="235">
        <f>SET!C22+SET!T22</f>
        <v>0</v>
      </c>
      <c r="AO56" s="235">
        <f>OUT!C22+OUT!T22</f>
        <v>0</v>
      </c>
      <c r="AP56" s="235">
        <f>NOV!C22+NOV!T22</f>
        <v>0</v>
      </c>
      <c r="AQ56" s="235">
        <f>DEZ!C22+DEZ!T22</f>
        <v>0</v>
      </c>
      <c r="AR56" s="235">
        <f t="shared" si="15"/>
        <v>16559.36</v>
      </c>
    </row>
    <row r="57" spans="1:44">
      <c r="A57" s="242" t="s">
        <v>137</v>
      </c>
      <c r="B57" s="235">
        <f>$C$227*'Médias por UF'!BG51</f>
        <v>125300.92734583394</v>
      </c>
      <c r="C57" s="235">
        <f>$C$227*'Médias por UF'!BH51</f>
        <v>220451.48580045693</v>
      </c>
      <c r="D57" s="235">
        <f>$C$227*'Médias por UF'!BI51</f>
        <v>289977.40514994215</v>
      </c>
      <c r="E57" s="235">
        <f>$C$227*'Médias por UF'!BJ51</f>
        <v>371231.17927722534</v>
      </c>
      <c r="F57" s="235">
        <f>$C$227*'Médias por UF'!BK51</f>
        <v>458947.45766689582</v>
      </c>
      <c r="G57" s="235">
        <f>$C$227*'Médias por UF'!BL51</f>
        <v>540500.17611379374</v>
      </c>
      <c r="H57" s="235">
        <f>$C$227*'Médias por UF'!BM51</f>
        <v>620128.64950546715</v>
      </c>
      <c r="I57" s="235">
        <f>$C$227*'Médias por UF'!BN51</f>
        <v>717986.15005084802</v>
      </c>
      <c r="J57" s="235">
        <f>$C$227*'Médias por UF'!BO51</f>
        <v>789224.83985712403</v>
      </c>
      <c r="K57" s="235">
        <f>$C$227*'Médias por UF'!BP51</f>
        <v>868968.37263685931</v>
      </c>
      <c r="L57" s="235">
        <f>$C$227*'Médias por UF'!BQ51</f>
        <v>929320.61139734823</v>
      </c>
      <c r="M57" s="235">
        <f>$C$227*'Médias por UF'!BR51</f>
        <v>1000000</v>
      </c>
      <c r="N57" s="235">
        <f t="shared" si="13"/>
        <v>1000000</v>
      </c>
      <c r="P57" s="237" t="s">
        <v>137</v>
      </c>
      <c r="Q57" s="235">
        <f>'Médias por UF'!BG51*'Evolução das Receitas'!$R$227</f>
        <v>125300.92734583394</v>
      </c>
      <c r="R57" s="235">
        <f>'Médias por UF'!BH51*'Evolução das Receitas'!$R$227</f>
        <v>220451.48580045693</v>
      </c>
      <c r="S57" s="235">
        <f>'Médias por UF'!BI51*'Evolução das Receitas'!$R$227</f>
        <v>289977.40514994215</v>
      </c>
      <c r="T57" s="235">
        <f>'Médias por UF'!BJ51*'Evolução das Receitas'!$R$227</f>
        <v>371231.17927722534</v>
      </c>
      <c r="U57" s="235">
        <f>'Médias por UF'!BK51*'Evolução das Receitas'!$R$227</f>
        <v>458947.45766689582</v>
      </c>
      <c r="V57" s="235">
        <f>'Médias por UF'!BL51*'Evolução das Receitas'!$R$227</f>
        <v>540500.17611379374</v>
      </c>
      <c r="W57" s="235">
        <f>'Médias por UF'!BM51*'Evolução das Receitas'!$R$227</f>
        <v>620128.64950546715</v>
      </c>
      <c r="X57" s="235">
        <f>'Médias por UF'!BN51*'Evolução das Receitas'!$R$227</f>
        <v>717986.15005084802</v>
      </c>
      <c r="Y57" s="235">
        <f>'Médias por UF'!BO51*'Evolução das Receitas'!$R$227</f>
        <v>789224.83985712403</v>
      </c>
      <c r="Z57" s="235">
        <f>'Médias por UF'!BP51*'Evolução das Receitas'!$R$227</f>
        <v>868968.37263685931</v>
      </c>
      <c r="AA57" s="235">
        <f>'Médias por UF'!BQ51*'Evolução das Receitas'!$R$227</f>
        <v>929320.61139734823</v>
      </c>
      <c r="AB57" s="235">
        <f>'Médias por UF'!BR51*'Evolução das Receitas'!$R$227</f>
        <v>1000000</v>
      </c>
      <c r="AC57" s="235">
        <f t="shared" si="14"/>
        <v>1000000</v>
      </c>
      <c r="AE57" s="237" t="s">
        <v>137</v>
      </c>
      <c r="AF57" s="235">
        <f>JAN!C23+JAN!T23</f>
        <v>104725.06600000002</v>
      </c>
      <c r="AG57" s="235">
        <f>FEV!C23+FEV!T23+AF57</f>
        <v>194580.76</v>
      </c>
      <c r="AH57" s="235">
        <f>MAR!C23+MAR!T23+AG57</f>
        <v>257642.05800000002</v>
      </c>
      <c r="AI57" s="235">
        <f>ABR!C23+ABR!T23+AH57</f>
        <v>322863.57800000004</v>
      </c>
      <c r="AJ57" s="235">
        <f>MAI!C23+MAI!T23</f>
        <v>0</v>
      </c>
      <c r="AK57" s="235">
        <f>JUN!C23+JUN!T23</f>
        <v>0</v>
      </c>
      <c r="AL57" s="235">
        <f>JUL!C23+JUL!T23</f>
        <v>0</v>
      </c>
      <c r="AM57" s="235">
        <f>AGO!C23+AGO!T23</f>
        <v>0</v>
      </c>
      <c r="AN57" s="235">
        <f>SET!C23+SET!T23</f>
        <v>0</v>
      </c>
      <c r="AO57" s="235">
        <f>OUT!C23+OUT!T23</f>
        <v>0</v>
      </c>
      <c r="AP57" s="235">
        <f>NOV!C23+NOV!T23</f>
        <v>0</v>
      </c>
      <c r="AQ57" s="235">
        <f>DEZ!C23+DEZ!T23</f>
        <v>0</v>
      </c>
      <c r="AR57" s="235">
        <f t="shared" si="15"/>
        <v>322863.57800000004</v>
      </c>
    </row>
    <row r="58" spans="1:44">
      <c r="A58" s="242" t="s">
        <v>138</v>
      </c>
      <c r="B58" s="235">
        <f>$C$228*'Médias por UF'!BG52</f>
        <v>0</v>
      </c>
      <c r="C58" s="235">
        <f>$C$228*'Médias por UF'!BH52</f>
        <v>0</v>
      </c>
      <c r="D58" s="235">
        <f>$C$228*'Médias por UF'!BI52</f>
        <v>0</v>
      </c>
      <c r="E58" s="235">
        <f>$C$228*'Médias por UF'!BJ52</f>
        <v>0</v>
      </c>
      <c r="F58" s="235">
        <f>$C$228*'Médias por UF'!BK52</f>
        <v>0</v>
      </c>
      <c r="G58" s="235">
        <f>$C$228*'Médias por UF'!BL52</f>
        <v>0</v>
      </c>
      <c r="H58" s="235">
        <f>$C$228*'Médias por UF'!BM52</f>
        <v>0</v>
      </c>
      <c r="I58" s="235">
        <f>$C$228*'Médias por UF'!BN52</f>
        <v>0</v>
      </c>
      <c r="J58" s="235">
        <f>$C$228*'Médias por UF'!BO52</f>
        <v>0</v>
      </c>
      <c r="K58" s="235">
        <f>$C$228*'Médias por UF'!BP52</f>
        <v>0</v>
      </c>
      <c r="L58" s="235">
        <f>$C$228*'Médias por UF'!BQ52</f>
        <v>0</v>
      </c>
      <c r="M58" s="235">
        <f>$C$228*'Médias por UF'!BR52</f>
        <v>0</v>
      </c>
      <c r="N58" s="235">
        <f t="shared" si="13"/>
        <v>0</v>
      </c>
      <c r="P58" s="237" t="s">
        <v>138</v>
      </c>
      <c r="Q58" s="235">
        <f>'Médias por UF'!BG52*'Evolução das Receitas'!$R$228</f>
        <v>0</v>
      </c>
      <c r="R58" s="235">
        <f>'Médias por UF'!BH52*'Evolução das Receitas'!$R$228</f>
        <v>0</v>
      </c>
      <c r="S58" s="235">
        <f>'Médias por UF'!BI52*'Evolução das Receitas'!$R$228</f>
        <v>0</v>
      </c>
      <c r="T58" s="235">
        <f>'Médias por UF'!BJ52*'Evolução das Receitas'!$R$228</f>
        <v>0</v>
      </c>
      <c r="U58" s="235">
        <f>'Médias por UF'!BK52*'Evolução das Receitas'!$R$228</f>
        <v>0</v>
      </c>
      <c r="V58" s="235">
        <f>'Médias por UF'!BL52*'Evolução das Receitas'!$R$228</f>
        <v>0</v>
      </c>
      <c r="W58" s="235">
        <f>'Médias por UF'!BM52*'Evolução das Receitas'!$R$228</f>
        <v>0</v>
      </c>
      <c r="X58" s="235">
        <f>'Médias por UF'!BN52*'Evolução das Receitas'!$R$228</f>
        <v>0</v>
      </c>
      <c r="Y58" s="235">
        <f>'Médias por UF'!BO52*'Evolução das Receitas'!$R$228</f>
        <v>0</v>
      </c>
      <c r="Z58" s="235">
        <f>'Médias por UF'!BP52*'Evolução das Receitas'!$R$228</f>
        <v>0</v>
      </c>
      <c r="AA58" s="235">
        <f>'Médias por UF'!BQ52*'Evolução das Receitas'!$R$228</f>
        <v>0</v>
      </c>
      <c r="AB58" s="235">
        <f>'Médias por UF'!BR52*'Evolução das Receitas'!$R$228</f>
        <v>0</v>
      </c>
      <c r="AC58" s="235">
        <f t="shared" si="14"/>
        <v>0</v>
      </c>
      <c r="AE58" s="237" t="s">
        <v>138</v>
      </c>
      <c r="AF58" s="235">
        <f>JAN!C24+JAN!T24</f>
        <v>15691.586000000001</v>
      </c>
      <c r="AG58" s="235">
        <f>FEV!C24+FEV!T24+AF58</f>
        <v>36380.952000000005</v>
      </c>
      <c r="AH58" s="235">
        <f>MAR!C24+MAR!T24+AG58</f>
        <v>47786.974000000002</v>
      </c>
      <c r="AI58" s="235">
        <f>ABR!C24+ABR!T24+AH58</f>
        <v>61394.414000000004</v>
      </c>
      <c r="AJ58" s="235">
        <f>MAI!C24+MAI!T24</f>
        <v>0</v>
      </c>
      <c r="AK58" s="235">
        <f>JUN!C24+JUN!T24</f>
        <v>0</v>
      </c>
      <c r="AL58" s="235">
        <f>JUL!C24+JUL!T24</f>
        <v>0</v>
      </c>
      <c r="AM58" s="235">
        <f>AGO!C24+AGO!T24</f>
        <v>0</v>
      </c>
      <c r="AN58" s="235">
        <f>SET!C24+SET!T24</f>
        <v>0</v>
      </c>
      <c r="AO58" s="235">
        <f>OUT!C24+OUT!T24</f>
        <v>0</v>
      </c>
      <c r="AP58" s="235">
        <f>NOV!C24+NOV!T24</f>
        <v>0</v>
      </c>
      <c r="AQ58" s="235">
        <f>DEZ!C24+DEZ!T24</f>
        <v>0</v>
      </c>
      <c r="AR58" s="235">
        <f t="shared" si="15"/>
        <v>61394.414000000004</v>
      </c>
    </row>
    <row r="59" spans="1:44">
      <c r="A59" s="242" t="s">
        <v>139</v>
      </c>
      <c r="B59" s="235">
        <f>$C$229*'Médias por UF'!BG53</f>
        <v>79018.785044988515</v>
      </c>
      <c r="C59" s="235">
        <f>$C$229*'Médias por UF'!BH53</f>
        <v>137887.28740256527</v>
      </c>
      <c r="D59" s="235">
        <f>$C$229*'Médias por UF'!BI53</f>
        <v>186180.58138198536</v>
      </c>
      <c r="E59" s="235">
        <f>$C$229*'Médias por UF'!BJ53</f>
        <v>233422.71054316001</v>
      </c>
      <c r="F59" s="235">
        <f>$C$229*'Médias por UF'!BK53</f>
        <v>283063.62927829794</v>
      </c>
      <c r="G59" s="235">
        <f>$C$229*'Médias por UF'!BL53</f>
        <v>327752.48943311756</v>
      </c>
      <c r="H59" s="235">
        <f>$C$229*'Médias por UF'!BM53</f>
        <v>380074.33618273586</v>
      </c>
      <c r="I59" s="235">
        <f>$C$229*'Médias por UF'!BN53</f>
        <v>426145.0867790078</v>
      </c>
      <c r="J59" s="235">
        <f>$C$229*'Médias por UF'!BO53</f>
        <v>463411.39617183915</v>
      </c>
      <c r="K59" s="235">
        <f>$C$229*'Médias por UF'!BP53</f>
        <v>509119.01589506009</v>
      </c>
      <c r="L59" s="235">
        <f>$C$229*'Médias por UF'!BQ53</f>
        <v>555036.61968916235</v>
      </c>
      <c r="M59" s="235">
        <f>$C$229*'Médias por UF'!BR53</f>
        <v>600000</v>
      </c>
      <c r="N59" s="235">
        <f t="shared" si="13"/>
        <v>600000</v>
      </c>
      <c r="P59" s="237" t="s">
        <v>139</v>
      </c>
      <c r="Q59" s="235">
        <f>'Médias por UF'!BG53*'Evolução das Receitas'!$R$229</f>
        <v>79018.785044988515</v>
      </c>
      <c r="R59" s="235">
        <f>'Médias por UF'!BH53*'Evolução das Receitas'!$R$229</f>
        <v>137887.28740256527</v>
      </c>
      <c r="S59" s="235">
        <f>'Médias por UF'!BI53*'Evolução das Receitas'!$R$229</f>
        <v>186180.58138198536</v>
      </c>
      <c r="T59" s="235">
        <f>'Médias por UF'!BJ53*'Evolução das Receitas'!$R$229</f>
        <v>233422.71054316001</v>
      </c>
      <c r="U59" s="235">
        <f>'Médias por UF'!BK53*'Evolução das Receitas'!$R$229</f>
        <v>283063.62927829794</v>
      </c>
      <c r="V59" s="235">
        <f>'Médias por UF'!BL53*'Evolução das Receitas'!$R$229</f>
        <v>327752.48943311756</v>
      </c>
      <c r="W59" s="235">
        <f>'Médias por UF'!BM53*'Evolução das Receitas'!$R$229</f>
        <v>380074.33618273586</v>
      </c>
      <c r="X59" s="235">
        <f>'Médias por UF'!BN53*'Evolução das Receitas'!$R$229</f>
        <v>426145.0867790078</v>
      </c>
      <c r="Y59" s="235">
        <f>'Médias por UF'!BO53*'Evolução das Receitas'!$R$229</f>
        <v>463411.39617183915</v>
      </c>
      <c r="Z59" s="235">
        <f>'Médias por UF'!BP53*'Evolução das Receitas'!$R$229</f>
        <v>509119.01589506009</v>
      </c>
      <c r="AA59" s="235">
        <f>'Médias por UF'!BQ53*'Evolução das Receitas'!$R$229</f>
        <v>555036.61968916235</v>
      </c>
      <c r="AB59" s="235">
        <f>'Médias por UF'!BR53*'Evolução das Receitas'!$R$229</f>
        <v>600000</v>
      </c>
      <c r="AC59" s="235">
        <f t="shared" si="14"/>
        <v>600000</v>
      </c>
      <c r="AE59" s="237" t="s">
        <v>139</v>
      </c>
      <c r="AF59" s="235">
        <f>JAN!C25+JAN!T25</f>
        <v>112808.55600000001</v>
      </c>
      <c r="AG59" s="235">
        <f>FEV!C25+FEV!T25+AF59</f>
        <v>214114.57199999999</v>
      </c>
      <c r="AH59" s="235">
        <f>MAR!C25+MAR!T25+AG59</f>
        <v>283621.96799999999</v>
      </c>
      <c r="AI59" s="235">
        <f>ABR!C25+ABR!T25+AH59</f>
        <v>370682.07</v>
      </c>
      <c r="AJ59" s="235">
        <f>MAI!C25+MAI!T25</f>
        <v>0</v>
      </c>
      <c r="AK59" s="235">
        <f>JUN!C25+JUN!T25</f>
        <v>0</v>
      </c>
      <c r="AL59" s="235">
        <f>JUL!C25+JUL!T25</f>
        <v>0</v>
      </c>
      <c r="AM59" s="235">
        <f>AGO!C25+AGO!T25</f>
        <v>0</v>
      </c>
      <c r="AN59" s="235">
        <f>SET!C25+SET!T25</f>
        <v>0</v>
      </c>
      <c r="AO59" s="235">
        <f>OUT!C25+OUT!T25</f>
        <v>0</v>
      </c>
      <c r="AP59" s="235">
        <f>NOV!C25+NOV!T25</f>
        <v>0</v>
      </c>
      <c r="AQ59" s="235">
        <f>DEZ!C25+DEZ!T25</f>
        <v>0</v>
      </c>
      <c r="AR59" s="235">
        <f t="shared" si="15"/>
        <v>370682.07</v>
      </c>
    </row>
    <row r="60" spans="1:44">
      <c r="A60" s="242" t="s">
        <v>140</v>
      </c>
      <c r="B60" s="235">
        <f>$C$230*'Médias por UF'!BG54</f>
        <v>0</v>
      </c>
      <c r="C60" s="235">
        <f>$C$230*'Médias por UF'!BH54</f>
        <v>0</v>
      </c>
      <c r="D60" s="235">
        <f>$C$230*'Médias por UF'!BI54</f>
        <v>0</v>
      </c>
      <c r="E60" s="235">
        <f>$C$230*'Médias por UF'!BJ54</f>
        <v>0</v>
      </c>
      <c r="F60" s="235">
        <f>$C$230*'Médias por UF'!BK54</f>
        <v>0</v>
      </c>
      <c r="G60" s="235">
        <f>$C$230*'Médias por UF'!BL54</f>
        <v>0</v>
      </c>
      <c r="H60" s="235">
        <f>$C$230*'Médias por UF'!BM54</f>
        <v>0</v>
      </c>
      <c r="I60" s="235">
        <f>$C$230*'Médias por UF'!BN54</f>
        <v>0</v>
      </c>
      <c r="J60" s="235">
        <f>$C$230*'Médias por UF'!BO54</f>
        <v>0</v>
      </c>
      <c r="K60" s="235">
        <f>$C$230*'Médias por UF'!BP54</f>
        <v>0</v>
      </c>
      <c r="L60" s="235">
        <f>$C$230*'Médias por UF'!BQ54</f>
        <v>0</v>
      </c>
      <c r="M60" s="235">
        <f>$C$230*'Médias por UF'!BR54</f>
        <v>0</v>
      </c>
      <c r="N60" s="235">
        <f t="shared" si="13"/>
        <v>0</v>
      </c>
      <c r="P60" s="237" t="s">
        <v>140</v>
      </c>
      <c r="Q60" s="235">
        <f>'Médias por UF'!BG54*'Evolução das Receitas'!$R$230</f>
        <v>0</v>
      </c>
      <c r="R60" s="235">
        <f>'Médias por UF'!BH54*'Evolução das Receitas'!$R$230</f>
        <v>0</v>
      </c>
      <c r="S60" s="235">
        <f>'Médias por UF'!BI54*'Evolução das Receitas'!$R$230</f>
        <v>0</v>
      </c>
      <c r="T60" s="235">
        <f>'Médias por UF'!BJ54*'Evolução das Receitas'!$R$230</f>
        <v>0</v>
      </c>
      <c r="U60" s="235">
        <f>'Médias por UF'!BK54*'Evolução das Receitas'!$R$230</f>
        <v>0</v>
      </c>
      <c r="V60" s="235">
        <f>'Médias por UF'!BL54*'Evolução das Receitas'!$R$230</f>
        <v>0</v>
      </c>
      <c r="W60" s="235">
        <f>'Médias por UF'!BM54*'Evolução das Receitas'!$R$230</f>
        <v>0</v>
      </c>
      <c r="X60" s="235">
        <f>'Médias por UF'!BN54*'Evolução das Receitas'!$R$230</f>
        <v>0</v>
      </c>
      <c r="Y60" s="235">
        <f>'Médias por UF'!BO54*'Evolução das Receitas'!$R$230</f>
        <v>0</v>
      </c>
      <c r="Z60" s="235">
        <f>'Médias por UF'!BP54*'Evolução das Receitas'!$R$230</f>
        <v>0</v>
      </c>
      <c r="AA60" s="235">
        <f>'Médias por UF'!BQ54*'Evolução das Receitas'!$R$230</f>
        <v>0</v>
      </c>
      <c r="AB60" s="235">
        <f>'Médias por UF'!BR54*'Evolução das Receitas'!$R$230</f>
        <v>0</v>
      </c>
      <c r="AC60" s="235">
        <f t="shared" si="14"/>
        <v>0</v>
      </c>
      <c r="AE60" s="237" t="s">
        <v>140</v>
      </c>
      <c r="AF60" s="235">
        <f>JAN!C26+JAN!T26</f>
        <v>5550.344000000001</v>
      </c>
      <c r="AG60" s="235">
        <f>FEV!C26+FEV!T26+AF60</f>
        <v>9891.1040000000012</v>
      </c>
      <c r="AH60" s="235">
        <f>MAR!C26+MAR!T26+AG60</f>
        <v>13108.480000000001</v>
      </c>
      <c r="AI60" s="235">
        <f>ABR!C26+ABR!T26+AH60</f>
        <v>16284.136000000002</v>
      </c>
      <c r="AJ60" s="235">
        <f>MAI!C26+MAI!T26</f>
        <v>0</v>
      </c>
      <c r="AK60" s="235">
        <f>JUN!C26+JUN!T26</f>
        <v>0</v>
      </c>
      <c r="AL60" s="235">
        <f>JUL!C26+JUL!T26</f>
        <v>0</v>
      </c>
      <c r="AM60" s="235">
        <f>AGO!C26+AGO!T26</f>
        <v>0</v>
      </c>
      <c r="AN60" s="235">
        <f>SET!C26+SET!T26</f>
        <v>0</v>
      </c>
      <c r="AO60" s="235">
        <f>OUT!C26+OUT!T26</f>
        <v>0</v>
      </c>
      <c r="AP60" s="235">
        <f>NOV!C26+NOV!T26</f>
        <v>0</v>
      </c>
      <c r="AQ60" s="235">
        <f>DEZ!C26+DEZ!T26</f>
        <v>0</v>
      </c>
      <c r="AR60" s="235">
        <f t="shared" si="15"/>
        <v>16284.136000000002</v>
      </c>
    </row>
    <row r="61" spans="1:44">
      <c r="A61" s="242" t="s">
        <v>141</v>
      </c>
      <c r="B61" s="235">
        <f>$C$231*'Médias por UF'!BG55</f>
        <v>0</v>
      </c>
      <c r="C61" s="235">
        <f>$C$231*'Médias por UF'!BH55</f>
        <v>0</v>
      </c>
      <c r="D61" s="235">
        <f>$C$231*'Médias por UF'!BI55</f>
        <v>0</v>
      </c>
      <c r="E61" s="235">
        <f>$C$231*'Médias por UF'!BJ55</f>
        <v>0</v>
      </c>
      <c r="F61" s="235">
        <f>$C$231*'Médias por UF'!BK55</f>
        <v>0</v>
      </c>
      <c r="G61" s="235">
        <f>$C$231*'Médias por UF'!BL55</f>
        <v>0</v>
      </c>
      <c r="H61" s="235">
        <f>$C$231*'Médias por UF'!BM55</f>
        <v>0</v>
      </c>
      <c r="I61" s="235">
        <f>$C$231*'Médias por UF'!BN55</f>
        <v>0</v>
      </c>
      <c r="J61" s="235">
        <f>$C$231*'Médias por UF'!BO55</f>
        <v>0</v>
      </c>
      <c r="K61" s="235">
        <f>$C$231*'Médias por UF'!BP55</f>
        <v>0</v>
      </c>
      <c r="L61" s="235">
        <f>$C$231*'Médias por UF'!BQ55</f>
        <v>0</v>
      </c>
      <c r="M61" s="235">
        <f>$C$231*'Médias por UF'!BR55</f>
        <v>0</v>
      </c>
      <c r="N61" s="235">
        <f t="shared" si="13"/>
        <v>0</v>
      </c>
      <c r="P61" s="237" t="s">
        <v>141</v>
      </c>
      <c r="Q61" s="235">
        <f>'Médias por UF'!BG55*'Evolução das Receitas'!$R$231</f>
        <v>0</v>
      </c>
      <c r="R61" s="235">
        <f>'Médias por UF'!BH55*'Evolução das Receitas'!$R$231</f>
        <v>0</v>
      </c>
      <c r="S61" s="235">
        <f>'Médias por UF'!BI55*'Evolução das Receitas'!$R$231</f>
        <v>0</v>
      </c>
      <c r="T61" s="235">
        <f>'Médias por UF'!BJ55*'Evolução das Receitas'!$R$231</f>
        <v>0</v>
      </c>
      <c r="U61" s="235">
        <f>'Médias por UF'!BK55*'Evolução das Receitas'!$R$231</f>
        <v>0</v>
      </c>
      <c r="V61" s="235">
        <f>'Médias por UF'!BL55*'Evolução das Receitas'!$R$231</f>
        <v>0</v>
      </c>
      <c r="W61" s="235">
        <f>'Médias por UF'!BM55*'Evolução das Receitas'!$R$231</f>
        <v>0</v>
      </c>
      <c r="X61" s="235">
        <f>'Médias por UF'!BN55*'Evolução das Receitas'!$R$231</f>
        <v>0</v>
      </c>
      <c r="Y61" s="235">
        <f>'Médias por UF'!BO55*'Evolução das Receitas'!$R$231</f>
        <v>0</v>
      </c>
      <c r="Z61" s="235">
        <f>'Médias por UF'!BP55*'Evolução das Receitas'!$R$231</f>
        <v>0</v>
      </c>
      <c r="AA61" s="235">
        <f>'Médias por UF'!BQ55*'Evolução das Receitas'!$R$231</f>
        <v>0</v>
      </c>
      <c r="AB61" s="235">
        <f>'Médias por UF'!BR55*'Evolução das Receitas'!$R$231</f>
        <v>0</v>
      </c>
      <c r="AC61" s="235">
        <f t="shared" si="14"/>
        <v>0</v>
      </c>
      <c r="AE61" s="237" t="s">
        <v>141</v>
      </c>
      <c r="AF61" s="235">
        <f>JAN!C27+JAN!T27</f>
        <v>1554.04</v>
      </c>
      <c r="AG61" s="235">
        <f>FEV!C27+FEV!T27+AF61</f>
        <v>1836.56</v>
      </c>
      <c r="AH61" s="235">
        <f>MAR!C27+MAR!T27+AG61</f>
        <v>2245.7600000000002</v>
      </c>
      <c r="AI61" s="235">
        <f>ABR!C27+ABR!T27+AH61</f>
        <v>2883.5840000000003</v>
      </c>
      <c r="AJ61" s="235">
        <f>MAI!C27+MAI!T27</f>
        <v>0</v>
      </c>
      <c r="AK61" s="235">
        <f>JUN!C27+JUN!T27</f>
        <v>0</v>
      </c>
      <c r="AL61" s="235">
        <f>JUL!C27+JUL!T27</f>
        <v>0</v>
      </c>
      <c r="AM61" s="235">
        <f>AGO!C27+AGO!T27</f>
        <v>0</v>
      </c>
      <c r="AN61" s="235">
        <f>SET!C27+SET!T27</f>
        <v>0</v>
      </c>
      <c r="AO61" s="235">
        <f>OUT!C27+OUT!T27</f>
        <v>0</v>
      </c>
      <c r="AP61" s="235">
        <f>NOV!C27+NOV!T27</f>
        <v>0</v>
      </c>
      <c r="AQ61" s="235">
        <f>DEZ!C27+DEZ!T27</f>
        <v>0</v>
      </c>
      <c r="AR61" s="235">
        <f t="shared" si="15"/>
        <v>2883.5840000000003</v>
      </c>
    </row>
    <row r="62" spans="1:44">
      <c r="A62" s="242" t="s">
        <v>142</v>
      </c>
      <c r="B62" s="235">
        <f>$C$232*'Médias por UF'!BG56</f>
        <v>0</v>
      </c>
      <c r="C62" s="235">
        <f>$C$232*'Médias por UF'!BH56</f>
        <v>0</v>
      </c>
      <c r="D62" s="235">
        <f>$C$232*'Médias por UF'!BI56</f>
        <v>0</v>
      </c>
      <c r="E62" s="235">
        <f>$C$232*'Médias por UF'!BJ56</f>
        <v>0</v>
      </c>
      <c r="F62" s="235">
        <f>$C$232*'Médias por UF'!BK56</f>
        <v>0</v>
      </c>
      <c r="G62" s="235">
        <f>$C$232*'Médias por UF'!BL56</f>
        <v>0</v>
      </c>
      <c r="H62" s="235">
        <f>$C$232*'Médias por UF'!BM56</f>
        <v>0</v>
      </c>
      <c r="I62" s="235">
        <f>$C$232*'Médias por UF'!BN56</f>
        <v>0</v>
      </c>
      <c r="J62" s="235">
        <f>$C$232*'Médias por UF'!BO56</f>
        <v>0</v>
      </c>
      <c r="K62" s="235">
        <f>$C$232*'Médias por UF'!BP56</f>
        <v>0</v>
      </c>
      <c r="L62" s="235">
        <f>$C$232*'Médias por UF'!BQ56</f>
        <v>0</v>
      </c>
      <c r="M62" s="235">
        <f>$C$232*'Médias por UF'!BR56</f>
        <v>0</v>
      </c>
      <c r="N62" s="235">
        <f t="shared" si="13"/>
        <v>0</v>
      </c>
      <c r="P62" s="237" t="s">
        <v>142</v>
      </c>
      <c r="Q62" s="235">
        <f>'Médias por UF'!BG56*'Evolução das Receitas'!$R$232</f>
        <v>0</v>
      </c>
      <c r="R62" s="235">
        <f>'Médias por UF'!BH56*'Evolução das Receitas'!$R$232</f>
        <v>0</v>
      </c>
      <c r="S62" s="235">
        <f>'Médias por UF'!BI56*'Evolução das Receitas'!$R$232</f>
        <v>0</v>
      </c>
      <c r="T62" s="235">
        <f>'Médias por UF'!BJ56*'Evolução das Receitas'!$R$232</f>
        <v>0</v>
      </c>
      <c r="U62" s="235">
        <f>'Médias por UF'!BK56*'Evolução das Receitas'!$R$232</f>
        <v>0</v>
      </c>
      <c r="V62" s="235">
        <f>'Médias por UF'!BL56*'Evolução das Receitas'!$R$232</f>
        <v>0</v>
      </c>
      <c r="W62" s="235">
        <f>'Médias por UF'!BM56*'Evolução das Receitas'!$R$232</f>
        <v>0</v>
      </c>
      <c r="X62" s="235">
        <f>'Médias por UF'!BN56*'Evolução das Receitas'!$R$232</f>
        <v>0</v>
      </c>
      <c r="Y62" s="235">
        <f>'Médias por UF'!BO56*'Evolução das Receitas'!$R$232</f>
        <v>0</v>
      </c>
      <c r="Z62" s="235">
        <f>'Médias por UF'!BP56*'Evolução das Receitas'!$R$232</f>
        <v>0</v>
      </c>
      <c r="AA62" s="235">
        <f>'Médias por UF'!BQ56*'Evolução das Receitas'!$R$232</f>
        <v>0</v>
      </c>
      <c r="AB62" s="235">
        <f>'Médias por UF'!BR56*'Evolução das Receitas'!$R$232</f>
        <v>0</v>
      </c>
      <c r="AC62" s="235">
        <f t="shared" si="14"/>
        <v>0</v>
      </c>
      <c r="AE62" s="237" t="s">
        <v>142</v>
      </c>
      <c r="AF62" s="235">
        <f>JAN!C28+JAN!T28</f>
        <v>53957.936000000002</v>
      </c>
      <c r="AG62" s="235">
        <f>FEV!C28+FEV!T28+AF62</f>
        <v>98857.224000000002</v>
      </c>
      <c r="AH62" s="235">
        <f>MAR!C28+MAR!T28+AG62</f>
        <v>135337.09599999999</v>
      </c>
      <c r="AI62" s="235">
        <f>ABR!C28+ABR!T28+AH62</f>
        <v>163490.72</v>
      </c>
      <c r="AJ62" s="235">
        <f>MAI!C28+MAI!T28</f>
        <v>0</v>
      </c>
      <c r="AK62" s="235">
        <f>JUN!C28+JUN!T28</f>
        <v>0</v>
      </c>
      <c r="AL62" s="235">
        <f>JUL!C28+JUL!T28</f>
        <v>0</v>
      </c>
      <c r="AM62" s="235">
        <f>AGO!C28+AGO!T28</f>
        <v>0</v>
      </c>
      <c r="AN62" s="235">
        <f>SET!C28+SET!T28</f>
        <v>0</v>
      </c>
      <c r="AO62" s="235">
        <f>OUT!C28+OUT!T28</f>
        <v>0</v>
      </c>
      <c r="AP62" s="235">
        <f>NOV!C28+NOV!T28</f>
        <v>0</v>
      </c>
      <c r="AQ62" s="235">
        <f>DEZ!C28+DEZ!T28</f>
        <v>0</v>
      </c>
      <c r="AR62" s="235">
        <f t="shared" si="15"/>
        <v>163490.72</v>
      </c>
    </row>
    <row r="63" spans="1:44">
      <c r="A63" s="242" t="s">
        <v>143</v>
      </c>
      <c r="B63" s="235">
        <f>$C$233*'Médias por UF'!BG57</f>
        <v>585149.90804259444</v>
      </c>
      <c r="C63" s="235">
        <f>$C$233*'Médias por UF'!BH57</f>
        <v>846775.48647282843</v>
      </c>
      <c r="D63" s="235">
        <f>$C$233*'Médias por UF'!BI57</f>
        <v>1089743.2057669228</v>
      </c>
      <c r="E63" s="235">
        <f>$C$233*'Médias por UF'!BJ57</f>
        <v>1310687.3903177702</v>
      </c>
      <c r="F63" s="235">
        <f>$C$233*'Médias por UF'!BK57</f>
        <v>1553563.6893369951</v>
      </c>
      <c r="G63" s="235">
        <f>$C$233*'Médias por UF'!BL57</f>
        <v>1752508.4116952603</v>
      </c>
      <c r="H63" s="235">
        <f>$C$233*'Médias por UF'!BM57</f>
        <v>1947845.1967427402</v>
      </c>
      <c r="I63" s="235">
        <f>$C$233*'Médias por UF'!BN57</f>
        <v>2150121.8334847298</v>
      </c>
      <c r="J63" s="235">
        <f>$C$233*'Médias por UF'!BO57</f>
        <v>2284795.0607509767</v>
      </c>
      <c r="K63" s="235">
        <f>$C$233*'Médias por UF'!BP57</f>
        <v>2550370.1615817533</v>
      </c>
      <c r="L63" s="235">
        <f>$C$233*'Médias por UF'!BQ57</f>
        <v>2740574.245192715</v>
      </c>
      <c r="M63" s="235">
        <f>$C$233*'Médias por UF'!BR57</f>
        <v>2916777.6153120385</v>
      </c>
      <c r="N63" s="235">
        <f t="shared" si="13"/>
        <v>2916777.6153120385</v>
      </c>
      <c r="P63" s="237" t="s">
        <v>143</v>
      </c>
      <c r="Q63" s="235">
        <f>'Médias por UF'!BG57*'Evolução das Receitas'!$R$233</f>
        <v>585149.90804259444</v>
      </c>
      <c r="R63" s="235">
        <f>'Médias por UF'!BH57*'Evolução das Receitas'!$R$233</f>
        <v>846775.48647282843</v>
      </c>
      <c r="S63" s="235">
        <f>'Médias por UF'!BI57*'Evolução das Receitas'!$R$233</f>
        <v>1089743.2057669228</v>
      </c>
      <c r="T63" s="235">
        <f>'Médias por UF'!BJ57*'Evolução das Receitas'!$R$233</f>
        <v>1310687.3903177702</v>
      </c>
      <c r="U63" s="235">
        <f>'Médias por UF'!BK57*'Evolução das Receitas'!$R$233</f>
        <v>1553563.6893369951</v>
      </c>
      <c r="V63" s="235">
        <f>'Médias por UF'!BL57*'Evolução das Receitas'!$R$233</f>
        <v>1752508.4116952603</v>
      </c>
      <c r="W63" s="235">
        <f>'Médias por UF'!BM57*'Evolução das Receitas'!$R$233</f>
        <v>1947845.1967427402</v>
      </c>
      <c r="X63" s="235">
        <f>'Médias por UF'!BN57*'Evolução das Receitas'!$R$233</f>
        <v>2150121.8334847298</v>
      </c>
      <c r="Y63" s="235">
        <f>'Médias por UF'!BO57*'Evolução das Receitas'!$R$233</f>
        <v>2284795.0607509767</v>
      </c>
      <c r="Z63" s="235">
        <f>'Médias por UF'!BP57*'Evolução das Receitas'!$R$233</f>
        <v>2550370.1615817533</v>
      </c>
      <c r="AA63" s="235">
        <f>'Médias por UF'!BQ57*'Evolução das Receitas'!$R$233</f>
        <v>2740574.245192715</v>
      </c>
      <c r="AB63" s="235">
        <f>'Médias por UF'!BR57*'Evolução das Receitas'!$R$233</f>
        <v>2916777.6153120385</v>
      </c>
      <c r="AC63" s="235">
        <f t="shared" si="14"/>
        <v>2916777.6153120385</v>
      </c>
      <c r="AE63" s="237" t="s">
        <v>143</v>
      </c>
      <c r="AF63" s="235">
        <f>JAN!C29+JAN!T29</f>
        <v>357750.58</v>
      </c>
      <c r="AG63" s="235">
        <f>FEV!C29+FEV!T29+AF63</f>
        <v>678990.00399999996</v>
      </c>
      <c r="AH63" s="235">
        <f>MAR!C29+MAR!T29+AG63</f>
        <v>905580.42799999996</v>
      </c>
      <c r="AI63" s="235">
        <f>ABR!C29+ABR!T29+AH63</f>
        <v>1153900.5959999999</v>
      </c>
      <c r="AJ63" s="235">
        <f>MAI!C29+MAI!T29</f>
        <v>0</v>
      </c>
      <c r="AK63" s="235">
        <f>JUN!C29+JUN!T29</f>
        <v>0</v>
      </c>
      <c r="AL63" s="235">
        <f>JUL!C29+JUL!T29</f>
        <v>0</v>
      </c>
      <c r="AM63" s="235">
        <f>AGO!C29+AGO!T29</f>
        <v>0</v>
      </c>
      <c r="AN63" s="235">
        <f>SET!C29+SET!T29</f>
        <v>0</v>
      </c>
      <c r="AO63" s="235">
        <f>OUT!C29+OUT!T29</f>
        <v>0</v>
      </c>
      <c r="AP63" s="235">
        <f>NOV!C29+NOV!T29</f>
        <v>0</v>
      </c>
      <c r="AQ63" s="235">
        <f>DEZ!C29+DEZ!T29</f>
        <v>0</v>
      </c>
      <c r="AR63" s="235">
        <f t="shared" si="15"/>
        <v>1153900.5959999999</v>
      </c>
    </row>
    <row r="64" spans="1:44">
      <c r="A64" s="242" t="s">
        <v>144</v>
      </c>
      <c r="B64" s="235">
        <f>$C$234*'Médias por UF'!BG58</f>
        <v>10208.897023637235</v>
      </c>
      <c r="C64" s="235">
        <f>$C$234*'Médias por UF'!BH58</f>
        <v>16230.537844074508</v>
      </c>
      <c r="D64" s="235">
        <f>$C$234*'Médias por UF'!BI58</f>
        <v>22012.127107060209</v>
      </c>
      <c r="E64" s="235">
        <f>$C$234*'Médias por UF'!BJ58</f>
        <v>25279.111377045025</v>
      </c>
      <c r="F64" s="235">
        <f>$C$234*'Médias por UF'!BK58</f>
        <v>30320.743945677343</v>
      </c>
      <c r="G64" s="235">
        <f>$C$234*'Médias por UF'!BL58</f>
        <v>34233.006472079564</v>
      </c>
      <c r="H64" s="235">
        <f>$C$234*'Médias por UF'!BM58</f>
        <v>38901.987200847034</v>
      </c>
      <c r="I64" s="235">
        <f>$C$234*'Médias por UF'!BN58</f>
        <v>41693.02192767935</v>
      </c>
      <c r="J64" s="235">
        <f>$C$234*'Médias por UF'!BO58</f>
        <v>44967.888823132642</v>
      </c>
      <c r="K64" s="235">
        <f>$C$234*'Médias por UF'!BP58</f>
        <v>47852.249448700699</v>
      </c>
      <c r="L64" s="235">
        <f>$C$234*'Médias por UF'!BQ58</f>
        <v>49783.160810810747</v>
      </c>
      <c r="M64" s="235">
        <f>$C$234*'Médias por UF'!BR58</f>
        <v>53060</v>
      </c>
      <c r="N64" s="235">
        <f t="shared" si="13"/>
        <v>53060</v>
      </c>
      <c r="P64" s="237" t="s">
        <v>144</v>
      </c>
      <c r="Q64" s="235">
        <f>'Médias por UF'!BG58*'Evolução das Receitas'!$R$234</f>
        <v>10208.897023637235</v>
      </c>
      <c r="R64" s="235">
        <f>'Médias por UF'!BH58*'Evolução das Receitas'!$R$234</f>
        <v>16230.537844074508</v>
      </c>
      <c r="S64" s="235">
        <f>'Médias por UF'!BI58*'Evolução das Receitas'!$R$234</f>
        <v>22012.127107060209</v>
      </c>
      <c r="T64" s="235">
        <f>'Médias por UF'!BJ58*'Evolução das Receitas'!$R$234</f>
        <v>25279.111377045025</v>
      </c>
      <c r="U64" s="235">
        <f>'Médias por UF'!BK58*'Evolução das Receitas'!$R$234</f>
        <v>30320.743945677343</v>
      </c>
      <c r="V64" s="235">
        <f>'Médias por UF'!BL58*'Evolução das Receitas'!$R$234</f>
        <v>34233.006472079564</v>
      </c>
      <c r="W64" s="235">
        <f>'Médias por UF'!BM58*'Evolução das Receitas'!$R$234</f>
        <v>38901.987200847034</v>
      </c>
      <c r="X64" s="235">
        <f>'Médias por UF'!BN58*'Evolução das Receitas'!$R$234</f>
        <v>41693.02192767935</v>
      </c>
      <c r="Y64" s="235">
        <f>'Médias por UF'!BO58*'Evolução das Receitas'!$R$234</f>
        <v>44967.888823132642</v>
      </c>
      <c r="Z64" s="235">
        <f>'Médias por UF'!BP58*'Evolução das Receitas'!$R$234</f>
        <v>47852.249448700699</v>
      </c>
      <c r="AA64" s="235">
        <f>'Médias por UF'!BQ58*'Evolução das Receitas'!$R$234</f>
        <v>49783.160810810747</v>
      </c>
      <c r="AB64" s="235">
        <f>'Médias por UF'!BR58*'Evolução das Receitas'!$R$234</f>
        <v>53060</v>
      </c>
      <c r="AC64" s="235">
        <f t="shared" si="14"/>
        <v>53060</v>
      </c>
      <c r="AE64" s="237" t="s">
        <v>144</v>
      </c>
      <c r="AF64" s="235">
        <f>JAN!C30+JAN!T30</f>
        <v>7233.0560000000005</v>
      </c>
      <c r="AG64" s="235">
        <f>FEV!C30+FEV!T30+AF64</f>
        <v>20696.920000000002</v>
      </c>
      <c r="AH64" s="235">
        <f>MAR!C30+MAR!T30+AG64</f>
        <v>31922.808000000005</v>
      </c>
      <c r="AI64" s="235">
        <f>ABR!C30+ABR!T30+AH64</f>
        <v>41925.928000000007</v>
      </c>
      <c r="AJ64" s="235">
        <f>MAI!C30+MAI!T30</f>
        <v>0</v>
      </c>
      <c r="AK64" s="235">
        <f>JUN!C30+JUN!T30</f>
        <v>0</v>
      </c>
      <c r="AL64" s="235">
        <f>JUL!C30+JUL!T30</f>
        <v>0</v>
      </c>
      <c r="AM64" s="235">
        <f>AGO!C30+AGO!T30</f>
        <v>0</v>
      </c>
      <c r="AN64" s="235">
        <f>SET!C30+SET!T30</f>
        <v>0</v>
      </c>
      <c r="AO64" s="235">
        <f>OUT!C30+OUT!T30</f>
        <v>0</v>
      </c>
      <c r="AP64" s="235">
        <f>NOV!C30+NOV!T30</f>
        <v>0</v>
      </c>
      <c r="AQ64" s="235">
        <f>DEZ!C30+DEZ!T30</f>
        <v>0</v>
      </c>
      <c r="AR64" s="235">
        <f t="shared" si="15"/>
        <v>41925.928000000007</v>
      </c>
    </row>
    <row r="65" spans="1:45">
      <c r="A65" s="242" t="s">
        <v>145</v>
      </c>
      <c r="B65" s="235">
        <f>$C$235*'Médias por UF'!BG59</f>
        <v>2166.5441462849217</v>
      </c>
      <c r="C65" s="235">
        <f>$C$235*'Médias por UF'!BH59</f>
        <v>3768.0343439060448</v>
      </c>
      <c r="D65" s="235">
        <f>$C$235*'Médias por UF'!BI59</f>
        <v>5071.5883881624959</v>
      </c>
      <c r="E65" s="235">
        <f>$C$235*'Médias por UF'!BJ59</f>
        <v>6245.3940633080192</v>
      </c>
      <c r="F65" s="235">
        <f>$C$235*'Médias por UF'!BK59</f>
        <v>7239.494564826382</v>
      </c>
      <c r="G65" s="235">
        <f>$C$235*'Médias por UF'!BL59</f>
        <v>8784.0508750730587</v>
      </c>
      <c r="H65" s="235">
        <f>$C$235*'Médias por UF'!BM59</f>
        <v>10161.766547739424</v>
      </c>
      <c r="I65" s="235">
        <f>$C$235*'Médias por UF'!BN59</f>
        <v>11916.617719278307</v>
      </c>
      <c r="J65" s="235">
        <f>$C$235*'Médias por UF'!BO59</f>
        <v>12769.324046541678</v>
      </c>
      <c r="K65" s="235">
        <f>$C$235*'Médias por UF'!BP59</f>
        <v>14253.898759772334</v>
      </c>
      <c r="L65" s="235">
        <f>$C$235*'Médias por UF'!BQ59</f>
        <v>15803.583837349302</v>
      </c>
      <c r="M65" s="235">
        <f>$C$235*'Médias por UF'!BR59</f>
        <v>17006</v>
      </c>
      <c r="N65" s="235">
        <f t="shared" si="13"/>
        <v>17006</v>
      </c>
      <c r="P65" s="237" t="s">
        <v>145</v>
      </c>
      <c r="Q65" s="235">
        <f>'Médias por UF'!BG59*'Evolução das Receitas'!$R$235</f>
        <v>2166.5441462849217</v>
      </c>
      <c r="R65" s="235">
        <f>'Médias por UF'!BH59*'Evolução das Receitas'!$R$235</f>
        <v>3768.0343439060448</v>
      </c>
      <c r="S65" s="235">
        <f>'Médias por UF'!BI59*'Evolução das Receitas'!$R$235</f>
        <v>5071.5883881624959</v>
      </c>
      <c r="T65" s="235">
        <f>'Médias por UF'!BJ59*'Evolução das Receitas'!$R$235</f>
        <v>6245.3940633080192</v>
      </c>
      <c r="U65" s="235">
        <f>'Médias por UF'!BK59*'Evolução das Receitas'!$R$235</f>
        <v>7239.494564826382</v>
      </c>
      <c r="V65" s="235">
        <f>'Médias por UF'!BL59*'Evolução das Receitas'!$R$235</f>
        <v>8784.0508750730587</v>
      </c>
      <c r="W65" s="235">
        <f>'Médias por UF'!BM59*'Evolução das Receitas'!$R$235</f>
        <v>10161.766547739424</v>
      </c>
      <c r="X65" s="235">
        <f>'Médias por UF'!BN59*'Evolução das Receitas'!$R$235</f>
        <v>11916.617719278307</v>
      </c>
      <c r="Y65" s="235">
        <f>'Médias por UF'!BO59*'Evolução das Receitas'!$R$235</f>
        <v>12769.324046541678</v>
      </c>
      <c r="Z65" s="235">
        <f>'Médias por UF'!BP59*'Evolução das Receitas'!$R$235</f>
        <v>14253.898759772334</v>
      </c>
      <c r="AA65" s="235">
        <f>'Médias por UF'!BQ59*'Evolução das Receitas'!$R$235</f>
        <v>15803.583837349302</v>
      </c>
      <c r="AB65" s="235">
        <f>'Médias por UF'!BR59*'Evolução das Receitas'!$R$235</f>
        <v>17006</v>
      </c>
      <c r="AC65" s="235">
        <f t="shared" si="14"/>
        <v>17006</v>
      </c>
      <c r="AE65" s="237" t="s">
        <v>145</v>
      </c>
      <c r="AF65" s="235">
        <f>JAN!C31+JAN!T31</f>
        <v>7008.9039999999995</v>
      </c>
      <c r="AG65" s="235">
        <f>FEV!C31+FEV!T31+AF65</f>
        <v>12464.2</v>
      </c>
      <c r="AH65" s="235">
        <f>MAR!C31+MAR!T31+AG65</f>
        <v>15407.568000000001</v>
      </c>
      <c r="AI65" s="235">
        <f>ABR!C31+ABR!T31+AH65</f>
        <v>20319.464</v>
      </c>
      <c r="AJ65" s="235">
        <f>MAI!C31+MAI!T31</f>
        <v>0</v>
      </c>
      <c r="AK65" s="235">
        <f>JUN!C31+JUN!T31</f>
        <v>0</v>
      </c>
      <c r="AL65" s="235">
        <f>JUL!C31+JUL!T31</f>
        <v>0</v>
      </c>
      <c r="AM65" s="235">
        <f>AGO!C31+AGO!T31</f>
        <v>0</v>
      </c>
      <c r="AN65" s="235">
        <f>SET!C31+SET!T31</f>
        <v>0</v>
      </c>
      <c r="AO65" s="235">
        <f>OUT!C31+OUT!T31</f>
        <v>0</v>
      </c>
      <c r="AP65" s="235">
        <f>NOV!C31+NOV!T31</f>
        <v>0</v>
      </c>
      <c r="AQ65" s="235">
        <f>DEZ!C31+DEZ!T31</f>
        <v>0</v>
      </c>
      <c r="AR65" s="235">
        <f t="shared" si="15"/>
        <v>20319.464</v>
      </c>
    </row>
    <row r="66" spans="1:45">
      <c r="A66" s="243" t="s">
        <v>37</v>
      </c>
      <c r="B66" s="236">
        <f>SUM(B39:B65)</f>
        <v>1071507.5111540295</v>
      </c>
      <c r="C66" s="236">
        <f t="shared" ref="C66:D66" si="16">SUM(C39:C65)</f>
        <v>1697599.7408706492</v>
      </c>
      <c r="D66" s="236">
        <f t="shared" si="16"/>
        <v>2258624.0524532651</v>
      </c>
      <c r="E66" s="236">
        <f>SUM(E39:E65)</f>
        <v>2755904.7348073651</v>
      </c>
      <c r="F66" s="236">
        <f t="shared" ref="F66:N66" si="17">SUM(F39:F65)</f>
        <v>3293177.6325341621</v>
      </c>
      <c r="G66" s="236">
        <f t="shared" si="17"/>
        <v>3755802.5513481181</v>
      </c>
      <c r="H66" s="236">
        <f t="shared" si="17"/>
        <v>4215007.5054463716</v>
      </c>
      <c r="I66" s="236">
        <f t="shared" si="17"/>
        <v>4695889.7050521681</v>
      </c>
      <c r="J66" s="236">
        <f t="shared" si="17"/>
        <v>5052544.0519285398</v>
      </c>
      <c r="K66" s="236">
        <f t="shared" si="17"/>
        <v>5561422.3479630379</v>
      </c>
      <c r="L66" s="236">
        <f t="shared" si="17"/>
        <v>5974928.5489238976</v>
      </c>
      <c r="M66" s="236">
        <f t="shared" si="17"/>
        <v>6393327.6753120385</v>
      </c>
      <c r="N66" s="236">
        <f t="shared" si="17"/>
        <v>6393327.6753120385</v>
      </c>
      <c r="P66" s="238" t="s">
        <v>37</v>
      </c>
      <c r="Q66" s="236">
        <f>SUM(Q39:Q65)</f>
        <v>1071507.5111540295</v>
      </c>
      <c r="R66" s="236">
        <f t="shared" ref="R66:S66" si="18">SUM(R39:R65)</f>
        <v>1697599.7408706492</v>
      </c>
      <c r="S66" s="236">
        <f t="shared" si="18"/>
        <v>2258624.0524532651</v>
      </c>
      <c r="T66" s="236">
        <f>SUM(T39:T65)</f>
        <v>2755904.7348073651</v>
      </c>
      <c r="U66" s="236">
        <f t="shared" ref="U66:AC66" si="19">SUM(U39:U65)</f>
        <v>3293177.6325341621</v>
      </c>
      <c r="V66" s="236">
        <f t="shared" si="19"/>
        <v>3755802.5513481181</v>
      </c>
      <c r="W66" s="236">
        <f t="shared" si="19"/>
        <v>4215007.5054463716</v>
      </c>
      <c r="X66" s="236">
        <f t="shared" si="19"/>
        <v>4695889.7050521681</v>
      </c>
      <c r="Y66" s="236">
        <f t="shared" si="19"/>
        <v>5052544.0519285398</v>
      </c>
      <c r="Z66" s="236">
        <f t="shared" si="19"/>
        <v>5561422.3479630379</v>
      </c>
      <c r="AA66" s="236">
        <f t="shared" si="19"/>
        <v>5974928.5489238976</v>
      </c>
      <c r="AB66" s="236">
        <f t="shared" si="19"/>
        <v>6393327.6753120385</v>
      </c>
      <c r="AC66" s="236">
        <f t="shared" si="19"/>
        <v>6393327.6753120385</v>
      </c>
      <c r="AE66" s="238" t="s">
        <v>37</v>
      </c>
      <c r="AF66" s="236">
        <f>SUM(AF39:AF65)</f>
        <v>1157083.8180000004</v>
      </c>
      <c r="AG66" s="236">
        <f t="shared" ref="AG66:AH66" si="20">SUM(AG39:AG65)</f>
        <v>2216371.09</v>
      </c>
      <c r="AH66" s="236">
        <f t="shared" si="20"/>
        <v>2989251.9339999999</v>
      </c>
      <c r="AI66" s="236">
        <f>SUM(AI39:AI65)</f>
        <v>3802474.452</v>
      </c>
      <c r="AJ66" s="236">
        <f t="shared" ref="AJ66:AR66" si="21">SUM(AJ39:AJ65)</f>
        <v>0</v>
      </c>
      <c r="AK66" s="236">
        <f t="shared" si="21"/>
        <v>0</v>
      </c>
      <c r="AL66" s="236">
        <f t="shared" si="21"/>
        <v>0</v>
      </c>
      <c r="AM66" s="236">
        <f t="shared" si="21"/>
        <v>0</v>
      </c>
      <c r="AN66" s="236">
        <f t="shared" si="21"/>
        <v>0</v>
      </c>
      <c r="AO66" s="236">
        <f t="shared" si="21"/>
        <v>0</v>
      </c>
      <c r="AP66" s="236">
        <f t="shared" si="21"/>
        <v>0</v>
      </c>
      <c r="AQ66" s="236">
        <f t="shared" si="21"/>
        <v>0</v>
      </c>
      <c r="AR66" s="236">
        <f t="shared" si="21"/>
        <v>3802474.452</v>
      </c>
    </row>
    <row r="67" spans="1:45">
      <c r="N67" s="94">
        <f>N66-SUM(C209:C235)</f>
        <v>0</v>
      </c>
      <c r="AC67" s="94">
        <f>AC66-SUM(R209:R235)</f>
        <v>0</v>
      </c>
      <c r="AR67" s="94">
        <f>AR66-'TOTAL POR UF'!C32</f>
        <v>0</v>
      </c>
    </row>
    <row r="68" spans="1:45">
      <c r="A68" s="242" t="s">
        <v>337</v>
      </c>
      <c r="B68" s="235">
        <f>B66*0.2/0.8</f>
        <v>267876.87778850738</v>
      </c>
      <c r="C68" s="235">
        <f t="shared" ref="C68:M68" si="22">C66*0.2/0.8</f>
        <v>424399.93521766231</v>
      </c>
      <c r="D68" s="235">
        <f t="shared" si="22"/>
        <v>564656.01311331626</v>
      </c>
      <c r="E68" s="235">
        <f t="shared" si="22"/>
        <v>688976.18370184128</v>
      </c>
      <c r="F68" s="235">
        <f t="shared" si="22"/>
        <v>823294.40813354054</v>
      </c>
      <c r="G68" s="235">
        <f t="shared" si="22"/>
        <v>938950.63783702964</v>
      </c>
      <c r="H68" s="235">
        <f t="shared" si="22"/>
        <v>1053751.8763615929</v>
      </c>
      <c r="I68" s="235">
        <f t="shared" si="22"/>
        <v>1173972.426263042</v>
      </c>
      <c r="J68" s="235">
        <f t="shared" si="22"/>
        <v>1263136.0129821349</v>
      </c>
      <c r="K68" s="235">
        <f t="shared" si="22"/>
        <v>1390355.5869907595</v>
      </c>
      <c r="L68" s="235">
        <f t="shared" si="22"/>
        <v>1493732.1372309742</v>
      </c>
      <c r="M68" s="235">
        <f t="shared" si="22"/>
        <v>1598331.9188280096</v>
      </c>
      <c r="N68" s="235">
        <f t="shared" ref="N68" si="23">M68</f>
        <v>1598331.9188280096</v>
      </c>
      <c r="P68" s="242" t="s">
        <v>337</v>
      </c>
      <c r="Q68" s="235">
        <f>Q66*0.2/0.8</f>
        <v>267876.87778850738</v>
      </c>
      <c r="R68" s="235">
        <f t="shared" ref="R68:AB68" si="24">R66*0.2/0.8</f>
        <v>424399.93521766231</v>
      </c>
      <c r="S68" s="235">
        <f t="shared" si="24"/>
        <v>564656.01311331626</v>
      </c>
      <c r="T68" s="235">
        <f t="shared" si="24"/>
        <v>688976.18370184128</v>
      </c>
      <c r="U68" s="235">
        <f t="shared" si="24"/>
        <v>823294.40813354054</v>
      </c>
      <c r="V68" s="235">
        <f t="shared" si="24"/>
        <v>938950.63783702964</v>
      </c>
      <c r="W68" s="235">
        <f t="shared" si="24"/>
        <v>1053751.8763615929</v>
      </c>
      <c r="X68" s="235">
        <f t="shared" si="24"/>
        <v>1173972.426263042</v>
      </c>
      <c r="Y68" s="235">
        <f t="shared" si="24"/>
        <v>1263136.0129821349</v>
      </c>
      <c r="Z68" s="235">
        <f t="shared" si="24"/>
        <v>1390355.5869907595</v>
      </c>
      <c r="AA68" s="235">
        <f t="shared" si="24"/>
        <v>1493732.1372309742</v>
      </c>
      <c r="AB68" s="235">
        <f t="shared" si="24"/>
        <v>1598331.9188280096</v>
      </c>
      <c r="AC68" s="235">
        <f t="shared" ref="AC68" si="25">AB68</f>
        <v>1598331.9188280096</v>
      </c>
      <c r="AE68" s="237" t="s">
        <v>337</v>
      </c>
      <c r="AF68" s="235">
        <f>JAN!C67+JAN!T67</f>
        <v>288948.49200000009</v>
      </c>
      <c r="AG68" s="235">
        <f>FEV!C67+FEV!T67+AF68</f>
        <v>553009.87000000011</v>
      </c>
      <c r="AH68" s="235">
        <f>MAR!C67+MAR!T67+AG68</f>
        <v>745811.99600000016</v>
      </c>
      <c r="AI68" s="235">
        <f>ABR!C67+ABR!T67+AH68</f>
        <v>949044.08800000022</v>
      </c>
      <c r="AJ68" s="235">
        <f>MAI!C67+MAI!T67</f>
        <v>0</v>
      </c>
      <c r="AK68" s="235">
        <f>JUN!C67+JUN!T67</f>
        <v>0</v>
      </c>
      <c r="AL68" s="235">
        <f>JUL!C67+JUL!T67</f>
        <v>0</v>
      </c>
      <c r="AM68" s="235">
        <f>AGO!C67+AGO!T67</f>
        <v>0</v>
      </c>
      <c r="AN68" s="235">
        <f>SET!C67+SET!T67</f>
        <v>0</v>
      </c>
      <c r="AO68" s="235">
        <f>OUT!C67+OUT!T67</f>
        <v>0</v>
      </c>
      <c r="AP68" s="235">
        <f>NOV!C67+NOV!T67</f>
        <v>0</v>
      </c>
      <c r="AQ68" s="235">
        <f>DEZ!C67+DEZ!T67</f>
        <v>0</v>
      </c>
      <c r="AR68" s="235">
        <f>AI68</f>
        <v>949044.08800000022</v>
      </c>
      <c r="AS68" s="93">
        <f>AR68-'TOTAL POR UF'!C65</f>
        <v>0</v>
      </c>
    </row>
    <row r="69" spans="1:45" ht="21">
      <c r="A69" s="326" t="s">
        <v>391</v>
      </c>
      <c r="B69" s="326"/>
      <c r="C69" s="326"/>
      <c r="D69" s="326"/>
      <c r="E69" s="326"/>
      <c r="F69" s="326"/>
      <c r="G69" s="326"/>
      <c r="H69" s="326"/>
      <c r="I69" s="326"/>
      <c r="J69" s="326"/>
      <c r="K69" s="326"/>
      <c r="L69" s="326"/>
      <c r="M69" s="326"/>
      <c r="N69" s="326"/>
      <c r="P69" s="326" t="s">
        <v>161</v>
      </c>
      <c r="Q69" s="326"/>
      <c r="R69" s="326"/>
      <c r="S69" s="326"/>
      <c r="T69" s="326"/>
      <c r="U69" s="326"/>
      <c r="V69" s="326"/>
      <c r="W69" s="326"/>
      <c r="X69" s="326"/>
      <c r="Y69" s="326"/>
      <c r="Z69" s="326"/>
      <c r="AA69" s="326"/>
      <c r="AB69" s="326"/>
      <c r="AC69" s="326"/>
      <c r="AE69" s="326" t="s">
        <v>390</v>
      </c>
      <c r="AF69" s="326"/>
      <c r="AG69" s="326"/>
      <c r="AH69" s="326"/>
      <c r="AI69" s="326"/>
      <c r="AJ69" s="326"/>
      <c r="AK69" s="326"/>
      <c r="AL69" s="326"/>
      <c r="AM69" s="326"/>
      <c r="AN69" s="326"/>
      <c r="AO69" s="326"/>
      <c r="AP69" s="326"/>
      <c r="AQ69" s="326"/>
      <c r="AR69" s="326"/>
    </row>
    <row r="71" spans="1:45">
      <c r="A71" s="327" t="s">
        <v>33</v>
      </c>
      <c r="B71" s="329" t="s">
        <v>29</v>
      </c>
      <c r="C71" s="330"/>
      <c r="D71" s="330"/>
      <c r="E71" s="330"/>
      <c r="F71" s="330"/>
      <c r="G71" s="330"/>
      <c r="H71" s="330"/>
      <c r="I71" s="330"/>
      <c r="J71" s="330"/>
      <c r="K71" s="330"/>
      <c r="L71" s="330"/>
      <c r="M71" s="330"/>
      <c r="P71" s="327" t="s">
        <v>33</v>
      </c>
      <c r="Q71" s="329" t="s">
        <v>29</v>
      </c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E71" s="327" t="s">
        <v>33</v>
      </c>
      <c r="AF71" s="329" t="s">
        <v>29</v>
      </c>
      <c r="AG71" s="330"/>
      <c r="AH71" s="330"/>
      <c r="AI71" s="330"/>
      <c r="AJ71" s="330"/>
      <c r="AK71" s="330"/>
      <c r="AL71" s="330"/>
      <c r="AM71" s="330"/>
      <c r="AN71" s="330"/>
      <c r="AO71" s="330"/>
      <c r="AP71" s="330"/>
      <c r="AQ71" s="330"/>
    </row>
    <row r="72" spans="1:45">
      <c r="A72" s="328"/>
      <c r="B72" s="240" t="s">
        <v>148</v>
      </c>
      <c r="C72" s="240" t="s">
        <v>149</v>
      </c>
      <c r="D72" s="240" t="s">
        <v>150</v>
      </c>
      <c r="E72" s="240" t="s">
        <v>151</v>
      </c>
      <c r="F72" s="240" t="s">
        <v>152</v>
      </c>
      <c r="G72" s="240" t="s">
        <v>153</v>
      </c>
      <c r="H72" s="240" t="s">
        <v>154</v>
      </c>
      <c r="I72" s="240" t="s">
        <v>155</v>
      </c>
      <c r="J72" s="240" t="s">
        <v>156</v>
      </c>
      <c r="K72" s="240" t="s">
        <v>157</v>
      </c>
      <c r="L72" s="240" t="s">
        <v>158</v>
      </c>
      <c r="M72" s="240" t="s">
        <v>159</v>
      </c>
      <c r="N72" s="240" t="s">
        <v>160</v>
      </c>
      <c r="P72" s="328"/>
      <c r="Q72" s="240" t="s">
        <v>148</v>
      </c>
      <c r="R72" s="240" t="s">
        <v>149</v>
      </c>
      <c r="S72" s="240" t="s">
        <v>150</v>
      </c>
      <c r="T72" s="240" t="s">
        <v>151</v>
      </c>
      <c r="U72" s="240" t="s">
        <v>152</v>
      </c>
      <c r="V72" s="240" t="s">
        <v>153</v>
      </c>
      <c r="W72" s="240" t="s">
        <v>154</v>
      </c>
      <c r="X72" s="240" t="s">
        <v>155</v>
      </c>
      <c r="Y72" s="240" t="s">
        <v>156</v>
      </c>
      <c r="Z72" s="240" t="s">
        <v>157</v>
      </c>
      <c r="AA72" s="240" t="s">
        <v>158</v>
      </c>
      <c r="AB72" s="240" t="s">
        <v>159</v>
      </c>
      <c r="AC72" s="240" t="s">
        <v>160</v>
      </c>
      <c r="AE72" s="328"/>
      <c r="AF72" s="240" t="s">
        <v>148</v>
      </c>
      <c r="AG72" s="240" t="s">
        <v>149</v>
      </c>
      <c r="AH72" s="240" t="s">
        <v>150</v>
      </c>
      <c r="AI72" s="240" t="s">
        <v>151</v>
      </c>
      <c r="AJ72" s="240" t="s">
        <v>152</v>
      </c>
      <c r="AK72" s="240" t="s">
        <v>153</v>
      </c>
      <c r="AL72" s="240" t="s">
        <v>154</v>
      </c>
      <c r="AM72" s="240" t="s">
        <v>155</v>
      </c>
      <c r="AN72" s="240" t="s">
        <v>156</v>
      </c>
      <c r="AO72" s="240" t="s">
        <v>157</v>
      </c>
      <c r="AP72" s="240" t="s">
        <v>158</v>
      </c>
      <c r="AQ72" s="240" t="s">
        <v>159</v>
      </c>
      <c r="AR72" s="240" t="s">
        <v>160</v>
      </c>
    </row>
    <row r="73" spans="1:45">
      <c r="A73" s="242" t="s">
        <v>119</v>
      </c>
      <c r="B73" s="235">
        <f>$D$209*'Médias por UF'!BG63</f>
        <v>5501.8537744437072</v>
      </c>
      <c r="C73" s="235">
        <f>$D$209*'Médias por UF'!BH63</f>
        <v>13309.687041591884</v>
      </c>
      <c r="D73" s="235">
        <f>$D$209*'Médias por UF'!BI63</f>
        <v>18219.407047768276</v>
      </c>
      <c r="E73" s="235">
        <f>$D$209*'Médias por UF'!BJ63</f>
        <v>24097.975324287072</v>
      </c>
      <c r="F73" s="235">
        <f>$D$209*'Médias por UF'!BK63</f>
        <v>30807.801356980493</v>
      </c>
      <c r="G73" s="235">
        <f>$D$209*'Médias por UF'!BL63</f>
        <v>35035.468339627179</v>
      </c>
      <c r="H73" s="235">
        <f>$D$209*'Médias por UF'!BM63</f>
        <v>37849.798675008387</v>
      </c>
      <c r="I73" s="235">
        <f>$D$209*'Médias por UF'!BN63</f>
        <v>41787.653035251344</v>
      </c>
      <c r="J73" s="235">
        <f>$D$209*'Médias por UF'!BO63</f>
        <v>44114.855049160084</v>
      </c>
      <c r="K73" s="235">
        <f>$D$209*'Médias por UF'!BP63</f>
        <v>46005.470622834815</v>
      </c>
      <c r="L73" s="235">
        <f>$D$209*'Médias por UF'!BQ63</f>
        <v>47371.447857308551</v>
      </c>
      <c r="M73" s="235">
        <f>$D$209*'Médias por UF'!BR63</f>
        <v>51561.469943785632</v>
      </c>
      <c r="N73" s="235">
        <f>M73</f>
        <v>51561.469943785632</v>
      </c>
      <c r="P73" s="237" t="s">
        <v>119</v>
      </c>
      <c r="Q73" s="235">
        <f>'Médias por UF'!BG63*'Evolução das Receitas'!$S$209</f>
        <v>3807.9724232578192</v>
      </c>
      <c r="R73" s="235">
        <f>'Médias por UF'!BH63*'Evolução das Receitas'!$S$209</f>
        <v>9211.9716907049915</v>
      </c>
      <c r="S73" s="235">
        <f>'Médias por UF'!BI63*'Evolução das Receitas'!$S$209</f>
        <v>12610.113327307698</v>
      </c>
      <c r="T73" s="235">
        <f>'Médias por UF'!BJ63*'Evolução das Receitas'!$S$209</f>
        <v>16678.819404012764</v>
      </c>
      <c r="U73" s="235">
        <f>'Médias por UF'!BK63*'Evolução das Receitas'!$S$209</f>
        <v>21322.860039196203</v>
      </c>
      <c r="V73" s="235">
        <f>'Médias por UF'!BL63*'Evolução das Receitas'!$S$209</f>
        <v>24248.93549387583</v>
      </c>
      <c r="W73" s="235">
        <f>'Médias por UF'!BM63*'Evolução das Receitas'!$S$209</f>
        <v>26196.804838722815</v>
      </c>
      <c r="X73" s="235">
        <f>'Médias por UF'!BN63*'Evolução das Receitas'!$S$209</f>
        <v>28922.293633111374</v>
      </c>
      <c r="Y73" s="235">
        <f>'Médias por UF'!BO63*'Evolução das Receitas'!$S$209</f>
        <v>30533.009122039573</v>
      </c>
      <c r="Z73" s="235">
        <f>'Médias por UF'!BP63*'Evolução das Receitas'!$S$209</f>
        <v>31841.55207186798</v>
      </c>
      <c r="AA73" s="235">
        <f>'Médias por UF'!BQ63*'Evolução das Receitas'!$S$209</f>
        <v>32786.979531942547</v>
      </c>
      <c r="AB73" s="235">
        <f>'Médias por UF'!BR63*'Evolução das Receitas'!$S$209</f>
        <v>35687</v>
      </c>
      <c r="AC73" s="235">
        <f>AB73</f>
        <v>35687</v>
      </c>
      <c r="AE73" s="237" t="s">
        <v>119</v>
      </c>
      <c r="AF73" s="235">
        <f>JAN!D5+JAN!U5</f>
        <v>2476.4480000000003</v>
      </c>
      <c r="AG73" s="235">
        <f>FEV!D5+FEV!U5+AF73</f>
        <v>4886.5760000000009</v>
      </c>
      <c r="AH73" s="235">
        <f>MAR!D5+MAR!U5+AG73</f>
        <v>6601.4400000000005</v>
      </c>
      <c r="AI73" s="235">
        <f>ABR!D5+ABR!U5+AH73</f>
        <v>8337.1840000000011</v>
      </c>
      <c r="AJ73" s="235">
        <f>MAI!D5+MAI!U5</f>
        <v>0</v>
      </c>
      <c r="AK73" s="235">
        <f>JUN!D5+JUN!U5</f>
        <v>0</v>
      </c>
      <c r="AL73" s="235">
        <f>JUL!D5+JUL!U5</f>
        <v>0</v>
      </c>
      <c r="AM73" s="235">
        <f>AGO!D5+AGO!U5</f>
        <v>0</v>
      </c>
      <c r="AN73" s="235">
        <f>SET!D5+SET!U5</f>
        <v>0</v>
      </c>
      <c r="AO73" s="235">
        <f>OUT!D5+OUT!U5</f>
        <v>0</v>
      </c>
      <c r="AP73" s="235">
        <f>NOV!D5+NOV!U5</f>
        <v>0</v>
      </c>
      <c r="AQ73" s="235">
        <f>DEZ!D5+DEZ!U5</f>
        <v>0</v>
      </c>
      <c r="AR73" s="235">
        <f>AI73</f>
        <v>8337.1840000000011</v>
      </c>
    </row>
    <row r="74" spans="1:45">
      <c r="A74" s="242" t="s">
        <v>120</v>
      </c>
      <c r="B74" s="235">
        <f>$D$210*'Médias por UF'!BG64</f>
        <v>10280.471864629428</v>
      </c>
      <c r="C74" s="235">
        <f>$D$210*'Médias por UF'!BH64</f>
        <v>29971.251043241871</v>
      </c>
      <c r="D74" s="235">
        <f>$D$210*'Médias por UF'!BI64</f>
        <v>36850.740674464592</v>
      </c>
      <c r="E74" s="235">
        <f>$D$210*'Médias por UF'!BJ64</f>
        <v>40701.582221755729</v>
      </c>
      <c r="F74" s="235">
        <f>$D$210*'Médias por UF'!BK64</f>
        <v>46957.330748180626</v>
      </c>
      <c r="G74" s="235">
        <f>$D$210*'Médias por UF'!BL64</f>
        <v>51386.474364743517</v>
      </c>
      <c r="H74" s="235">
        <f>$D$210*'Médias por UF'!BM64</f>
        <v>53256.773055543912</v>
      </c>
      <c r="I74" s="235">
        <f>$D$210*'Médias por UF'!BN64</f>
        <v>56690.958320905731</v>
      </c>
      <c r="J74" s="235">
        <f>$D$210*'Médias por UF'!BO64</f>
        <v>58211.935133855994</v>
      </c>
      <c r="K74" s="235">
        <f>$D$210*'Médias por UF'!BP64</f>
        <v>58929.755134349791</v>
      </c>
      <c r="L74" s="235">
        <f>$D$210*'Médias por UF'!BQ64</f>
        <v>59474.661788409154</v>
      </c>
      <c r="M74" s="235">
        <f>$D$210*'Médias por UF'!BR64</f>
        <v>61355.739150336434</v>
      </c>
      <c r="N74" s="235">
        <f t="shared" ref="N74:N99" si="26">M74</f>
        <v>61355.739150336434</v>
      </c>
      <c r="P74" s="237" t="s">
        <v>120</v>
      </c>
      <c r="Q74" s="235">
        <f>'Médias por UF'!BG64*'Evolução das Receitas'!$S$210</f>
        <v>7071.33122526447</v>
      </c>
      <c r="R74" s="235">
        <f>'Médias por UF'!BH64*'Evolução das Receitas'!$S$210</f>
        <v>20615.458721451992</v>
      </c>
      <c r="S74" s="235">
        <f>'Médias por UF'!BI64*'Evolução das Receitas'!$S$210</f>
        <v>25347.45453679212</v>
      </c>
      <c r="T74" s="235">
        <f>'Médias por UF'!BJ64*'Evolução das Receitas'!$S$210</f>
        <v>27996.221678560578</v>
      </c>
      <c r="U74" s="235">
        <f>'Médias por UF'!BK64*'Evolução das Receitas'!$S$210</f>
        <v>32299.182717198189</v>
      </c>
      <c r="V74" s="235">
        <f>'Médias por UF'!BL64*'Evolução das Receitas'!$S$210</f>
        <v>35345.729798829736</v>
      </c>
      <c r="W74" s="235">
        <f>'Médias por UF'!BM64*'Evolução das Receitas'!$S$210</f>
        <v>36632.198134814505</v>
      </c>
      <c r="X74" s="235">
        <f>'Médias por UF'!BN64*'Evolução das Receitas'!$S$210</f>
        <v>38994.371955244635</v>
      </c>
      <c r="Y74" s="235">
        <f>'Médias por UF'!BO64*'Evolução das Receitas'!$S$210</f>
        <v>40040.562341439145</v>
      </c>
      <c r="Z74" s="235">
        <f>'Médias por UF'!BP64*'Evolução das Receitas'!$S$210</f>
        <v>40534.308450610966</v>
      </c>
      <c r="AA74" s="235">
        <f>'Médias por UF'!BQ64*'Evolução das Receitas'!$S$210</f>
        <v>40909.117650854154</v>
      </c>
      <c r="AB74" s="235">
        <f>'Médias por UF'!BR64*'Evolução das Receitas'!$S$210</f>
        <v>42203</v>
      </c>
      <c r="AC74" s="235">
        <f t="shared" ref="AC74:AC99" si="27">AB74</f>
        <v>42203</v>
      </c>
      <c r="AE74" s="237" t="s">
        <v>120</v>
      </c>
      <c r="AF74" s="235">
        <f>JAN!D6+JAN!U6</f>
        <v>4068.4480000000003</v>
      </c>
      <c r="AG74" s="235">
        <f>FEV!D6+FEV!U6+AF74</f>
        <v>10287.216</v>
      </c>
      <c r="AH74" s="235">
        <f>MAR!D6+MAR!U6+AG74</f>
        <v>11398.32</v>
      </c>
      <c r="AI74" s="235">
        <f>ABR!D6+ABR!U6+AH74</f>
        <v>12341.743999999999</v>
      </c>
      <c r="AJ74" s="235">
        <f>MAI!D6+MAI!U6</f>
        <v>0</v>
      </c>
      <c r="AK74" s="235">
        <f>JUN!D6+JUN!U6</f>
        <v>0</v>
      </c>
      <c r="AL74" s="235">
        <f>JUL!D6+JUL!U6</f>
        <v>0</v>
      </c>
      <c r="AM74" s="235">
        <f>AGO!D6+AGO!U6</f>
        <v>0</v>
      </c>
      <c r="AN74" s="235">
        <f>SET!D6+SET!U6</f>
        <v>0</v>
      </c>
      <c r="AO74" s="235">
        <f>OUT!D6+OUT!U6</f>
        <v>0</v>
      </c>
      <c r="AP74" s="235">
        <f>NOV!D6+NOV!U6</f>
        <v>0</v>
      </c>
      <c r="AQ74" s="235">
        <f>DEZ!D6+DEZ!U6</f>
        <v>0</v>
      </c>
      <c r="AR74" s="235">
        <f t="shared" ref="AR74:AR99" si="28">AI74</f>
        <v>12341.743999999999</v>
      </c>
    </row>
    <row r="75" spans="1:45">
      <c r="A75" s="242" t="s">
        <v>121</v>
      </c>
      <c r="B75" s="235">
        <f>$D$211*'Médias por UF'!BG65</f>
        <v>5575.2690841321564</v>
      </c>
      <c r="C75" s="235">
        <f>$D$211*'Médias por UF'!BH65</f>
        <v>15204.490879708597</v>
      </c>
      <c r="D75" s="235">
        <f>$D$211*'Médias por UF'!BI65</f>
        <v>18460.974618839929</v>
      </c>
      <c r="E75" s="235">
        <f>$D$211*'Médias por UF'!BJ65</f>
        <v>32067.987906201593</v>
      </c>
      <c r="F75" s="235">
        <f>$D$211*'Médias por UF'!BK65</f>
        <v>43794.424931915033</v>
      </c>
      <c r="G75" s="235">
        <f>$D$211*'Médias por UF'!BL65</f>
        <v>66153.040587803756</v>
      </c>
      <c r="H75" s="235">
        <f>$D$211*'Médias por UF'!BM65</f>
        <v>74536.113149989294</v>
      </c>
      <c r="I75" s="235">
        <f>$D$211*'Médias por UF'!BN65</f>
        <v>80737.593068875212</v>
      </c>
      <c r="J75" s="235">
        <f>$D$211*'Médias por UF'!BO65</f>
        <v>85877.454797547456</v>
      </c>
      <c r="K75" s="235">
        <f>$D$211*'Médias por UF'!BP65</f>
        <v>93315.152778367759</v>
      </c>
      <c r="L75" s="235">
        <f>$D$211*'Médias por UF'!BQ65</f>
        <v>97898.554644821561</v>
      </c>
      <c r="M75" s="235">
        <f>$D$211*'Médias por UF'!BR65</f>
        <v>101533.41127776331</v>
      </c>
      <c r="N75" s="235">
        <f t="shared" si="26"/>
        <v>101533.41127776331</v>
      </c>
      <c r="P75" s="237" t="s">
        <v>121</v>
      </c>
      <c r="Q75" s="235">
        <f>'Médias por UF'!BG65*'Evolução das Receitas'!$S$211</f>
        <v>3696.3127080568192</v>
      </c>
      <c r="R75" s="235">
        <f>'Médias por UF'!BH65*'Evolução das Receitas'!$S$211</f>
        <v>10080.33011682862</v>
      </c>
      <c r="S75" s="235">
        <f>'Médias por UF'!BI65*'Evolução das Receitas'!$S$211</f>
        <v>12239.325861588301</v>
      </c>
      <c r="T75" s="235">
        <f>'Médias por UF'!BJ65*'Evolução das Receitas'!$S$211</f>
        <v>21260.554321380558</v>
      </c>
      <c r="U75" s="235">
        <f>'Médias por UF'!BK65*'Evolução das Receitas'!$S$211</f>
        <v>29034.991311648195</v>
      </c>
      <c r="V75" s="235">
        <f>'Médias por UF'!BL65*'Evolução das Receitas'!$S$211</f>
        <v>43858.389776600321</v>
      </c>
      <c r="W75" s="235">
        <f>'Médias por UF'!BM65*'Evolução das Receitas'!$S$211</f>
        <v>49416.230515150462</v>
      </c>
      <c r="X75" s="235">
        <f>'Médias por UF'!BN65*'Evolução das Receitas'!$S$211</f>
        <v>53527.710819872882</v>
      </c>
      <c r="Y75" s="235">
        <f>'Médias por UF'!BO65*'Evolução das Receitas'!$S$211</f>
        <v>56935.355534173417</v>
      </c>
      <c r="Z75" s="235">
        <f>'Médias por UF'!BP65*'Evolução das Receitas'!$S$211</f>
        <v>61866.428303995439</v>
      </c>
      <c r="AA75" s="235">
        <f>'Médias por UF'!BQ65*'Evolução das Receitas'!$S$211</f>
        <v>64905.149181759429</v>
      </c>
      <c r="AB75" s="235">
        <f>'Médias por UF'!BR65*'Evolução das Receitas'!$S$211</f>
        <v>67315</v>
      </c>
      <c r="AC75" s="235">
        <f t="shared" si="27"/>
        <v>67315</v>
      </c>
      <c r="AE75" s="237" t="s">
        <v>121</v>
      </c>
      <c r="AF75" s="235">
        <f>JAN!D7+JAN!U7</f>
        <v>2822.864</v>
      </c>
      <c r="AG75" s="235">
        <f>FEV!D7+FEV!U7+AF75</f>
        <v>3906.3199999999997</v>
      </c>
      <c r="AH75" s="235">
        <f>MAR!D7+MAR!U7+AG75</f>
        <v>5498.3440000000001</v>
      </c>
      <c r="AI75" s="235">
        <f>ABR!D7+ABR!U7+AH75</f>
        <v>8023.424</v>
      </c>
      <c r="AJ75" s="235">
        <f>MAI!D7+MAI!U7</f>
        <v>0</v>
      </c>
      <c r="AK75" s="235">
        <f>JUN!D7+JUN!U7</f>
        <v>0</v>
      </c>
      <c r="AL75" s="235">
        <f>JUL!D7+JUL!U7</f>
        <v>0</v>
      </c>
      <c r="AM75" s="235">
        <f>AGO!D7+AGO!U7</f>
        <v>0</v>
      </c>
      <c r="AN75" s="235">
        <f>SET!D7+SET!U7</f>
        <v>0</v>
      </c>
      <c r="AO75" s="235">
        <f>OUT!D7+OUT!U7</f>
        <v>0</v>
      </c>
      <c r="AP75" s="235">
        <f>NOV!D7+NOV!U7</f>
        <v>0</v>
      </c>
      <c r="AQ75" s="235">
        <f>DEZ!D7+DEZ!U7</f>
        <v>0</v>
      </c>
      <c r="AR75" s="235">
        <f t="shared" si="28"/>
        <v>8023.424</v>
      </c>
    </row>
    <row r="76" spans="1:45">
      <c r="A76" s="242" t="s">
        <v>122</v>
      </c>
      <c r="B76" s="235">
        <f>$D$212*'Médias por UF'!BG66</f>
        <v>13517.720171982059</v>
      </c>
      <c r="C76" s="235">
        <f>$D$212*'Médias por UF'!BH66</f>
        <v>33795.987532165673</v>
      </c>
      <c r="D76" s="235">
        <f>$D$212*'Médias por UF'!BI66</f>
        <v>59271.649009112334</v>
      </c>
      <c r="E76" s="235">
        <f>$D$212*'Médias por UF'!BJ66</f>
        <v>73225.585616653509</v>
      </c>
      <c r="F76" s="235">
        <f>$D$212*'Médias por UF'!BK66</f>
        <v>86184.426692278852</v>
      </c>
      <c r="G76" s="235">
        <f>$D$212*'Médias por UF'!BL66</f>
        <v>101583.04212239842</v>
      </c>
      <c r="H76" s="235">
        <f>$D$212*'Médias por UF'!BM66</f>
        <v>110524.6421783258</v>
      </c>
      <c r="I76" s="235">
        <f>$D$212*'Médias por UF'!BN66</f>
        <v>116163.97749770344</v>
      </c>
      <c r="J76" s="235">
        <f>$D$212*'Médias por UF'!BO66</f>
        <v>121061.9410994034</v>
      </c>
      <c r="K76" s="235">
        <f>$D$212*'Médias por UF'!BP66</f>
        <v>125705.6141138474</v>
      </c>
      <c r="L76" s="235">
        <f>$D$212*'Médias por UF'!BQ66</f>
        <v>127475.47716052789</v>
      </c>
      <c r="M76" s="235">
        <f>$D$212*'Médias por UF'!BR66</f>
        <v>132066.54858273329</v>
      </c>
      <c r="N76" s="235">
        <f t="shared" si="26"/>
        <v>132066.54858273329</v>
      </c>
      <c r="P76" s="237" t="s">
        <v>122</v>
      </c>
      <c r="Q76" s="235">
        <f>'Médias por UF'!BG66*'Evolução das Receitas'!$S$212</f>
        <v>9224.4704689635801</v>
      </c>
      <c r="R76" s="235">
        <f>'Médias por UF'!BH66*'Evolução das Receitas'!$S$212</f>
        <v>23062.327448239572</v>
      </c>
      <c r="S76" s="235">
        <f>'Médias por UF'!BI66*'Evolução das Receitas'!$S$212</f>
        <v>40446.877800042748</v>
      </c>
      <c r="T76" s="235">
        <f>'Médias por UF'!BJ66*'Evolução das Receitas'!$S$212</f>
        <v>49969.021661908169</v>
      </c>
      <c r="U76" s="235">
        <f>'Médias por UF'!BK66*'Evolução das Receitas'!$S$212</f>
        <v>58812.113935845264</v>
      </c>
      <c r="V76" s="235">
        <f>'Médias por UF'!BL66*'Evolução das Receitas'!$S$212</f>
        <v>69320.104298930091</v>
      </c>
      <c r="W76" s="235">
        <f>'Médias por UF'!BM66*'Evolução das Receitas'!$S$212</f>
        <v>75421.837772607352</v>
      </c>
      <c r="X76" s="235">
        <f>'Médias por UF'!BN66*'Evolução das Receitas'!$S$212</f>
        <v>79270.111109852718</v>
      </c>
      <c r="Y76" s="235">
        <f>'Médias por UF'!BO66*'Evolução das Receitas'!$S$212</f>
        <v>82612.473581269005</v>
      </c>
      <c r="Z76" s="235">
        <f>'Médias por UF'!BP66*'Evolução das Receitas'!$S$212</f>
        <v>85781.308565591738</v>
      </c>
      <c r="AA76" s="235">
        <f>'Médias por UF'!BQ66*'Evolução das Receitas'!$S$212</f>
        <v>86989.06025748227</v>
      </c>
      <c r="AB76" s="235">
        <f>'Médias por UF'!BR66*'Evolução das Receitas'!$S$212</f>
        <v>90122</v>
      </c>
      <c r="AC76" s="235">
        <f t="shared" si="27"/>
        <v>90122</v>
      </c>
      <c r="AE76" s="237" t="s">
        <v>122</v>
      </c>
      <c r="AF76" s="235">
        <f>JAN!D8+JAN!U8</f>
        <v>4245.3440000000001</v>
      </c>
      <c r="AG76" s="235">
        <f>FEV!D8+FEV!U8+AF76</f>
        <v>12083.792000000001</v>
      </c>
      <c r="AH76" s="235">
        <f>MAR!D8+MAR!U8+AG76</f>
        <v>17090.304000000004</v>
      </c>
      <c r="AI76" s="235">
        <f>ABR!D8+ABR!U8+AH76</f>
        <v>21776.696000000004</v>
      </c>
      <c r="AJ76" s="235">
        <f>MAI!D8+MAI!U8</f>
        <v>0</v>
      </c>
      <c r="AK76" s="235">
        <f>JUN!D8+JUN!U8</f>
        <v>0</v>
      </c>
      <c r="AL76" s="235">
        <f>JUL!D8+JUL!U8</f>
        <v>0</v>
      </c>
      <c r="AM76" s="235">
        <f>AGO!D8+AGO!U8</f>
        <v>0</v>
      </c>
      <c r="AN76" s="235">
        <f>SET!D8+SET!U8</f>
        <v>0</v>
      </c>
      <c r="AO76" s="235">
        <f>OUT!D8+OUT!U8</f>
        <v>0</v>
      </c>
      <c r="AP76" s="235">
        <f>NOV!D8+NOV!U8</f>
        <v>0</v>
      </c>
      <c r="AQ76" s="235">
        <f>DEZ!D8+DEZ!U8</f>
        <v>0</v>
      </c>
      <c r="AR76" s="235">
        <f t="shared" si="28"/>
        <v>21776.696000000004</v>
      </c>
    </row>
    <row r="77" spans="1:45">
      <c r="A77" s="242" t="s">
        <v>123</v>
      </c>
      <c r="B77" s="235">
        <f>$D$213*'Médias por UF'!BG67</f>
        <v>54774.603557997812</v>
      </c>
      <c r="C77" s="235">
        <f>$D$213*'Médias por UF'!BH67</f>
        <v>163643.0310807889</v>
      </c>
      <c r="D77" s="235">
        <f>$D$213*'Médias por UF'!BI67</f>
        <v>206064.99328522864</v>
      </c>
      <c r="E77" s="235">
        <f>$D$213*'Médias por UF'!BJ67</f>
        <v>242271.47277638759</v>
      </c>
      <c r="F77" s="235">
        <f>$D$213*'Médias por UF'!BK67</f>
        <v>292446.64431839046</v>
      </c>
      <c r="G77" s="235">
        <f>$D$213*'Médias por UF'!BL67</f>
        <v>354460.79309701605</v>
      </c>
      <c r="H77" s="235">
        <f>$D$213*'Médias por UF'!BM67</f>
        <v>372220.70698665414</v>
      </c>
      <c r="I77" s="235">
        <f>$D$213*'Médias por UF'!BN67</f>
        <v>392764.70871057955</v>
      </c>
      <c r="J77" s="235">
        <f>$D$213*'Médias por UF'!BO67</f>
        <v>407417.76033703302</v>
      </c>
      <c r="K77" s="235">
        <f>$D$213*'Médias por UF'!BP67</f>
        <v>419816.65369307064</v>
      </c>
      <c r="L77" s="235">
        <f>$D$213*'Médias por UF'!BQ67</f>
        <v>424972.15007942833</v>
      </c>
      <c r="M77" s="235">
        <f>$D$213*'Médias por UF'!BR67</f>
        <v>430014.85109894071</v>
      </c>
      <c r="N77" s="235">
        <f t="shared" si="26"/>
        <v>430014.85109894071</v>
      </c>
      <c r="P77" s="237" t="s">
        <v>123</v>
      </c>
      <c r="Q77" s="235">
        <f>'Médias por UF'!BG67*'Evolução das Receitas'!$S$213</f>
        <v>25864.184048593324</v>
      </c>
      <c r="R77" s="235">
        <f>'Médias por UF'!BH67*'Evolução das Receitas'!$S$213</f>
        <v>77271.092791418341</v>
      </c>
      <c r="S77" s="235">
        <f>'Médias por UF'!BI67*'Evolução das Receitas'!$S$213</f>
        <v>97302.44613560685</v>
      </c>
      <c r="T77" s="235">
        <f>'Médias por UF'!BJ67*'Evolução das Receitas'!$S$213</f>
        <v>114398.89208832648</v>
      </c>
      <c r="U77" s="235">
        <f>'Médias por UF'!BK67*'Evolução das Receitas'!$S$213</f>
        <v>138091.25656263981</v>
      </c>
      <c r="V77" s="235">
        <f>'Médias por UF'!BL67*'Evolução das Receitas'!$S$213</f>
        <v>167373.90314407775</v>
      </c>
      <c r="W77" s="235">
        <f>'Médias por UF'!BM67*'Evolução das Receitas'!$S$213</f>
        <v>175760.01005660684</v>
      </c>
      <c r="X77" s="235">
        <f>'Médias por UF'!BN67*'Evolução das Receitas'!$S$213</f>
        <v>185460.74373913556</v>
      </c>
      <c r="Y77" s="235">
        <f>'Médias por UF'!BO67*'Evolução das Receitas'!$S$213</f>
        <v>192379.81205770114</v>
      </c>
      <c r="Z77" s="235">
        <f>'Médias por UF'!BP67*'Evolução das Receitas'!$S$213</f>
        <v>198234.48263363473</v>
      </c>
      <c r="AA77" s="235">
        <f>'Médias por UF'!BQ67*'Evolução das Receitas'!$S$213</f>
        <v>200668.87190780675</v>
      </c>
      <c r="AB77" s="235">
        <f>'Médias por UF'!BR67*'Evolução das Receitas'!$S$213</f>
        <v>203050</v>
      </c>
      <c r="AC77" s="235">
        <f t="shared" si="27"/>
        <v>203050</v>
      </c>
      <c r="AE77" s="237" t="s">
        <v>123</v>
      </c>
      <c r="AF77" s="235">
        <f>JAN!D9+JAN!U9</f>
        <v>21554.696</v>
      </c>
      <c r="AG77" s="235">
        <f>FEV!D9+FEV!U9+AF77</f>
        <v>73796.072</v>
      </c>
      <c r="AH77" s="235">
        <f>MAR!D9+MAR!U9+AG77</f>
        <v>88569.592000000004</v>
      </c>
      <c r="AI77" s="235">
        <f>ABR!D9+ABR!U9+AH77</f>
        <v>106447.856</v>
      </c>
      <c r="AJ77" s="235">
        <f>MAI!D9+MAI!U9</f>
        <v>0</v>
      </c>
      <c r="AK77" s="235">
        <f>JUN!D9+JUN!U9</f>
        <v>0</v>
      </c>
      <c r="AL77" s="235">
        <f>JUL!D9+JUL!U9</f>
        <v>0</v>
      </c>
      <c r="AM77" s="235">
        <f>AGO!D9+AGO!U9</f>
        <v>0</v>
      </c>
      <c r="AN77" s="235">
        <f>SET!D9+SET!U9</f>
        <v>0</v>
      </c>
      <c r="AO77" s="235">
        <f>OUT!D9+OUT!U9</f>
        <v>0</v>
      </c>
      <c r="AP77" s="235">
        <f>NOV!D9+NOV!U9</f>
        <v>0</v>
      </c>
      <c r="AQ77" s="235">
        <f>DEZ!D9+DEZ!U9</f>
        <v>0</v>
      </c>
      <c r="AR77" s="235">
        <f t="shared" si="28"/>
        <v>106447.856</v>
      </c>
    </row>
    <row r="78" spans="1:45">
      <c r="A78" s="242" t="s">
        <v>124</v>
      </c>
      <c r="B78" s="235">
        <f>$D$214*'Médias por UF'!BG68</f>
        <v>32511.453614253907</v>
      </c>
      <c r="C78" s="235">
        <f>$D$214*'Médias por UF'!BH68</f>
        <v>71971.207180121797</v>
      </c>
      <c r="D78" s="235">
        <f>$D$214*'Médias por UF'!BI68</f>
        <v>94226.075899618067</v>
      </c>
      <c r="E78" s="235">
        <f>$D$214*'Médias por UF'!BJ68</f>
        <v>109767.47168456134</v>
      </c>
      <c r="F78" s="235">
        <f>$D$214*'Médias por UF'!BK68</f>
        <v>127543.91421244829</v>
      </c>
      <c r="G78" s="235">
        <f>$D$214*'Médias por UF'!BL68</f>
        <v>146782.15451254297</v>
      </c>
      <c r="H78" s="235">
        <f>$D$214*'Médias por UF'!BM68</f>
        <v>151178.61964947174</v>
      </c>
      <c r="I78" s="235">
        <f>$D$214*'Médias por UF'!BN68</f>
        <v>154449.64954434877</v>
      </c>
      <c r="J78" s="235">
        <f>$D$214*'Médias por UF'!BO68</f>
        <v>158563.16475409374</v>
      </c>
      <c r="K78" s="235">
        <f>$D$214*'Médias por UF'!BP68</f>
        <v>162841.65753992755</v>
      </c>
      <c r="L78" s="235">
        <f>$D$214*'Médias por UF'!BQ68</f>
        <v>166093.79877942882</v>
      </c>
      <c r="M78" s="235">
        <f>$D$214*'Médias por UF'!BR68</f>
        <v>170125.64403347109</v>
      </c>
      <c r="N78" s="235">
        <f t="shared" si="26"/>
        <v>170125.64403347109</v>
      </c>
      <c r="P78" s="237" t="s">
        <v>124</v>
      </c>
      <c r="Q78" s="235">
        <f>'Médias por UF'!BG68*'Evolução das Receitas'!$S$214</f>
        <v>23637.290009625391</v>
      </c>
      <c r="R78" s="235">
        <f>'Médias por UF'!BH68*'Evolução das Receitas'!$S$214</f>
        <v>52326.306803874118</v>
      </c>
      <c r="S78" s="235">
        <f>'Médias por UF'!BI68*'Evolução das Receitas'!$S$214</f>
        <v>68506.597980342514</v>
      </c>
      <c r="T78" s="235">
        <f>'Médias por UF'!BJ68*'Evolução das Receitas'!$S$214</f>
        <v>79805.892182371506</v>
      </c>
      <c r="U78" s="235">
        <f>'Médias por UF'!BK68*'Evolução das Receitas'!$S$214</f>
        <v>92730.165958517915</v>
      </c>
      <c r="V78" s="235">
        <f>'Médias por UF'!BL68*'Evolução das Receitas'!$S$214</f>
        <v>106717.23250570023</v>
      </c>
      <c r="W78" s="235">
        <f>'Médias por UF'!BM68*'Evolução das Receitas'!$S$214</f>
        <v>109913.66053047581</v>
      </c>
      <c r="X78" s="235">
        <f>'Médias por UF'!BN68*'Evolução das Receitas'!$S$214</f>
        <v>112291.8464821942</v>
      </c>
      <c r="Y78" s="235">
        <f>'Médias por UF'!BO68*'Evolução das Receitas'!$S$214</f>
        <v>115282.55717527494</v>
      </c>
      <c r="Z78" s="235">
        <f>'Médias por UF'!BP68*'Evolução das Receitas'!$S$214</f>
        <v>118393.21399126251</v>
      </c>
      <c r="AA78" s="235">
        <f>'Médias por UF'!BQ68*'Evolução das Receitas'!$S$214</f>
        <v>120757.66704040738</v>
      </c>
      <c r="AB78" s="235">
        <f>'Médias por UF'!BR68*'Evolução das Receitas'!$S$214</f>
        <v>123689</v>
      </c>
      <c r="AC78" s="235">
        <f t="shared" si="27"/>
        <v>123689</v>
      </c>
      <c r="AE78" s="237" t="s">
        <v>124</v>
      </c>
      <c r="AF78" s="235">
        <f>JAN!D10+JAN!U10</f>
        <v>10259.576000000001</v>
      </c>
      <c r="AG78" s="235">
        <f>FEV!D10+FEV!U10+AF78</f>
        <v>26997.792000000001</v>
      </c>
      <c r="AH78" s="235">
        <f>MAR!D10+MAR!U10+AG78</f>
        <v>32481.488000000001</v>
      </c>
      <c r="AI78" s="235">
        <f>ABR!D10+ABR!U10+AH78</f>
        <v>39708.328000000001</v>
      </c>
      <c r="AJ78" s="235">
        <f>MAI!D10+MAI!U10</f>
        <v>0</v>
      </c>
      <c r="AK78" s="235">
        <f>JUN!D10+JUN!U10</f>
        <v>0</v>
      </c>
      <c r="AL78" s="235">
        <f>JUL!D10+JUL!U10</f>
        <v>0</v>
      </c>
      <c r="AM78" s="235">
        <f>AGO!D10+AGO!U10</f>
        <v>0</v>
      </c>
      <c r="AN78" s="235">
        <f>SET!D10+SET!U10</f>
        <v>0</v>
      </c>
      <c r="AO78" s="235">
        <f>OUT!D10+OUT!U10</f>
        <v>0</v>
      </c>
      <c r="AP78" s="235">
        <f>NOV!D10+NOV!U10</f>
        <v>0</v>
      </c>
      <c r="AQ78" s="235">
        <f>DEZ!D10+DEZ!U10</f>
        <v>0</v>
      </c>
      <c r="AR78" s="235">
        <f t="shared" si="28"/>
        <v>39708.328000000001</v>
      </c>
    </row>
    <row r="79" spans="1:45">
      <c r="A79" s="242" t="s">
        <v>125</v>
      </c>
      <c r="B79" s="235">
        <f>$D$215*'Médias por UF'!BG69</f>
        <v>27726.575635315548</v>
      </c>
      <c r="C79" s="235">
        <f>$D$215*'Médias por UF'!BH69</f>
        <v>124441.39579179432</v>
      </c>
      <c r="D79" s="235">
        <f>$D$215*'Médias por UF'!BI69</f>
        <v>163897.02542304544</v>
      </c>
      <c r="E79" s="235">
        <f>$D$215*'Médias por UF'!BJ69</f>
        <v>205949.50267191857</v>
      </c>
      <c r="F79" s="235">
        <f>$D$215*'Médias por UF'!BK69</f>
        <v>239193.71392058473</v>
      </c>
      <c r="G79" s="235">
        <f>$D$215*'Médias por UF'!BL69</f>
        <v>285962.17169141496</v>
      </c>
      <c r="H79" s="235">
        <f>$D$215*'Médias por UF'!BM69</f>
        <v>306146.73042085819</v>
      </c>
      <c r="I79" s="235">
        <f>$D$215*'Médias por UF'!BN69</f>
        <v>319480.76054442464</v>
      </c>
      <c r="J79" s="235">
        <f>$D$215*'Médias por UF'!BO69</f>
        <v>331680.29734718159</v>
      </c>
      <c r="K79" s="235">
        <f>$D$215*'Médias por UF'!BP69</f>
        <v>341098.67329541739</v>
      </c>
      <c r="L79" s="235">
        <f>$D$215*'Médias por UF'!BQ69</f>
        <v>347336.30464441032</v>
      </c>
      <c r="M79" s="235">
        <f>$D$215*'Médias por UF'!BR69</f>
        <v>358037.4068249971</v>
      </c>
      <c r="N79" s="235">
        <f t="shared" si="26"/>
        <v>358037.4068249971</v>
      </c>
      <c r="P79" s="237" t="s">
        <v>125</v>
      </c>
      <c r="Q79" s="235">
        <f>'Médias por UF'!BG69*'Evolução das Receitas'!$S$215</f>
        <v>18576.026425563337</v>
      </c>
      <c r="R79" s="235">
        <f>'Médias por UF'!BH69*'Evolução das Receitas'!$S$215</f>
        <v>83372.237778906288</v>
      </c>
      <c r="S79" s="235">
        <f>'Médias por UF'!BI69*'Evolução das Receitas'!$S$215</f>
        <v>109806.40073893023</v>
      </c>
      <c r="T79" s="235">
        <f>'Médias por UF'!BJ69*'Evolução das Receitas'!$S$215</f>
        <v>137980.37861885596</v>
      </c>
      <c r="U79" s="235">
        <f>'Médias por UF'!BK69*'Evolução das Receitas'!$S$215</f>
        <v>160253.06583327203</v>
      </c>
      <c r="V79" s="235">
        <f>'Médias por UF'!BL69*'Evolução das Receitas'!$S$215</f>
        <v>191586.61812117966</v>
      </c>
      <c r="W79" s="235">
        <f>'Médias por UF'!BM69*'Evolução das Receitas'!$S$215</f>
        <v>205109.70518674926</v>
      </c>
      <c r="X79" s="235">
        <f>'Médias por UF'!BN69*'Evolução das Receitas'!$S$215</f>
        <v>214043.13061917585</v>
      </c>
      <c r="Y79" s="235">
        <f>'Médias por UF'!BO69*'Evolução das Receitas'!$S$215</f>
        <v>222216.47741137762</v>
      </c>
      <c r="Z79" s="235">
        <f>'Médias por UF'!BP69*'Evolução das Receitas'!$S$215</f>
        <v>228526.52459504336</v>
      </c>
      <c r="AA79" s="235">
        <f>'Médias por UF'!BQ69*'Evolução das Receitas'!$S$215</f>
        <v>232705.56229143421</v>
      </c>
      <c r="AB79" s="235">
        <f>'Médias por UF'!BR69*'Evolução das Receitas'!$S$215</f>
        <v>239875</v>
      </c>
      <c r="AC79" s="235">
        <f t="shared" si="27"/>
        <v>239875</v>
      </c>
      <c r="AE79" s="237" t="s">
        <v>125</v>
      </c>
      <c r="AF79" s="235">
        <f>JAN!D11+JAN!U11</f>
        <v>14888.168</v>
      </c>
      <c r="AG79" s="235">
        <f>FEV!D11+FEV!U11+AF79</f>
        <v>47310.567999999999</v>
      </c>
      <c r="AH79" s="235">
        <f>MAR!D11+MAR!U11+AG79</f>
        <v>59126.608</v>
      </c>
      <c r="AI79" s="235">
        <f>ABR!D11+ABR!U11+AH79</f>
        <v>72703.040000000008</v>
      </c>
      <c r="AJ79" s="235">
        <f>MAI!D11+MAI!U11</f>
        <v>0</v>
      </c>
      <c r="AK79" s="235">
        <f>JUN!D11+JUN!U11</f>
        <v>0</v>
      </c>
      <c r="AL79" s="235">
        <f>JUL!D11+JUL!U11</f>
        <v>0</v>
      </c>
      <c r="AM79" s="235">
        <f>AGO!D11+AGO!U11</f>
        <v>0</v>
      </c>
      <c r="AN79" s="235">
        <f>SET!D11+SET!U11</f>
        <v>0</v>
      </c>
      <c r="AO79" s="235">
        <f>OUT!D11+OUT!U11</f>
        <v>0</v>
      </c>
      <c r="AP79" s="235">
        <f>NOV!D11+NOV!U11</f>
        <v>0</v>
      </c>
      <c r="AQ79" s="235">
        <f>DEZ!D11+DEZ!U11</f>
        <v>0</v>
      </c>
      <c r="AR79" s="235">
        <f t="shared" si="28"/>
        <v>72703.040000000008</v>
      </c>
    </row>
    <row r="80" spans="1:45">
      <c r="A80" s="242" t="s">
        <v>126</v>
      </c>
      <c r="B80" s="235">
        <f>$D$216*'Médias por UF'!BG70</f>
        <v>17092.419480781631</v>
      </c>
      <c r="C80" s="235">
        <f>$D$216*'Médias por UF'!BH70</f>
        <v>57155.25752758819</v>
      </c>
      <c r="D80" s="235">
        <f>$D$216*'Médias por UF'!BI70</f>
        <v>77881.794314307073</v>
      </c>
      <c r="E80" s="235">
        <f>$D$216*'Médias por UF'!BJ70</f>
        <v>93172.728383771901</v>
      </c>
      <c r="F80" s="235">
        <f>$D$216*'Médias por UF'!BK70</f>
        <v>111437.64048623825</v>
      </c>
      <c r="G80" s="235">
        <f>$D$216*'Médias por UF'!BL70</f>
        <v>134728.96901028982</v>
      </c>
      <c r="H80" s="235">
        <f>$D$216*'Médias por UF'!BM70</f>
        <v>142684.37197294654</v>
      </c>
      <c r="I80" s="235">
        <f>$D$216*'Médias por UF'!BN70</f>
        <v>156037.90297869837</v>
      </c>
      <c r="J80" s="235">
        <f>$D$216*'Médias por UF'!BO70</f>
        <v>174599.68783138884</v>
      </c>
      <c r="K80" s="235">
        <f>$D$216*'Médias por UF'!BP70</f>
        <v>187156.32378679243</v>
      </c>
      <c r="L80" s="235">
        <f>$D$216*'Médias por UF'!BQ70</f>
        <v>200353.29729900692</v>
      </c>
      <c r="M80" s="235">
        <f>$D$216*'Médias por UF'!BR70</f>
        <v>208838.05418524126</v>
      </c>
      <c r="N80" s="235">
        <f t="shared" si="26"/>
        <v>208838.05418524126</v>
      </c>
      <c r="P80" s="237" t="s">
        <v>126</v>
      </c>
      <c r="Q80" s="235">
        <f>'Médias por UF'!BG70*'Evolução das Receitas'!$S$216</f>
        <v>12192.826205282245</v>
      </c>
      <c r="R80" s="235">
        <f>'Médias por UF'!BH70*'Evolução das Receitas'!$S$216</f>
        <v>40771.531645101204</v>
      </c>
      <c r="S80" s="235">
        <f>'Médias por UF'!BI70*'Evolução das Receitas'!$S$216</f>
        <v>55556.744537986269</v>
      </c>
      <c r="T80" s="235">
        <f>'Médias por UF'!BJ70*'Evolução das Receitas'!$S$216</f>
        <v>66464.486524721549</v>
      </c>
      <c r="U80" s="235">
        <f>'Médias por UF'!BK70*'Evolução das Receitas'!$S$216</f>
        <v>79493.706827355054</v>
      </c>
      <c r="V80" s="235">
        <f>'Médias por UF'!BL70*'Evolução das Receitas'!$S$216</f>
        <v>96108.50621858245</v>
      </c>
      <c r="W80" s="235">
        <f>'Médias por UF'!BM70*'Evolução das Receitas'!$S$216</f>
        <v>101783.46907715985</v>
      </c>
      <c r="X80" s="235">
        <f>'Médias por UF'!BN70*'Evolução das Receitas'!$S$216</f>
        <v>111309.17039539912</v>
      </c>
      <c r="Y80" s="235">
        <f>'Médias por UF'!BO70*'Evolução das Receitas'!$S$216</f>
        <v>124550.1639845844</v>
      </c>
      <c r="Z80" s="235">
        <f>'Médias por UF'!BP70*'Evolução das Receitas'!$S$216</f>
        <v>133507.40260720174</v>
      </c>
      <c r="AA80" s="235">
        <f>'Médias por UF'!BQ70*'Evolução das Receitas'!$S$216</f>
        <v>142921.42410667797</v>
      </c>
      <c r="AB80" s="235">
        <f>'Médias por UF'!BR70*'Evolução das Receitas'!$S$216</f>
        <v>148974</v>
      </c>
      <c r="AC80" s="235">
        <f t="shared" si="27"/>
        <v>148974</v>
      </c>
      <c r="AE80" s="237" t="s">
        <v>126</v>
      </c>
      <c r="AF80" s="235">
        <f>JAN!D12+JAN!U12</f>
        <v>13126.648000000001</v>
      </c>
      <c r="AG80" s="235">
        <f>FEV!D12+FEV!U12+AF80</f>
        <v>44576.160000000003</v>
      </c>
      <c r="AH80" s="235">
        <f>MAR!D12+MAR!U12+AG80</f>
        <v>55100.088000000003</v>
      </c>
      <c r="AI80" s="235">
        <f>ABR!D12+ABR!U12+AH80</f>
        <v>64451.424000000006</v>
      </c>
      <c r="AJ80" s="235">
        <f>MAI!D12+MAI!U12</f>
        <v>0</v>
      </c>
      <c r="AK80" s="235">
        <f>JUN!D12+JUN!U12</f>
        <v>0</v>
      </c>
      <c r="AL80" s="235">
        <f>JUL!D12+JUL!U12</f>
        <v>0</v>
      </c>
      <c r="AM80" s="235">
        <f>AGO!D12+AGO!U12</f>
        <v>0</v>
      </c>
      <c r="AN80" s="235">
        <f>SET!D12+SET!U12</f>
        <v>0</v>
      </c>
      <c r="AO80" s="235">
        <f>OUT!D12+OUT!U12</f>
        <v>0</v>
      </c>
      <c r="AP80" s="235">
        <f>NOV!D12+NOV!U12</f>
        <v>0</v>
      </c>
      <c r="AQ80" s="235">
        <f>DEZ!D12+DEZ!U12</f>
        <v>0</v>
      </c>
      <c r="AR80" s="235">
        <f t="shared" si="28"/>
        <v>64451.424000000006</v>
      </c>
    </row>
    <row r="81" spans="1:44">
      <c r="A81" s="242" t="s">
        <v>127</v>
      </c>
      <c r="B81" s="235">
        <f>$D$217*'Médias por UF'!BG71</f>
        <v>15423.387074219383</v>
      </c>
      <c r="C81" s="235">
        <f>$D$217*'Médias por UF'!BH71</f>
        <v>61386.726531956476</v>
      </c>
      <c r="D81" s="235">
        <f>$D$217*'Médias por UF'!BI71</f>
        <v>81557.168924630576</v>
      </c>
      <c r="E81" s="235">
        <f>$D$217*'Médias por UF'!BJ71</f>
        <v>96680.439631023663</v>
      </c>
      <c r="F81" s="235">
        <f>$D$217*'Médias por UF'!BK71</f>
        <v>117420.13553422671</v>
      </c>
      <c r="G81" s="235">
        <f>$D$217*'Médias por UF'!BL71</f>
        <v>141721.50776170619</v>
      </c>
      <c r="H81" s="235">
        <f>$D$217*'Médias por UF'!BM71</f>
        <v>151571.30188568716</v>
      </c>
      <c r="I81" s="235">
        <f>$D$217*'Médias por UF'!BN71</f>
        <v>157397.02624148095</v>
      </c>
      <c r="J81" s="235">
        <f>$D$217*'Médias por UF'!BO71</f>
        <v>161809.72293918594</v>
      </c>
      <c r="K81" s="235">
        <f>$D$217*'Médias por UF'!BP71</f>
        <v>166487.57231690036</v>
      </c>
      <c r="L81" s="235">
        <f>$D$217*'Médias por UF'!BQ71</f>
        <v>171465.73644717198</v>
      </c>
      <c r="M81" s="235">
        <f>$D$217*'Médias por UF'!BR71</f>
        <v>176536.80288894381</v>
      </c>
      <c r="N81" s="235">
        <f t="shared" si="26"/>
        <v>176536.80288894381</v>
      </c>
      <c r="P81" s="237" t="s">
        <v>127</v>
      </c>
      <c r="Q81" s="235">
        <f>'Médias por UF'!BG71*'Evolução das Receitas'!$S$217</f>
        <v>15423.404295105151</v>
      </c>
      <c r="R81" s="235">
        <f>'Médias por UF'!BH71*'Evolução das Receitas'!$S$217</f>
        <v>61386.795072919631</v>
      </c>
      <c r="S81" s="235">
        <f>'Médias por UF'!BI71*'Evolução das Receitas'!$S$217</f>
        <v>81557.259986774239</v>
      </c>
      <c r="T81" s="235">
        <f>'Médias por UF'!BJ71*'Evolução das Receitas'!$S$217</f>
        <v>96680.547578960046</v>
      </c>
      <c r="U81" s="235">
        <f>'Médias por UF'!BK71*'Evolução das Receitas'!$S$217</f>
        <v>117420.26663894003</v>
      </c>
      <c r="V81" s="235">
        <f>'Médias por UF'!BL71*'Evolução das Receitas'!$S$217</f>
        <v>141721.6659999637</v>
      </c>
      <c r="W81" s="235">
        <f>'Médias por UF'!BM71*'Evolução das Receitas'!$S$217</f>
        <v>151571.47112167033</v>
      </c>
      <c r="X81" s="235">
        <f>'Médias por UF'!BN71*'Evolução das Receitas'!$S$217</f>
        <v>157397.20198213999</v>
      </c>
      <c r="Y81" s="235">
        <f>'Médias por UF'!BO71*'Evolução das Receitas'!$S$217</f>
        <v>161809.90360681369</v>
      </c>
      <c r="Z81" s="235">
        <f>'Médias por UF'!BP71*'Evolução das Receitas'!$S$217</f>
        <v>166487.75820755138</v>
      </c>
      <c r="AA81" s="235">
        <f>'Médias por UF'!BQ71*'Evolução das Receitas'!$S$217</f>
        <v>171465.92789616087</v>
      </c>
      <c r="AB81" s="235">
        <f>'Médias por UF'!BR71*'Evolução das Receitas'!$S$217</f>
        <v>176537</v>
      </c>
      <c r="AC81" s="235">
        <f t="shared" si="27"/>
        <v>176537</v>
      </c>
      <c r="AE81" s="237" t="s">
        <v>127</v>
      </c>
      <c r="AF81" s="235">
        <f>JAN!D13+JAN!U13</f>
        <v>12881.584000000001</v>
      </c>
      <c r="AG81" s="235">
        <f>FEV!D13+FEV!U13+AF81</f>
        <v>43039.432000000001</v>
      </c>
      <c r="AH81" s="235">
        <f>MAR!D13+MAR!U13+AG81</f>
        <v>52992.639999999999</v>
      </c>
      <c r="AI81" s="235">
        <f>ABR!D13+ABR!U13+AH81</f>
        <v>64425.472000000002</v>
      </c>
      <c r="AJ81" s="235">
        <f>MAI!D13+MAI!U13</f>
        <v>0</v>
      </c>
      <c r="AK81" s="235">
        <f>JUN!D13+JUN!U13</f>
        <v>0</v>
      </c>
      <c r="AL81" s="235">
        <f>JUL!D13+JUL!U13</f>
        <v>0</v>
      </c>
      <c r="AM81" s="235">
        <f>AGO!D13+AGO!U13</f>
        <v>0</v>
      </c>
      <c r="AN81" s="235">
        <f>SET!D13+SET!U13</f>
        <v>0</v>
      </c>
      <c r="AO81" s="235">
        <f>OUT!D13+OUT!U13</f>
        <v>0</v>
      </c>
      <c r="AP81" s="235">
        <f>NOV!D13+NOV!U13</f>
        <v>0</v>
      </c>
      <c r="AQ81" s="235">
        <f>DEZ!D13+DEZ!U13</f>
        <v>0</v>
      </c>
      <c r="AR81" s="235">
        <f t="shared" si="28"/>
        <v>64425.472000000002</v>
      </c>
    </row>
    <row r="82" spans="1:44">
      <c r="A82" s="242" t="s">
        <v>128</v>
      </c>
      <c r="B82" s="235">
        <f>$D$218*'Médias por UF'!BG72</f>
        <v>20291.383372863955</v>
      </c>
      <c r="C82" s="235">
        <f>$D$218*'Médias por UF'!BH72</f>
        <v>44491.059582646529</v>
      </c>
      <c r="D82" s="235">
        <f>$D$218*'Médias por UF'!BI72</f>
        <v>62574.798190128757</v>
      </c>
      <c r="E82" s="235">
        <f>$D$218*'Médias por UF'!BJ72</f>
        <v>73255.953291611877</v>
      </c>
      <c r="F82" s="235">
        <f>$D$218*'Médias por UF'!BK72</f>
        <v>87775.291904589641</v>
      </c>
      <c r="G82" s="235">
        <f>$D$218*'Médias por UF'!BL72</f>
        <v>100262.07286329403</v>
      </c>
      <c r="H82" s="235">
        <f>$D$218*'Médias por UF'!BM72</f>
        <v>105602.98566666307</v>
      </c>
      <c r="I82" s="235">
        <f>$D$218*'Médias por UF'!BN72</f>
        <v>110306.193375544</v>
      </c>
      <c r="J82" s="235">
        <f>$D$218*'Médias por UF'!BO72</f>
        <v>116977.85315149509</v>
      </c>
      <c r="K82" s="235">
        <f>$D$218*'Médias por UF'!BP72</f>
        <v>121786.89213015753</v>
      </c>
      <c r="L82" s="235">
        <f>$D$218*'Médias por UF'!BQ72</f>
        <v>124020.30493813074</v>
      </c>
      <c r="M82" s="235">
        <f>$D$218*'Médias por UF'!BR72</f>
        <v>126353.87389766668</v>
      </c>
      <c r="N82" s="235">
        <f t="shared" si="26"/>
        <v>126353.87389766668</v>
      </c>
      <c r="P82" s="237" t="s">
        <v>128</v>
      </c>
      <c r="Q82" s="235">
        <f>'Médias por UF'!BG72*'Evolução das Receitas'!$S$218</f>
        <v>12962.480224658195</v>
      </c>
      <c r="R82" s="235">
        <f>'Médias por UF'!BH72*'Evolução das Receitas'!$S$218</f>
        <v>28421.644272188765</v>
      </c>
      <c r="S82" s="235">
        <f>'Médias por UF'!BI72*'Evolução das Receitas'!$S$218</f>
        <v>39973.843537264867</v>
      </c>
      <c r="T82" s="235">
        <f>'Médias por UF'!BJ72*'Evolução das Receitas'!$S$218</f>
        <v>46797.146770726977</v>
      </c>
      <c r="U82" s="235">
        <f>'Médias por UF'!BK72*'Evolução das Receitas'!$S$218</f>
        <v>56072.34679959897</v>
      </c>
      <c r="V82" s="235">
        <f>'Médias por UF'!BL72*'Evolução das Receitas'!$S$218</f>
        <v>64049.114488257503</v>
      </c>
      <c r="W82" s="235">
        <f>'Médias por UF'!BM72*'Evolução das Receitas'!$S$218</f>
        <v>67460.980270059226</v>
      </c>
      <c r="X82" s="235">
        <f>'Médias por UF'!BN72*'Evolução das Receitas'!$S$218</f>
        <v>70465.469209948802</v>
      </c>
      <c r="Y82" s="235">
        <f>'Médias por UF'!BO72*'Evolução das Receitas'!$S$218</f>
        <v>74727.438752501854</v>
      </c>
      <c r="Z82" s="235">
        <f>'Médias por UF'!BP72*'Evolução das Receitas'!$S$218</f>
        <v>77799.534504430078</v>
      </c>
      <c r="AA82" s="235">
        <f>'Médias por UF'!BQ72*'Evolução das Receitas'!$S$218</f>
        <v>79226.276527133523</v>
      </c>
      <c r="AB82" s="235">
        <f>'Médias por UF'!BR72*'Evolução das Receitas'!$S$218</f>
        <v>80717</v>
      </c>
      <c r="AC82" s="235">
        <f t="shared" si="27"/>
        <v>80717</v>
      </c>
      <c r="AE82" s="237" t="s">
        <v>128</v>
      </c>
      <c r="AF82" s="235">
        <f>JAN!D14+JAN!U14</f>
        <v>3991.0720000000001</v>
      </c>
      <c r="AG82" s="235">
        <f>FEV!D14+FEV!U14+AF82</f>
        <v>13036.4</v>
      </c>
      <c r="AH82" s="235">
        <f>MAR!D14+MAR!U14+AG82</f>
        <v>16176.24</v>
      </c>
      <c r="AI82" s="235">
        <f>ABR!D14+ABR!U14+AH82</f>
        <v>20200.527999999998</v>
      </c>
      <c r="AJ82" s="235">
        <f>MAI!D14+MAI!U14</f>
        <v>0</v>
      </c>
      <c r="AK82" s="235">
        <f>JUN!D14+JUN!U14</f>
        <v>0</v>
      </c>
      <c r="AL82" s="235">
        <f>JUL!D14+JUL!U14</f>
        <v>0</v>
      </c>
      <c r="AM82" s="235">
        <f>AGO!D14+AGO!U14</f>
        <v>0</v>
      </c>
      <c r="AN82" s="235">
        <f>SET!D14+SET!U14</f>
        <v>0</v>
      </c>
      <c r="AO82" s="235">
        <f>OUT!D14+OUT!U14</f>
        <v>0</v>
      </c>
      <c r="AP82" s="235">
        <f>NOV!D14+NOV!U14</f>
        <v>0</v>
      </c>
      <c r="AQ82" s="235">
        <f>DEZ!D14+DEZ!U14</f>
        <v>0</v>
      </c>
      <c r="AR82" s="235">
        <f t="shared" si="28"/>
        <v>20200.527999999998</v>
      </c>
    </row>
    <row r="83" spans="1:44">
      <c r="A83" s="242" t="s">
        <v>129</v>
      </c>
      <c r="B83" s="235">
        <f>$D$219*'Médias por UF'!BG73</f>
        <v>27065.304876530321</v>
      </c>
      <c r="C83" s="235">
        <f>$D$219*'Médias por UF'!BH73</f>
        <v>74925.771947370464</v>
      </c>
      <c r="D83" s="235">
        <f>$D$219*'Médias por UF'!BI73</f>
        <v>114509.74369441843</v>
      </c>
      <c r="E83" s="235">
        <f>$D$219*'Médias por UF'!BJ73</f>
        <v>138718.72233900311</v>
      </c>
      <c r="F83" s="235">
        <f>$D$219*'Médias por UF'!BK73</f>
        <v>172019.25821491401</v>
      </c>
      <c r="G83" s="235">
        <f>$D$219*'Médias por UF'!BL73</f>
        <v>206647.44906029225</v>
      </c>
      <c r="H83" s="235">
        <f>$D$219*'Médias por UF'!BM73</f>
        <v>218304.26624998843</v>
      </c>
      <c r="I83" s="235">
        <f>$D$219*'Médias por UF'!BN73</f>
        <v>228415.91284353411</v>
      </c>
      <c r="J83" s="235">
        <f>$D$219*'Médias por UF'!BO73</f>
        <v>241585.11585540144</v>
      </c>
      <c r="K83" s="235">
        <f>$D$219*'Médias por UF'!BP73</f>
        <v>251301.64781872768</v>
      </c>
      <c r="L83" s="235">
        <f>$D$219*'Médias por UF'!BQ73</f>
        <v>255295.78650082793</v>
      </c>
      <c r="M83" s="235">
        <f>$D$219*'Médias por UF'!BR73</f>
        <v>259465.09532306288</v>
      </c>
      <c r="N83" s="235">
        <f t="shared" si="26"/>
        <v>259465.09532306288</v>
      </c>
      <c r="P83" s="237" t="s">
        <v>129</v>
      </c>
      <c r="Q83" s="235">
        <f>'Médias por UF'!BG73*'Evolução das Receitas'!$S$219</f>
        <v>17547.144250949619</v>
      </c>
      <c r="R83" s="235">
        <f>'Médias por UF'!BH73*'Evolução das Receitas'!$S$219</f>
        <v>48576.335440223877</v>
      </c>
      <c r="S83" s="235">
        <f>'Médias por UF'!BI73*'Evolução das Receitas'!$S$219</f>
        <v>74239.658482015089</v>
      </c>
      <c r="T83" s="235">
        <f>'Médias por UF'!BJ73*'Evolução das Receitas'!$S$219</f>
        <v>89934.971813329161</v>
      </c>
      <c r="U83" s="235">
        <f>'Médias por UF'!BK73*'Evolução das Receitas'!$S$219</f>
        <v>111524.57922082717</v>
      </c>
      <c r="V83" s="235">
        <f>'Médias por UF'!BL73*'Evolução das Receitas'!$S$219</f>
        <v>133974.9400309198</v>
      </c>
      <c r="W83" s="235">
        <f>'Médias por UF'!BM73*'Evolução das Receitas'!$S$219</f>
        <v>141532.35915727587</v>
      </c>
      <c r="X83" s="235">
        <f>'Médias por UF'!BN73*'Evolução das Receitas'!$S$219</f>
        <v>148088.00381751495</v>
      </c>
      <c r="Y83" s="235">
        <f>'Médias por UF'!BO73*'Evolução das Receitas'!$S$219</f>
        <v>156625.94218449263</v>
      </c>
      <c r="Z83" s="235">
        <f>'Médias por UF'!BP73*'Evolução das Receitas'!$S$219</f>
        <v>162925.42370732207</v>
      </c>
      <c r="AA83" s="235">
        <f>'Médias por UF'!BQ73*'Evolução das Receitas'!$S$219</f>
        <v>165514.92816451687</v>
      </c>
      <c r="AB83" s="235">
        <f>'Médias por UF'!BR73*'Evolução das Receitas'!$S$219</f>
        <v>168218</v>
      </c>
      <c r="AC83" s="235">
        <f t="shared" si="27"/>
        <v>168218</v>
      </c>
      <c r="AE83" s="237" t="s">
        <v>129</v>
      </c>
      <c r="AF83" s="235">
        <f>JAN!D15+JAN!U15</f>
        <v>9891.0640000000003</v>
      </c>
      <c r="AG83" s="235">
        <f>FEV!D15+FEV!U15+AF83</f>
        <v>25880.304</v>
      </c>
      <c r="AH83" s="235">
        <f>MAR!D15+MAR!U15+AG83</f>
        <v>33335.832000000002</v>
      </c>
      <c r="AI83" s="235">
        <f>ABR!D15+ABR!U15+AH83</f>
        <v>42181.792000000001</v>
      </c>
      <c r="AJ83" s="235">
        <f>MAI!D15+MAI!U15</f>
        <v>0</v>
      </c>
      <c r="AK83" s="235">
        <f>JUN!D15+JUN!U15</f>
        <v>0</v>
      </c>
      <c r="AL83" s="235">
        <f>JUL!D15+JUL!U15</f>
        <v>0</v>
      </c>
      <c r="AM83" s="235">
        <f>AGO!D15+AGO!U15</f>
        <v>0</v>
      </c>
      <c r="AN83" s="235">
        <f>SET!D15+SET!U15</f>
        <v>0</v>
      </c>
      <c r="AO83" s="235">
        <f>OUT!D15+OUT!U15</f>
        <v>0</v>
      </c>
      <c r="AP83" s="235">
        <f>NOV!D15+NOV!U15</f>
        <v>0</v>
      </c>
      <c r="AQ83" s="235">
        <f>DEZ!D15+DEZ!U15</f>
        <v>0</v>
      </c>
      <c r="AR83" s="235">
        <f t="shared" si="28"/>
        <v>42181.792000000001</v>
      </c>
    </row>
    <row r="84" spans="1:44">
      <c r="A84" s="242" t="s">
        <v>130</v>
      </c>
      <c r="B84" s="235">
        <f>$D$220*'Médias por UF'!BG74</f>
        <v>39855.408752458534</v>
      </c>
      <c r="C84" s="235">
        <f>$D$220*'Médias por UF'!BH74</f>
        <v>107054.42323858886</v>
      </c>
      <c r="D84" s="235">
        <f>$D$220*'Médias por UF'!BI74</f>
        <v>146404.75557231781</v>
      </c>
      <c r="E84" s="235">
        <f>$D$220*'Médias por UF'!BJ74</f>
        <v>174770.14427424577</v>
      </c>
      <c r="F84" s="235">
        <f>$D$220*'Médias por UF'!BK74</f>
        <v>213577.19092621055</v>
      </c>
      <c r="G84" s="235">
        <f>$D$220*'Médias por UF'!BL74</f>
        <v>250672.1837900579</v>
      </c>
      <c r="H84" s="235">
        <f>$D$220*'Médias por UF'!BM74</f>
        <v>262869.46180841548</v>
      </c>
      <c r="I84" s="235">
        <f>$D$220*'Médias por UF'!BN74</f>
        <v>277820.21221351583</v>
      </c>
      <c r="J84" s="235">
        <f>$D$220*'Médias por UF'!BO74</f>
        <v>284912.263557514</v>
      </c>
      <c r="K84" s="235">
        <f>$D$220*'Médias por UF'!BP74</f>
        <v>293732.88089789223</v>
      </c>
      <c r="L84" s="235">
        <f>$D$220*'Médias por UF'!BQ74</f>
        <v>302079.71661557804</v>
      </c>
      <c r="M84" s="235">
        <f>$D$220*'Médias por UF'!BR74</f>
        <v>309509.55868468853</v>
      </c>
      <c r="N84" s="235">
        <f t="shared" si="26"/>
        <v>309509.55868468853</v>
      </c>
      <c r="P84" s="237" t="s">
        <v>130</v>
      </c>
      <c r="Q84" s="235">
        <f>'Médias por UF'!BG74*'Evolução das Receitas'!$S$220</f>
        <v>27053.324995183721</v>
      </c>
      <c r="R84" s="235">
        <f>'Médias por UF'!BH74*'Evolução das Receitas'!$S$220</f>
        <v>72667.128369793427</v>
      </c>
      <c r="S84" s="235">
        <f>'Médias por UF'!BI74*'Evolução das Receitas'!$S$220</f>
        <v>99377.614163699283</v>
      </c>
      <c r="T84" s="235">
        <f>'Médias por UF'!BJ74*'Evolução das Receitas'!$S$220</f>
        <v>118631.66532483893</v>
      </c>
      <c r="U84" s="235">
        <f>'Médias por UF'!BK74*'Evolução das Receitas'!$S$220</f>
        <v>144973.37597444048</v>
      </c>
      <c r="V84" s="235">
        <f>'Médias por UF'!BL74*'Evolução das Receitas'!$S$220</f>
        <v>170152.96712786902</v>
      </c>
      <c r="W84" s="235">
        <f>'Médias por UF'!BM74*'Evolução das Receitas'!$S$220</f>
        <v>178432.31832802156</v>
      </c>
      <c r="X84" s="235">
        <f>'Médias por UF'!BN74*'Evolução das Receitas'!$S$220</f>
        <v>188580.69021258052</v>
      </c>
      <c r="Y84" s="235">
        <f>'Médias por UF'!BO74*'Evolução das Receitas'!$S$220</f>
        <v>193394.68098315256</v>
      </c>
      <c r="Z84" s="235">
        <f>'Médias por UF'!BP74*'Evolução das Receitas'!$S$220</f>
        <v>199381.99951874997</v>
      </c>
      <c r="AA84" s="235">
        <f>'Médias por UF'!BQ74*'Evolução das Receitas'!$S$220</f>
        <v>205047.7213472341</v>
      </c>
      <c r="AB84" s="235">
        <f>'Médias por UF'!BR74*'Evolução das Receitas'!$S$220</f>
        <v>210091</v>
      </c>
      <c r="AC84" s="235">
        <f t="shared" si="27"/>
        <v>210091</v>
      </c>
      <c r="AE84" s="237" t="s">
        <v>130</v>
      </c>
      <c r="AF84" s="235">
        <f>JAN!D16+JAN!U16</f>
        <v>18805.536</v>
      </c>
      <c r="AG84" s="235">
        <f>FEV!D16+FEV!U16+AF84</f>
        <v>40065.512000000002</v>
      </c>
      <c r="AH84" s="235">
        <f>MAR!D16+MAR!U16+AG84</f>
        <v>46629.864000000001</v>
      </c>
      <c r="AI84" s="235">
        <f>ABR!D16+ABR!U16+AH84</f>
        <v>59265.328000000001</v>
      </c>
      <c r="AJ84" s="235">
        <f>MAI!D16+MAI!U16</f>
        <v>0</v>
      </c>
      <c r="AK84" s="235">
        <f>JUN!D16+JUN!U16</f>
        <v>0</v>
      </c>
      <c r="AL84" s="235">
        <f>JUL!D16+JUL!U16</f>
        <v>0</v>
      </c>
      <c r="AM84" s="235">
        <f>AGO!D16+AGO!U16</f>
        <v>0</v>
      </c>
      <c r="AN84" s="235">
        <f>SET!D16+SET!U16</f>
        <v>0</v>
      </c>
      <c r="AO84" s="235">
        <f>OUT!D16+OUT!U16</f>
        <v>0</v>
      </c>
      <c r="AP84" s="235">
        <f>NOV!D16+NOV!U16</f>
        <v>0</v>
      </c>
      <c r="AQ84" s="235">
        <f>DEZ!D16+DEZ!U16</f>
        <v>0</v>
      </c>
      <c r="AR84" s="235">
        <f t="shared" si="28"/>
        <v>59265.328000000001</v>
      </c>
    </row>
    <row r="85" spans="1:44">
      <c r="A85" s="242" t="s">
        <v>131</v>
      </c>
      <c r="B85" s="235">
        <f>$D$221*'Médias por UF'!BG75</f>
        <v>256600.88717671184</v>
      </c>
      <c r="C85" s="235">
        <f>$D$221*'Médias por UF'!BH75</f>
        <v>411147.17721409985</v>
      </c>
      <c r="D85" s="235">
        <f>$D$221*'Médias por UF'!BI75</f>
        <v>521012.48276323534</v>
      </c>
      <c r="E85" s="235">
        <f>$D$221*'Médias por UF'!BJ75</f>
        <v>570571.93629347067</v>
      </c>
      <c r="F85" s="235">
        <f>$D$221*'Médias por UF'!BK75</f>
        <v>690273.62763529876</v>
      </c>
      <c r="G85" s="235">
        <f>$D$221*'Médias por UF'!BL75</f>
        <v>781581.64557616285</v>
      </c>
      <c r="H85" s="235">
        <f>$D$221*'Médias por UF'!BM75</f>
        <v>808312.45120115392</v>
      </c>
      <c r="I85" s="235">
        <f>$D$221*'Médias por UF'!BN75</f>
        <v>832945.73823820194</v>
      </c>
      <c r="J85" s="235">
        <f>$D$221*'Médias por UF'!BO75</f>
        <v>849277.1857670329</v>
      </c>
      <c r="K85" s="235">
        <f>$D$221*'Médias por UF'!BP75</f>
        <v>879455.6253051539</v>
      </c>
      <c r="L85" s="235">
        <f>$D$221*'Médias por UF'!BQ75</f>
        <v>898987.79017327016</v>
      </c>
      <c r="M85" s="235">
        <f>$D$221*'Médias por UF'!BR75</f>
        <v>915103.86402088497</v>
      </c>
      <c r="N85" s="235">
        <f t="shared" si="26"/>
        <v>915103.86402088497</v>
      </c>
      <c r="P85" s="237" t="s">
        <v>131</v>
      </c>
      <c r="Q85" s="235">
        <f>'Médias por UF'!BG75*'Evolução das Receitas'!$S$221</f>
        <v>170433.41575296104</v>
      </c>
      <c r="R85" s="235">
        <f>'Médias por UF'!BH75*'Evolução das Receitas'!$S$221</f>
        <v>273082.5234502409</v>
      </c>
      <c r="S85" s="235">
        <f>'Médias por UF'!BI75*'Evolução das Receitas'!$S$221</f>
        <v>346054.67683405546</v>
      </c>
      <c r="T85" s="235">
        <f>'Médias por UF'!BJ75*'Evolução das Receitas'!$S$221</f>
        <v>378971.89329789137</v>
      </c>
      <c r="U85" s="235">
        <f>'Médias por UF'!BK75*'Evolução das Receitas'!$S$221</f>
        <v>458477.33987393865</v>
      </c>
      <c r="V85" s="235">
        <f>'Médias por UF'!BL75*'Evolução das Receitas'!$S$221</f>
        <v>519123.80744666047</v>
      </c>
      <c r="W85" s="235">
        <f>'Médias por UF'!BM75*'Evolução das Receitas'!$S$221</f>
        <v>536878.31546345574</v>
      </c>
      <c r="X85" s="235">
        <f>'Médias por UF'!BN75*'Evolução das Receitas'!$S$221</f>
        <v>553239.65893790743</v>
      </c>
      <c r="Y85" s="235">
        <f>'Médias por UF'!BO75*'Evolução das Receitas'!$S$221</f>
        <v>564086.94951883238</v>
      </c>
      <c r="Z85" s="235">
        <f>'Médias por UF'!BP75*'Evolução das Receitas'!$S$221</f>
        <v>584131.36397572432</v>
      </c>
      <c r="AA85" s="235">
        <f>'Médias por UF'!BQ75*'Evolução das Receitas'!$S$221</f>
        <v>597104.55986818636</v>
      </c>
      <c r="AB85" s="235">
        <f>'Médias por UF'!BR75*'Evolução das Receitas'!$S$221</f>
        <v>607808.80000000005</v>
      </c>
      <c r="AC85" s="235">
        <f t="shared" si="27"/>
        <v>607808.80000000005</v>
      </c>
      <c r="AE85" s="237" t="s">
        <v>131</v>
      </c>
      <c r="AF85" s="235">
        <f>JAN!D17+JAN!U17</f>
        <v>68695.688000000009</v>
      </c>
      <c r="AG85" s="235">
        <f>FEV!D17+FEV!U17+AF85</f>
        <v>163975.68800000002</v>
      </c>
      <c r="AH85" s="235">
        <f>MAR!D17+MAR!U17+AG85</f>
        <v>200090.81600000002</v>
      </c>
      <c r="AI85" s="235">
        <f>ABR!D17+ABR!U17+AH85</f>
        <v>232550.92</v>
      </c>
      <c r="AJ85" s="235">
        <f>MAI!D17+MAI!U17</f>
        <v>0</v>
      </c>
      <c r="AK85" s="235">
        <f>JUN!D17+JUN!U17</f>
        <v>0</v>
      </c>
      <c r="AL85" s="235">
        <f>JUL!D17+JUL!U17</f>
        <v>0</v>
      </c>
      <c r="AM85" s="235">
        <f>AGO!D17+AGO!U17</f>
        <v>0</v>
      </c>
      <c r="AN85" s="235">
        <f>SET!D17+SET!U17</f>
        <v>0</v>
      </c>
      <c r="AO85" s="235">
        <f>OUT!D17+OUT!U17</f>
        <v>0</v>
      </c>
      <c r="AP85" s="235">
        <f>NOV!D17+NOV!U17</f>
        <v>0</v>
      </c>
      <c r="AQ85" s="235">
        <f>DEZ!D17+DEZ!U17</f>
        <v>0</v>
      </c>
      <c r="AR85" s="235">
        <f t="shared" si="28"/>
        <v>232550.92</v>
      </c>
    </row>
    <row r="86" spans="1:44">
      <c r="A86" s="242" t="s">
        <v>132</v>
      </c>
      <c r="B86" s="235">
        <f>$D$222*'Médias por UF'!BG76</f>
        <v>20242.684665457873</v>
      </c>
      <c r="C86" s="235">
        <f>$D$222*'Médias por UF'!BH76</f>
        <v>51694.517856178027</v>
      </c>
      <c r="D86" s="235">
        <f>$D$222*'Médias por UF'!BI76</f>
        <v>81215.56831088633</v>
      </c>
      <c r="E86" s="235">
        <f>$D$222*'Médias por UF'!BJ76</f>
        <v>97235.351151630297</v>
      </c>
      <c r="F86" s="235">
        <f>$D$222*'Médias por UF'!BK76</f>
        <v>125919.25311667359</v>
      </c>
      <c r="G86" s="235">
        <f>$D$222*'Médias por UF'!BL76</f>
        <v>148239.8547230734</v>
      </c>
      <c r="H86" s="235">
        <f>$D$222*'Médias por UF'!BM76</f>
        <v>161028.56680954271</v>
      </c>
      <c r="I86" s="235">
        <f>$D$222*'Médias por UF'!BN76</f>
        <v>174462.95349831946</v>
      </c>
      <c r="J86" s="235">
        <f>$D$222*'Médias por UF'!BO76</f>
        <v>186833.2201862268</v>
      </c>
      <c r="K86" s="235">
        <f>$D$222*'Médias por UF'!BP76</f>
        <v>192929.67212552778</v>
      </c>
      <c r="L86" s="235">
        <f>$D$222*'Médias por UF'!BQ76</f>
        <v>200245.96275194988</v>
      </c>
      <c r="M86" s="235">
        <f>$D$222*'Médias por UF'!BR76</f>
        <v>203511.62998091598</v>
      </c>
      <c r="N86" s="235">
        <f t="shared" si="26"/>
        <v>203511.62998091598</v>
      </c>
      <c r="P86" s="237" t="s">
        <v>132</v>
      </c>
      <c r="Q86" s="235">
        <f>'Médias por UF'!BG76*'Evolução das Receitas'!$S$222</f>
        <v>12788.865866882612</v>
      </c>
      <c r="R86" s="235">
        <f>'Médias por UF'!BH76*'Evolução das Receitas'!$S$222</f>
        <v>32659.41577620653</v>
      </c>
      <c r="S86" s="235">
        <f>'Médias por UF'!BI76*'Evolução das Receitas'!$S$222</f>
        <v>51310.1412483557</v>
      </c>
      <c r="T86" s="235">
        <f>'Médias por UF'!BJ76*'Evolução das Receitas'!$S$222</f>
        <v>61431.074185500191</v>
      </c>
      <c r="U86" s="235">
        <f>'Médias por UF'!BK76*'Evolução das Receitas'!$S$222</f>
        <v>79552.908360772199</v>
      </c>
      <c r="V86" s="235">
        <f>'Médias por UF'!BL76*'Evolução das Receitas'!$S$222</f>
        <v>93654.554695236555</v>
      </c>
      <c r="W86" s="235">
        <f>'Médias por UF'!BM76*'Evolução das Receitas'!$S$222</f>
        <v>101734.17092139472</v>
      </c>
      <c r="X86" s="235">
        <f>'Médias por UF'!BN76*'Evolução das Receitas'!$S$222</f>
        <v>110221.70961530012</v>
      </c>
      <c r="Y86" s="235">
        <f>'Médias por UF'!BO76*'Evolução das Receitas'!$S$222</f>
        <v>118036.96159515083</v>
      </c>
      <c r="Z86" s="235">
        <f>'Médias por UF'!BP76*'Evolução das Receitas'!$S$222</f>
        <v>121888.56069893271</v>
      </c>
      <c r="AA86" s="235">
        <f>'Médias por UF'!BQ76*'Evolução das Receitas'!$S$222</f>
        <v>126510.82602642187</v>
      </c>
      <c r="AB86" s="235">
        <f>'Médias por UF'!BR76*'Evolução das Receitas'!$S$222</f>
        <v>128574</v>
      </c>
      <c r="AC86" s="235">
        <f t="shared" si="27"/>
        <v>128574</v>
      </c>
      <c r="AE86" s="237" t="s">
        <v>132</v>
      </c>
      <c r="AF86" s="235">
        <f>JAN!D18+JAN!U18</f>
        <v>7606.2479999999996</v>
      </c>
      <c r="AG86" s="235">
        <f>FEV!D18+FEV!U18+AF86</f>
        <v>13777.16</v>
      </c>
      <c r="AH86" s="235">
        <f>MAR!D18+MAR!U18+AG86</f>
        <v>18487.031999999999</v>
      </c>
      <c r="AI86" s="235">
        <f>ABR!D18+ABR!U18+AH86</f>
        <v>24116.239999999998</v>
      </c>
      <c r="AJ86" s="235">
        <f>MAI!D18+MAI!U18</f>
        <v>0</v>
      </c>
      <c r="AK86" s="235">
        <f>JUN!D18+JUN!U18</f>
        <v>0</v>
      </c>
      <c r="AL86" s="235">
        <f>JUL!D18+JUL!U18</f>
        <v>0</v>
      </c>
      <c r="AM86" s="235">
        <f>AGO!D18+AGO!U18</f>
        <v>0</v>
      </c>
      <c r="AN86" s="235">
        <f>SET!D18+SET!U18</f>
        <v>0</v>
      </c>
      <c r="AO86" s="235">
        <f>OUT!D18+OUT!U18</f>
        <v>0</v>
      </c>
      <c r="AP86" s="235">
        <f>NOV!D18+NOV!U18</f>
        <v>0</v>
      </c>
      <c r="AQ86" s="235">
        <f>DEZ!D18+DEZ!U18</f>
        <v>0</v>
      </c>
      <c r="AR86" s="235">
        <f t="shared" si="28"/>
        <v>24116.239999999998</v>
      </c>
    </row>
    <row r="87" spans="1:44">
      <c r="A87" s="242" t="s">
        <v>133</v>
      </c>
      <c r="B87" s="235">
        <f>$D$223*'Médias por UF'!BG77</f>
        <v>21931.506157458945</v>
      </c>
      <c r="C87" s="235">
        <f>$D$223*'Médias por UF'!BH77</f>
        <v>70559.191167509387</v>
      </c>
      <c r="D87" s="235">
        <f>$D$223*'Médias por UF'!BI77</f>
        <v>84962.497939753361</v>
      </c>
      <c r="E87" s="235">
        <f>$D$223*'Médias por UF'!BJ77</f>
        <v>99572.996178405447</v>
      </c>
      <c r="F87" s="235">
        <f>$D$223*'Médias por UF'!BK77</f>
        <v>121061.99837217206</v>
      </c>
      <c r="G87" s="235">
        <f>$D$223*'Médias por UF'!BL77</f>
        <v>146399.62834144619</v>
      </c>
      <c r="H87" s="235">
        <f>$D$223*'Médias por UF'!BM77</f>
        <v>159284.33730936697</v>
      </c>
      <c r="I87" s="235">
        <f>$D$223*'Médias por UF'!BN77</f>
        <v>174215.54453134257</v>
      </c>
      <c r="J87" s="235">
        <f>$D$223*'Médias por UF'!BO77</f>
        <v>181647.38581863887</v>
      </c>
      <c r="K87" s="235">
        <f>$D$223*'Médias por UF'!BP77</f>
        <v>194835.53552311592</v>
      </c>
      <c r="L87" s="235">
        <f>$D$223*'Médias por UF'!BQ77</f>
        <v>201478.17993246732</v>
      </c>
      <c r="M87" s="235">
        <f>$D$223*'Médias por UF'!BR77</f>
        <v>206757.57520262728</v>
      </c>
      <c r="N87" s="235">
        <f t="shared" si="26"/>
        <v>206757.57520262728</v>
      </c>
      <c r="P87" s="237" t="s">
        <v>133</v>
      </c>
      <c r="Q87" s="235">
        <f>'Médias por UF'!BG77*'Evolução das Receitas'!$S$223</f>
        <v>15149.84605697346</v>
      </c>
      <c r="R87" s="235">
        <f>'Médias por UF'!BH77*'Evolução das Receitas'!$S$223</f>
        <v>48740.878825997694</v>
      </c>
      <c r="S87" s="235">
        <f>'Médias por UF'!BI77*'Evolução das Receitas'!$S$223</f>
        <v>58690.395231493014</v>
      </c>
      <c r="T87" s="235">
        <f>'Médias por UF'!BJ77*'Evolução das Receitas'!$S$223</f>
        <v>68783.035360359878</v>
      </c>
      <c r="U87" s="235">
        <f>'Médias por UF'!BK77*'Evolução das Receitas'!$S$223</f>
        <v>83627.208524582224</v>
      </c>
      <c r="V87" s="235">
        <f>'Médias por UF'!BL77*'Evolução das Receitas'!$S$223</f>
        <v>101129.93682454937</v>
      </c>
      <c r="W87" s="235">
        <f>'Médias por UF'!BM77*'Evolução das Receitas'!$S$223</f>
        <v>110030.43622260446</v>
      </c>
      <c r="X87" s="235">
        <f>'Médias por UF'!BN77*'Evolução das Receitas'!$S$223</f>
        <v>120344.61570638642</v>
      </c>
      <c r="Y87" s="235">
        <f>'Médias por UF'!BO77*'Evolução das Receitas'!$S$223</f>
        <v>125478.38310995829</v>
      </c>
      <c r="Z87" s="235">
        <f>'Médias por UF'!BP77*'Evolução das Receitas'!$S$223</f>
        <v>134588.49330324272</v>
      </c>
      <c r="AA87" s="235">
        <f>'Médias por UF'!BQ77*'Evolução das Receitas'!$S$223</f>
        <v>139177.09927906457</v>
      </c>
      <c r="AB87" s="235">
        <f>'Médias por UF'!BR77*'Evolução das Receitas'!$S$223</f>
        <v>142824</v>
      </c>
      <c r="AC87" s="235">
        <f t="shared" si="27"/>
        <v>142824</v>
      </c>
      <c r="AE87" s="237" t="s">
        <v>133</v>
      </c>
      <c r="AF87" s="235">
        <f>JAN!D19+JAN!U19</f>
        <v>5406.192</v>
      </c>
      <c r="AG87" s="235">
        <f>FEV!D19+FEV!U19+AF87</f>
        <v>17031.152000000002</v>
      </c>
      <c r="AH87" s="235">
        <f>MAR!D19+MAR!U19+AG87</f>
        <v>22995.088000000003</v>
      </c>
      <c r="AI87" s="235">
        <f>ABR!D19+ABR!U19+AH87</f>
        <v>29329.376000000004</v>
      </c>
      <c r="AJ87" s="235">
        <f>MAI!D19+MAI!U19</f>
        <v>0</v>
      </c>
      <c r="AK87" s="235">
        <f>JUN!D19+JUN!U19</f>
        <v>0</v>
      </c>
      <c r="AL87" s="235">
        <f>JUL!D19+JUL!U19</f>
        <v>0</v>
      </c>
      <c r="AM87" s="235">
        <f>AGO!D19+AGO!U19</f>
        <v>0</v>
      </c>
      <c r="AN87" s="235">
        <f>SET!D19+SET!U19</f>
        <v>0</v>
      </c>
      <c r="AO87" s="235">
        <f>OUT!D19+OUT!U19</f>
        <v>0</v>
      </c>
      <c r="AP87" s="235">
        <f>NOV!D19+NOV!U19</f>
        <v>0</v>
      </c>
      <c r="AQ87" s="235">
        <f>DEZ!D19+DEZ!U19</f>
        <v>0</v>
      </c>
      <c r="AR87" s="235">
        <f t="shared" si="28"/>
        <v>29329.376000000004</v>
      </c>
    </row>
    <row r="88" spans="1:44">
      <c r="A88" s="242" t="s">
        <v>134</v>
      </c>
      <c r="B88" s="235">
        <f>$D$224*'Médias por UF'!BG78</f>
        <v>183019.17550140075</v>
      </c>
      <c r="C88" s="235">
        <f>$D$224*'Médias por UF'!BH78</f>
        <v>409748.57884345081</v>
      </c>
      <c r="D88" s="235">
        <f>$D$224*'Médias por UF'!BI78</f>
        <v>532105.97122703143</v>
      </c>
      <c r="E88" s="235">
        <f>$D$224*'Médias por UF'!BJ78</f>
        <v>633974.34802790568</v>
      </c>
      <c r="F88" s="235">
        <f>$D$224*'Médias por UF'!BK78</f>
        <v>782684.72557114391</v>
      </c>
      <c r="G88" s="235">
        <f>$D$224*'Médias por UF'!BL78</f>
        <v>938565.87784680619</v>
      </c>
      <c r="H88" s="235">
        <f>$D$224*'Médias por UF'!BM78</f>
        <v>1006003.8653345433</v>
      </c>
      <c r="I88" s="235">
        <f>$D$224*'Médias por UF'!BN78</f>
        <v>1055368.8723133162</v>
      </c>
      <c r="J88" s="235">
        <f>$D$224*'Médias por UF'!BO78</f>
        <v>1088988.5634546112</v>
      </c>
      <c r="K88" s="235">
        <f>$D$224*'Médias por UF'!BP78</f>
        <v>1132968.890871506</v>
      </c>
      <c r="L88" s="235">
        <f>$D$224*'Médias por UF'!BQ78</f>
        <v>1163329.3035495982</v>
      </c>
      <c r="M88" s="235">
        <f>$D$224*'Médias por UF'!BR78</f>
        <v>1203057.1969424004</v>
      </c>
      <c r="N88" s="235">
        <f t="shared" si="26"/>
        <v>1203057.1969424004</v>
      </c>
      <c r="P88" s="237" t="s">
        <v>134</v>
      </c>
      <c r="Q88" s="235">
        <f>'Médias por UF'!BG78*'Evolução das Receitas'!$S$224</f>
        <v>130842.60072198483</v>
      </c>
      <c r="R88" s="235">
        <f>'Médias por UF'!BH78*'Evolução das Receitas'!$S$224</f>
        <v>292934.16687697859</v>
      </c>
      <c r="S88" s="235">
        <f>'Médias por UF'!BI78*'Evolução das Receitas'!$S$224</f>
        <v>380408.93225698941</v>
      </c>
      <c r="T88" s="235">
        <f>'Médias por UF'!BJ78*'Evolução das Receitas'!$S$224</f>
        <v>453235.85498482938</v>
      </c>
      <c r="U88" s="235">
        <f>'Médias por UF'!BK78*'Evolução das Receitas'!$S$224</f>
        <v>559550.68510467454</v>
      </c>
      <c r="V88" s="235">
        <f>'Médias por UF'!BL78*'Evolução das Receitas'!$S$224</f>
        <v>670991.98797040235</v>
      </c>
      <c r="W88" s="235">
        <f>'Médias por UF'!BM78*'Evolução das Receitas'!$S$224</f>
        <v>719204.21298004163</v>
      </c>
      <c r="X88" s="235">
        <f>'Médias por UF'!BN78*'Evolução das Receitas'!$S$224</f>
        <v>754495.84775036736</v>
      </c>
      <c r="Y88" s="235">
        <f>'Médias por UF'!BO78*'Evolução das Receitas'!$S$224</f>
        <v>778530.96763518651</v>
      </c>
      <c r="Z88" s="235">
        <f>'Médias por UF'!BP78*'Evolução das Receitas'!$S$224</f>
        <v>809973.03049043554</v>
      </c>
      <c r="AA88" s="235">
        <f>'Médias por UF'!BQ78*'Evolução das Receitas'!$S$224</f>
        <v>831678.05316312215</v>
      </c>
      <c r="AB88" s="235">
        <f>'Médias por UF'!BR78*'Evolução das Receitas'!$S$224</f>
        <v>860080</v>
      </c>
      <c r="AC88" s="235">
        <f t="shared" si="27"/>
        <v>860080</v>
      </c>
      <c r="AE88" s="237" t="s">
        <v>134</v>
      </c>
      <c r="AF88" s="235">
        <f>JAN!D20+JAN!U20</f>
        <v>88214.368000000017</v>
      </c>
      <c r="AG88" s="235">
        <f>FEV!D20+FEV!U20+AF88</f>
        <v>200862.97600000002</v>
      </c>
      <c r="AH88" s="235">
        <f>MAR!D20+MAR!U20+AG88</f>
        <v>246292.36000000004</v>
      </c>
      <c r="AI88" s="235">
        <f>ABR!D20+ABR!U20+AH88</f>
        <v>302427.26400000008</v>
      </c>
      <c r="AJ88" s="235">
        <f>MAI!D20+MAI!U20</f>
        <v>0</v>
      </c>
      <c r="AK88" s="235">
        <f>JUN!D20+JUN!U20</f>
        <v>0</v>
      </c>
      <c r="AL88" s="235">
        <f>JUL!D20+JUL!U20</f>
        <v>0</v>
      </c>
      <c r="AM88" s="235">
        <f>AGO!D20+AGO!U20</f>
        <v>0</v>
      </c>
      <c r="AN88" s="235">
        <f>SET!D20+SET!U20</f>
        <v>0</v>
      </c>
      <c r="AO88" s="235">
        <f>OUT!D20+OUT!U20</f>
        <v>0</v>
      </c>
      <c r="AP88" s="235">
        <f>NOV!D20+NOV!U20</f>
        <v>0</v>
      </c>
      <c r="AQ88" s="235">
        <f>DEZ!D20+DEZ!U20</f>
        <v>0</v>
      </c>
      <c r="AR88" s="235">
        <f t="shared" si="28"/>
        <v>302427.26400000008</v>
      </c>
    </row>
    <row r="89" spans="1:44">
      <c r="A89" s="242" t="s">
        <v>135</v>
      </c>
      <c r="B89" s="235">
        <f>$D$225*'Médias por UF'!BG79</f>
        <v>39982.252469503132</v>
      </c>
      <c r="C89" s="235">
        <f>$D$225*'Médias por UF'!BH79</f>
        <v>117680.56953547202</v>
      </c>
      <c r="D89" s="235">
        <f>$D$225*'Médias por UF'!BI79</f>
        <v>157554.37062846299</v>
      </c>
      <c r="E89" s="235">
        <f>$D$225*'Médias por UF'!BJ79</f>
        <v>183984.86489400867</v>
      </c>
      <c r="F89" s="235">
        <f>$D$225*'Médias por UF'!BK79</f>
        <v>214194.91331750635</v>
      </c>
      <c r="G89" s="235">
        <f>$D$225*'Médias por UF'!BL79</f>
        <v>247345.59079967442</v>
      </c>
      <c r="H89" s="235">
        <f>$D$225*'Médias por UF'!BM79</f>
        <v>255166.26687651893</v>
      </c>
      <c r="I89" s="235">
        <f>$D$225*'Médias por UF'!BN79</f>
        <v>262605.96903565497</v>
      </c>
      <c r="J89" s="235">
        <f>$D$225*'Médias por UF'!BO79</f>
        <v>270808.89314316266</v>
      </c>
      <c r="K89" s="235">
        <f>$D$225*'Médias por UF'!BP79</f>
        <v>277164.47066894232</v>
      </c>
      <c r="L89" s="235">
        <f>$D$225*'Médias por UF'!BQ79</f>
        <v>284119.44553180289</v>
      </c>
      <c r="M89" s="235">
        <f>$D$225*'Médias por UF'!BR79</f>
        <v>288737.87482950132</v>
      </c>
      <c r="N89" s="235">
        <f t="shared" si="26"/>
        <v>288737.87482950132</v>
      </c>
      <c r="P89" s="237" t="s">
        <v>135</v>
      </c>
      <c r="Q89" s="235">
        <f>'Médias por UF'!BG79*'Evolução das Receitas'!$S$225</f>
        <v>28137.333012149775</v>
      </c>
      <c r="R89" s="235">
        <f>'Médias por UF'!BH79*'Evolução das Receitas'!$S$225</f>
        <v>82817.179362385563</v>
      </c>
      <c r="S89" s="235">
        <f>'Médias por UF'!BI79*'Evolução das Receitas'!$S$225</f>
        <v>110878.19019886812</v>
      </c>
      <c r="T89" s="235">
        <f>'Médias por UF'!BJ79*'Evolução das Receitas'!$S$225</f>
        <v>129478.53342346822</v>
      </c>
      <c r="U89" s="235">
        <f>'Médias por UF'!BK79*'Evolução das Receitas'!$S$225</f>
        <v>150738.72113934276</v>
      </c>
      <c r="V89" s="235">
        <f>'Médias por UF'!BL79*'Evolução das Receitas'!$S$225</f>
        <v>174068.36352518931</v>
      </c>
      <c r="W89" s="235">
        <f>'Médias por UF'!BM79*'Evolução das Receitas'!$S$225</f>
        <v>179572.12966048083</v>
      </c>
      <c r="X89" s="235">
        <f>'Médias por UF'!BN79*'Evolução das Receitas'!$S$225</f>
        <v>184807.78708929854</v>
      </c>
      <c r="Y89" s="235">
        <f>'Médias por UF'!BO79*'Evolução das Receitas'!$S$225</f>
        <v>190580.55858241007</v>
      </c>
      <c r="Z89" s="235">
        <f>'Médias por UF'!BP79*'Evolução das Receitas'!$S$225</f>
        <v>195053.26810431108</v>
      </c>
      <c r="AA89" s="235">
        <f>'Médias por UF'!BQ79*'Evolução das Receitas'!$S$225</f>
        <v>199947.80084622471</v>
      </c>
      <c r="AB89" s="235">
        <f>'Médias por UF'!BR79*'Evolução das Receitas'!$S$225</f>
        <v>203198</v>
      </c>
      <c r="AC89" s="235">
        <f t="shared" si="27"/>
        <v>203198</v>
      </c>
      <c r="AE89" s="237" t="s">
        <v>135</v>
      </c>
      <c r="AF89" s="235">
        <f>JAN!D21+JAN!U21</f>
        <v>23585.232000000004</v>
      </c>
      <c r="AG89" s="235">
        <f>FEV!D21+FEV!U21+AF89</f>
        <v>53048.456000000006</v>
      </c>
      <c r="AH89" s="235">
        <f>MAR!D21+MAR!U21+AG89</f>
        <v>65733.640000000014</v>
      </c>
      <c r="AI89" s="235">
        <f>ABR!D21+ABR!U21+AH89</f>
        <v>79757.392000000022</v>
      </c>
      <c r="AJ89" s="235">
        <f>MAI!D21+MAI!U21</f>
        <v>0</v>
      </c>
      <c r="AK89" s="235">
        <f>JUN!D21+JUN!U21</f>
        <v>0</v>
      </c>
      <c r="AL89" s="235">
        <f>JUL!D21+JUL!U21</f>
        <v>0</v>
      </c>
      <c r="AM89" s="235">
        <f>AGO!D21+AGO!U21</f>
        <v>0</v>
      </c>
      <c r="AN89" s="235">
        <f>SET!D21+SET!U21</f>
        <v>0</v>
      </c>
      <c r="AO89" s="235">
        <f>OUT!D21+OUT!U21</f>
        <v>0</v>
      </c>
      <c r="AP89" s="235">
        <f>NOV!D21+NOV!U21</f>
        <v>0</v>
      </c>
      <c r="AQ89" s="235">
        <f>DEZ!D21+DEZ!U21</f>
        <v>0</v>
      </c>
      <c r="AR89" s="235">
        <f t="shared" si="28"/>
        <v>79757.392000000022</v>
      </c>
    </row>
    <row r="90" spans="1:44">
      <c r="A90" s="242" t="s">
        <v>136</v>
      </c>
      <c r="B90" s="235">
        <f>$D$226*'Médias por UF'!BG80</f>
        <v>14757.421515287553</v>
      </c>
      <c r="C90" s="235">
        <f>$D$226*'Médias por UF'!BH80</f>
        <v>32263.119837552596</v>
      </c>
      <c r="D90" s="235">
        <f>$D$226*'Médias por UF'!BI80</f>
        <v>43075.535305952108</v>
      </c>
      <c r="E90" s="235">
        <f>$D$226*'Médias por UF'!BJ80</f>
        <v>52204.528317810502</v>
      </c>
      <c r="F90" s="235">
        <f>$D$226*'Médias por UF'!BK80</f>
        <v>60816.14199848321</v>
      </c>
      <c r="G90" s="235">
        <f>$D$226*'Médias por UF'!BL80</f>
        <v>72905.232665243762</v>
      </c>
      <c r="H90" s="235">
        <f>$D$226*'Médias por UF'!BM80</f>
        <v>78001.211108603093</v>
      </c>
      <c r="I90" s="235">
        <f>$D$226*'Médias por UF'!BN80</f>
        <v>83792.408684524824</v>
      </c>
      <c r="J90" s="235">
        <f>$D$226*'Médias por UF'!BO80</f>
        <v>87912.755021095552</v>
      </c>
      <c r="K90" s="235">
        <f>$D$226*'Médias por UF'!BP80</f>
        <v>90069.70720353919</v>
      </c>
      <c r="L90" s="235">
        <f>$D$226*'Médias por UF'!BQ80</f>
        <v>91274.729717096459</v>
      </c>
      <c r="M90" s="235">
        <f>$D$226*'Médias por UF'!BR80</f>
        <v>93145.490174748717</v>
      </c>
      <c r="N90" s="235">
        <f t="shared" si="26"/>
        <v>93145.490174748717</v>
      </c>
      <c r="P90" s="237" t="s">
        <v>136</v>
      </c>
      <c r="Q90" s="235">
        <f>'Médias por UF'!BG80*'Evolução das Receitas'!$S$226</f>
        <v>10627.442279227118</v>
      </c>
      <c r="R90" s="235">
        <f>'Médias por UF'!BH80*'Evolução das Receitas'!$S$226</f>
        <v>23234.034717120874</v>
      </c>
      <c r="S90" s="235">
        <f>'Médias por UF'!BI80*'Evolução das Receitas'!$S$226</f>
        <v>31020.511587108092</v>
      </c>
      <c r="T90" s="235">
        <f>'Médias por UF'!BJ80*'Evolução das Receitas'!$S$226</f>
        <v>37594.684873443359</v>
      </c>
      <c r="U90" s="235">
        <f>'Médias por UF'!BK80*'Evolução das Receitas'!$S$226</f>
        <v>43796.271460066557</v>
      </c>
      <c r="V90" s="235">
        <f>'Médias por UF'!BL80*'Evolução das Receitas'!$S$226</f>
        <v>52502.136040559133</v>
      </c>
      <c r="W90" s="235">
        <f>'Médias por UF'!BM80*'Evolução das Receitas'!$S$226</f>
        <v>56171.965265595783</v>
      </c>
      <c r="X90" s="235">
        <f>'Médias por UF'!BN80*'Evolução das Receitas'!$S$226</f>
        <v>60342.451139564466</v>
      </c>
      <c r="Y90" s="235">
        <f>'Médias por UF'!BO80*'Evolução das Receitas'!$S$226</f>
        <v>63309.68649412613</v>
      </c>
      <c r="Z90" s="235">
        <f>'Médias por UF'!BP80*'Evolução das Receitas'!$S$226</f>
        <v>64862.998825431874</v>
      </c>
      <c r="AA90" s="235">
        <f>'Médias por UF'!BQ80*'Evolução das Receitas'!$S$226</f>
        <v>65730.786412493253</v>
      </c>
      <c r="AB90" s="235">
        <f>'Médias por UF'!BR80*'Evolução das Receitas'!$S$226</f>
        <v>67078</v>
      </c>
      <c r="AC90" s="235">
        <f t="shared" si="27"/>
        <v>67078</v>
      </c>
      <c r="AE90" s="237" t="s">
        <v>136</v>
      </c>
      <c r="AF90" s="235">
        <f>JAN!D22+JAN!U22</f>
        <v>4790.76</v>
      </c>
      <c r="AG90" s="235">
        <f>FEV!D22+FEV!U22+AF90</f>
        <v>12605.656000000001</v>
      </c>
      <c r="AH90" s="235">
        <f>MAR!D22+MAR!U22+AG90</f>
        <v>15171.36</v>
      </c>
      <c r="AI90" s="235">
        <f>ABR!D22+ABR!U22+AH90</f>
        <v>21149.52</v>
      </c>
      <c r="AJ90" s="235">
        <f>MAI!D22+MAI!U22</f>
        <v>0</v>
      </c>
      <c r="AK90" s="235">
        <f>JUN!D22+JUN!U22</f>
        <v>0</v>
      </c>
      <c r="AL90" s="235">
        <f>JUL!D22+JUL!U22</f>
        <v>0</v>
      </c>
      <c r="AM90" s="235">
        <f>AGO!D22+AGO!U22</f>
        <v>0</v>
      </c>
      <c r="AN90" s="235">
        <f>SET!D22+SET!U22</f>
        <v>0</v>
      </c>
      <c r="AO90" s="235">
        <f>OUT!D22+OUT!U22</f>
        <v>0</v>
      </c>
      <c r="AP90" s="235">
        <f>NOV!D22+NOV!U22</f>
        <v>0</v>
      </c>
      <c r="AQ90" s="235">
        <f>DEZ!D22+DEZ!U22</f>
        <v>0</v>
      </c>
      <c r="AR90" s="235">
        <f t="shared" si="28"/>
        <v>21149.52</v>
      </c>
    </row>
    <row r="91" spans="1:44">
      <c r="A91" s="242" t="s">
        <v>137</v>
      </c>
      <c r="B91" s="235">
        <f>$D$227*'Médias por UF'!BG81</f>
        <v>270815.710931062</v>
      </c>
      <c r="C91" s="235">
        <f>$D$227*'Médias por UF'!BH81</f>
        <v>587507.92668405233</v>
      </c>
      <c r="D91" s="235">
        <f>$D$227*'Médias por UF'!BI81</f>
        <v>741148.84678855294</v>
      </c>
      <c r="E91" s="235">
        <f>$D$227*'Médias por UF'!BJ81</f>
        <v>857059.95962099044</v>
      </c>
      <c r="F91" s="235">
        <f>$D$227*'Médias por UF'!BK81</f>
        <v>1010689.5426948379</v>
      </c>
      <c r="G91" s="235">
        <f>$D$227*'Médias por UF'!BL81</f>
        <v>1195041.0094579242</v>
      </c>
      <c r="H91" s="235">
        <f>$D$227*'Médias por UF'!BM81</f>
        <v>1243957.9233186974</v>
      </c>
      <c r="I91" s="235">
        <f>$D$227*'Médias por UF'!BN81</f>
        <v>1317274.0375532086</v>
      </c>
      <c r="J91" s="235">
        <f>$D$227*'Médias por UF'!BO81</f>
        <v>1375239.4862794846</v>
      </c>
      <c r="K91" s="235">
        <f>$D$227*'Médias por UF'!BP81</f>
        <v>1430942.6320684352</v>
      </c>
      <c r="L91" s="235">
        <f>$D$227*'Médias por UF'!BQ81</f>
        <v>1476180.75346711</v>
      </c>
      <c r="M91" s="235">
        <f>$D$227*'Médias por UF'!BR81</f>
        <v>1507722.716544101</v>
      </c>
      <c r="N91" s="235">
        <f t="shared" si="26"/>
        <v>1507722.716544101</v>
      </c>
      <c r="P91" s="237" t="s">
        <v>137</v>
      </c>
      <c r="Q91" s="235">
        <f>'Médias por UF'!BG81*'Evolução das Receitas'!$S$227</f>
        <v>185303.62611435537</v>
      </c>
      <c r="R91" s="235">
        <f>'Médias por UF'!BH81*'Evolução das Receitas'!$S$227</f>
        <v>401997.90776981419</v>
      </c>
      <c r="S91" s="235">
        <f>'Médias por UF'!BI81*'Evolução das Receitas'!$S$227</f>
        <v>507125.55903136602</v>
      </c>
      <c r="T91" s="235">
        <f>'Médias por UF'!BJ81*'Evolução das Receitas'!$S$227</f>
        <v>586436.87166148296</v>
      </c>
      <c r="U91" s="235">
        <f>'Médias por UF'!BK81*'Evolução das Receitas'!$S$227</f>
        <v>691556.76564454404</v>
      </c>
      <c r="V91" s="235">
        <f>'Médias por UF'!BL81*'Evolução das Receitas'!$S$227</f>
        <v>817697.87892506504</v>
      </c>
      <c r="W91" s="235">
        <f>'Médias por UF'!BM81*'Evolução das Receitas'!$S$227</f>
        <v>851168.91162682837</v>
      </c>
      <c r="X91" s="235">
        <f>'Médias por UF'!BN81*'Evolução das Receitas'!$S$227</f>
        <v>901334.91482347297</v>
      </c>
      <c r="Y91" s="235">
        <f>'Médias por UF'!BO81*'Evolução das Receitas'!$S$227</f>
        <v>940997.33987775259</v>
      </c>
      <c r="Z91" s="235">
        <f>'Médias por UF'!BP81*'Evolução das Receitas'!$S$227</f>
        <v>979111.80105573288</v>
      </c>
      <c r="AA91" s="235">
        <f>'Médias por UF'!BQ81*'Evolução das Receitas'!$S$227</f>
        <v>1010065.6475107849</v>
      </c>
      <c r="AB91" s="235">
        <f>'Médias por UF'!BR81*'Evolução das Receitas'!$S$227</f>
        <v>1031648</v>
      </c>
      <c r="AC91" s="235">
        <f t="shared" si="27"/>
        <v>1031648</v>
      </c>
      <c r="AE91" s="237" t="s">
        <v>137</v>
      </c>
      <c r="AF91" s="235">
        <f>JAN!D23+JAN!U23</f>
        <v>115851.40800000001</v>
      </c>
      <c r="AG91" s="235">
        <f>FEV!D23+FEV!U23+AF91</f>
        <v>262114.51200000005</v>
      </c>
      <c r="AH91" s="235">
        <f>MAR!D23+MAR!U23+AG91</f>
        <v>307314.76800000004</v>
      </c>
      <c r="AI91" s="235">
        <f>ABR!D23+ABR!U23+AH91</f>
        <v>363129.60800000007</v>
      </c>
      <c r="AJ91" s="235">
        <f>MAI!D23+MAI!U23</f>
        <v>0</v>
      </c>
      <c r="AK91" s="235">
        <f>JUN!D23+JUN!U23</f>
        <v>0</v>
      </c>
      <c r="AL91" s="235">
        <f>JUL!D23+JUL!U23</f>
        <v>0</v>
      </c>
      <c r="AM91" s="235">
        <f>AGO!D23+AGO!U23</f>
        <v>0</v>
      </c>
      <c r="AN91" s="235">
        <f>SET!D23+SET!U23</f>
        <v>0</v>
      </c>
      <c r="AO91" s="235">
        <f>OUT!D23+OUT!U23</f>
        <v>0</v>
      </c>
      <c r="AP91" s="235">
        <f>NOV!D23+NOV!U23</f>
        <v>0</v>
      </c>
      <c r="AQ91" s="235">
        <f>DEZ!D23+DEZ!U23</f>
        <v>0</v>
      </c>
      <c r="AR91" s="235">
        <f t="shared" si="28"/>
        <v>363129.60800000007</v>
      </c>
    </row>
    <row r="92" spans="1:44">
      <c r="A92" s="242" t="s">
        <v>138</v>
      </c>
      <c r="B92" s="235">
        <f>$D$228*'Médias por UF'!BG82</f>
        <v>6063.8264191908638</v>
      </c>
      <c r="C92" s="235">
        <f>$D$228*'Médias por UF'!BH82</f>
        <v>29886.11746649117</v>
      </c>
      <c r="D92" s="235">
        <f>$D$228*'Médias por UF'!BI82</f>
        <v>50284.599044019022</v>
      </c>
      <c r="E92" s="235">
        <f>$D$228*'Médias por UF'!BJ82</f>
        <v>63416.596978455891</v>
      </c>
      <c r="F92" s="235">
        <f>$D$228*'Médias por UF'!BK82</f>
        <v>77672.949331954616</v>
      </c>
      <c r="G92" s="235">
        <f>$D$228*'Médias por UF'!BL82</f>
        <v>96731.206574413125</v>
      </c>
      <c r="H92" s="235">
        <f>$D$228*'Médias por UF'!BM82</f>
        <v>104051.34527891324</v>
      </c>
      <c r="I92" s="235">
        <f>$D$228*'Médias por UF'!BN82</f>
        <v>114038.59174505032</v>
      </c>
      <c r="J92" s="235">
        <f>$D$228*'Médias por UF'!BO82</f>
        <v>119587.13628845129</v>
      </c>
      <c r="K92" s="235">
        <f>$D$228*'Médias por UF'!BP82</f>
        <v>123613.99131506226</v>
      </c>
      <c r="L92" s="235">
        <f>$D$228*'Médias por UF'!BQ82</f>
        <v>127311.22196385183</v>
      </c>
      <c r="M92" s="235">
        <f>$D$228*'Médias por UF'!BR82</f>
        <v>129041.35406442772</v>
      </c>
      <c r="N92" s="235">
        <f t="shared" si="26"/>
        <v>129041.35406442772</v>
      </c>
      <c r="P92" s="237" t="s">
        <v>138</v>
      </c>
      <c r="Q92" s="235">
        <f>'Médias por UF'!BG82*'Evolução das Receitas'!$S$228</f>
        <v>4417.2331526044591</v>
      </c>
      <c r="R92" s="235">
        <f>'Médias por UF'!BH82*'Evolução das Receitas'!$S$228</f>
        <v>21770.73348567776</v>
      </c>
      <c r="S92" s="235">
        <f>'Médias por UF'!BI82*'Evolução das Receitas'!$S$228</f>
        <v>36630.137904294119</v>
      </c>
      <c r="T92" s="235">
        <f>'Médias por UF'!BJ82*'Evolução das Receitas'!$S$228</f>
        <v>46196.225820720349</v>
      </c>
      <c r="U92" s="235">
        <f>'Médias por UF'!BK82*'Evolução das Receitas'!$S$228</f>
        <v>56581.356907551191</v>
      </c>
      <c r="V92" s="235">
        <f>'Médias por UF'!BL82*'Evolução das Receitas'!$S$228</f>
        <v>70464.466334269426</v>
      </c>
      <c r="W92" s="235">
        <f>'Médias por UF'!BM82*'Evolução das Receitas'!$S$228</f>
        <v>75796.868209238601</v>
      </c>
      <c r="X92" s="235">
        <f>'Médias por UF'!BN82*'Evolução das Receitas'!$S$228</f>
        <v>83072.141797848206</v>
      </c>
      <c r="Y92" s="235">
        <f>'Médias por UF'!BO82*'Evolução das Receitas'!$S$228</f>
        <v>87114.014571159511</v>
      </c>
      <c r="Z92" s="235">
        <f>'Médias por UF'!BP82*'Evolução das Receitas'!$S$228</f>
        <v>90047.402879898626</v>
      </c>
      <c r="AA92" s="235">
        <f>'Médias por UF'!BQ82*'Evolução das Receitas'!$S$228</f>
        <v>92740.674201612652</v>
      </c>
      <c r="AB92" s="235">
        <f>'Médias por UF'!BR82*'Evolução das Receitas'!$S$228</f>
        <v>94001</v>
      </c>
      <c r="AC92" s="235">
        <f t="shared" si="27"/>
        <v>94001</v>
      </c>
      <c r="AE92" s="237" t="s">
        <v>138</v>
      </c>
      <c r="AF92" s="235">
        <f>JAN!D24+JAN!U24</f>
        <v>3360.8960000000002</v>
      </c>
      <c r="AG92" s="235">
        <f>FEV!D24+FEV!U24+AF92</f>
        <v>12784.896000000001</v>
      </c>
      <c r="AH92" s="235">
        <f>MAR!D24+MAR!U24+AG92</f>
        <v>17435.672000000002</v>
      </c>
      <c r="AI92" s="235">
        <f>ABR!D24+ABR!U24+AH92</f>
        <v>21537.968000000001</v>
      </c>
      <c r="AJ92" s="235">
        <f>MAI!D24+MAI!U24</f>
        <v>0</v>
      </c>
      <c r="AK92" s="235">
        <f>JUN!D24+JUN!U24</f>
        <v>0</v>
      </c>
      <c r="AL92" s="235">
        <f>JUL!D24+JUL!U24</f>
        <v>0</v>
      </c>
      <c r="AM92" s="235">
        <f>AGO!D24+AGO!U24</f>
        <v>0</v>
      </c>
      <c r="AN92" s="235">
        <f>SET!D24+SET!U24</f>
        <v>0</v>
      </c>
      <c r="AO92" s="235">
        <f>OUT!D24+OUT!U24</f>
        <v>0</v>
      </c>
      <c r="AP92" s="235">
        <f>NOV!D24+NOV!U24</f>
        <v>0</v>
      </c>
      <c r="AQ92" s="235">
        <f>DEZ!D24+DEZ!U24</f>
        <v>0</v>
      </c>
      <c r="AR92" s="235">
        <f t="shared" si="28"/>
        <v>21537.968000000001</v>
      </c>
    </row>
    <row r="93" spans="1:44">
      <c r="A93" s="242" t="s">
        <v>139</v>
      </c>
      <c r="B93" s="235">
        <f>$D$229*'Médias por UF'!BG83</f>
        <v>180757.75417027512</v>
      </c>
      <c r="C93" s="235">
        <f>$D$229*'Médias por UF'!BH83</f>
        <v>478064.06618876208</v>
      </c>
      <c r="D93" s="235">
        <f>$D$229*'Médias por UF'!BI83</f>
        <v>625815.85490281333</v>
      </c>
      <c r="E93" s="235">
        <f>$D$229*'Médias por UF'!BJ83</f>
        <v>730656.66666740517</v>
      </c>
      <c r="F93" s="235">
        <f>$D$229*'Médias por UF'!BK83</f>
        <v>888459.83909600321</v>
      </c>
      <c r="G93" s="235">
        <f>$D$229*'Médias por UF'!BL83</f>
        <v>1067517.1101692528</v>
      </c>
      <c r="H93" s="235">
        <f>$D$229*'Médias por UF'!BM83</f>
        <v>1134855.7566385299</v>
      </c>
      <c r="I93" s="235">
        <f>$D$229*'Médias por UF'!BN83</f>
        <v>1187977.5905581249</v>
      </c>
      <c r="J93" s="235">
        <f>$D$229*'Médias por UF'!BO83</f>
        <v>1226063.6151836968</v>
      </c>
      <c r="K93" s="235">
        <f>$D$229*'Médias por UF'!BP83</f>
        <v>1267438.1221971938</v>
      </c>
      <c r="L93" s="235">
        <f>$D$229*'Médias por UF'!BQ83</f>
        <v>1294532.0141711209</v>
      </c>
      <c r="M93" s="235">
        <f>$D$229*'Médias por UF'!BR83</f>
        <v>1326595.8724683416</v>
      </c>
      <c r="N93" s="235">
        <f t="shared" si="26"/>
        <v>1326595.8724683416</v>
      </c>
      <c r="P93" s="237" t="s">
        <v>139</v>
      </c>
      <c r="Q93" s="235">
        <f>'Médias por UF'!BG83*'Evolução das Receitas'!$S$229</f>
        <v>126461.87564404194</v>
      </c>
      <c r="R93" s="235">
        <f>'Médias por UF'!BH83*'Evolução das Receitas'!$S$229</f>
        <v>334463.54080775665</v>
      </c>
      <c r="S93" s="235">
        <f>'Médias por UF'!BI83*'Evolução das Receitas'!$S$229</f>
        <v>437833.75812601199</v>
      </c>
      <c r="T93" s="235">
        <f>'Médias por UF'!BJ83*'Evolução das Receitas'!$S$229</f>
        <v>511182.56554317393</v>
      </c>
      <c r="U93" s="235">
        <f>'Médias por UF'!BK83*'Evolução das Receitas'!$S$229</f>
        <v>621584.93948007235</v>
      </c>
      <c r="V93" s="235">
        <f>'Médias por UF'!BL83*'Evolução das Receitas'!$S$229</f>
        <v>746857.12186344096</v>
      </c>
      <c r="W93" s="235">
        <f>'Médias por UF'!BM83*'Evolução das Receitas'!$S$229</f>
        <v>793968.63624867669</v>
      </c>
      <c r="X93" s="235">
        <f>'Médias por UF'!BN83*'Evolução das Receitas'!$S$229</f>
        <v>831133.77356718399</v>
      </c>
      <c r="Y93" s="235">
        <f>'Médias por UF'!BO83*'Evolução das Receitas'!$S$229</f>
        <v>857779.54670197237</v>
      </c>
      <c r="Z93" s="235">
        <f>'Médias por UF'!BP83*'Evolução das Receitas'!$S$229</f>
        <v>886726.01035323867</v>
      </c>
      <c r="AA93" s="235">
        <f>'Médias por UF'!BQ83*'Evolução das Receitas'!$S$229</f>
        <v>905681.45939191303</v>
      </c>
      <c r="AB93" s="235">
        <f>'Médias por UF'!BR83*'Evolução das Receitas'!$S$229</f>
        <v>928114</v>
      </c>
      <c r="AC93" s="235">
        <f t="shared" si="27"/>
        <v>928114</v>
      </c>
      <c r="AE93" s="237" t="s">
        <v>139</v>
      </c>
      <c r="AF93" s="235">
        <f>JAN!D25+JAN!U25</f>
        <v>87716.872000000003</v>
      </c>
      <c r="AG93" s="235">
        <f>FEV!D25+FEV!U25+AF93</f>
        <v>211470.83200000002</v>
      </c>
      <c r="AH93" s="235">
        <f>MAR!D25+MAR!U25+AG93</f>
        <v>254197.87200000003</v>
      </c>
      <c r="AI93" s="235">
        <f>ABR!D25+ABR!U25+AH93</f>
        <v>319506.61600000004</v>
      </c>
      <c r="AJ93" s="235">
        <f>MAI!D25+MAI!U25</f>
        <v>0</v>
      </c>
      <c r="AK93" s="235">
        <f>JUN!D25+JUN!U25</f>
        <v>0</v>
      </c>
      <c r="AL93" s="235">
        <f>JUL!D25+JUL!U25</f>
        <v>0</v>
      </c>
      <c r="AM93" s="235">
        <f>AGO!D25+AGO!U25</f>
        <v>0</v>
      </c>
      <c r="AN93" s="235">
        <f>SET!D25+SET!U25</f>
        <v>0</v>
      </c>
      <c r="AO93" s="235">
        <f>OUT!D25+OUT!U25</f>
        <v>0</v>
      </c>
      <c r="AP93" s="235">
        <f>NOV!D25+NOV!U25</f>
        <v>0</v>
      </c>
      <c r="AQ93" s="235">
        <f>DEZ!D25+DEZ!U25</f>
        <v>0</v>
      </c>
      <c r="AR93" s="235">
        <f t="shared" si="28"/>
        <v>319506.61600000004</v>
      </c>
    </row>
    <row r="94" spans="1:44">
      <c r="A94" s="242" t="s">
        <v>140</v>
      </c>
      <c r="B94" s="235">
        <f>$D$230*'Médias por UF'!BG84</f>
        <v>9434.0552803738101</v>
      </c>
      <c r="C94" s="235">
        <f>$D$230*'Médias por UF'!BH84</f>
        <v>29812.173524300008</v>
      </c>
      <c r="D94" s="235">
        <f>$D$230*'Médias por UF'!BI84</f>
        <v>34219.739535888242</v>
      </c>
      <c r="E94" s="235">
        <f>$D$230*'Médias por UF'!BJ84</f>
        <v>38960.00773657531</v>
      </c>
      <c r="F94" s="235">
        <f>$D$230*'Médias por UF'!BK84</f>
        <v>45486.17161879535</v>
      </c>
      <c r="G94" s="235">
        <f>$D$230*'Médias por UF'!BL84</f>
        <v>57321.998580035623</v>
      </c>
      <c r="H94" s="235">
        <f>$D$230*'Médias por UF'!BM84</f>
        <v>61688.834676907412</v>
      </c>
      <c r="I94" s="235">
        <f>$D$230*'Médias por UF'!BN84</f>
        <v>69311.065600847156</v>
      </c>
      <c r="J94" s="235">
        <f>$D$230*'Médias por UF'!BO84</f>
        <v>72583.834171481532</v>
      </c>
      <c r="K94" s="235">
        <f>$D$230*'Médias por UF'!BP84</f>
        <v>76809.21517817174</v>
      </c>
      <c r="L94" s="235">
        <f>$D$230*'Médias por UF'!BQ84</f>
        <v>80550.712966995619</v>
      </c>
      <c r="M94" s="235">
        <f>$D$230*'Médias por UF'!BR84</f>
        <v>82445.08071076544</v>
      </c>
      <c r="N94" s="235">
        <f t="shared" si="26"/>
        <v>82445.08071076544</v>
      </c>
      <c r="P94" s="237" t="s">
        <v>140</v>
      </c>
      <c r="Q94" s="235">
        <f>'Médias por UF'!BG84*'Evolução das Receitas'!$S$230</f>
        <v>6545.6454108699336</v>
      </c>
      <c r="R94" s="235">
        <f>'Médias por UF'!BH84*'Evolução das Receitas'!$S$230</f>
        <v>20684.627238018511</v>
      </c>
      <c r="S94" s="235">
        <f>'Médias por UF'!BI84*'Evolução das Receitas'!$S$230</f>
        <v>23742.735695033578</v>
      </c>
      <c r="T94" s="235">
        <f>'Médias por UF'!BJ84*'Evolução das Receitas'!$S$230</f>
        <v>27031.683435107723</v>
      </c>
      <c r="U94" s="235">
        <f>'Médias por UF'!BK84*'Evolução das Receitas'!$S$230</f>
        <v>31559.74198434129</v>
      </c>
      <c r="V94" s="235">
        <f>'Médias por UF'!BL84*'Evolução das Receitas'!$S$230</f>
        <v>39771.812417494744</v>
      </c>
      <c r="W94" s="235">
        <f>'Médias por UF'!BM84*'Evolução das Receitas'!$S$230</f>
        <v>42801.661173731569</v>
      </c>
      <c r="X94" s="235">
        <f>'Médias por UF'!BN84*'Evolução das Receitas'!$S$230</f>
        <v>48090.205642160865</v>
      </c>
      <c r="Y94" s="235">
        <f>'Médias por UF'!BO84*'Evolução das Receitas'!$S$230</f>
        <v>50360.955806173406</v>
      </c>
      <c r="Z94" s="235">
        <f>'Médias por UF'!BP84*'Evolução das Receitas'!$S$230</f>
        <v>53292.658554741873</v>
      </c>
      <c r="AA94" s="235">
        <f>'Médias por UF'!BQ84*'Evolução das Receitas'!$S$230</f>
        <v>55888.627849319149</v>
      </c>
      <c r="AB94" s="235">
        <f>'Médias por UF'!BR84*'Evolução das Receitas'!$S$230</f>
        <v>57203</v>
      </c>
      <c r="AC94" s="235">
        <f t="shared" si="27"/>
        <v>57203</v>
      </c>
      <c r="AE94" s="237" t="s">
        <v>140</v>
      </c>
      <c r="AF94" s="235">
        <f>JAN!D26+JAN!U26</f>
        <v>4068.4480000000003</v>
      </c>
      <c r="AG94" s="235">
        <f>FEV!D26+FEV!U26+AF94</f>
        <v>9850.5120000000006</v>
      </c>
      <c r="AH94" s="235">
        <f>MAR!D26+MAR!U26+AG94</f>
        <v>12442.44</v>
      </c>
      <c r="AI94" s="235">
        <f>ABR!D26+ABR!U26+AH94</f>
        <v>16101.848000000002</v>
      </c>
      <c r="AJ94" s="235">
        <f>MAI!D26+MAI!U26</f>
        <v>0</v>
      </c>
      <c r="AK94" s="235">
        <f>JUN!D26+JUN!U26</f>
        <v>0</v>
      </c>
      <c r="AL94" s="235">
        <f>JUL!D26+JUL!U26</f>
        <v>0</v>
      </c>
      <c r="AM94" s="235">
        <f>AGO!D26+AGO!U26</f>
        <v>0</v>
      </c>
      <c r="AN94" s="235">
        <f>SET!D26+SET!U26</f>
        <v>0</v>
      </c>
      <c r="AO94" s="235">
        <f>OUT!D26+OUT!U26</f>
        <v>0</v>
      </c>
      <c r="AP94" s="235">
        <f>NOV!D26+NOV!U26</f>
        <v>0</v>
      </c>
      <c r="AQ94" s="235">
        <f>DEZ!D26+DEZ!U26</f>
        <v>0</v>
      </c>
      <c r="AR94" s="235">
        <f t="shared" si="28"/>
        <v>16101.848000000002</v>
      </c>
    </row>
    <row r="95" spans="1:44">
      <c r="A95" s="242" t="s">
        <v>141</v>
      </c>
      <c r="B95" s="235">
        <f>$D$231*'Médias por UF'!BG85</f>
        <v>8664.6499977093972</v>
      </c>
      <c r="C95" s="235">
        <f>$D$231*'Médias por UF'!BH85</f>
        <v>11843.600849289043</v>
      </c>
      <c r="D95" s="235">
        <f>$D$231*'Médias por UF'!BI85</f>
        <v>13004.134080772486</v>
      </c>
      <c r="E95" s="235">
        <f>$D$231*'Médias por UF'!BJ85</f>
        <v>13814.931102496765</v>
      </c>
      <c r="F95" s="235">
        <f>$D$231*'Médias por UF'!BK85</f>
        <v>15211.900381100379</v>
      </c>
      <c r="G95" s="235">
        <f>$D$231*'Médias por UF'!BL85</f>
        <v>16491.635208328124</v>
      </c>
      <c r="H95" s="235">
        <f>$D$231*'Médias por UF'!BM85</f>
        <v>17614.737992391267</v>
      </c>
      <c r="I95" s="235">
        <f>$D$231*'Médias por UF'!BN85</f>
        <v>20496.336506930853</v>
      </c>
      <c r="J95" s="235">
        <f>$D$231*'Médias por UF'!BO85</f>
        <v>20964.290740250104</v>
      </c>
      <c r="K95" s="235">
        <f>$D$231*'Médias por UF'!BP85</f>
        <v>20964.290740250104</v>
      </c>
      <c r="L95" s="235">
        <f>$D$231*'Médias por UF'!BQ85</f>
        <v>21713.004889463969</v>
      </c>
      <c r="M95" s="235">
        <f>$D$231*'Médias por UF'!BR85</f>
        <v>22274.54576141476</v>
      </c>
      <c r="N95" s="235">
        <f t="shared" si="26"/>
        <v>22274.54576141476</v>
      </c>
      <c r="P95" s="237" t="s">
        <v>141</v>
      </c>
      <c r="Q95" s="235">
        <f>'Médias por UF'!BG85*'Evolução das Receitas'!$S$231</f>
        <v>5251.4101172695418</v>
      </c>
      <c r="R95" s="235">
        <f>'Médias por UF'!BH85*'Evolução das Receitas'!$S$231</f>
        <v>7178.0862863821121</v>
      </c>
      <c r="S95" s="235">
        <f>'Médias por UF'!BI85*'Evolução das Receitas'!$S$231</f>
        <v>7881.4541032992174</v>
      </c>
      <c r="T95" s="235">
        <f>'Médias por UF'!BJ85*'Evolução das Receitas'!$S$231</f>
        <v>8372.8562585000036</v>
      </c>
      <c r="U95" s="235">
        <f>'Médias por UF'!BK85*'Evolução das Receitas'!$S$231</f>
        <v>9219.5215715955273</v>
      </c>
      <c r="V95" s="235">
        <f>'Médias por UF'!BL85*'Evolução das Receitas'!$S$231</f>
        <v>9995.1342531121027</v>
      </c>
      <c r="W95" s="235">
        <f>'Médias por UF'!BM85*'Evolução das Receitas'!$S$231</f>
        <v>10675.816487769238</v>
      </c>
      <c r="X95" s="235">
        <f>'Médias por UF'!BN85*'Evolução das Receitas'!$S$231</f>
        <v>12422.275444237475</v>
      </c>
      <c r="Y95" s="235">
        <f>'Médias por UF'!BO85*'Evolução das Receitas'!$S$231</f>
        <v>12705.889854043005</v>
      </c>
      <c r="Z95" s="235">
        <f>'Médias por UF'!BP85*'Evolução das Receitas'!$S$231</f>
        <v>12705.889854043005</v>
      </c>
      <c r="AA95" s="235">
        <f>'Médias por UF'!BQ85*'Evolução das Receitas'!$S$231</f>
        <v>13159.665258607987</v>
      </c>
      <c r="AB95" s="235">
        <f>'Médias por UF'!BR85*'Evolução das Receitas'!$S$231</f>
        <v>13500</v>
      </c>
      <c r="AC95" s="235">
        <f t="shared" si="27"/>
        <v>13500</v>
      </c>
      <c r="AE95" s="237" t="s">
        <v>141</v>
      </c>
      <c r="AF95" s="235">
        <f>JAN!D27+JAN!U27</f>
        <v>884.44799999999998</v>
      </c>
      <c r="AG95" s="235">
        <f>FEV!D27+FEV!U27+AF95</f>
        <v>1655.5839999999998</v>
      </c>
      <c r="AH95" s="235">
        <f>MAR!D27+MAR!U27+AG95</f>
        <v>2090.4479999999999</v>
      </c>
      <c r="AI95" s="235">
        <f>ABR!D27+ABR!U27+AH95</f>
        <v>2500.7439999999997</v>
      </c>
      <c r="AJ95" s="235">
        <f>MAI!D27+MAI!U27</f>
        <v>0</v>
      </c>
      <c r="AK95" s="235">
        <f>JUN!D27+JUN!U27</f>
        <v>0</v>
      </c>
      <c r="AL95" s="235">
        <f>JUL!D27+JUL!U27</f>
        <v>0</v>
      </c>
      <c r="AM95" s="235">
        <f>AGO!D27+AGO!U27</f>
        <v>0</v>
      </c>
      <c r="AN95" s="235">
        <f>SET!D27+SET!U27</f>
        <v>0</v>
      </c>
      <c r="AO95" s="235">
        <f>OUT!D27+OUT!U27</f>
        <v>0</v>
      </c>
      <c r="AP95" s="235">
        <f>NOV!D27+NOV!U27</f>
        <v>0</v>
      </c>
      <c r="AQ95" s="235">
        <f>DEZ!D27+DEZ!U27</f>
        <v>0</v>
      </c>
      <c r="AR95" s="235">
        <f t="shared" si="28"/>
        <v>2500.7439999999997</v>
      </c>
    </row>
    <row r="96" spans="1:44">
      <c r="A96" s="242" t="s">
        <v>142</v>
      </c>
      <c r="B96" s="235">
        <f>$D$232*'Médias por UF'!BG86</f>
        <v>103825.92197520239</v>
      </c>
      <c r="C96" s="235">
        <f>$D$232*'Médias por UF'!BH86</f>
        <v>345843.11249353003</v>
      </c>
      <c r="D96" s="235">
        <f>$D$232*'Médias por UF'!BI86</f>
        <v>439271.41856206075</v>
      </c>
      <c r="E96" s="235">
        <f>$D$232*'Médias por UF'!BJ86</f>
        <v>516198.35092590644</v>
      </c>
      <c r="F96" s="235">
        <f>$D$232*'Médias por UF'!BK86</f>
        <v>612610.76923082129</v>
      </c>
      <c r="G96" s="235">
        <f>$D$232*'Médias por UF'!BL86</f>
        <v>721597.34278718801</v>
      </c>
      <c r="H96" s="235">
        <f>$D$232*'Médias por UF'!BM86</f>
        <v>752913.47098442377</v>
      </c>
      <c r="I96" s="235">
        <f>$D$232*'Médias por UF'!BN86</f>
        <v>782074.47115365171</v>
      </c>
      <c r="J96" s="235">
        <f>$D$232*'Médias por UF'!BO86</f>
        <v>799591.72593138437</v>
      </c>
      <c r="K96" s="235">
        <f>$D$232*'Médias por UF'!BP86</f>
        <v>820369.60703594494</v>
      </c>
      <c r="L96" s="235">
        <f>$D$232*'Médias por UF'!BQ86</f>
        <v>836697.38898895332</v>
      </c>
      <c r="M96" s="235">
        <f>$D$232*'Médias por UF'!BR86</f>
        <v>848210.03895671945</v>
      </c>
      <c r="N96" s="235">
        <f t="shared" si="26"/>
        <v>848210.03895671945</v>
      </c>
      <c r="P96" s="237" t="s">
        <v>142</v>
      </c>
      <c r="Q96" s="235">
        <f>'Médias por UF'!BG86*'Evolução das Receitas'!$S$232</f>
        <v>73752.253907873092</v>
      </c>
      <c r="R96" s="235">
        <f>'Médias por UF'!BH86*'Evolução das Receitas'!$S$232</f>
        <v>245668.02355007181</v>
      </c>
      <c r="S96" s="235">
        <f>'Médias por UF'!BI86*'Evolução das Receitas'!$S$232</f>
        <v>312034.38004623167</v>
      </c>
      <c r="T96" s="235">
        <f>'Médias por UF'!BJ86*'Evolução das Receitas'!$S$232</f>
        <v>366679.06357148063</v>
      </c>
      <c r="U96" s="235">
        <f>'Médias por UF'!BK86*'Evolução das Receitas'!$S$232</f>
        <v>435165.17011811398</v>
      </c>
      <c r="V96" s="235">
        <f>'Médias por UF'!BL86*'Evolução das Receitas'!$S$232</f>
        <v>512583.26853286271</v>
      </c>
      <c r="W96" s="235">
        <f>'Médias por UF'!BM86*'Evolução das Receitas'!$S$232</f>
        <v>534828.53247345809</v>
      </c>
      <c r="X96" s="235">
        <f>'Médias por UF'!BN86*'Evolução das Receitas'!$S$232</f>
        <v>555542.91138551908</v>
      </c>
      <c r="Y96" s="235">
        <f>'Médias por UF'!BO86*'Evolução das Receitas'!$S$232</f>
        <v>567986.21068455931</v>
      </c>
      <c r="Z96" s="235">
        <f>'Médias por UF'!BP86*'Evolução das Receitas'!$S$232</f>
        <v>582745.68051384867</v>
      </c>
      <c r="AA96" s="235">
        <f>'Médias por UF'!BQ86*'Evolução das Receitas'!$S$232</f>
        <v>594344.04340282234</v>
      </c>
      <c r="AB96" s="235">
        <f>'Médias por UF'!BR86*'Evolução das Receitas'!$S$232</f>
        <v>602522</v>
      </c>
      <c r="AC96" s="235">
        <f t="shared" si="27"/>
        <v>602522</v>
      </c>
      <c r="AE96" s="237" t="s">
        <v>142</v>
      </c>
      <c r="AF96" s="235">
        <f>JAN!D28+JAN!U28</f>
        <v>44273.928000000007</v>
      </c>
      <c r="AG96" s="235">
        <f>FEV!D28+FEV!U28+AF96</f>
        <v>130574.024</v>
      </c>
      <c r="AH96" s="235">
        <f>MAR!D28+MAR!U28+AG96</f>
        <v>161775</v>
      </c>
      <c r="AI96" s="235">
        <f>ABR!D28+ABR!U28+AH96</f>
        <v>193981.09600000002</v>
      </c>
      <c r="AJ96" s="235">
        <f>MAI!D28+MAI!U28</f>
        <v>0</v>
      </c>
      <c r="AK96" s="235">
        <f>JUN!D28+JUN!U28</f>
        <v>0</v>
      </c>
      <c r="AL96" s="235">
        <f>JUL!D28+JUL!U28</f>
        <v>0</v>
      </c>
      <c r="AM96" s="235">
        <f>AGO!D28+AGO!U28</f>
        <v>0</v>
      </c>
      <c r="AN96" s="235">
        <f>SET!D28+SET!U28</f>
        <v>0</v>
      </c>
      <c r="AO96" s="235">
        <f>OUT!D28+OUT!U28</f>
        <v>0</v>
      </c>
      <c r="AP96" s="235">
        <f>NOV!D28+NOV!U28</f>
        <v>0</v>
      </c>
      <c r="AQ96" s="235">
        <f>DEZ!D28+DEZ!U28</f>
        <v>0</v>
      </c>
      <c r="AR96" s="235">
        <f t="shared" si="28"/>
        <v>193981.09600000002</v>
      </c>
    </row>
    <row r="97" spans="1:45">
      <c r="A97" s="242" t="s">
        <v>143</v>
      </c>
      <c r="B97" s="235">
        <f>$D$233*'Médias por UF'!BG87</f>
        <v>1300667.4851363923</v>
      </c>
      <c r="C97" s="235">
        <f>$D$233*'Médias por UF'!BH87</f>
        <v>1813091.3282723152</v>
      </c>
      <c r="D97" s="235">
        <f>$D$233*'Médias por UF'!BI87</f>
        <v>2108091.3000089941</v>
      </c>
      <c r="E97" s="235">
        <f>$D$233*'Médias por UF'!BJ87</f>
        <v>2417382.372958045</v>
      </c>
      <c r="F97" s="235">
        <f>$D$233*'Médias por UF'!BK87</f>
        <v>2859254.146345601</v>
      </c>
      <c r="G97" s="235">
        <f>$D$233*'Médias por UF'!BL87</f>
        <v>3072409.239333861</v>
      </c>
      <c r="H97" s="235">
        <f>$D$233*'Médias por UF'!BM87</f>
        <v>3183009.9753654972</v>
      </c>
      <c r="I97" s="235">
        <f>$D$233*'Médias por UF'!BN87</f>
        <v>3278455.8537651114</v>
      </c>
      <c r="J97" s="235">
        <f>$D$233*'Médias por UF'!BO87</f>
        <v>3329926.9743917733</v>
      </c>
      <c r="K97" s="235">
        <f>$D$233*'Médias por UF'!BP87</f>
        <v>3422384.3012194014</v>
      </c>
      <c r="L97" s="235">
        <f>$D$233*'Médias por UF'!BQ87</f>
        <v>3484930.9757645275</v>
      </c>
      <c r="M97" s="235">
        <f>$D$233*'Médias por UF'!BR87</f>
        <v>3529812.6657836288</v>
      </c>
      <c r="N97" s="235">
        <f t="shared" si="26"/>
        <v>3529812.6657836288</v>
      </c>
      <c r="P97" s="237" t="s">
        <v>143</v>
      </c>
      <c r="Q97" s="235">
        <f>'Médias por UF'!BG87*'Evolução das Receitas'!$S$233</f>
        <v>627517.22630762716</v>
      </c>
      <c r="R97" s="235">
        <f>'Médias por UF'!BH87*'Evolução das Receitas'!$S$233</f>
        <v>874740.12717443076</v>
      </c>
      <c r="S97" s="235">
        <f>'Médias por UF'!BI87*'Evolução das Receitas'!$S$233</f>
        <v>1017065.1765360031</v>
      </c>
      <c r="T97" s="235">
        <f>'Médias por UF'!BJ87*'Evolução das Receitas'!$S$233</f>
        <v>1166285.0797292823</v>
      </c>
      <c r="U97" s="235">
        <f>'Médias por UF'!BK87*'Evolução das Receitas'!$S$233</f>
        <v>1379469.5813705414</v>
      </c>
      <c r="V97" s="235">
        <f>'Médias por UF'!BL87*'Evolução das Receitas'!$S$233</f>
        <v>1482307.9272613137</v>
      </c>
      <c r="W97" s="235">
        <f>'Médias por UF'!BM87*'Evolução das Receitas'!$S$233</f>
        <v>1535668.1195435682</v>
      </c>
      <c r="X97" s="235">
        <f>'Médias por UF'!BN87*'Evolução das Receitas'!$S$233</f>
        <v>1581716.7319370275</v>
      </c>
      <c r="Y97" s="235">
        <f>'Médias por UF'!BO87*'Evolução das Receitas'!$S$233</f>
        <v>1606549.3776513941</v>
      </c>
      <c r="Z97" s="235">
        <f>'Médias por UF'!BP87*'Evolução das Receitas'!$S$233</f>
        <v>1651156.139906704</v>
      </c>
      <c r="AA97" s="235">
        <f>'Médias por UF'!BQ87*'Evolução das Receitas'!$S$233</f>
        <v>1681332.2734487886</v>
      </c>
      <c r="AB97" s="235">
        <f>'Médias por UF'!BR87*'Evolução das Receitas'!$S$233</f>
        <v>1702985.7967009917</v>
      </c>
      <c r="AC97" s="235">
        <f t="shared" si="27"/>
        <v>1702985.7967009917</v>
      </c>
      <c r="AE97" s="237" t="s">
        <v>143</v>
      </c>
      <c r="AF97" s="235">
        <f>JAN!D29+JAN!U29</f>
        <v>305585.45600000001</v>
      </c>
      <c r="AG97" s="235">
        <f>FEV!D29+FEV!U29+AF97</f>
        <v>746337.46400000004</v>
      </c>
      <c r="AH97" s="235">
        <f>MAR!D29+MAR!U29+AG97</f>
        <v>891539.53600000008</v>
      </c>
      <c r="AI97" s="235">
        <f>ABR!D29+ABR!U29+AH97</f>
        <v>1036639.0640000001</v>
      </c>
      <c r="AJ97" s="235">
        <f>MAI!D29+MAI!U29</f>
        <v>0</v>
      </c>
      <c r="AK97" s="235">
        <f>JUN!D29+JUN!U29</f>
        <v>0</v>
      </c>
      <c r="AL97" s="235">
        <f>JUL!D29+JUL!U29</f>
        <v>0</v>
      </c>
      <c r="AM97" s="235">
        <f>AGO!D29+AGO!U29</f>
        <v>0</v>
      </c>
      <c r="AN97" s="235">
        <f>SET!D29+SET!U29</f>
        <v>0</v>
      </c>
      <c r="AO97" s="235">
        <f>OUT!D29+OUT!U29</f>
        <v>0</v>
      </c>
      <c r="AP97" s="235">
        <f>NOV!D29+NOV!U29</f>
        <v>0</v>
      </c>
      <c r="AQ97" s="235">
        <f>DEZ!D29+DEZ!U29</f>
        <v>0</v>
      </c>
      <c r="AR97" s="235">
        <f t="shared" si="28"/>
        <v>1036639.0640000001</v>
      </c>
    </row>
    <row r="98" spans="1:45">
      <c r="A98" s="242" t="s">
        <v>144</v>
      </c>
      <c r="B98" s="235">
        <f>$D$234*'Médias por UF'!BG88</f>
        <v>13441.928686574913</v>
      </c>
      <c r="C98" s="235">
        <f>$D$234*'Médias por UF'!BH88</f>
        <v>28699.418450333003</v>
      </c>
      <c r="D98" s="235">
        <f>$D$234*'Médias por UF'!BI88</f>
        <v>41802.914851715272</v>
      </c>
      <c r="E98" s="235">
        <f>$D$234*'Médias por UF'!BJ88</f>
        <v>51604.539262127466</v>
      </c>
      <c r="F98" s="235">
        <f>$D$234*'Médias por UF'!BK88</f>
        <v>59379.211342185292</v>
      </c>
      <c r="G98" s="235">
        <f>$D$234*'Médias por UF'!BL88</f>
        <v>66480.592627941704</v>
      </c>
      <c r="H98" s="235">
        <f>$D$234*'Médias por UF'!BM88</f>
        <v>67913.363310344983</v>
      </c>
      <c r="I98" s="235">
        <f>$D$234*'Médias por UF'!BN88</f>
        <v>71453.601606552795</v>
      </c>
      <c r="J98" s="235">
        <f>$D$234*'Médias por UF'!BO88</f>
        <v>74039.057309187527</v>
      </c>
      <c r="K98" s="235">
        <f>$D$234*'Médias por UF'!BP88</f>
        <v>75997.316821400076</v>
      </c>
      <c r="L98" s="235">
        <f>$D$234*'Médias por UF'!BQ88</f>
        <v>78851.398697713797</v>
      </c>
      <c r="M98" s="235">
        <f>$D$234*'Médias por UF'!BR88</f>
        <v>79574.041631767584</v>
      </c>
      <c r="N98" s="235">
        <f t="shared" si="26"/>
        <v>79574.041631767584</v>
      </c>
      <c r="P98" s="237" t="s">
        <v>144</v>
      </c>
      <c r="Q98" s="235">
        <f>'Médias por UF'!BG88*'Evolução das Receitas'!$S$234</f>
        <v>9727.1241184516639</v>
      </c>
      <c r="R98" s="235">
        <f>'Médias por UF'!BH88*'Evolução das Receitas'!$S$234</f>
        <v>20768.061779154046</v>
      </c>
      <c r="S98" s="235">
        <f>'Médias por UF'!BI88*'Evolução das Receitas'!$S$234</f>
        <v>30250.282586442641</v>
      </c>
      <c r="T98" s="235">
        <f>'Médias por UF'!BJ88*'Evolução das Receitas'!$S$234</f>
        <v>37343.13506510124</v>
      </c>
      <c r="U98" s="235">
        <f>'Médias por UF'!BK88*'Evolução das Receitas'!$S$234</f>
        <v>42969.20272743854</v>
      </c>
      <c r="V98" s="235">
        <f>'Médias por UF'!BL88*'Evolução das Receitas'!$S$234</f>
        <v>48108.049896594544</v>
      </c>
      <c r="W98" s="235">
        <f>'Médias por UF'!BM88*'Evolução das Receitas'!$S$234</f>
        <v>49144.860802676412</v>
      </c>
      <c r="X98" s="235">
        <f>'Médias por UF'!BN88*'Evolução das Receitas'!$S$234</f>
        <v>51706.720645788235</v>
      </c>
      <c r="Y98" s="235">
        <f>'Médias por UF'!BO88*'Evolução das Receitas'!$S$234</f>
        <v>53577.661126777712</v>
      </c>
      <c r="Z98" s="235">
        <f>'Médias por UF'!BP88*'Evolução das Receitas'!$S$234</f>
        <v>54994.737037205239</v>
      </c>
      <c r="AA98" s="235">
        <f>'Médias por UF'!BQ88*'Evolução das Receitas'!$S$234</f>
        <v>57060.066299281614</v>
      </c>
      <c r="AB98" s="235">
        <f>'Médias por UF'!BR88*'Evolução das Receitas'!$S$234</f>
        <v>57583</v>
      </c>
      <c r="AC98" s="235">
        <f t="shared" si="27"/>
        <v>57583</v>
      </c>
      <c r="AE98" s="237" t="s">
        <v>144</v>
      </c>
      <c r="AF98" s="235">
        <f>JAN!D30+JAN!U30</f>
        <v>6721.7920000000004</v>
      </c>
      <c r="AG98" s="235">
        <f>FEV!D30+FEV!U30+AF98</f>
        <v>14535.352000000003</v>
      </c>
      <c r="AH98" s="235">
        <f>MAR!D30+MAR!U30+AG98</f>
        <v>16610.768000000004</v>
      </c>
      <c r="AI98" s="235">
        <f>ABR!D30+ABR!U30+AH98</f>
        <v>19886.888000000003</v>
      </c>
      <c r="AJ98" s="235">
        <f>MAI!D30+MAI!U30</f>
        <v>0</v>
      </c>
      <c r="AK98" s="235">
        <f>JUN!D30+JUN!U30</f>
        <v>0</v>
      </c>
      <c r="AL98" s="235">
        <f>JUL!D30+JUL!U30</f>
        <v>0</v>
      </c>
      <c r="AM98" s="235">
        <f>AGO!D30+AGO!U30</f>
        <v>0</v>
      </c>
      <c r="AN98" s="235">
        <f>SET!D30+SET!U30</f>
        <v>0</v>
      </c>
      <c r="AO98" s="235">
        <f>OUT!D30+OUT!U30</f>
        <v>0</v>
      </c>
      <c r="AP98" s="235">
        <f>NOV!D30+NOV!U30</f>
        <v>0</v>
      </c>
      <c r="AQ98" s="235">
        <f>DEZ!D30+DEZ!U30</f>
        <v>0</v>
      </c>
      <c r="AR98" s="235">
        <f t="shared" si="28"/>
        <v>19886.888000000003</v>
      </c>
    </row>
    <row r="99" spans="1:45">
      <c r="A99" s="242" t="s">
        <v>145</v>
      </c>
      <c r="B99" s="235">
        <f>$D$235*'Médias por UF'!BG89</f>
        <v>10428.225989355118</v>
      </c>
      <c r="C99" s="235">
        <f>$D$235*'Médias por UF'!BH89</f>
        <v>24402.529040545167</v>
      </c>
      <c r="D99" s="235">
        <f>$D$235*'Médias por UF'!BI89</f>
        <v>33770.727302393505</v>
      </c>
      <c r="E99" s="235">
        <f>$D$235*'Médias por UF'!BJ89</f>
        <v>38176.430661713224</v>
      </c>
      <c r="F99" s="235">
        <f>$D$235*'Médias por UF'!BK89</f>
        <v>46512.176737585556</v>
      </c>
      <c r="G99" s="235">
        <f>$D$235*'Médias por UF'!BL89</f>
        <v>62636.610989611974</v>
      </c>
      <c r="H99" s="235">
        <f>$D$235*'Médias por UF'!BM89</f>
        <v>71449.545482225236</v>
      </c>
      <c r="I99" s="235">
        <f>$D$235*'Médias por UF'!BN89</f>
        <v>76595.814754136169</v>
      </c>
      <c r="J99" s="235">
        <f>$D$235*'Médias por UF'!BO89</f>
        <v>80947.240109632912</v>
      </c>
      <c r="K99" s="235">
        <f>$D$235*'Médias por UF'!BP89</f>
        <v>86018.668296516262</v>
      </c>
      <c r="L99" s="235">
        <f>$D$235*'Médias por UF'!BQ89</f>
        <v>89911.043626496365</v>
      </c>
      <c r="M99" s="235">
        <f>$D$235*'Médias por UF'!BR89</f>
        <v>94102.946143046574</v>
      </c>
      <c r="N99" s="235">
        <f t="shared" si="26"/>
        <v>94102.946143046574</v>
      </c>
      <c r="P99" s="237" t="s">
        <v>145</v>
      </c>
      <c r="Q99" s="235">
        <f>'Médias por UF'!BG89*'Evolução das Receitas'!$S$235</f>
        <v>6816.3666165156546</v>
      </c>
      <c r="R99" s="235">
        <f>'Médias por UF'!BH89*'Evolução das Receitas'!$S$235</f>
        <v>15950.611780020712</v>
      </c>
      <c r="S99" s="235">
        <f>'Médias por UF'!BI89*'Evolução das Receitas'!$S$235</f>
        <v>22074.095674035547</v>
      </c>
      <c r="T99" s="235">
        <f>'Médias por UF'!BJ89*'Evolução das Receitas'!$S$235</f>
        <v>24953.865380924581</v>
      </c>
      <c r="U99" s="235">
        <f>'Médias por UF'!BK89*'Evolução das Receitas'!$S$235</f>
        <v>30402.491190657467</v>
      </c>
      <c r="V99" s="235">
        <f>'Médias por UF'!BL89*'Evolução das Receitas'!$S$235</f>
        <v>40942.160685536845</v>
      </c>
      <c r="W99" s="235">
        <f>'Médias por UF'!BM89*'Evolução das Receitas'!$S$235</f>
        <v>46702.698722429086</v>
      </c>
      <c r="X99" s="235">
        <f>'Médias por UF'!BN89*'Evolução das Receitas'!$S$235</f>
        <v>50066.53626300997</v>
      </c>
      <c r="Y99" s="235">
        <f>'Médias por UF'!BO89*'Evolução das Receitas'!$S$235</f>
        <v>52910.827378080256</v>
      </c>
      <c r="Z99" s="235">
        <f>'Médias por UF'!BP89*'Evolução das Receitas'!$S$235</f>
        <v>56225.745354197672</v>
      </c>
      <c r="AA99" s="235">
        <f>'Médias por UF'!BQ89*'Evolução das Receitas'!$S$235</f>
        <v>58769.980326215787</v>
      </c>
      <c r="AB99" s="235">
        <f>'Médias por UF'!BR89*'Evolução das Receitas'!$S$235</f>
        <v>61510</v>
      </c>
      <c r="AC99" s="235">
        <f t="shared" si="27"/>
        <v>61510</v>
      </c>
      <c r="AE99" s="237" t="s">
        <v>145</v>
      </c>
      <c r="AF99" s="235">
        <f>JAN!D31+JAN!U31</f>
        <v>2962.8960000000002</v>
      </c>
      <c r="AG99" s="235">
        <f>FEV!D31+FEV!U31+AF99</f>
        <v>6585.4560000000001</v>
      </c>
      <c r="AH99" s="235">
        <f>MAR!D31+MAR!U31+AG99</f>
        <v>8496.2479999999996</v>
      </c>
      <c r="AI99" s="235">
        <f>ABR!D31+ABR!U31+AH99</f>
        <v>11070.392</v>
      </c>
      <c r="AJ99" s="235">
        <f>MAI!D31+MAI!U31</f>
        <v>0</v>
      </c>
      <c r="AK99" s="235">
        <f>JUN!D31+JUN!U31</f>
        <v>0</v>
      </c>
      <c r="AL99" s="235">
        <f>JUL!D31+JUL!U31</f>
        <v>0</v>
      </c>
      <c r="AM99" s="235">
        <f>AGO!D31+AGO!U31</f>
        <v>0</v>
      </c>
      <c r="AN99" s="235">
        <f>SET!D31+SET!U31</f>
        <v>0</v>
      </c>
      <c r="AO99" s="235">
        <f>OUT!D31+OUT!U31</f>
        <v>0</v>
      </c>
      <c r="AP99" s="235">
        <f>NOV!D31+NOV!U31</f>
        <v>0</v>
      </c>
      <c r="AQ99" s="235">
        <f>DEZ!D31+DEZ!U31</f>
        <v>0</v>
      </c>
      <c r="AR99" s="235">
        <f t="shared" si="28"/>
        <v>11070.392</v>
      </c>
    </row>
    <row r="100" spans="1:45">
      <c r="A100" s="243" t="s">
        <v>37</v>
      </c>
      <c r="B100" s="236">
        <f>SUM(B73:B99)</f>
        <v>2710249.3373315646</v>
      </c>
      <c r="C100" s="236">
        <f t="shared" ref="C100:D100" si="29">SUM(C73:C99)</f>
        <v>5239593.7168014441</v>
      </c>
      <c r="D100" s="236">
        <f t="shared" si="29"/>
        <v>6587255.0879064109</v>
      </c>
      <c r="E100" s="236">
        <f>SUM(E73:E99)</f>
        <v>7669493.4468983663</v>
      </c>
      <c r="F100" s="236">
        <f t="shared" ref="F100:N100" si="30">SUM(F73:F99)</f>
        <v>9179385.1400371213</v>
      </c>
      <c r="G100" s="236">
        <f t="shared" si="30"/>
        <v>10566659.902882151</v>
      </c>
      <c r="H100" s="236">
        <f t="shared" si="30"/>
        <v>11091997.423387211</v>
      </c>
      <c r="I100" s="236">
        <f t="shared" si="30"/>
        <v>11593121.397919836</v>
      </c>
      <c r="J100" s="236">
        <f t="shared" si="30"/>
        <v>11951223.415649371</v>
      </c>
      <c r="K100" s="236">
        <f t="shared" si="30"/>
        <v>12360140.340698445</v>
      </c>
      <c r="L100" s="236">
        <f t="shared" si="30"/>
        <v>12653951.162947468</v>
      </c>
      <c r="M100" s="236">
        <f t="shared" si="30"/>
        <v>12915491.349106921</v>
      </c>
      <c r="N100" s="236">
        <f t="shared" si="30"/>
        <v>12915491.349106921</v>
      </c>
      <c r="P100" s="238" t="s">
        <v>37</v>
      </c>
      <c r="Q100" s="236">
        <f>SUM(Q73:Q99)</f>
        <v>1590829.0323602911</v>
      </c>
      <c r="R100" s="236">
        <f t="shared" ref="R100:S100" si="31">SUM(R73:R99)</f>
        <v>3224453.079031907</v>
      </c>
      <c r="S100" s="236">
        <f t="shared" si="31"/>
        <v>4089964.7641479387</v>
      </c>
      <c r="T100" s="236">
        <f>SUM(T73:T99)</f>
        <v>4770575.0205592578</v>
      </c>
      <c r="U100" s="236">
        <f t="shared" ref="U100:AC100" si="32">SUM(U73:U99)</f>
        <v>5716279.8172777127</v>
      </c>
      <c r="V100" s="236">
        <f t="shared" si="32"/>
        <v>6624656.713677072</v>
      </c>
      <c r="W100" s="236">
        <f t="shared" si="32"/>
        <v>6963578.3807912637</v>
      </c>
      <c r="X100" s="236">
        <f t="shared" si="32"/>
        <v>7286889.0257212436</v>
      </c>
      <c r="Y100" s="236">
        <f t="shared" si="32"/>
        <v>7521113.7073223954</v>
      </c>
      <c r="Z100" s="236">
        <f t="shared" si="32"/>
        <v>7782783.7180649498</v>
      </c>
      <c r="AA100" s="236">
        <f t="shared" si="32"/>
        <v>7973090.2491882695</v>
      </c>
      <c r="AB100" s="236">
        <f t="shared" si="32"/>
        <v>8145107.5967009915</v>
      </c>
      <c r="AC100" s="236">
        <f t="shared" si="32"/>
        <v>8145107.5967009915</v>
      </c>
      <c r="AE100" s="238" t="s">
        <v>37</v>
      </c>
      <c r="AF100" s="236">
        <f>SUM(AF73:AF99)</f>
        <v>888736.08</v>
      </c>
      <c r="AG100" s="236">
        <f t="shared" ref="AG100:AH100" si="33">SUM(AG73:AG99)</f>
        <v>2203075.8639999996</v>
      </c>
      <c r="AH100" s="236">
        <f t="shared" si="33"/>
        <v>2665673.8080000007</v>
      </c>
      <c r="AI100" s="236">
        <f>SUM(AI73:AI99)</f>
        <v>3193547.7520000003</v>
      </c>
      <c r="AJ100" s="236">
        <f t="shared" ref="AJ100:AR100" si="34">SUM(AJ73:AJ99)</f>
        <v>0</v>
      </c>
      <c r="AK100" s="236">
        <f t="shared" si="34"/>
        <v>0</v>
      </c>
      <c r="AL100" s="236">
        <f t="shared" si="34"/>
        <v>0</v>
      </c>
      <c r="AM100" s="236">
        <f t="shared" si="34"/>
        <v>0</v>
      </c>
      <c r="AN100" s="236">
        <f t="shared" si="34"/>
        <v>0</v>
      </c>
      <c r="AO100" s="236">
        <f t="shared" si="34"/>
        <v>0</v>
      </c>
      <c r="AP100" s="236">
        <f t="shared" si="34"/>
        <v>0</v>
      </c>
      <c r="AQ100" s="236">
        <f t="shared" si="34"/>
        <v>0</v>
      </c>
      <c r="AR100" s="236">
        <f t="shared" si="34"/>
        <v>3193547.7520000003</v>
      </c>
    </row>
    <row r="101" spans="1:45">
      <c r="N101" s="94">
        <f>N100-SUM(D209:D235)</f>
        <v>0</v>
      </c>
      <c r="AC101" s="94">
        <f>AC100-SUM(S209:S235)</f>
        <v>0</v>
      </c>
      <c r="AR101" s="94">
        <f>AR100-'TOTAL POR UF'!D32</f>
        <v>0</v>
      </c>
    </row>
    <row r="102" spans="1:45">
      <c r="A102" s="242" t="s">
        <v>337</v>
      </c>
      <c r="B102" s="235">
        <f>B100*0.2/0.8</f>
        <v>677562.33433289116</v>
      </c>
      <c r="C102" s="235">
        <f t="shared" ref="C102:M102" si="35">C100*0.2/0.8</f>
        <v>1309898.429200361</v>
      </c>
      <c r="D102" s="235">
        <f t="shared" si="35"/>
        <v>1646813.7719766027</v>
      </c>
      <c r="E102" s="235">
        <f t="shared" si="35"/>
        <v>1917373.3617245918</v>
      </c>
      <c r="F102" s="235">
        <f t="shared" si="35"/>
        <v>2294846.2850092803</v>
      </c>
      <c r="G102" s="235">
        <f t="shared" si="35"/>
        <v>2641664.9757205378</v>
      </c>
      <c r="H102" s="235">
        <f t="shared" si="35"/>
        <v>2772999.3558468027</v>
      </c>
      <c r="I102" s="235">
        <f t="shared" si="35"/>
        <v>2898280.3494799589</v>
      </c>
      <c r="J102" s="235">
        <f t="shared" si="35"/>
        <v>2987805.8539123428</v>
      </c>
      <c r="K102" s="235">
        <f t="shared" si="35"/>
        <v>3090035.0851746113</v>
      </c>
      <c r="L102" s="235">
        <f t="shared" si="35"/>
        <v>3163487.7907368671</v>
      </c>
      <c r="M102" s="235">
        <f t="shared" si="35"/>
        <v>3228872.8372767302</v>
      </c>
      <c r="N102" s="235">
        <f t="shared" ref="N102" si="36">M102</f>
        <v>3228872.8372767302</v>
      </c>
      <c r="P102" s="242" t="s">
        <v>337</v>
      </c>
      <c r="Q102" s="235">
        <f>Q100*0.2/0.8</f>
        <v>397707.25809007278</v>
      </c>
      <c r="R102" s="235">
        <f t="shared" ref="R102:AB102" si="37">R100*0.2/0.8</f>
        <v>806113.26975797676</v>
      </c>
      <c r="S102" s="235">
        <f t="shared" si="37"/>
        <v>1022491.1910369847</v>
      </c>
      <c r="T102" s="235">
        <f t="shared" si="37"/>
        <v>1192643.7551398145</v>
      </c>
      <c r="U102" s="235">
        <f t="shared" si="37"/>
        <v>1429069.9543194282</v>
      </c>
      <c r="V102" s="235">
        <f t="shared" si="37"/>
        <v>1656164.178419268</v>
      </c>
      <c r="W102" s="235">
        <f t="shared" si="37"/>
        <v>1740894.5951978159</v>
      </c>
      <c r="X102" s="235">
        <f t="shared" si="37"/>
        <v>1821722.2564303109</v>
      </c>
      <c r="Y102" s="235">
        <f t="shared" si="37"/>
        <v>1880278.4268305989</v>
      </c>
      <c r="Z102" s="235">
        <f t="shared" si="37"/>
        <v>1945695.9295162375</v>
      </c>
      <c r="AA102" s="235">
        <f t="shared" si="37"/>
        <v>1993272.5622970674</v>
      </c>
      <c r="AB102" s="235">
        <f t="shared" si="37"/>
        <v>2036276.8991752481</v>
      </c>
      <c r="AC102" s="235">
        <f t="shared" ref="AC102" si="38">AB102</f>
        <v>2036276.8991752481</v>
      </c>
      <c r="AE102" s="237" t="s">
        <v>337</v>
      </c>
      <c r="AF102" s="235">
        <f>JAN!D67+JAN!U67</f>
        <v>222184.02</v>
      </c>
      <c r="AG102" s="235">
        <f>FEV!D67+FEV!U67+AF102</f>
        <v>550768.96600000013</v>
      </c>
      <c r="AH102" s="235">
        <f>MAR!D67+MAR!U67+AG102</f>
        <v>666418.45200000016</v>
      </c>
      <c r="AI102" s="235">
        <f>ABR!D67+ABR!U67+AH102</f>
        <v>798386.9380000002</v>
      </c>
      <c r="AJ102" s="235">
        <f>MAI!D67+MAI!U67</f>
        <v>0</v>
      </c>
      <c r="AK102" s="235">
        <f>JUN!D67+JUN!U67</f>
        <v>0</v>
      </c>
      <c r="AL102" s="235">
        <f>JUL!D67+JUL!U67</f>
        <v>0</v>
      </c>
      <c r="AM102" s="235">
        <f>AGO!D67+AGO!U67</f>
        <v>0</v>
      </c>
      <c r="AN102" s="235">
        <f>SET!D67+SET!U67</f>
        <v>0</v>
      </c>
      <c r="AO102" s="235">
        <f>OUT!D67+OUT!U67</f>
        <v>0</v>
      </c>
      <c r="AP102" s="235">
        <f>NOV!D67+NOV!U67</f>
        <v>0</v>
      </c>
      <c r="AQ102" s="235">
        <f>DEZ!D67+DEZ!U67</f>
        <v>0</v>
      </c>
      <c r="AR102" s="235">
        <f>AI102</f>
        <v>798386.9380000002</v>
      </c>
      <c r="AS102" s="93">
        <f>AR102-'TOTAL POR UF'!D65</f>
        <v>0</v>
      </c>
    </row>
    <row r="103" spans="1:45" ht="21">
      <c r="A103" s="326" t="s">
        <v>391</v>
      </c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P103" s="326" t="s">
        <v>161</v>
      </c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E103" s="326" t="s">
        <v>390</v>
      </c>
      <c r="AF103" s="326"/>
      <c r="AG103" s="326"/>
      <c r="AH103" s="326"/>
      <c r="AI103" s="326"/>
      <c r="AJ103" s="326"/>
      <c r="AK103" s="326"/>
      <c r="AL103" s="326"/>
      <c r="AM103" s="326"/>
      <c r="AN103" s="326"/>
      <c r="AO103" s="326"/>
      <c r="AP103" s="326"/>
      <c r="AQ103" s="326"/>
      <c r="AR103" s="326"/>
    </row>
    <row r="105" spans="1:45">
      <c r="A105" s="327" t="s">
        <v>33</v>
      </c>
      <c r="B105" s="329" t="s">
        <v>393</v>
      </c>
      <c r="C105" s="330"/>
      <c r="D105" s="330"/>
      <c r="E105" s="330"/>
      <c r="F105" s="330"/>
      <c r="G105" s="330"/>
      <c r="H105" s="330"/>
      <c r="I105" s="330"/>
      <c r="J105" s="330"/>
      <c r="K105" s="330"/>
      <c r="L105" s="330"/>
      <c r="M105" s="330"/>
      <c r="P105" s="327" t="s">
        <v>33</v>
      </c>
      <c r="Q105" s="329" t="s">
        <v>393</v>
      </c>
      <c r="R105" s="330"/>
      <c r="S105" s="330"/>
      <c r="T105" s="330"/>
      <c r="U105" s="330"/>
      <c r="V105" s="330"/>
      <c r="W105" s="330"/>
      <c r="X105" s="330"/>
      <c r="Y105" s="330"/>
      <c r="Z105" s="330"/>
      <c r="AA105" s="330"/>
      <c r="AB105" s="330"/>
      <c r="AE105" s="327" t="s">
        <v>33</v>
      </c>
      <c r="AF105" s="329" t="s">
        <v>393</v>
      </c>
      <c r="AG105" s="330"/>
      <c r="AH105" s="330"/>
      <c r="AI105" s="330"/>
      <c r="AJ105" s="330"/>
      <c r="AK105" s="330"/>
      <c r="AL105" s="330"/>
      <c r="AM105" s="330"/>
      <c r="AN105" s="330"/>
      <c r="AO105" s="330"/>
      <c r="AP105" s="330"/>
      <c r="AQ105" s="330"/>
    </row>
    <row r="106" spans="1:45">
      <c r="A106" s="328"/>
      <c r="B106" s="240" t="s">
        <v>148</v>
      </c>
      <c r="C106" s="240" t="s">
        <v>149</v>
      </c>
      <c r="D106" s="240" t="s">
        <v>150</v>
      </c>
      <c r="E106" s="240" t="s">
        <v>151</v>
      </c>
      <c r="F106" s="240" t="s">
        <v>152</v>
      </c>
      <c r="G106" s="240" t="s">
        <v>153</v>
      </c>
      <c r="H106" s="240" t="s">
        <v>154</v>
      </c>
      <c r="I106" s="240" t="s">
        <v>155</v>
      </c>
      <c r="J106" s="240" t="s">
        <v>156</v>
      </c>
      <c r="K106" s="240" t="s">
        <v>157</v>
      </c>
      <c r="L106" s="240" t="s">
        <v>158</v>
      </c>
      <c r="M106" s="240" t="s">
        <v>159</v>
      </c>
      <c r="N106" s="240" t="s">
        <v>160</v>
      </c>
      <c r="P106" s="328"/>
      <c r="Q106" s="240" t="s">
        <v>148</v>
      </c>
      <c r="R106" s="240" t="s">
        <v>149</v>
      </c>
      <c r="S106" s="240" t="s">
        <v>150</v>
      </c>
      <c r="T106" s="240" t="s">
        <v>151</v>
      </c>
      <c r="U106" s="240" t="s">
        <v>152</v>
      </c>
      <c r="V106" s="240" t="s">
        <v>153</v>
      </c>
      <c r="W106" s="240" t="s">
        <v>154</v>
      </c>
      <c r="X106" s="240" t="s">
        <v>155</v>
      </c>
      <c r="Y106" s="240" t="s">
        <v>156</v>
      </c>
      <c r="Z106" s="240" t="s">
        <v>157</v>
      </c>
      <c r="AA106" s="240" t="s">
        <v>158</v>
      </c>
      <c r="AB106" s="240" t="s">
        <v>159</v>
      </c>
      <c r="AC106" s="240" t="s">
        <v>160</v>
      </c>
      <c r="AE106" s="328"/>
      <c r="AF106" s="240" t="s">
        <v>148</v>
      </c>
      <c r="AG106" s="240" t="s">
        <v>149</v>
      </c>
      <c r="AH106" s="240" t="s">
        <v>150</v>
      </c>
      <c r="AI106" s="240" t="s">
        <v>151</v>
      </c>
      <c r="AJ106" s="240" t="s">
        <v>152</v>
      </c>
      <c r="AK106" s="240" t="s">
        <v>153</v>
      </c>
      <c r="AL106" s="240" t="s">
        <v>154</v>
      </c>
      <c r="AM106" s="240" t="s">
        <v>155</v>
      </c>
      <c r="AN106" s="240" t="s">
        <v>156</v>
      </c>
      <c r="AO106" s="240" t="s">
        <v>157</v>
      </c>
      <c r="AP106" s="240" t="s">
        <v>158</v>
      </c>
      <c r="AQ106" s="240" t="s">
        <v>159</v>
      </c>
      <c r="AR106" s="240" t="s">
        <v>160</v>
      </c>
    </row>
    <row r="107" spans="1:45">
      <c r="A107" s="242" t="s">
        <v>119</v>
      </c>
      <c r="B107" s="235">
        <f>$E$209*'Médias por UF'!BG93</f>
        <v>12.486708094386342</v>
      </c>
      <c r="C107" s="235">
        <f>$E$209*'Médias por UF'!BH93</f>
        <v>152.91014770407068</v>
      </c>
      <c r="D107" s="235">
        <f>$E$209*'Médias por UF'!BI93</f>
        <v>416.64931051198948</v>
      </c>
      <c r="E107" s="235">
        <f>$E$209*'Médias por UF'!BJ93</f>
        <v>565.68325160665961</v>
      </c>
      <c r="F107" s="235">
        <f>$E$209*'Médias por UF'!BK93</f>
        <v>606.02636619869236</v>
      </c>
      <c r="G107" s="235">
        <f>$E$209*'Médias por UF'!BL93</f>
        <v>836.71040638928719</v>
      </c>
      <c r="H107" s="235">
        <f>$E$209*'Médias por UF'!BM93</f>
        <v>836.71040638928719</v>
      </c>
      <c r="I107" s="235">
        <f>$E$209*'Médias por UF'!BN93</f>
        <v>836.71040638928719</v>
      </c>
      <c r="J107" s="235">
        <f>$E$209*'Médias por UF'!BO93</f>
        <v>836.71040638928719</v>
      </c>
      <c r="K107" s="235">
        <f>$E$209*'Médias por UF'!BP93</f>
        <v>901.88613155197129</v>
      </c>
      <c r="L107" s="235">
        <f>$E$209*'Médias por UF'!BQ93</f>
        <v>932.57546421788277</v>
      </c>
      <c r="M107" s="235">
        <f>$E$209*'Médias por UF'!BR93</f>
        <v>1000</v>
      </c>
      <c r="N107" s="235">
        <f>M107</f>
        <v>1000</v>
      </c>
      <c r="P107" s="237" t="s">
        <v>119</v>
      </c>
      <c r="Q107" s="235">
        <f>'Médias por UF'!BG93*'Evolução das Receitas'!$T$209</f>
        <v>12.486708094386342</v>
      </c>
      <c r="R107" s="235">
        <f>'Médias por UF'!BH93*'Evolução das Receitas'!$T$209</f>
        <v>152.91014770407068</v>
      </c>
      <c r="S107" s="235">
        <f>'Médias por UF'!BI93*'Evolução das Receitas'!$T$209</f>
        <v>416.64931051198948</v>
      </c>
      <c r="T107" s="235">
        <f>'Médias por UF'!BJ93*'Evolução das Receitas'!$T$209</f>
        <v>565.68325160665961</v>
      </c>
      <c r="U107" s="235">
        <f>'Médias por UF'!BK93*'Evolução das Receitas'!$T$209</f>
        <v>606.02636619869236</v>
      </c>
      <c r="V107" s="235">
        <f>'Médias por UF'!BL93*'Evolução das Receitas'!$T$209</f>
        <v>836.71040638928719</v>
      </c>
      <c r="W107" s="235">
        <f>'Médias por UF'!BM93*'Evolução das Receitas'!$T$209</f>
        <v>836.71040638928719</v>
      </c>
      <c r="X107" s="235">
        <f>'Médias por UF'!BN93*'Evolução das Receitas'!$T$209</f>
        <v>836.71040638928719</v>
      </c>
      <c r="Y107" s="235">
        <f>'Médias por UF'!BO93*'Evolução das Receitas'!$T$209</f>
        <v>836.71040638928719</v>
      </c>
      <c r="Z107" s="235">
        <f>'Médias por UF'!BP93*'Evolução das Receitas'!$T$209</f>
        <v>901.88613155197129</v>
      </c>
      <c r="AA107" s="235">
        <f>'Médias por UF'!BQ93*'Evolução das Receitas'!$T$209</f>
        <v>932.57546421788277</v>
      </c>
      <c r="AB107" s="235">
        <f>'Médias por UF'!BR93*'Evolução das Receitas'!$T$209</f>
        <v>1000</v>
      </c>
      <c r="AC107" s="235">
        <f>AB107</f>
        <v>1000</v>
      </c>
      <c r="AE107" s="237" t="s">
        <v>119</v>
      </c>
      <c r="AF107" s="235">
        <f>JAN!E5+JAN!V5</f>
        <v>359.55200000000002</v>
      </c>
      <c r="AG107" s="235">
        <f>FEV!E5+FEV!V5+AF107</f>
        <v>573.06400000000008</v>
      </c>
      <c r="AH107" s="235">
        <f>MAR!E5+MAR!V5+AG107</f>
        <v>897.04000000000019</v>
      </c>
      <c r="AI107" s="235">
        <f>ABR!E5+ABR!V5+AH107</f>
        <v>1292.1680000000001</v>
      </c>
      <c r="AJ107" s="235">
        <f>MAI!E5+MAI!V5</f>
        <v>0</v>
      </c>
      <c r="AK107" s="235">
        <f>JUN!E5+JUN!V5</f>
        <v>0</v>
      </c>
      <c r="AL107" s="235">
        <f>JUL!E5+JUL!V5</f>
        <v>0</v>
      </c>
      <c r="AM107" s="235">
        <f>AGO!E5+AGO!V5</f>
        <v>0</v>
      </c>
      <c r="AN107" s="235">
        <f>SET!E5+SET!V5</f>
        <v>0</v>
      </c>
      <c r="AO107" s="235">
        <f>OUT!E5+OUT!V5</f>
        <v>0</v>
      </c>
      <c r="AP107" s="235">
        <f>NOV!E5+NOV!V5</f>
        <v>0</v>
      </c>
      <c r="AQ107" s="235">
        <f>DEZ!E5+DEZ!V5</f>
        <v>0</v>
      </c>
      <c r="AR107" s="235">
        <f>AI107</f>
        <v>1292.1680000000001</v>
      </c>
    </row>
    <row r="108" spans="1:45">
      <c r="A108" s="242" t="s">
        <v>120</v>
      </c>
      <c r="B108" s="235">
        <f>$E$210*'Médias por UF'!BG94</f>
        <v>410.97338721046304</v>
      </c>
      <c r="C108" s="235">
        <f>$E$210*'Médias por UF'!BH94</f>
        <v>746.1316508893193</v>
      </c>
      <c r="D108" s="235">
        <f>$E$210*'Médias por UF'!BI94</f>
        <v>1027.6719826086505</v>
      </c>
      <c r="E108" s="235">
        <f>$E$210*'Médias por UF'!BJ94</f>
        <v>1399.8939718954834</v>
      </c>
      <c r="F108" s="235">
        <f>$E$210*'Médias por UF'!BK94</f>
        <v>1548.4265502207481</v>
      </c>
      <c r="G108" s="235">
        <f>$E$210*'Médias por UF'!BL94</f>
        <v>1752.2719803457173</v>
      </c>
      <c r="H108" s="235">
        <f>$E$210*'Médias por UF'!BM94</f>
        <v>1837.5384445684474</v>
      </c>
      <c r="I108" s="235">
        <f>$E$210*'Médias por UF'!BN94</f>
        <v>1837.5384445684474</v>
      </c>
      <c r="J108" s="235">
        <f>$E$210*'Médias por UF'!BO94</f>
        <v>2000</v>
      </c>
      <c r="K108" s="235">
        <f>$E$210*'Médias por UF'!BP94</f>
        <v>2000</v>
      </c>
      <c r="L108" s="235">
        <f>$E$210*'Médias por UF'!BQ94</f>
        <v>2000</v>
      </c>
      <c r="M108" s="235">
        <f>$E$210*'Médias por UF'!BR94</f>
        <v>2000</v>
      </c>
      <c r="N108" s="235">
        <f t="shared" ref="N108:N133" si="39">M108</f>
        <v>2000</v>
      </c>
      <c r="P108" s="237" t="s">
        <v>120</v>
      </c>
      <c r="Q108" s="235">
        <f>'Médias por UF'!BG94*'Evolução das Receitas'!$T$210</f>
        <v>410.97338721046304</v>
      </c>
      <c r="R108" s="235">
        <f>'Médias por UF'!BH94*'Evolução das Receitas'!$T$210</f>
        <v>746.1316508893193</v>
      </c>
      <c r="S108" s="235">
        <f>'Médias por UF'!BI94*'Evolução das Receitas'!$T$210</f>
        <v>1027.6719826086505</v>
      </c>
      <c r="T108" s="235">
        <f>'Médias por UF'!BJ94*'Evolução das Receitas'!$T$210</f>
        <v>1399.8939718954834</v>
      </c>
      <c r="U108" s="235">
        <f>'Médias por UF'!BK94*'Evolução das Receitas'!$T$210</f>
        <v>1548.4265502207481</v>
      </c>
      <c r="V108" s="235">
        <f>'Médias por UF'!BL94*'Evolução das Receitas'!$T$210</f>
        <v>1752.2719803457173</v>
      </c>
      <c r="W108" s="235">
        <f>'Médias por UF'!BM94*'Evolução das Receitas'!$T$210</f>
        <v>1837.5384445684474</v>
      </c>
      <c r="X108" s="235">
        <f>'Médias por UF'!BN94*'Evolução das Receitas'!$T$210</f>
        <v>1837.5384445684474</v>
      </c>
      <c r="Y108" s="235">
        <f>'Médias por UF'!BO94*'Evolução das Receitas'!$T$210</f>
        <v>2000</v>
      </c>
      <c r="Z108" s="235">
        <f>'Médias por UF'!BP94*'Evolução das Receitas'!$T$210</f>
        <v>2000</v>
      </c>
      <c r="AA108" s="235">
        <f>'Médias por UF'!BQ94*'Evolução das Receitas'!$T$210</f>
        <v>2000</v>
      </c>
      <c r="AB108" s="235">
        <f>'Médias por UF'!BR94*'Evolução das Receitas'!$T$210</f>
        <v>2000</v>
      </c>
      <c r="AC108" s="235">
        <f t="shared" ref="AC108:AC133" si="40">AB108</f>
        <v>2000</v>
      </c>
      <c r="AE108" s="237" t="s">
        <v>120</v>
      </c>
      <c r="AF108" s="235">
        <f>JAN!E6+JAN!V6</f>
        <v>170.81600000000003</v>
      </c>
      <c r="AG108" s="235">
        <f>FEV!E6+FEV!V6+AF108</f>
        <v>884.7120000000001</v>
      </c>
      <c r="AH108" s="235">
        <f>MAR!E6+MAR!V6+AG108</f>
        <v>884.7120000000001</v>
      </c>
      <c r="AI108" s="235">
        <f>ABR!E6+ABR!V6+AH108</f>
        <v>955.87200000000007</v>
      </c>
      <c r="AJ108" s="235">
        <f>MAI!E6+MAI!V6</f>
        <v>0</v>
      </c>
      <c r="AK108" s="235">
        <f>JUN!E6+JUN!V6</f>
        <v>0</v>
      </c>
      <c r="AL108" s="235">
        <f>JUL!E6+JUL!V6</f>
        <v>0</v>
      </c>
      <c r="AM108" s="235">
        <f>AGO!E6+AGO!V6</f>
        <v>0</v>
      </c>
      <c r="AN108" s="235">
        <f>SET!E6+SET!V6</f>
        <v>0</v>
      </c>
      <c r="AO108" s="235">
        <f>OUT!E6+OUT!V6</f>
        <v>0</v>
      </c>
      <c r="AP108" s="235">
        <f>NOV!E6+NOV!V6</f>
        <v>0</v>
      </c>
      <c r="AQ108" s="235">
        <f>DEZ!E6+DEZ!V6</f>
        <v>0</v>
      </c>
      <c r="AR108" s="235">
        <f t="shared" ref="AR108:AR133" si="41">AI108</f>
        <v>955.87200000000007</v>
      </c>
    </row>
    <row r="109" spans="1:45">
      <c r="A109" s="242" t="s">
        <v>121</v>
      </c>
      <c r="B109" s="235">
        <f>$E$211*'Médias por UF'!BG95</f>
        <v>696.37975729409061</v>
      </c>
      <c r="C109" s="235">
        <f>$E$211*'Médias por UF'!BH95</f>
        <v>1016.8509806853443</v>
      </c>
      <c r="D109" s="235">
        <f>$E$211*'Médias por UF'!BI95</f>
        <v>1319.0345035329774</v>
      </c>
      <c r="E109" s="235">
        <f>$E$211*'Médias por UF'!BJ95</f>
        <v>1788.1942962802625</v>
      </c>
      <c r="F109" s="235">
        <f>$E$211*'Médias por UF'!BK95</f>
        <v>2136.2244748820503</v>
      </c>
      <c r="G109" s="235">
        <f>$E$211*'Médias por UF'!BL95</f>
        <v>2635.3245124377418</v>
      </c>
      <c r="H109" s="235">
        <f>$E$211*'Médias por UF'!BM95</f>
        <v>2791.0389535772542</v>
      </c>
      <c r="I109" s="235">
        <f>$E$211*'Médias por UF'!BN95</f>
        <v>2891.500481516302</v>
      </c>
      <c r="J109" s="235">
        <f>$E$211*'Médias por UF'!BO95</f>
        <v>3188.8920703756767</v>
      </c>
      <c r="K109" s="235">
        <f>$E$211*'Médias por UF'!BP95</f>
        <v>3411.8504649275428</v>
      </c>
      <c r="L109" s="235">
        <f>$E$211*'Médias por UF'!BQ95</f>
        <v>3700.8326036293743</v>
      </c>
      <c r="M109" s="235">
        <f>$E$211*'Médias por UF'!BR95</f>
        <v>3886</v>
      </c>
      <c r="N109" s="235">
        <f t="shared" si="39"/>
        <v>3886</v>
      </c>
      <c r="P109" s="237" t="s">
        <v>121</v>
      </c>
      <c r="Q109" s="235">
        <f>'Médias por UF'!BG95*'Evolução das Receitas'!$T$211</f>
        <v>696.37975729409061</v>
      </c>
      <c r="R109" s="235">
        <f>'Médias por UF'!BH95*'Evolução das Receitas'!$T$211</f>
        <v>1016.8509806853443</v>
      </c>
      <c r="S109" s="235">
        <f>'Médias por UF'!BI95*'Evolução das Receitas'!$T$211</f>
        <v>1319.0345035329774</v>
      </c>
      <c r="T109" s="235">
        <f>'Médias por UF'!BJ95*'Evolução das Receitas'!$T$211</f>
        <v>1788.1942962802625</v>
      </c>
      <c r="U109" s="235">
        <f>'Médias por UF'!BK95*'Evolução das Receitas'!$T$211</f>
        <v>2136.2244748820503</v>
      </c>
      <c r="V109" s="235">
        <f>'Médias por UF'!BL95*'Evolução das Receitas'!$T$211</f>
        <v>2635.3245124377418</v>
      </c>
      <c r="W109" s="235">
        <f>'Médias por UF'!BM95*'Evolução das Receitas'!$T$211</f>
        <v>2791.0389535772542</v>
      </c>
      <c r="X109" s="235">
        <f>'Médias por UF'!BN95*'Evolução das Receitas'!$T$211</f>
        <v>2891.500481516302</v>
      </c>
      <c r="Y109" s="235">
        <f>'Médias por UF'!BO95*'Evolução das Receitas'!$T$211</f>
        <v>3188.8920703756767</v>
      </c>
      <c r="Z109" s="235">
        <f>'Médias por UF'!BP95*'Evolução das Receitas'!$T$211</f>
        <v>3411.8504649275428</v>
      </c>
      <c r="AA109" s="235">
        <f>'Médias por UF'!BQ95*'Evolução das Receitas'!$T$211</f>
        <v>3700.8326036293743</v>
      </c>
      <c r="AB109" s="235">
        <f>'Médias por UF'!BR95*'Evolução das Receitas'!$T$211</f>
        <v>3886</v>
      </c>
      <c r="AC109" s="235">
        <f t="shared" si="40"/>
        <v>3886</v>
      </c>
      <c r="AE109" s="237" t="s">
        <v>121</v>
      </c>
      <c r="AF109" s="235">
        <f>JAN!E7+JAN!V7</f>
        <v>651.50400000000002</v>
      </c>
      <c r="AG109" s="235">
        <f>FEV!E7+FEV!V7+AF109</f>
        <v>999.49600000000009</v>
      </c>
      <c r="AH109" s="235">
        <f>MAR!E7+MAR!V7+AG109</f>
        <v>1965.6320000000001</v>
      </c>
      <c r="AI109" s="235">
        <f>ABR!E7+ABR!V7+AH109</f>
        <v>2034.6320000000001</v>
      </c>
      <c r="AJ109" s="235">
        <f>MAI!E7+MAI!V7</f>
        <v>0</v>
      </c>
      <c r="AK109" s="235">
        <f>JUN!E7+JUN!V7</f>
        <v>0</v>
      </c>
      <c r="AL109" s="235">
        <f>JUL!E7+JUL!V7</f>
        <v>0</v>
      </c>
      <c r="AM109" s="235">
        <f>AGO!E7+AGO!V7</f>
        <v>0</v>
      </c>
      <c r="AN109" s="235">
        <f>SET!E7+SET!V7</f>
        <v>0</v>
      </c>
      <c r="AO109" s="235">
        <f>OUT!E7+OUT!V7</f>
        <v>0</v>
      </c>
      <c r="AP109" s="235">
        <f>NOV!E7+NOV!V7</f>
        <v>0</v>
      </c>
      <c r="AQ109" s="235">
        <f>DEZ!E7+DEZ!V7</f>
        <v>0</v>
      </c>
      <c r="AR109" s="235">
        <f t="shared" si="41"/>
        <v>2034.6320000000001</v>
      </c>
    </row>
    <row r="110" spans="1:45">
      <c r="A110" s="242" t="s">
        <v>122</v>
      </c>
      <c r="B110" s="235">
        <f>$E$212*'Médias por UF'!BG96</f>
        <v>1155.4858106408101</v>
      </c>
      <c r="C110" s="235">
        <f>$E$212*'Médias por UF'!BH96</f>
        <v>2089.1877525020914</v>
      </c>
      <c r="D110" s="235">
        <f>$E$212*'Médias por UF'!BI96</f>
        <v>3412.2285939175999</v>
      </c>
      <c r="E110" s="235">
        <f>$E$212*'Médias por UF'!BJ96</f>
        <v>4409.0316593522193</v>
      </c>
      <c r="F110" s="235">
        <f>$E$212*'Médias por UF'!BK96</f>
        <v>5384.4920271400279</v>
      </c>
      <c r="G110" s="235">
        <f>$E$212*'Médias por UF'!BL96</f>
        <v>6506.5351119825591</v>
      </c>
      <c r="H110" s="235">
        <f>$E$212*'Médias por UF'!BM96</f>
        <v>6897.2922896688506</v>
      </c>
      <c r="I110" s="235">
        <f>$E$212*'Médias por UF'!BN96</f>
        <v>7767.0987510107025</v>
      </c>
      <c r="J110" s="235">
        <f>$E$212*'Médias por UF'!BO96</f>
        <v>8028.2606965479772</v>
      </c>
      <c r="K110" s="235">
        <f>$E$212*'Médias por UF'!BP96</f>
        <v>8239.2300422909721</v>
      </c>
      <c r="L110" s="235">
        <f>$E$212*'Médias por UF'!BQ96</f>
        <v>8686.4402844808101</v>
      </c>
      <c r="M110" s="235">
        <f>$E$212*'Médias por UF'!BR96</f>
        <v>9631.6200000000008</v>
      </c>
      <c r="N110" s="235">
        <f t="shared" si="39"/>
        <v>9631.6200000000008</v>
      </c>
      <c r="P110" s="237" t="s">
        <v>122</v>
      </c>
      <c r="Q110" s="235">
        <f>'Médias por UF'!BG96*'Evolução das Receitas'!$T$212</f>
        <v>1155.4858106408101</v>
      </c>
      <c r="R110" s="235">
        <f>'Médias por UF'!BH96*'Evolução das Receitas'!$T$212</f>
        <v>2089.1877525020914</v>
      </c>
      <c r="S110" s="235">
        <f>'Médias por UF'!BI96*'Evolução das Receitas'!$T$212</f>
        <v>3412.2285939175999</v>
      </c>
      <c r="T110" s="235">
        <f>'Médias por UF'!BJ96*'Evolução das Receitas'!$T$212</f>
        <v>4409.0316593522193</v>
      </c>
      <c r="U110" s="235">
        <f>'Médias por UF'!BK96*'Evolução das Receitas'!$T$212</f>
        <v>5384.4920271400279</v>
      </c>
      <c r="V110" s="235">
        <f>'Médias por UF'!BL96*'Evolução das Receitas'!$T$212</f>
        <v>6506.5351119825591</v>
      </c>
      <c r="W110" s="235">
        <f>'Médias por UF'!BM96*'Evolução das Receitas'!$T$212</f>
        <v>6897.2922896688506</v>
      </c>
      <c r="X110" s="235">
        <f>'Médias por UF'!BN96*'Evolução das Receitas'!$T$212</f>
        <v>7767.0987510107025</v>
      </c>
      <c r="Y110" s="235">
        <f>'Médias por UF'!BO96*'Evolução das Receitas'!$T$212</f>
        <v>8028.2606965479772</v>
      </c>
      <c r="Z110" s="235">
        <f>'Médias por UF'!BP96*'Evolução das Receitas'!$T$212</f>
        <v>8239.2300422909721</v>
      </c>
      <c r="AA110" s="235">
        <f>'Médias por UF'!BQ96*'Evolução das Receitas'!$T$212</f>
        <v>8686.4402844808101</v>
      </c>
      <c r="AB110" s="235">
        <f>'Médias por UF'!BR96*'Evolução das Receitas'!$T$212</f>
        <v>9631.6200000000008</v>
      </c>
      <c r="AC110" s="235">
        <f t="shared" si="40"/>
        <v>9631.6200000000008</v>
      </c>
      <c r="AE110" s="237" t="s">
        <v>122</v>
      </c>
      <c r="AF110" s="235">
        <f>JAN!E8+JAN!V8</f>
        <v>2647.2000000000003</v>
      </c>
      <c r="AG110" s="235">
        <f>FEV!E8+FEV!V8+AF110</f>
        <v>3558.9120000000003</v>
      </c>
      <c r="AH110" s="235">
        <f>MAR!E8+MAR!V8+AG110</f>
        <v>4841.3760000000002</v>
      </c>
      <c r="AI110" s="235">
        <f>ABR!E8+ABR!V8+AH110</f>
        <v>6920.6880000000001</v>
      </c>
      <c r="AJ110" s="235">
        <f>MAI!E8+MAI!V8</f>
        <v>0</v>
      </c>
      <c r="AK110" s="235">
        <f>JUN!E8+JUN!V8</f>
        <v>0</v>
      </c>
      <c r="AL110" s="235">
        <f>JUL!E8+JUL!V8</f>
        <v>0</v>
      </c>
      <c r="AM110" s="235">
        <f>AGO!E8+AGO!V8</f>
        <v>0</v>
      </c>
      <c r="AN110" s="235">
        <f>SET!E8+SET!V8</f>
        <v>0</v>
      </c>
      <c r="AO110" s="235">
        <f>OUT!E8+OUT!V8</f>
        <v>0</v>
      </c>
      <c r="AP110" s="235">
        <f>NOV!E8+NOV!V8</f>
        <v>0</v>
      </c>
      <c r="AQ110" s="235">
        <f>DEZ!E8+DEZ!V8</f>
        <v>0</v>
      </c>
      <c r="AR110" s="235">
        <f t="shared" si="41"/>
        <v>6920.6880000000001</v>
      </c>
    </row>
    <row r="111" spans="1:45">
      <c r="A111" s="242" t="s">
        <v>123</v>
      </c>
      <c r="B111" s="235">
        <f>$E$213*'Médias por UF'!BG97</f>
        <v>4035.10653919675</v>
      </c>
      <c r="C111" s="235">
        <f>$E$213*'Médias por UF'!BH97</f>
        <v>9066.6622295681755</v>
      </c>
      <c r="D111" s="235">
        <f>$E$213*'Médias por UF'!BI97</f>
        <v>11449.100474878722</v>
      </c>
      <c r="E111" s="235">
        <f>$E$213*'Médias por UF'!BJ97</f>
        <v>12966.124038050149</v>
      </c>
      <c r="F111" s="235">
        <f>$E$213*'Médias por UF'!BK97</f>
        <v>16729.099506511851</v>
      </c>
      <c r="G111" s="235">
        <f>$E$213*'Médias por UF'!BL97</f>
        <v>19967.710259356914</v>
      </c>
      <c r="H111" s="235">
        <f>$E$213*'Médias por UF'!BM97</f>
        <v>22417.461340906211</v>
      </c>
      <c r="I111" s="235">
        <f>$E$213*'Médias por UF'!BN97</f>
        <v>24867.683854905241</v>
      </c>
      <c r="J111" s="235">
        <f>$E$213*'Médias por UF'!BO97</f>
        <v>26685.075456641982</v>
      </c>
      <c r="K111" s="235">
        <f>$E$213*'Médias por UF'!BP97</f>
        <v>28109.127022837743</v>
      </c>
      <c r="L111" s="235">
        <f>$E$213*'Médias por UF'!BQ97</f>
        <v>29097.492981689298</v>
      </c>
      <c r="M111" s="235">
        <f>$E$213*'Médias por UF'!BR97</f>
        <v>30000</v>
      </c>
      <c r="N111" s="235">
        <f t="shared" si="39"/>
        <v>30000</v>
      </c>
      <c r="P111" s="237" t="s">
        <v>123</v>
      </c>
      <c r="Q111" s="235">
        <f>'Médias por UF'!BG97*'Evolução das Receitas'!$T$213</f>
        <v>4035.10653919675</v>
      </c>
      <c r="R111" s="235">
        <f>'Médias por UF'!BH97*'Evolução das Receitas'!$T$213</f>
        <v>9066.6622295681755</v>
      </c>
      <c r="S111" s="235">
        <f>'Médias por UF'!BI97*'Evolução das Receitas'!$T$213</f>
        <v>11449.100474878722</v>
      </c>
      <c r="T111" s="235">
        <f>'Médias por UF'!BJ97*'Evolução das Receitas'!$T$213</f>
        <v>12966.124038050149</v>
      </c>
      <c r="U111" s="235">
        <f>'Médias por UF'!BK97*'Evolução das Receitas'!$T$213</f>
        <v>16729.099506511851</v>
      </c>
      <c r="V111" s="235">
        <f>'Médias por UF'!BL97*'Evolução das Receitas'!$T$213</f>
        <v>19967.710259356914</v>
      </c>
      <c r="W111" s="235">
        <f>'Médias por UF'!BM97*'Evolução das Receitas'!$T$213</f>
        <v>22417.461340906211</v>
      </c>
      <c r="X111" s="235">
        <f>'Médias por UF'!BN97*'Evolução das Receitas'!$T$213</f>
        <v>24867.683854905241</v>
      </c>
      <c r="Y111" s="235">
        <f>'Médias por UF'!BO97*'Evolução das Receitas'!$T$213</f>
        <v>26685.075456641982</v>
      </c>
      <c r="Z111" s="235">
        <f>'Médias por UF'!BP97*'Evolução das Receitas'!$T$213</f>
        <v>28109.127022837743</v>
      </c>
      <c r="AA111" s="235">
        <f>'Médias por UF'!BQ97*'Evolução das Receitas'!$T$213</f>
        <v>29097.492981689298</v>
      </c>
      <c r="AB111" s="235">
        <f>'Médias por UF'!BR97*'Evolução das Receitas'!$T$213</f>
        <v>30000</v>
      </c>
      <c r="AC111" s="235">
        <f t="shared" si="40"/>
        <v>30000</v>
      </c>
      <c r="AE111" s="237" t="s">
        <v>123</v>
      </c>
      <c r="AF111" s="235">
        <f>JAN!E9+JAN!V9</f>
        <v>2252.4080000000004</v>
      </c>
      <c r="AG111" s="235">
        <f>FEV!E9+FEV!V9+AF111</f>
        <v>5920.0640000000003</v>
      </c>
      <c r="AH111" s="235">
        <f>MAR!E9+MAR!V9+AG111</f>
        <v>12143.632000000001</v>
      </c>
      <c r="AI111" s="235">
        <f>ABR!E9+ABR!V9+AH111</f>
        <v>14547.712000000001</v>
      </c>
      <c r="AJ111" s="235">
        <f>MAI!E9+MAI!V9</f>
        <v>0</v>
      </c>
      <c r="AK111" s="235">
        <f>JUN!E9+JUN!V9</f>
        <v>0</v>
      </c>
      <c r="AL111" s="235">
        <f>JUL!E9+JUL!V9</f>
        <v>0</v>
      </c>
      <c r="AM111" s="235">
        <f>AGO!E9+AGO!V9</f>
        <v>0</v>
      </c>
      <c r="AN111" s="235">
        <f>SET!E9+SET!V9</f>
        <v>0</v>
      </c>
      <c r="AO111" s="235">
        <f>OUT!E9+OUT!V9</f>
        <v>0</v>
      </c>
      <c r="AP111" s="235">
        <f>NOV!E9+NOV!V9</f>
        <v>0</v>
      </c>
      <c r="AQ111" s="235">
        <f>DEZ!E9+DEZ!V9</f>
        <v>0</v>
      </c>
      <c r="AR111" s="235">
        <f t="shared" si="41"/>
        <v>14547.712000000001</v>
      </c>
    </row>
    <row r="112" spans="1:45">
      <c r="A112" s="242" t="s">
        <v>124</v>
      </c>
      <c r="B112" s="235">
        <f>$E$214*'Médias por UF'!BG98</f>
        <v>431.9768907614602</v>
      </c>
      <c r="C112" s="235">
        <f>$E$214*'Médias por UF'!BH98</f>
        <v>1081.9926687872612</v>
      </c>
      <c r="D112" s="235">
        <f>$E$214*'Médias por UF'!BI98</f>
        <v>2645.0887716346601</v>
      </c>
      <c r="E112" s="235">
        <f>$E$214*'Médias por UF'!BJ98</f>
        <v>3715.6662150084248</v>
      </c>
      <c r="F112" s="235">
        <f>$E$214*'Médias por UF'!BK98</f>
        <v>4441.4774995815806</v>
      </c>
      <c r="G112" s="235">
        <f>$E$214*'Médias por UF'!BL98</f>
        <v>5083.1883468583283</v>
      </c>
      <c r="H112" s="235">
        <f>$E$214*'Médias por UF'!BM98</f>
        <v>5508.7013996704909</v>
      </c>
      <c r="I112" s="235">
        <f>$E$214*'Médias por UF'!BN98</f>
        <v>5996.0568743827698</v>
      </c>
      <c r="J112" s="235">
        <f>$E$214*'Médias por UF'!BO98</f>
        <v>6385.8432143498812</v>
      </c>
      <c r="K112" s="235">
        <f>$E$214*'Médias por UF'!BP98</f>
        <v>6933.6403688157588</v>
      </c>
      <c r="L112" s="235">
        <f>$E$214*'Médias por UF'!BQ98</f>
        <v>7472.6632754674238</v>
      </c>
      <c r="M112" s="235">
        <f>$E$214*'Médias por UF'!BR98</f>
        <v>7890</v>
      </c>
      <c r="N112" s="235">
        <f t="shared" si="39"/>
        <v>7890</v>
      </c>
      <c r="P112" s="237" t="s">
        <v>124</v>
      </c>
      <c r="Q112" s="235">
        <f>'Médias por UF'!BG98*'Evolução das Receitas'!$T$214</f>
        <v>431.9768907614602</v>
      </c>
      <c r="R112" s="235">
        <f>'Médias por UF'!BH98*'Evolução das Receitas'!$T$214</f>
        <v>1081.9926687872612</v>
      </c>
      <c r="S112" s="235">
        <f>'Médias por UF'!BI98*'Evolução das Receitas'!$T$214</f>
        <v>2645.0887716346601</v>
      </c>
      <c r="T112" s="235">
        <f>'Médias por UF'!BJ98*'Evolução das Receitas'!$T$214</f>
        <v>3715.6662150084248</v>
      </c>
      <c r="U112" s="235">
        <f>'Médias por UF'!BK98*'Evolução das Receitas'!$T$214</f>
        <v>4441.4774995815806</v>
      </c>
      <c r="V112" s="235">
        <f>'Médias por UF'!BL98*'Evolução das Receitas'!$T$214</f>
        <v>5083.1883468583283</v>
      </c>
      <c r="W112" s="235">
        <f>'Médias por UF'!BM98*'Evolução das Receitas'!$T$214</f>
        <v>5508.7013996704909</v>
      </c>
      <c r="X112" s="235">
        <f>'Médias por UF'!BN98*'Evolução das Receitas'!$T$214</f>
        <v>5996.0568743827698</v>
      </c>
      <c r="Y112" s="235">
        <f>'Médias por UF'!BO98*'Evolução das Receitas'!$T$214</f>
        <v>6385.8432143498812</v>
      </c>
      <c r="Z112" s="235">
        <f>'Médias por UF'!BP98*'Evolução das Receitas'!$T$214</f>
        <v>6933.6403688157588</v>
      </c>
      <c r="AA112" s="235">
        <f>'Médias por UF'!BQ98*'Evolução das Receitas'!$T$214</f>
        <v>7472.6632754674238</v>
      </c>
      <c r="AB112" s="235">
        <f>'Médias por UF'!BR98*'Evolução das Receitas'!$T$214</f>
        <v>7890</v>
      </c>
      <c r="AC112" s="235">
        <f t="shared" si="40"/>
        <v>7890</v>
      </c>
      <c r="AE112" s="237" t="s">
        <v>124</v>
      </c>
      <c r="AF112" s="235">
        <f>JAN!E10+JAN!V10</f>
        <v>2246.3679999999999</v>
      </c>
      <c r="AG112" s="235">
        <f>FEV!E10+FEV!V10+AF112</f>
        <v>4687.08</v>
      </c>
      <c r="AH112" s="235">
        <f>MAR!E10+MAR!V10+AG112</f>
        <v>5768.5439999999999</v>
      </c>
      <c r="AI112" s="235">
        <f>ABR!E10+ABR!V10+AH112</f>
        <v>6519.12</v>
      </c>
      <c r="AJ112" s="235">
        <f>MAI!E10+MAI!V10</f>
        <v>0</v>
      </c>
      <c r="AK112" s="235">
        <f>JUN!E10+JUN!V10</f>
        <v>0</v>
      </c>
      <c r="AL112" s="235">
        <f>JUL!E10+JUL!V10</f>
        <v>0</v>
      </c>
      <c r="AM112" s="235">
        <f>AGO!E10+AGO!V10</f>
        <v>0</v>
      </c>
      <c r="AN112" s="235">
        <f>SET!E10+SET!V10</f>
        <v>0</v>
      </c>
      <c r="AO112" s="235">
        <f>OUT!E10+OUT!V10</f>
        <v>0</v>
      </c>
      <c r="AP112" s="235">
        <f>NOV!E10+NOV!V10</f>
        <v>0</v>
      </c>
      <c r="AQ112" s="235">
        <f>DEZ!E10+DEZ!V10</f>
        <v>0</v>
      </c>
      <c r="AR112" s="235">
        <f t="shared" si="41"/>
        <v>6519.12</v>
      </c>
    </row>
    <row r="113" spans="1:44">
      <c r="A113" s="242" t="s">
        <v>125</v>
      </c>
      <c r="B113" s="235">
        <f>$E$215*'Médias por UF'!BG99</f>
        <v>2848.2735779282025</v>
      </c>
      <c r="C113" s="235">
        <f>$E$215*'Médias por UF'!BH99</f>
        <v>4118.6475196814199</v>
      </c>
      <c r="D113" s="235">
        <f>$E$215*'Médias por UF'!BI99</f>
        <v>5418.7719604754848</v>
      </c>
      <c r="E113" s="235">
        <f>$E$215*'Médias por UF'!BJ99</f>
        <v>7624.1358562524201</v>
      </c>
      <c r="F113" s="235">
        <f>$E$215*'Médias por UF'!BK99</f>
        <v>9807.4613852709463</v>
      </c>
      <c r="G113" s="235">
        <f>$E$215*'Médias por UF'!BL99</f>
        <v>11424.058230448669</v>
      </c>
      <c r="H113" s="235">
        <f>$E$215*'Médias por UF'!BM99</f>
        <v>13385.593377579704</v>
      </c>
      <c r="I113" s="235">
        <f>$E$215*'Médias por UF'!BN99</f>
        <v>14458.779826801641</v>
      </c>
      <c r="J113" s="235">
        <f>$E$215*'Médias por UF'!BO99</f>
        <v>16118.32875591946</v>
      </c>
      <c r="K113" s="235">
        <f>$E$215*'Médias por UF'!BP99</f>
        <v>18078.528328429762</v>
      </c>
      <c r="L113" s="235">
        <f>$E$215*'Médias por UF'!BQ99</f>
        <v>19110.591072524468</v>
      </c>
      <c r="M113" s="235">
        <f>$E$215*'Médias por UF'!BR99</f>
        <v>20000</v>
      </c>
      <c r="N113" s="235">
        <f t="shared" si="39"/>
        <v>20000</v>
      </c>
      <c r="P113" s="237" t="s">
        <v>125</v>
      </c>
      <c r="Q113" s="235">
        <f>'Médias por UF'!BG99*'Evolução das Receitas'!$T$215</f>
        <v>2848.2735779282025</v>
      </c>
      <c r="R113" s="235">
        <f>'Médias por UF'!BH99*'Evolução das Receitas'!$T$215</f>
        <v>4118.6475196814199</v>
      </c>
      <c r="S113" s="235">
        <f>'Médias por UF'!BI99*'Evolução das Receitas'!$T$215</f>
        <v>5418.7719604754848</v>
      </c>
      <c r="T113" s="235">
        <f>'Médias por UF'!BJ99*'Evolução das Receitas'!$T$215</f>
        <v>7624.1358562524201</v>
      </c>
      <c r="U113" s="235">
        <f>'Médias por UF'!BK99*'Evolução das Receitas'!$T$215</f>
        <v>9807.4613852709463</v>
      </c>
      <c r="V113" s="235">
        <f>'Médias por UF'!BL99*'Evolução das Receitas'!$T$215</f>
        <v>11424.058230448669</v>
      </c>
      <c r="W113" s="235">
        <f>'Médias por UF'!BM99*'Evolução das Receitas'!$T$215</f>
        <v>13385.593377579704</v>
      </c>
      <c r="X113" s="235">
        <f>'Médias por UF'!BN99*'Evolução das Receitas'!$T$215</f>
        <v>14458.779826801641</v>
      </c>
      <c r="Y113" s="235">
        <f>'Médias por UF'!BO99*'Evolução das Receitas'!$T$215</f>
        <v>16118.32875591946</v>
      </c>
      <c r="Z113" s="235">
        <f>'Médias por UF'!BP99*'Evolução das Receitas'!$T$215</f>
        <v>18078.528328429762</v>
      </c>
      <c r="AA113" s="235">
        <f>'Médias por UF'!BQ99*'Evolução das Receitas'!$T$215</f>
        <v>19110.591072524468</v>
      </c>
      <c r="AB113" s="235">
        <f>'Médias por UF'!BR99*'Evolução das Receitas'!$T$215</f>
        <v>20000</v>
      </c>
      <c r="AC113" s="235">
        <f t="shared" si="40"/>
        <v>20000</v>
      </c>
      <c r="AE113" s="237" t="s">
        <v>125</v>
      </c>
      <c r="AF113" s="235">
        <f>JAN!E11+JAN!V11</f>
        <v>2993.28</v>
      </c>
      <c r="AG113" s="235">
        <f>FEV!E11+FEV!V11+AF113</f>
        <v>8422.4480000000003</v>
      </c>
      <c r="AH113" s="235">
        <f>MAR!E11+MAR!V11+AG113</f>
        <v>15380.432000000001</v>
      </c>
      <c r="AI113" s="235">
        <f>ABR!E11+ABR!V11+AH113</f>
        <v>22435.864000000001</v>
      </c>
      <c r="AJ113" s="235">
        <f>MAI!E11+MAI!V11</f>
        <v>0</v>
      </c>
      <c r="AK113" s="235">
        <f>JUN!E11+JUN!V11</f>
        <v>0</v>
      </c>
      <c r="AL113" s="235">
        <f>JUL!E11+JUL!V11</f>
        <v>0</v>
      </c>
      <c r="AM113" s="235">
        <f>AGO!E11+AGO!V11</f>
        <v>0</v>
      </c>
      <c r="AN113" s="235">
        <f>SET!E11+SET!V11</f>
        <v>0</v>
      </c>
      <c r="AO113" s="235">
        <f>OUT!E11+OUT!V11</f>
        <v>0</v>
      </c>
      <c r="AP113" s="235">
        <f>NOV!E11+NOV!V11</f>
        <v>0</v>
      </c>
      <c r="AQ113" s="235">
        <f>DEZ!E11+DEZ!V11</f>
        <v>0</v>
      </c>
      <c r="AR113" s="235">
        <f t="shared" si="41"/>
        <v>22435.864000000001</v>
      </c>
    </row>
    <row r="114" spans="1:44">
      <c r="A114" s="242" t="s">
        <v>126</v>
      </c>
      <c r="B114" s="235">
        <f>$E$216*'Médias por UF'!BG100</f>
        <v>4077.4303597616099</v>
      </c>
      <c r="C114" s="235">
        <f>$E$216*'Médias por UF'!BH100</f>
        <v>5986.365338011311</v>
      </c>
      <c r="D114" s="235">
        <f>$E$216*'Médias por UF'!BI100</f>
        <v>7349.9721002909309</v>
      </c>
      <c r="E114" s="235">
        <f>$E$216*'Médias por UF'!BJ100</f>
        <v>8664.8722988339105</v>
      </c>
      <c r="F114" s="235">
        <f>$E$216*'Médias por UF'!BK100</f>
        <v>9471.6533189428501</v>
      </c>
      <c r="G114" s="235">
        <f>$E$216*'Médias por UF'!BL100</f>
        <v>11230.351645055016</v>
      </c>
      <c r="H114" s="235">
        <f>$E$216*'Médias por UF'!BM100</f>
        <v>13503.756443162467</v>
      </c>
      <c r="I114" s="235">
        <f>$E$216*'Médias por UF'!BN100</f>
        <v>16672.727633081868</v>
      </c>
      <c r="J114" s="235">
        <f>$E$216*'Médias por UF'!BO100</f>
        <v>20894.576292881662</v>
      </c>
      <c r="K114" s="235">
        <f>$E$216*'Médias por UF'!BP100</f>
        <v>25220.764664869144</v>
      </c>
      <c r="L114" s="235">
        <f>$E$216*'Médias por UF'!BQ100</f>
        <v>30294.704091014464</v>
      </c>
      <c r="M114" s="235">
        <f>$E$216*'Médias por UF'!BR100</f>
        <v>34694.67</v>
      </c>
      <c r="N114" s="235">
        <f t="shared" si="39"/>
        <v>34694.67</v>
      </c>
      <c r="P114" s="237" t="s">
        <v>126</v>
      </c>
      <c r="Q114" s="235">
        <f>'Médias por UF'!BG100*'Evolução das Receitas'!$T$216</f>
        <v>4077.4303597616099</v>
      </c>
      <c r="R114" s="235">
        <f>'Médias por UF'!BH100*'Evolução das Receitas'!$T$216</f>
        <v>5986.365338011311</v>
      </c>
      <c r="S114" s="235">
        <f>'Médias por UF'!BI100*'Evolução das Receitas'!$T$216</f>
        <v>7349.9721002909309</v>
      </c>
      <c r="T114" s="235">
        <f>'Médias por UF'!BJ100*'Evolução das Receitas'!$T$216</f>
        <v>8664.8722988339105</v>
      </c>
      <c r="U114" s="235">
        <f>'Médias por UF'!BK100*'Evolução das Receitas'!$T$216</f>
        <v>9471.6533189428501</v>
      </c>
      <c r="V114" s="235">
        <f>'Médias por UF'!BL100*'Evolução das Receitas'!$T$216</f>
        <v>11230.351645055016</v>
      </c>
      <c r="W114" s="235">
        <f>'Médias por UF'!BM100*'Evolução das Receitas'!$T$216</f>
        <v>13503.756443162467</v>
      </c>
      <c r="X114" s="235">
        <f>'Médias por UF'!BN100*'Evolução das Receitas'!$T$216</f>
        <v>16672.727633081868</v>
      </c>
      <c r="Y114" s="235">
        <f>'Médias por UF'!BO100*'Evolução das Receitas'!$T$216</f>
        <v>20894.576292881662</v>
      </c>
      <c r="Z114" s="235">
        <f>'Médias por UF'!BP100*'Evolução das Receitas'!$T$216</f>
        <v>25220.764664869144</v>
      </c>
      <c r="AA114" s="235">
        <f>'Médias por UF'!BQ100*'Evolução das Receitas'!$T$216</f>
        <v>30294.704091014464</v>
      </c>
      <c r="AB114" s="235">
        <f>'Médias por UF'!BR100*'Evolução das Receitas'!$T$216</f>
        <v>34694.67</v>
      </c>
      <c r="AC114" s="235">
        <f t="shared" si="40"/>
        <v>34694.67</v>
      </c>
      <c r="AE114" s="237" t="s">
        <v>126</v>
      </c>
      <c r="AF114" s="235">
        <f>JAN!E12+JAN!V12</f>
        <v>4434.9920000000002</v>
      </c>
      <c r="AG114" s="235">
        <f>FEV!E12+FEV!V12+AF114</f>
        <v>8013.52</v>
      </c>
      <c r="AH114" s="235">
        <f>MAR!E12+MAR!V12+AG114</f>
        <v>10555.384</v>
      </c>
      <c r="AI114" s="235">
        <f>ABR!E12+ABR!V12+AH114</f>
        <v>12791.136</v>
      </c>
      <c r="AJ114" s="235">
        <f>MAI!E12+MAI!V12</f>
        <v>0</v>
      </c>
      <c r="AK114" s="235">
        <f>JUN!E12+JUN!V12</f>
        <v>0</v>
      </c>
      <c r="AL114" s="235">
        <f>JUL!E12+JUL!V12</f>
        <v>0</v>
      </c>
      <c r="AM114" s="235">
        <f>AGO!E12+AGO!V12</f>
        <v>0</v>
      </c>
      <c r="AN114" s="235">
        <f>SET!E12+SET!V12</f>
        <v>0</v>
      </c>
      <c r="AO114" s="235">
        <f>OUT!E12+OUT!V12</f>
        <v>0</v>
      </c>
      <c r="AP114" s="235">
        <f>NOV!E12+NOV!V12</f>
        <v>0</v>
      </c>
      <c r="AQ114" s="235">
        <f>DEZ!E12+DEZ!V12</f>
        <v>0</v>
      </c>
      <c r="AR114" s="235">
        <f t="shared" si="41"/>
        <v>12791.136</v>
      </c>
    </row>
    <row r="115" spans="1:44">
      <c r="A115" s="242" t="s">
        <v>127</v>
      </c>
      <c r="B115" s="235">
        <f>$E$217*'Médias por UF'!BG101</f>
        <v>2427.0486783857009</v>
      </c>
      <c r="C115" s="235">
        <f>$E$217*'Médias por UF'!BH101</f>
        <v>6050.0270266156522</v>
      </c>
      <c r="D115" s="235">
        <f>$E$217*'Médias por UF'!BI101</f>
        <v>7889.1024518957829</v>
      </c>
      <c r="E115" s="235">
        <f>$E$217*'Médias por UF'!BJ101</f>
        <v>9943.7998357882771</v>
      </c>
      <c r="F115" s="235">
        <f>$E$217*'Médias por UF'!BK101</f>
        <v>11691.560057480447</v>
      </c>
      <c r="G115" s="235">
        <f>$E$217*'Médias por UF'!BL101</f>
        <v>13760.846899295744</v>
      </c>
      <c r="H115" s="235">
        <f>$E$217*'Médias por UF'!BM101</f>
        <v>15704.760329727907</v>
      </c>
      <c r="I115" s="235">
        <f>$E$217*'Médias por UF'!BN101</f>
        <v>18365.478991139476</v>
      </c>
      <c r="J115" s="235">
        <f>$E$217*'Médias por UF'!BO101</f>
        <v>19942.8524165616</v>
      </c>
      <c r="K115" s="235">
        <f>$E$217*'Médias por UF'!BP101</f>
        <v>21472.557134822022</v>
      </c>
      <c r="L115" s="235">
        <f>$E$217*'Médias por UF'!BQ101</f>
        <v>22532.279339043875</v>
      </c>
      <c r="M115" s="235">
        <f>$E$217*'Médias por UF'!BR101</f>
        <v>25000</v>
      </c>
      <c r="N115" s="235">
        <f t="shared" si="39"/>
        <v>25000</v>
      </c>
      <c r="P115" s="237" t="s">
        <v>127</v>
      </c>
      <c r="Q115" s="235">
        <f>'Médias por UF'!BG101*'Evolução das Receitas'!$T$217</f>
        <v>2427.0486783857009</v>
      </c>
      <c r="R115" s="235">
        <f>'Médias por UF'!BH101*'Evolução das Receitas'!$T$217</f>
        <v>6050.0270266156522</v>
      </c>
      <c r="S115" s="235">
        <f>'Médias por UF'!BI101*'Evolução das Receitas'!$T$217</f>
        <v>7889.1024518957829</v>
      </c>
      <c r="T115" s="235">
        <f>'Médias por UF'!BJ101*'Evolução das Receitas'!$T$217</f>
        <v>9943.7998357882771</v>
      </c>
      <c r="U115" s="235">
        <f>'Médias por UF'!BK101*'Evolução das Receitas'!$T$217</f>
        <v>11691.560057480447</v>
      </c>
      <c r="V115" s="235">
        <f>'Médias por UF'!BL101*'Evolução das Receitas'!$T$217</f>
        <v>13760.846899295744</v>
      </c>
      <c r="W115" s="235">
        <f>'Médias por UF'!BM101*'Evolução das Receitas'!$T$217</f>
        <v>15704.760329727907</v>
      </c>
      <c r="X115" s="235">
        <f>'Médias por UF'!BN101*'Evolução das Receitas'!$T$217</f>
        <v>18365.478991139476</v>
      </c>
      <c r="Y115" s="235">
        <f>'Médias por UF'!BO101*'Evolução das Receitas'!$T$217</f>
        <v>19942.8524165616</v>
      </c>
      <c r="Z115" s="235">
        <f>'Médias por UF'!BP101*'Evolução das Receitas'!$T$217</f>
        <v>21472.557134822022</v>
      </c>
      <c r="AA115" s="235">
        <f>'Médias por UF'!BQ101*'Evolução das Receitas'!$T$217</f>
        <v>22532.279339043875</v>
      </c>
      <c r="AB115" s="235">
        <f>'Médias por UF'!BR101*'Evolução das Receitas'!$T$217</f>
        <v>25000</v>
      </c>
      <c r="AC115" s="235">
        <f t="shared" si="40"/>
        <v>25000</v>
      </c>
      <c r="AE115" s="237" t="s">
        <v>127</v>
      </c>
      <c r="AF115" s="235">
        <f>JAN!E13+JAN!V13</f>
        <v>3329.4480000000003</v>
      </c>
      <c r="AG115" s="235">
        <f>FEV!E13+FEV!V13+AF115</f>
        <v>9149.2000000000007</v>
      </c>
      <c r="AH115" s="235">
        <f>MAR!E13+MAR!V13+AG115</f>
        <v>10715.368</v>
      </c>
      <c r="AI115" s="235">
        <f>ABR!E13+ABR!V13+AH115</f>
        <v>12989.720000000001</v>
      </c>
      <c r="AJ115" s="235">
        <f>MAI!E13+MAI!V13</f>
        <v>0</v>
      </c>
      <c r="AK115" s="235">
        <f>JUN!E13+JUN!V13</f>
        <v>0</v>
      </c>
      <c r="AL115" s="235">
        <f>JUL!E13+JUL!V13</f>
        <v>0</v>
      </c>
      <c r="AM115" s="235">
        <f>AGO!E13+AGO!V13</f>
        <v>0</v>
      </c>
      <c r="AN115" s="235">
        <f>SET!E13+SET!V13</f>
        <v>0</v>
      </c>
      <c r="AO115" s="235">
        <f>OUT!E13+OUT!V13</f>
        <v>0</v>
      </c>
      <c r="AP115" s="235">
        <f>NOV!E13+NOV!V13</f>
        <v>0</v>
      </c>
      <c r="AQ115" s="235">
        <f>DEZ!E13+DEZ!V13</f>
        <v>0</v>
      </c>
      <c r="AR115" s="235">
        <f t="shared" si="41"/>
        <v>12989.720000000001</v>
      </c>
    </row>
    <row r="116" spans="1:44">
      <c r="A116" s="242" t="s">
        <v>128</v>
      </c>
      <c r="B116" s="235">
        <f>$E$218*'Médias por UF'!BG102</f>
        <v>763.05101778251549</v>
      </c>
      <c r="C116" s="235">
        <f>$E$218*'Médias por UF'!BH102</f>
        <v>1439.7611602950408</v>
      </c>
      <c r="D116" s="235">
        <f>$E$218*'Médias por UF'!BI102</f>
        <v>1736.3762275128372</v>
      </c>
      <c r="E116" s="235">
        <f>$E$218*'Médias por UF'!BJ102</f>
        <v>2162.7230171187057</v>
      </c>
      <c r="F116" s="235">
        <f>$E$218*'Médias por UF'!BK102</f>
        <v>2526.9813145516014</v>
      </c>
      <c r="G116" s="235">
        <f>$E$218*'Médias por UF'!BL102</f>
        <v>2732.8885597982139</v>
      </c>
      <c r="H116" s="235">
        <f>$E$218*'Médias por UF'!BM102</f>
        <v>3008.9654031116511</v>
      </c>
      <c r="I116" s="235">
        <f>$E$218*'Médias por UF'!BN102</f>
        <v>3185.2326206644602</v>
      </c>
      <c r="J116" s="235">
        <f>$E$218*'Médias por UF'!BO102</f>
        <v>3392.508911362956</v>
      </c>
      <c r="K116" s="235">
        <f>$E$218*'Médias por UF'!BP102</f>
        <v>3774.4535277915106</v>
      </c>
      <c r="L116" s="235">
        <f>$E$218*'Médias por UF'!BQ102</f>
        <v>3828.0166325305458</v>
      </c>
      <c r="M116" s="235">
        <f>$E$218*'Médias por UF'!BR102</f>
        <v>4200</v>
      </c>
      <c r="N116" s="235">
        <f t="shared" si="39"/>
        <v>4200</v>
      </c>
      <c r="P116" s="237" t="s">
        <v>128</v>
      </c>
      <c r="Q116" s="235">
        <f>'Médias por UF'!BG102*'Evolução das Receitas'!$T$218</f>
        <v>763.05101778251549</v>
      </c>
      <c r="R116" s="235">
        <f>'Médias por UF'!BH102*'Evolução das Receitas'!$T$218</f>
        <v>1439.7611602950408</v>
      </c>
      <c r="S116" s="235">
        <f>'Médias por UF'!BI102*'Evolução das Receitas'!$T$218</f>
        <v>1736.3762275128372</v>
      </c>
      <c r="T116" s="235">
        <f>'Médias por UF'!BJ102*'Evolução das Receitas'!$T$218</f>
        <v>2162.7230171187057</v>
      </c>
      <c r="U116" s="235">
        <f>'Médias por UF'!BK102*'Evolução das Receitas'!$T$218</f>
        <v>2526.9813145516014</v>
      </c>
      <c r="V116" s="235">
        <f>'Médias por UF'!BL102*'Evolução das Receitas'!$T$218</f>
        <v>2732.8885597982139</v>
      </c>
      <c r="W116" s="235">
        <f>'Médias por UF'!BM102*'Evolução das Receitas'!$T$218</f>
        <v>3008.9654031116511</v>
      </c>
      <c r="X116" s="235">
        <f>'Médias por UF'!BN102*'Evolução das Receitas'!$T$218</f>
        <v>3185.2326206644602</v>
      </c>
      <c r="Y116" s="235">
        <f>'Médias por UF'!BO102*'Evolução das Receitas'!$T$218</f>
        <v>3392.508911362956</v>
      </c>
      <c r="Z116" s="235">
        <f>'Médias por UF'!BP102*'Evolução das Receitas'!$T$218</f>
        <v>3774.4535277915106</v>
      </c>
      <c r="AA116" s="235">
        <f>'Médias por UF'!BQ102*'Evolução das Receitas'!$T$218</f>
        <v>3828.0166325305458</v>
      </c>
      <c r="AB116" s="235">
        <f>'Médias por UF'!BR102*'Evolução das Receitas'!$T$218</f>
        <v>4200</v>
      </c>
      <c r="AC116" s="235">
        <f t="shared" si="40"/>
        <v>4200</v>
      </c>
      <c r="AE116" s="237" t="s">
        <v>128</v>
      </c>
      <c r="AF116" s="235">
        <f>JAN!E14+JAN!V14</f>
        <v>1783.68</v>
      </c>
      <c r="AG116" s="235">
        <f>FEV!E14+FEV!V14+AF116</f>
        <v>2548.328</v>
      </c>
      <c r="AH116" s="235">
        <f>MAR!E14+MAR!V14+AG116</f>
        <v>4768.5200000000004</v>
      </c>
      <c r="AI116" s="235">
        <f>ABR!E14+ABR!V14+AH116</f>
        <v>5524.7920000000004</v>
      </c>
      <c r="AJ116" s="235">
        <f>MAI!E14+MAI!V14</f>
        <v>0</v>
      </c>
      <c r="AK116" s="235">
        <f>JUN!E14+JUN!V14</f>
        <v>0</v>
      </c>
      <c r="AL116" s="235">
        <f>JUL!E14+JUL!V14</f>
        <v>0</v>
      </c>
      <c r="AM116" s="235">
        <f>AGO!E14+AGO!V14</f>
        <v>0</v>
      </c>
      <c r="AN116" s="235">
        <f>SET!E14+SET!V14</f>
        <v>0</v>
      </c>
      <c r="AO116" s="235">
        <f>OUT!E14+OUT!V14</f>
        <v>0</v>
      </c>
      <c r="AP116" s="235">
        <f>NOV!E14+NOV!V14</f>
        <v>0</v>
      </c>
      <c r="AQ116" s="235">
        <f>DEZ!E14+DEZ!V14</f>
        <v>0</v>
      </c>
      <c r="AR116" s="235">
        <f t="shared" si="41"/>
        <v>5524.7920000000004</v>
      </c>
    </row>
    <row r="117" spans="1:44">
      <c r="A117" s="242" t="s">
        <v>129</v>
      </c>
      <c r="B117" s="235">
        <f>$E$219*'Médias por UF'!BG103</f>
        <v>0</v>
      </c>
      <c r="C117" s="235">
        <f>$E$219*'Médias por UF'!BH103</f>
        <v>0</v>
      </c>
      <c r="D117" s="235">
        <f>$E$219*'Médias por UF'!BI103</f>
        <v>0</v>
      </c>
      <c r="E117" s="235">
        <f>$E$219*'Médias por UF'!BJ103</f>
        <v>0</v>
      </c>
      <c r="F117" s="235">
        <f>$E$219*'Médias por UF'!BK103</f>
        <v>0</v>
      </c>
      <c r="G117" s="235">
        <f>$E$219*'Médias por UF'!BL103</f>
        <v>0</v>
      </c>
      <c r="H117" s="235">
        <f>$E$219*'Médias por UF'!BM103</f>
        <v>0</v>
      </c>
      <c r="I117" s="235">
        <f>$E$219*'Médias por UF'!BN103</f>
        <v>0</v>
      </c>
      <c r="J117" s="235">
        <f>$E$219*'Médias por UF'!BO103</f>
        <v>0</v>
      </c>
      <c r="K117" s="235">
        <f>$E$219*'Médias por UF'!BP103</f>
        <v>0</v>
      </c>
      <c r="L117" s="235">
        <f>$E$219*'Médias por UF'!BQ103</f>
        <v>0</v>
      </c>
      <c r="M117" s="235">
        <f>$E$219*'Médias por UF'!BR103</f>
        <v>0</v>
      </c>
      <c r="N117" s="235">
        <f t="shared" si="39"/>
        <v>0</v>
      </c>
      <c r="P117" s="237" t="s">
        <v>129</v>
      </c>
      <c r="Q117" s="235">
        <f>'Médias por UF'!BG103*'Evolução das Receitas'!$T$219</f>
        <v>0</v>
      </c>
      <c r="R117" s="235">
        <f>'Médias por UF'!BH103*'Evolução das Receitas'!$T$219</f>
        <v>0</v>
      </c>
      <c r="S117" s="235">
        <f>'Médias por UF'!BI103*'Evolução das Receitas'!$T$219</f>
        <v>0</v>
      </c>
      <c r="T117" s="235">
        <f>'Médias por UF'!BJ103*'Evolução das Receitas'!$T$219</f>
        <v>0</v>
      </c>
      <c r="U117" s="235">
        <f>'Médias por UF'!BK103*'Evolução das Receitas'!$T$219</f>
        <v>0</v>
      </c>
      <c r="V117" s="235">
        <f>'Médias por UF'!BL103*'Evolução das Receitas'!$T$219</f>
        <v>0</v>
      </c>
      <c r="W117" s="235">
        <f>'Médias por UF'!BM103*'Evolução das Receitas'!$T$219</f>
        <v>0</v>
      </c>
      <c r="X117" s="235">
        <f>'Médias por UF'!BN103*'Evolução das Receitas'!$T$219</f>
        <v>0</v>
      </c>
      <c r="Y117" s="235">
        <f>'Médias por UF'!BO103*'Evolução das Receitas'!$T$219</f>
        <v>0</v>
      </c>
      <c r="Z117" s="235">
        <f>'Médias por UF'!BP103*'Evolução das Receitas'!$T$219</f>
        <v>0</v>
      </c>
      <c r="AA117" s="235">
        <f>'Médias por UF'!BQ103*'Evolução das Receitas'!$T$219</f>
        <v>0</v>
      </c>
      <c r="AB117" s="235">
        <f>'Médias por UF'!BR103*'Evolução das Receitas'!$T$219</f>
        <v>0</v>
      </c>
      <c r="AC117" s="235">
        <f t="shared" si="40"/>
        <v>0</v>
      </c>
      <c r="AE117" s="237" t="s">
        <v>129</v>
      </c>
      <c r="AF117" s="235">
        <f>JAN!E15+JAN!V15</f>
        <v>1838.92</v>
      </c>
      <c r="AG117" s="235">
        <f>FEV!E15+FEV!V15+AF117</f>
        <v>3662.1760000000004</v>
      </c>
      <c r="AH117" s="235">
        <f>MAR!E15+MAR!V15+AG117</f>
        <v>3853.5280000000002</v>
      </c>
      <c r="AI117" s="235">
        <f>ABR!E15+ABR!V15+AH117</f>
        <v>4750.808</v>
      </c>
      <c r="AJ117" s="235">
        <f>MAI!E15+MAI!V15</f>
        <v>0</v>
      </c>
      <c r="AK117" s="235">
        <f>JUN!E15+JUN!V15</f>
        <v>0</v>
      </c>
      <c r="AL117" s="235">
        <f>JUL!E15+JUL!V15</f>
        <v>0</v>
      </c>
      <c r="AM117" s="235">
        <f>AGO!E15+AGO!V15</f>
        <v>0</v>
      </c>
      <c r="AN117" s="235">
        <f>SET!E15+SET!V15</f>
        <v>0</v>
      </c>
      <c r="AO117" s="235">
        <f>OUT!E15+OUT!V15</f>
        <v>0</v>
      </c>
      <c r="AP117" s="235">
        <f>NOV!E15+NOV!V15</f>
        <v>0</v>
      </c>
      <c r="AQ117" s="235">
        <f>DEZ!E15+DEZ!V15</f>
        <v>0</v>
      </c>
      <c r="AR117" s="235">
        <f t="shared" si="41"/>
        <v>4750.808</v>
      </c>
    </row>
    <row r="118" spans="1:44">
      <c r="A118" s="242" t="s">
        <v>130</v>
      </c>
      <c r="B118" s="235">
        <f>$E$220*'Médias por UF'!BG104</f>
        <v>1108.6524886382235</v>
      </c>
      <c r="C118" s="235">
        <f>$E$220*'Médias por UF'!BH104</f>
        <v>2312.3793376251524</v>
      </c>
      <c r="D118" s="235">
        <f>$E$220*'Médias por UF'!BI104</f>
        <v>3590.5817356612829</v>
      </c>
      <c r="E118" s="235">
        <f>$E$220*'Médias por UF'!BJ104</f>
        <v>4768.7894880499125</v>
      </c>
      <c r="F118" s="235">
        <f>$E$220*'Médias por UF'!BK104</f>
        <v>5452.0988089858138</v>
      </c>
      <c r="G118" s="235">
        <f>$E$220*'Médias por UF'!BL104</f>
        <v>5961.8133777075</v>
      </c>
      <c r="H118" s="235">
        <f>$E$220*'Médias por UF'!BM104</f>
        <v>6538.8642921623205</v>
      </c>
      <c r="I118" s="235">
        <f>$E$220*'Médias por UF'!BN104</f>
        <v>7789.7254934923758</v>
      </c>
      <c r="J118" s="235">
        <f>$E$220*'Médias por UF'!BO104</f>
        <v>8382.4755470778564</v>
      </c>
      <c r="K118" s="235">
        <f>$E$220*'Médias por UF'!BP104</f>
        <v>8912.0249251829027</v>
      </c>
      <c r="L118" s="235">
        <f>$E$220*'Médias por UF'!BQ104</f>
        <v>9147.0189183815546</v>
      </c>
      <c r="M118" s="235">
        <f>$E$220*'Médias por UF'!BR104</f>
        <v>10000</v>
      </c>
      <c r="N118" s="235">
        <f t="shared" si="39"/>
        <v>10000</v>
      </c>
      <c r="P118" s="237" t="s">
        <v>130</v>
      </c>
      <c r="Q118" s="235">
        <f>'Médias por UF'!BG104*'Evolução das Receitas'!$T$220</f>
        <v>1108.6524886382235</v>
      </c>
      <c r="R118" s="235">
        <f>'Médias por UF'!BH104*'Evolução das Receitas'!$T$220</f>
        <v>2312.3793376251524</v>
      </c>
      <c r="S118" s="235">
        <f>'Médias por UF'!BI104*'Evolução das Receitas'!$T$220</f>
        <v>3590.5817356612829</v>
      </c>
      <c r="T118" s="235">
        <f>'Médias por UF'!BJ104*'Evolução das Receitas'!$T$220</f>
        <v>4768.7894880499125</v>
      </c>
      <c r="U118" s="235">
        <f>'Médias por UF'!BK104*'Evolução das Receitas'!$T$220</f>
        <v>5452.0988089858138</v>
      </c>
      <c r="V118" s="235">
        <f>'Médias por UF'!BL104*'Evolução das Receitas'!$T$220</f>
        <v>5961.8133777075</v>
      </c>
      <c r="W118" s="235">
        <f>'Médias por UF'!BM104*'Evolução das Receitas'!$T$220</f>
        <v>6538.8642921623205</v>
      </c>
      <c r="X118" s="235">
        <f>'Médias por UF'!BN104*'Evolução das Receitas'!$T$220</f>
        <v>7789.7254934923758</v>
      </c>
      <c r="Y118" s="235">
        <f>'Médias por UF'!BO104*'Evolução das Receitas'!$T$220</f>
        <v>8382.4755470778564</v>
      </c>
      <c r="Z118" s="235">
        <f>'Médias por UF'!BP104*'Evolução das Receitas'!$T$220</f>
        <v>8912.0249251829027</v>
      </c>
      <c r="AA118" s="235">
        <f>'Médias por UF'!BQ104*'Evolução das Receitas'!$T$220</f>
        <v>9147.0189183815546</v>
      </c>
      <c r="AB118" s="235">
        <f>'Médias por UF'!BR104*'Evolução das Receitas'!$T$220</f>
        <v>10000</v>
      </c>
      <c r="AC118" s="235">
        <f t="shared" si="40"/>
        <v>10000</v>
      </c>
      <c r="AE118" s="237" t="s">
        <v>130</v>
      </c>
      <c r="AF118" s="235">
        <f>JAN!E16+JAN!V16</f>
        <v>3473.9519999999998</v>
      </c>
      <c r="AG118" s="235">
        <f>FEV!E16+FEV!V16+AF118</f>
        <v>5696.808</v>
      </c>
      <c r="AH118" s="235">
        <f>MAR!E16+MAR!V16+AG118</f>
        <v>7430.16</v>
      </c>
      <c r="AI118" s="235">
        <f>ABR!E16+ABR!V16+AH118</f>
        <v>9390.8320000000003</v>
      </c>
      <c r="AJ118" s="235">
        <f>MAI!E16+MAI!V16</f>
        <v>0</v>
      </c>
      <c r="AK118" s="235">
        <f>JUN!E16+JUN!V16</f>
        <v>0</v>
      </c>
      <c r="AL118" s="235">
        <f>JUL!E16+JUL!V16</f>
        <v>0</v>
      </c>
      <c r="AM118" s="235">
        <f>AGO!E16+AGO!V16</f>
        <v>0</v>
      </c>
      <c r="AN118" s="235">
        <f>SET!E16+SET!V16</f>
        <v>0</v>
      </c>
      <c r="AO118" s="235">
        <f>OUT!E16+OUT!V16</f>
        <v>0</v>
      </c>
      <c r="AP118" s="235">
        <f>NOV!E16+NOV!V16</f>
        <v>0</v>
      </c>
      <c r="AQ118" s="235">
        <f>DEZ!E16+DEZ!V16</f>
        <v>0</v>
      </c>
      <c r="AR118" s="235">
        <f t="shared" si="41"/>
        <v>9390.8320000000003</v>
      </c>
    </row>
    <row r="119" spans="1:44">
      <c r="A119" s="242" t="s">
        <v>131</v>
      </c>
      <c r="B119" s="235">
        <f>$E$221*'Médias por UF'!BG105</f>
        <v>15010.849350934106</v>
      </c>
      <c r="C119" s="235">
        <f>$E$221*'Médias por UF'!BH105</f>
        <v>21312.406170371523</v>
      </c>
      <c r="D119" s="235">
        <f>$E$221*'Médias por UF'!BI105</f>
        <v>27319.783226411299</v>
      </c>
      <c r="E119" s="235">
        <f>$E$221*'Médias por UF'!BJ105</f>
        <v>31987.547045379379</v>
      </c>
      <c r="F119" s="235">
        <f>$E$221*'Médias por UF'!BK105</f>
        <v>39204.589973286624</v>
      </c>
      <c r="G119" s="235">
        <f>$E$221*'Médias por UF'!BL105</f>
        <v>44975.649733244034</v>
      </c>
      <c r="H119" s="235">
        <f>$E$221*'Médias por UF'!BM105</f>
        <v>48015.121074308838</v>
      </c>
      <c r="I119" s="235">
        <f>$E$221*'Médias por UF'!BN105</f>
        <v>54059.860433368223</v>
      </c>
      <c r="J119" s="235">
        <f>$E$221*'Médias por UF'!BO105</f>
        <v>58416.514723831278</v>
      </c>
      <c r="K119" s="235">
        <f>$E$221*'Médias por UF'!BP105</f>
        <v>67507.648264609466</v>
      </c>
      <c r="L119" s="235">
        <f>$E$221*'Médias por UF'!BQ105</f>
        <v>74279.215069178666</v>
      </c>
      <c r="M119" s="235">
        <f>$E$221*'Médias por UF'!BR105</f>
        <v>80611</v>
      </c>
      <c r="N119" s="235">
        <f t="shared" si="39"/>
        <v>80611</v>
      </c>
      <c r="P119" s="237" t="s">
        <v>131</v>
      </c>
      <c r="Q119" s="235">
        <f>'Médias por UF'!BG105*'Evolução das Receitas'!$T$221</f>
        <v>15010.849350934106</v>
      </c>
      <c r="R119" s="235">
        <f>'Médias por UF'!BH105*'Evolução das Receitas'!$T$221</f>
        <v>21312.406170371523</v>
      </c>
      <c r="S119" s="235">
        <f>'Médias por UF'!BI105*'Evolução das Receitas'!$T$221</f>
        <v>27319.783226411299</v>
      </c>
      <c r="T119" s="235">
        <f>'Médias por UF'!BJ105*'Evolução das Receitas'!$T$221</f>
        <v>31987.547045379379</v>
      </c>
      <c r="U119" s="235">
        <f>'Médias por UF'!BK105*'Evolução das Receitas'!$T$221</f>
        <v>39204.589973286624</v>
      </c>
      <c r="V119" s="235">
        <f>'Médias por UF'!BL105*'Evolução das Receitas'!$T$221</f>
        <v>44975.649733244034</v>
      </c>
      <c r="W119" s="235">
        <f>'Médias por UF'!BM105*'Evolução das Receitas'!$T$221</f>
        <v>48015.121074308838</v>
      </c>
      <c r="X119" s="235">
        <f>'Médias por UF'!BN105*'Evolução das Receitas'!$T$221</f>
        <v>54059.860433368223</v>
      </c>
      <c r="Y119" s="235">
        <f>'Médias por UF'!BO105*'Evolução das Receitas'!$T$221</f>
        <v>58416.514723831278</v>
      </c>
      <c r="Z119" s="235">
        <f>'Médias por UF'!BP105*'Evolução das Receitas'!$T$221</f>
        <v>67507.648264609466</v>
      </c>
      <c r="AA119" s="235">
        <f>'Médias por UF'!BQ105*'Evolução das Receitas'!$T$221</f>
        <v>74279.215069178666</v>
      </c>
      <c r="AB119" s="235">
        <f>'Médias por UF'!BR105*'Evolução das Receitas'!$T$221</f>
        <v>80611</v>
      </c>
      <c r="AC119" s="235">
        <f t="shared" si="40"/>
        <v>80611</v>
      </c>
      <c r="AE119" s="237" t="s">
        <v>131</v>
      </c>
      <c r="AF119" s="235">
        <f>JAN!E17+JAN!V17</f>
        <v>17934.583999999999</v>
      </c>
      <c r="AG119" s="235">
        <f>FEV!E17+FEV!V17+AF119</f>
        <v>37328.016000000003</v>
      </c>
      <c r="AH119" s="235">
        <f>MAR!E17+MAR!V17+AG119</f>
        <v>53204.392000000007</v>
      </c>
      <c r="AI119" s="235">
        <f>ABR!E17+ABR!V17+AH119</f>
        <v>69245.464000000007</v>
      </c>
      <c r="AJ119" s="235">
        <f>MAI!E17+MAI!V17</f>
        <v>0</v>
      </c>
      <c r="AK119" s="235">
        <f>JUN!E17+JUN!V17</f>
        <v>0</v>
      </c>
      <c r="AL119" s="235">
        <f>JUL!E17+JUL!V17</f>
        <v>0</v>
      </c>
      <c r="AM119" s="235">
        <f>AGO!E17+AGO!V17</f>
        <v>0</v>
      </c>
      <c r="AN119" s="235">
        <f>SET!E17+SET!V17</f>
        <v>0</v>
      </c>
      <c r="AO119" s="235">
        <f>OUT!E17+OUT!V17</f>
        <v>0</v>
      </c>
      <c r="AP119" s="235">
        <f>NOV!E17+NOV!V17</f>
        <v>0</v>
      </c>
      <c r="AQ119" s="235">
        <f>DEZ!E17+DEZ!V17</f>
        <v>0</v>
      </c>
      <c r="AR119" s="235">
        <f t="shared" si="41"/>
        <v>69245.464000000007</v>
      </c>
    </row>
    <row r="120" spans="1:44">
      <c r="A120" s="242" t="s">
        <v>132</v>
      </c>
      <c r="B120" s="235">
        <f>$E$222*'Médias por UF'!BG106</f>
        <v>0</v>
      </c>
      <c r="C120" s="235">
        <f>$E$222*'Médias por UF'!BH106</f>
        <v>0</v>
      </c>
      <c r="D120" s="235">
        <f>$E$222*'Médias por UF'!BI106</f>
        <v>0</v>
      </c>
      <c r="E120" s="235">
        <f>$E$222*'Médias por UF'!BJ106</f>
        <v>0</v>
      </c>
      <c r="F120" s="235">
        <f>$E$222*'Médias por UF'!BK106</f>
        <v>0</v>
      </c>
      <c r="G120" s="235">
        <f>$E$222*'Médias por UF'!BL106</f>
        <v>0</v>
      </c>
      <c r="H120" s="235">
        <f>$E$222*'Médias por UF'!BM106</f>
        <v>0</v>
      </c>
      <c r="I120" s="235">
        <f>$E$222*'Médias por UF'!BN106</f>
        <v>0</v>
      </c>
      <c r="J120" s="235">
        <f>$E$222*'Médias por UF'!BO106</f>
        <v>0</v>
      </c>
      <c r="K120" s="235">
        <f>$E$222*'Médias por UF'!BP106</f>
        <v>0</v>
      </c>
      <c r="L120" s="235">
        <f>$E$222*'Médias por UF'!BQ106</f>
        <v>0</v>
      </c>
      <c r="M120" s="235">
        <f>$E$222*'Médias por UF'!BR106</f>
        <v>0</v>
      </c>
      <c r="N120" s="235">
        <f t="shared" si="39"/>
        <v>0</v>
      </c>
      <c r="P120" s="237" t="s">
        <v>132</v>
      </c>
      <c r="Q120" s="235">
        <f>'Médias por UF'!BG106*'Evolução das Receitas'!$T$222</f>
        <v>0</v>
      </c>
      <c r="R120" s="235">
        <f>'Médias por UF'!BH106*'Evolução das Receitas'!$T$222</f>
        <v>0</v>
      </c>
      <c r="S120" s="235">
        <f>'Médias por UF'!BI106*'Evolução das Receitas'!$T$222</f>
        <v>0</v>
      </c>
      <c r="T120" s="235">
        <f>'Médias por UF'!BJ106*'Evolução das Receitas'!$T$222</f>
        <v>0</v>
      </c>
      <c r="U120" s="235">
        <f>'Médias por UF'!BK106*'Evolução das Receitas'!$T$222</f>
        <v>0</v>
      </c>
      <c r="V120" s="235">
        <f>'Médias por UF'!BL106*'Evolução das Receitas'!$T$222</f>
        <v>0</v>
      </c>
      <c r="W120" s="235">
        <f>'Médias por UF'!BM106*'Evolução das Receitas'!$T$222</f>
        <v>0</v>
      </c>
      <c r="X120" s="235">
        <f>'Médias por UF'!BN106*'Evolução das Receitas'!$T$222</f>
        <v>0</v>
      </c>
      <c r="Y120" s="235">
        <f>'Médias por UF'!BO106*'Evolução das Receitas'!$T$222</f>
        <v>0</v>
      </c>
      <c r="Z120" s="235">
        <f>'Médias por UF'!BP106*'Evolução das Receitas'!$T$222</f>
        <v>0</v>
      </c>
      <c r="AA120" s="235">
        <f>'Médias por UF'!BQ106*'Evolução das Receitas'!$T$222</f>
        <v>0</v>
      </c>
      <c r="AB120" s="235">
        <f>'Médias por UF'!BR106*'Evolução das Receitas'!$T$222</f>
        <v>0</v>
      </c>
      <c r="AC120" s="235">
        <f t="shared" si="40"/>
        <v>0</v>
      </c>
      <c r="AE120" s="237" t="s">
        <v>132</v>
      </c>
      <c r="AF120" s="235">
        <f>JAN!E18+JAN!V18</f>
        <v>1931.4160000000002</v>
      </c>
      <c r="AG120" s="235">
        <f>FEV!E18+FEV!V18+AF120</f>
        <v>5865.9600000000009</v>
      </c>
      <c r="AH120" s="235">
        <f>MAR!E18+MAR!V18+AG120</f>
        <v>8360.728000000001</v>
      </c>
      <c r="AI120" s="235">
        <f>ABR!E18+ABR!V18+AH120</f>
        <v>11245.432000000001</v>
      </c>
      <c r="AJ120" s="235">
        <f>MAI!E18+MAI!V18</f>
        <v>0</v>
      </c>
      <c r="AK120" s="235">
        <f>JUN!E18+JUN!V18</f>
        <v>0</v>
      </c>
      <c r="AL120" s="235">
        <f>JUL!E18+JUL!V18</f>
        <v>0</v>
      </c>
      <c r="AM120" s="235">
        <f>AGO!E18+AGO!V18</f>
        <v>0</v>
      </c>
      <c r="AN120" s="235">
        <f>SET!E18+SET!V18</f>
        <v>0</v>
      </c>
      <c r="AO120" s="235">
        <f>OUT!E18+OUT!V18</f>
        <v>0</v>
      </c>
      <c r="AP120" s="235">
        <f>NOV!E18+NOV!V18</f>
        <v>0</v>
      </c>
      <c r="AQ120" s="235">
        <f>DEZ!E18+DEZ!V18</f>
        <v>0</v>
      </c>
      <c r="AR120" s="235">
        <f t="shared" si="41"/>
        <v>11245.432000000001</v>
      </c>
    </row>
    <row r="121" spans="1:44">
      <c r="A121" s="242" t="s">
        <v>133</v>
      </c>
      <c r="B121" s="235">
        <f>$E$223*'Médias por UF'!BG107</f>
        <v>1914.8490810079124</v>
      </c>
      <c r="C121" s="235">
        <f>$E$223*'Médias por UF'!BH107</f>
        <v>3122.7397572061063</v>
      </c>
      <c r="D121" s="235">
        <f>$E$223*'Médias por UF'!BI107</f>
        <v>6219.581272193459</v>
      </c>
      <c r="E121" s="235">
        <f>$E$223*'Médias por UF'!BJ107</f>
        <v>6887.1013695367146</v>
      </c>
      <c r="F121" s="235">
        <f>$E$223*'Médias por UF'!BK107</f>
        <v>8648.3454642594952</v>
      </c>
      <c r="G121" s="235">
        <f>$E$223*'Médias por UF'!BL107</f>
        <v>10486.159693769792</v>
      </c>
      <c r="H121" s="235">
        <f>$E$223*'Médias por UF'!BM107</f>
        <v>12999.597916204224</v>
      </c>
      <c r="I121" s="235">
        <f>$E$223*'Médias por UF'!BN107</f>
        <v>14567.534619280514</v>
      </c>
      <c r="J121" s="235">
        <f>$E$223*'Médias por UF'!BO107</f>
        <v>15680.673907543711</v>
      </c>
      <c r="K121" s="235">
        <f>$E$223*'Médias por UF'!BP107</f>
        <v>17619.772451669945</v>
      </c>
      <c r="L121" s="235">
        <f>$E$223*'Médias por UF'!BQ107</f>
        <v>19885.644897474285</v>
      </c>
      <c r="M121" s="235">
        <f>$E$223*'Médias por UF'!BR107</f>
        <v>21423</v>
      </c>
      <c r="N121" s="235">
        <f t="shared" si="39"/>
        <v>21423</v>
      </c>
      <c r="P121" s="237" t="s">
        <v>133</v>
      </c>
      <c r="Q121" s="235">
        <f>'Médias por UF'!BG107*'Evolução das Receitas'!$T$223</f>
        <v>1914.8490810079124</v>
      </c>
      <c r="R121" s="235">
        <f>'Médias por UF'!BH107*'Evolução das Receitas'!$T$223</f>
        <v>3122.7397572061063</v>
      </c>
      <c r="S121" s="235">
        <f>'Médias por UF'!BI107*'Evolução das Receitas'!$T$223</f>
        <v>6219.581272193459</v>
      </c>
      <c r="T121" s="235">
        <f>'Médias por UF'!BJ107*'Evolução das Receitas'!$T$223</f>
        <v>6887.1013695367146</v>
      </c>
      <c r="U121" s="235">
        <f>'Médias por UF'!BK107*'Evolução das Receitas'!$T$223</f>
        <v>8648.3454642594952</v>
      </c>
      <c r="V121" s="235">
        <f>'Médias por UF'!BL107*'Evolução das Receitas'!$T$223</f>
        <v>10486.159693769792</v>
      </c>
      <c r="W121" s="235">
        <f>'Médias por UF'!BM107*'Evolução das Receitas'!$T$223</f>
        <v>12999.597916204224</v>
      </c>
      <c r="X121" s="235">
        <f>'Médias por UF'!BN107*'Evolução das Receitas'!$T$223</f>
        <v>14567.534619280514</v>
      </c>
      <c r="Y121" s="235">
        <f>'Médias por UF'!BO107*'Evolução das Receitas'!$T$223</f>
        <v>15680.673907543711</v>
      </c>
      <c r="Z121" s="235">
        <f>'Médias por UF'!BP107*'Evolução das Receitas'!$T$223</f>
        <v>17619.772451669945</v>
      </c>
      <c r="AA121" s="235">
        <f>'Médias por UF'!BQ107*'Evolução das Receitas'!$T$223</f>
        <v>19885.644897474285</v>
      </c>
      <c r="AB121" s="235">
        <f>'Médias por UF'!BR107*'Evolução das Receitas'!$T$223</f>
        <v>21423</v>
      </c>
      <c r="AC121" s="235">
        <f t="shared" si="40"/>
        <v>21423</v>
      </c>
      <c r="AE121" s="237" t="s">
        <v>133</v>
      </c>
      <c r="AF121" s="235">
        <f>JAN!E19+JAN!V19</f>
        <v>2481.5520000000001</v>
      </c>
      <c r="AG121" s="235">
        <f>FEV!E19+FEV!V19+AF121</f>
        <v>5794.1840000000002</v>
      </c>
      <c r="AH121" s="235">
        <f>MAR!E19+MAR!V19+AG121</f>
        <v>7834.2880000000005</v>
      </c>
      <c r="AI121" s="235">
        <f>ABR!E19+ABR!V19+AH121</f>
        <v>8589.4160000000011</v>
      </c>
      <c r="AJ121" s="235">
        <f>MAI!E19+MAI!V19</f>
        <v>0</v>
      </c>
      <c r="AK121" s="235">
        <f>JUN!E19+JUN!V19</f>
        <v>0</v>
      </c>
      <c r="AL121" s="235">
        <f>JUL!E19+JUL!V19</f>
        <v>0</v>
      </c>
      <c r="AM121" s="235">
        <f>AGO!E19+AGO!V19</f>
        <v>0</v>
      </c>
      <c r="AN121" s="235">
        <f>SET!E19+SET!V19</f>
        <v>0</v>
      </c>
      <c r="AO121" s="235">
        <f>OUT!E19+OUT!V19</f>
        <v>0</v>
      </c>
      <c r="AP121" s="235">
        <f>NOV!E19+NOV!V19</f>
        <v>0</v>
      </c>
      <c r="AQ121" s="235">
        <f>DEZ!E19+DEZ!V19</f>
        <v>0</v>
      </c>
      <c r="AR121" s="235">
        <f t="shared" si="41"/>
        <v>8589.4160000000011</v>
      </c>
    </row>
    <row r="122" spans="1:44">
      <c r="A122" s="242" t="s">
        <v>134</v>
      </c>
      <c r="B122" s="235">
        <f>$E$224*'Médias por UF'!BG108</f>
        <v>0</v>
      </c>
      <c r="C122" s="235">
        <f>$E$224*'Médias por UF'!BH108</f>
        <v>0</v>
      </c>
      <c r="D122" s="235">
        <f>$E$224*'Médias por UF'!BI108</f>
        <v>0</v>
      </c>
      <c r="E122" s="235">
        <f>$E$224*'Médias por UF'!BJ108</f>
        <v>0</v>
      </c>
      <c r="F122" s="235">
        <f>$E$224*'Médias por UF'!BK108</f>
        <v>0</v>
      </c>
      <c r="G122" s="235">
        <f>$E$224*'Médias por UF'!BL108</f>
        <v>0</v>
      </c>
      <c r="H122" s="235">
        <f>$E$224*'Médias por UF'!BM108</f>
        <v>0</v>
      </c>
      <c r="I122" s="235">
        <f>$E$224*'Médias por UF'!BN108</f>
        <v>0</v>
      </c>
      <c r="J122" s="235">
        <f>$E$224*'Médias por UF'!BO108</f>
        <v>0</v>
      </c>
      <c r="K122" s="235">
        <f>$E$224*'Médias por UF'!BP108</f>
        <v>0</v>
      </c>
      <c r="L122" s="235">
        <f>$E$224*'Médias por UF'!BQ108</f>
        <v>0</v>
      </c>
      <c r="M122" s="235">
        <f>$E$224*'Médias por UF'!BR108</f>
        <v>0</v>
      </c>
      <c r="N122" s="235">
        <f t="shared" si="39"/>
        <v>0</v>
      </c>
      <c r="P122" s="237" t="s">
        <v>134</v>
      </c>
      <c r="Q122" s="235">
        <f>'Médias por UF'!BG108*'Evolução das Receitas'!$T$224</f>
        <v>0</v>
      </c>
      <c r="R122" s="235">
        <f>'Médias por UF'!BH108*'Evolução das Receitas'!$T$224</f>
        <v>0</v>
      </c>
      <c r="S122" s="235">
        <f>'Médias por UF'!BI108*'Evolução das Receitas'!$T$224</f>
        <v>0</v>
      </c>
      <c r="T122" s="235">
        <f>'Médias por UF'!BJ108*'Evolução das Receitas'!$T$224</f>
        <v>0</v>
      </c>
      <c r="U122" s="235">
        <f>'Médias por UF'!BK108*'Evolução das Receitas'!$T$224</f>
        <v>0</v>
      </c>
      <c r="V122" s="235">
        <f>'Médias por UF'!BL108*'Evolução das Receitas'!$T$224</f>
        <v>0</v>
      </c>
      <c r="W122" s="235">
        <f>'Médias por UF'!BM108*'Evolução das Receitas'!$T$224</f>
        <v>0</v>
      </c>
      <c r="X122" s="235">
        <f>'Médias por UF'!BN108*'Evolução das Receitas'!$T$224</f>
        <v>0</v>
      </c>
      <c r="Y122" s="235">
        <f>'Médias por UF'!BO108*'Evolução das Receitas'!$T$224</f>
        <v>0</v>
      </c>
      <c r="Z122" s="235">
        <f>'Médias por UF'!BP108*'Evolução das Receitas'!$T$224</f>
        <v>0</v>
      </c>
      <c r="AA122" s="235">
        <f>'Médias por UF'!BQ108*'Evolução das Receitas'!$T$224</f>
        <v>0</v>
      </c>
      <c r="AB122" s="235">
        <f>'Médias por UF'!BR108*'Evolução das Receitas'!$T$224</f>
        <v>0</v>
      </c>
      <c r="AC122" s="235">
        <f t="shared" si="40"/>
        <v>0</v>
      </c>
      <c r="AE122" s="237" t="s">
        <v>134</v>
      </c>
      <c r="AF122" s="235">
        <f>JAN!E20+JAN!V20</f>
        <v>19684.800000000003</v>
      </c>
      <c r="AG122" s="235">
        <f>FEV!E20+FEV!V20+AF122</f>
        <v>33688.44</v>
      </c>
      <c r="AH122" s="235">
        <f>MAR!E20+MAR!V20+AG122</f>
        <v>44573.696000000004</v>
      </c>
      <c r="AI122" s="235">
        <f>ABR!E20+ABR!V20+AH122</f>
        <v>62118</v>
      </c>
      <c r="AJ122" s="235">
        <f>MAI!E20+MAI!V20</f>
        <v>0</v>
      </c>
      <c r="AK122" s="235">
        <f>JUN!E20+JUN!V20</f>
        <v>0</v>
      </c>
      <c r="AL122" s="235">
        <f>JUL!E20+JUL!V20</f>
        <v>0</v>
      </c>
      <c r="AM122" s="235">
        <f>AGO!E20+AGO!V20</f>
        <v>0</v>
      </c>
      <c r="AN122" s="235">
        <f>SET!E20+SET!V20</f>
        <v>0</v>
      </c>
      <c r="AO122" s="235">
        <f>OUT!E20+OUT!V20</f>
        <v>0</v>
      </c>
      <c r="AP122" s="235">
        <f>NOV!E20+NOV!V20</f>
        <v>0</v>
      </c>
      <c r="AQ122" s="235">
        <f>DEZ!E20+DEZ!V20</f>
        <v>0</v>
      </c>
      <c r="AR122" s="235">
        <f t="shared" si="41"/>
        <v>62118</v>
      </c>
    </row>
    <row r="123" spans="1:44">
      <c r="A123" s="242" t="s">
        <v>135</v>
      </c>
      <c r="B123" s="235">
        <f>$E$225*'Médias por UF'!BG109</f>
        <v>955.74135597268389</v>
      </c>
      <c r="C123" s="235">
        <f>$E$225*'Médias por UF'!BH109</f>
        <v>1652.6124396957368</v>
      </c>
      <c r="D123" s="235">
        <f>$E$225*'Médias por UF'!BI109</f>
        <v>2632.0437162587505</v>
      </c>
      <c r="E123" s="235">
        <f>$E$225*'Médias por UF'!BJ109</f>
        <v>3447.273574072547</v>
      </c>
      <c r="F123" s="235">
        <f>$E$225*'Médias por UF'!BK109</f>
        <v>4322.133936814148</v>
      </c>
      <c r="G123" s="235">
        <f>$E$225*'Médias por UF'!BL109</f>
        <v>4997.0230691313891</v>
      </c>
      <c r="H123" s="235">
        <f>$E$225*'Médias por UF'!BM109</f>
        <v>5915.1439497584288</v>
      </c>
      <c r="I123" s="235">
        <f>$E$225*'Médias por UF'!BN109</f>
        <v>6446.1012466101001</v>
      </c>
      <c r="J123" s="235">
        <f>$E$225*'Médias por UF'!BO109</f>
        <v>6875.4758224472434</v>
      </c>
      <c r="K123" s="235">
        <f>$E$225*'Médias por UF'!BP109</f>
        <v>7070.4180712474954</v>
      </c>
      <c r="L123" s="235">
        <f>$E$225*'Médias por UF'!BQ109</f>
        <v>7659.1477238376383</v>
      </c>
      <c r="M123" s="235">
        <f>$E$225*'Médias por UF'!BR109</f>
        <v>7955</v>
      </c>
      <c r="N123" s="235">
        <f t="shared" si="39"/>
        <v>7955</v>
      </c>
      <c r="P123" s="237" t="s">
        <v>135</v>
      </c>
      <c r="Q123" s="235">
        <f>'Médias por UF'!BG109*'Evolução das Receitas'!$T$225</f>
        <v>955.74135597268389</v>
      </c>
      <c r="R123" s="235">
        <f>'Médias por UF'!BH109*'Evolução das Receitas'!$T$225</f>
        <v>1652.6124396957368</v>
      </c>
      <c r="S123" s="235">
        <f>'Médias por UF'!BI109*'Evolução das Receitas'!$T$225</f>
        <v>2632.0437162587505</v>
      </c>
      <c r="T123" s="235">
        <f>'Médias por UF'!BJ109*'Evolução das Receitas'!$T$225</f>
        <v>3447.273574072547</v>
      </c>
      <c r="U123" s="235">
        <f>'Médias por UF'!BK109*'Evolução das Receitas'!$T$225</f>
        <v>4322.133936814148</v>
      </c>
      <c r="V123" s="235">
        <f>'Médias por UF'!BL109*'Evolução das Receitas'!$T$225</f>
        <v>4997.0230691313891</v>
      </c>
      <c r="W123" s="235">
        <f>'Médias por UF'!BM109*'Evolução das Receitas'!$T$225</f>
        <v>5915.1439497584288</v>
      </c>
      <c r="X123" s="235">
        <f>'Médias por UF'!BN109*'Evolução das Receitas'!$T$225</f>
        <v>6446.1012466101001</v>
      </c>
      <c r="Y123" s="235">
        <f>'Médias por UF'!BO109*'Evolução das Receitas'!$T$225</f>
        <v>6875.4758224472434</v>
      </c>
      <c r="Z123" s="235">
        <f>'Médias por UF'!BP109*'Evolução das Receitas'!$T$225</f>
        <v>7070.4180712474954</v>
      </c>
      <c r="AA123" s="235">
        <f>'Médias por UF'!BQ109*'Evolução das Receitas'!$T$225</f>
        <v>7659.1477238376383</v>
      </c>
      <c r="AB123" s="235">
        <f>'Médias por UF'!BR109*'Evolução das Receitas'!$T$225</f>
        <v>7955</v>
      </c>
      <c r="AC123" s="235">
        <f t="shared" si="40"/>
        <v>7955</v>
      </c>
      <c r="AE123" s="237" t="s">
        <v>135</v>
      </c>
      <c r="AF123" s="235">
        <f>JAN!E21+JAN!V21</f>
        <v>4457.6480000000001</v>
      </c>
      <c r="AG123" s="235">
        <f>FEV!E21+FEV!V21+AF123</f>
        <v>10043.960000000001</v>
      </c>
      <c r="AH123" s="235">
        <f>MAR!E21+MAR!V21+AG123</f>
        <v>11964.816000000001</v>
      </c>
      <c r="AI123" s="235">
        <f>ABR!E21+ABR!V21+AH123</f>
        <v>16284.056</v>
      </c>
      <c r="AJ123" s="235">
        <f>MAI!E21+MAI!V21</f>
        <v>0</v>
      </c>
      <c r="AK123" s="235">
        <f>JUN!E21+JUN!V21</f>
        <v>0</v>
      </c>
      <c r="AL123" s="235">
        <f>JUL!E21+JUL!V21</f>
        <v>0</v>
      </c>
      <c r="AM123" s="235">
        <f>AGO!E21+AGO!V21</f>
        <v>0</v>
      </c>
      <c r="AN123" s="235">
        <f>SET!E21+SET!V21</f>
        <v>0</v>
      </c>
      <c r="AO123" s="235">
        <f>OUT!E21+OUT!V21</f>
        <v>0</v>
      </c>
      <c r="AP123" s="235">
        <f>NOV!E21+NOV!V21</f>
        <v>0</v>
      </c>
      <c r="AQ123" s="235">
        <f>DEZ!E21+DEZ!V21</f>
        <v>0</v>
      </c>
      <c r="AR123" s="235">
        <f t="shared" si="41"/>
        <v>16284.056</v>
      </c>
    </row>
    <row r="124" spans="1:44">
      <c r="A124" s="242" t="s">
        <v>136</v>
      </c>
      <c r="B124" s="235">
        <f>$E$226*'Médias por UF'!BG110</f>
        <v>3866.2727670186596</v>
      </c>
      <c r="C124" s="235">
        <f>$E$226*'Médias por UF'!BH110</f>
        <v>6377.0154585624641</v>
      </c>
      <c r="D124" s="235">
        <f>$E$226*'Médias por UF'!BI110</f>
        <v>7758.5802890356636</v>
      </c>
      <c r="E124" s="235">
        <f>$E$226*'Médias por UF'!BJ110</f>
        <v>10833.348446006243</v>
      </c>
      <c r="F124" s="235">
        <f>$E$226*'Médias por UF'!BK110</f>
        <v>12407.084288515824</v>
      </c>
      <c r="G124" s="235">
        <f>$E$226*'Médias por UF'!BL110</f>
        <v>13780.541004976132</v>
      </c>
      <c r="H124" s="235">
        <f>$E$226*'Médias por UF'!BM110</f>
        <v>15153.286001095161</v>
      </c>
      <c r="I124" s="235">
        <f>$E$226*'Médias por UF'!BN110</f>
        <v>15914.965611749332</v>
      </c>
      <c r="J124" s="235">
        <f>$E$226*'Médias por UF'!BO110</f>
        <v>17146.308029982232</v>
      </c>
      <c r="K124" s="235">
        <f>$E$226*'Médias por UF'!BP110</f>
        <v>18914.585046954671</v>
      </c>
      <c r="L124" s="235">
        <f>$E$226*'Médias por UF'!BQ110</f>
        <v>20238.534909464866</v>
      </c>
      <c r="M124" s="235">
        <f>$E$226*'Médias por UF'!BR110</f>
        <v>20500</v>
      </c>
      <c r="N124" s="235">
        <f t="shared" si="39"/>
        <v>20500</v>
      </c>
      <c r="P124" s="237" t="s">
        <v>136</v>
      </c>
      <c r="Q124" s="235">
        <f>'Médias por UF'!BG110*'Evolução das Receitas'!$T$226</f>
        <v>3866.2727670186596</v>
      </c>
      <c r="R124" s="235">
        <f>'Médias por UF'!BH110*'Evolução das Receitas'!$T$226</f>
        <v>6377.0154585624641</v>
      </c>
      <c r="S124" s="235">
        <f>'Médias por UF'!BI110*'Evolução das Receitas'!$T$226</f>
        <v>7758.5802890356636</v>
      </c>
      <c r="T124" s="235">
        <f>'Médias por UF'!BJ110*'Evolução das Receitas'!$T$226</f>
        <v>10833.348446006243</v>
      </c>
      <c r="U124" s="235">
        <f>'Médias por UF'!BK110*'Evolução das Receitas'!$T$226</f>
        <v>12407.084288515824</v>
      </c>
      <c r="V124" s="235">
        <f>'Médias por UF'!BL110*'Evolução das Receitas'!$T$226</f>
        <v>13780.541004976132</v>
      </c>
      <c r="W124" s="235">
        <f>'Médias por UF'!BM110*'Evolução das Receitas'!$T$226</f>
        <v>15153.286001095161</v>
      </c>
      <c r="X124" s="235">
        <f>'Médias por UF'!BN110*'Evolução das Receitas'!$T$226</f>
        <v>15914.965611749332</v>
      </c>
      <c r="Y124" s="235">
        <f>'Médias por UF'!BO110*'Evolução das Receitas'!$T$226</f>
        <v>17146.308029982232</v>
      </c>
      <c r="Z124" s="235">
        <f>'Médias por UF'!BP110*'Evolução das Receitas'!$T$226</f>
        <v>18914.585046954671</v>
      </c>
      <c r="AA124" s="235">
        <f>'Médias por UF'!BQ110*'Evolução das Receitas'!$T$226</f>
        <v>20238.534909464866</v>
      </c>
      <c r="AB124" s="235">
        <f>'Médias por UF'!BR110*'Evolução das Receitas'!$T$226</f>
        <v>20500</v>
      </c>
      <c r="AC124" s="235">
        <f t="shared" si="40"/>
        <v>20500</v>
      </c>
      <c r="AE124" s="237" t="s">
        <v>136</v>
      </c>
      <c r="AF124" s="235">
        <f>JAN!E22+JAN!V22</f>
        <v>936.25599999999997</v>
      </c>
      <c r="AG124" s="235">
        <f>FEV!E22+FEV!V22+AF124</f>
        <v>1071.152</v>
      </c>
      <c r="AH124" s="235">
        <f>MAR!E22+MAR!V22+AG124</f>
        <v>1255.8720000000001</v>
      </c>
      <c r="AI124" s="235">
        <f>ABR!E22+ABR!V22+AH124</f>
        <v>1501.6000000000001</v>
      </c>
      <c r="AJ124" s="235">
        <f>MAI!E22+MAI!V22</f>
        <v>0</v>
      </c>
      <c r="AK124" s="235">
        <f>JUN!E22+JUN!V22</f>
        <v>0</v>
      </c>
      <c r="AL124" s="235">
        <f>JUL!E22+JUL!V22</f>
        <v>0</v>
      </c>
      <c r="AM124" s="235">
        <f>AGO!E22+AGO!V22</f>
        <v>0</v>
      </c>
      <c r="AN124" s="235">
        <f>SET!E22+SET!V22</f>
        <v>0</v>
      </c>
      <c r="AO124" s="235">
        <f>OUT!E22+OUT!V22</f>
        <v>0</v>
      </c>
      <c r="AP124" s="235">
        <f>NOV!E22+NOV!V22</f>
        <v>0</v>
      </c>
      <c r="AQ124" s="235">
        <f>DEZ!E22+DEZ!V22</f>
        <v>0</v>
      </c>
      <c r="AR124" s="235">
        <f t="shared" si="41"/>
        <v>1501.6000000000001</v>
      </c>
    </row>
    <row r="125" spans="1:44">
      <c r="A125" s="242" t="s">
        <v>137</v>
      </c>
      <c r="B125" s="235">
        <f>$E$227*'Médias por UF'!BG111</f>
        <v>25143.721507176571</v>
      </c>
      <c r="C125" s="235">
        <f>$E$227*'Médias por UF'!BH111</f>
        <v>45153.187392225816</v>
      </c>
      <c r="D125" s="235">
        <f>$E$227*'Médias por UF'!BI111</f>
        <v>60182.315907776814</v>
      </c>
      <c r="E125" s="235">
        <f>$E$227*'Médias por UF'!BJ111</f>
        <v>76702.080350611301</v>
      </c>
      <c r="F125" s="235">
        <f>$E$227*'Médias por UF'!BK111</f>
        <v>91847.492231514421</v>
      </c>
      <c r="G125" s="235">
        <f>$E$227*'Médias por UF'!BL111</f>
        <v>112739.71692513279</v>
      </c>
      <c r="H125" s="235">
        <f>$E$227*'Médias por UF'!BM111</f>
        <v>125872.21124558468</v>
      </c>
      <c r="I125" s="235">
        <f>$E$227*'Médias por UF'!BN111</f>
        <v>141892.82159508707</v>
      </c>
      <c r="J125" s="235">
        <f>$E$227*'Médias por UF'!BO111</f>
        <v>155099.52445659213</v>
      </c>
      <c r="K125" s="235">
        <f>$E$227*'Médias por UF'!BP111</f>
        <v>171495.62853048267</v>
      </c>
      <c r="L125" s="235">
        <f>$E$227*'Médias por UF'!BQ111</f>
        <v>184044.38844514402</v>
      </c>
      <c r="M125" s="235">
        <f>$E$227*'Médias por UF'!BR111</f>
        <v>200000</v>
      </c>
      <c r="N125" s="235">
        <f t="shared" si="39"/>
        <v>200000</v>
      </c>
      <c r="P125" s="237" t="s">
        <v>137</v>
      </c>
      <c r="Q125" s="235">
        <f>'Médias por UF'!BG111*'Evolução das Receitas'!$T$227</f>
        <v>25143.721507176571</v>
      </c>
      <c r="R125" s="235">
        <f>'Médias por UF'!BH111*'Evolução das Receitas'!$T$227</f>
        <v>45153.187392225816</v>
      </c>
      <c r="S125" s="235">
        <f>'Médias por UF'!BI111*'Evolução das Receitas'!$T$227</f>
        <v>60182.315907776814</v>
      </c>
      <c r="T125" s="235">
        <f>'Médias por UF'!BJ111*'Evolução das Receitas'!$T$227</f>
        <v>76702.080350611301</v>
      </c>
      <c r="U125" s="235">
        <f>'Médias por UF'!BK111*'Evolução das Receitas'!$T$227</f>
        <v>91847.492231514421</v>
      </c>
      <c r="V125" s="235">
        <f>'Médias por UF'!BL111*'Evolução das Receitas'!$T$227</f>
        <v>112739.71692513279</v>
      </c>
      <c r="W125" s="235">
        <f>'Médias por UF'!BM111*'Evolução das Receitas'!$T$227</f>
        <v>125872.21124558468</v>
      </c>
      <c r="X125" s="235">
        <f>'Médias por UF'!BN111*'Evolução das Receitas'!$T$227</f>
        <v>141892.82159508707</v>
      </c>
      <c r="Y125" s="235">
        <f>'Médias por UF'!BO111*'Evolução das Receitas'!$T$227</f>
        <v>155099.52445659213</v>
      </c>
      <c r="Z125" s="235">
        <f>'Médias por UF'!BP111*'Evolução das Receitas'!$T$227</f>
        <v>171495.62853048267</v>
      </c>
      <c r="AA125" s="235">
        <f>'Médias por UF'!BQ111*'Evolução das Receitas'!$T$227</f>
        <v>184044.38844514402</v>
      </c>
      <c r="AB125" s="235">
        <f>'Médias por UF'!BR111*'Evolução das Receitas'!$T$227</f>
        <v>200000</v>
      </c>
      <c r="AC125" s="235">
        <f t="shared" si="40"/>
        <v>200000</v>
      </c>
      <c r="AE125" s="237" t="s">
        <v>137</v>
      </c>
      <c r="AF125" s="235">
        <f>JAN!E23+JAN!V23</f>
        <v>18427.489999999998</v>
      </c>
      <c r="AG125" s="235">
        <f>FEV!E23+FEV!V23+AF125</f>
        <v>36373.745999999999</v>
      </c>
      <c r="AH125" s="235">
        <f>MAR!E23+MAR!V23+AG125</f>
        <v>44940.137999999999</v>
      </c>
      <c r="AI125" s="235">
        <f>ABR!E23+ABR!V23+AH125</f>
        <v>56500.298000000003</v>
      </c>
      <c r="AJ125" s="235">
        <f>MAI!E23+MAI!V23</f>
        <v>0</v>
      </c>
      <c r="AK125" s="235">
        <f>JUN!E23+JUN!V23</f>
        <v>0</v>
      </c>
      <c r="AL125" s="235">
        <f>JUL!E23+JUL!V23</f>
        <v>0</v>
      </c>
      <c r="AM125" s="235">
        <f>AGO!E23+AGO!V23</f>
        <v>0</v>
      </c>
      <c r="AN125" s="235">
        <f>SET!E23+SET!V23</f>
        <v>0</v>
      </c>
      <c r="AO125" s="235">
        <f>OUT!E23+OUT!V23</f>
        <v>0</v>
      </c>
      <c r="AP125" s="235">
        <f>NOV!E23+NOV!V23</f>
        <v>0</v>
      </c>
      <c r="AQ125" s="235">
        <f>DEZ!E23+DEZ!V23</f>
        <v>0</v>
      </c>
      <c r="AR125" s="235">
        <f t="shared" si="41"/>
        <v>56500.298000000003</v>
      </c>
    </row>
    <row r="126" spans="1:44">
      <c r="A126" s="242" t="s">
        <v>138</v>
      </c>
      <c r="B126" s="235">
        <f>$E$228*'Médias por UF'!BG112</f>
        <v>0</v>
      </c>
      <c r="C126" s="235">
        <f>$E$228*'Médias por UF'!BH112</f>
        <v>0</v>
      </c>
      <c r="D126" s="235">
        <f>$E$228*'Médias por UF'!BI112</f>
        <v>0</v>
      </c>
      <c r="E126" s="235">
        <f>$E$228*'Médias por UF'!BJ112</f>
        <v>0</v>
      </c>
      <c r="F126" s="235">
        <f>$E$228*'Médias por UF'!BK112</f>
        <v>0</v>
      </c>
      <c r="G126" s="235">
        <f>$E$228*'Médias por UF'!BL112</f>
        <v>0</v>
      </c>
      <c r="H126" s="235">
        <f>$E$228*'Médias por UF'!BM112</f>
        <v>0</v>
      </c>
      <c r="I126" s="235">
        <f>$E$228*'Médias por UF'!BN112</f>
        <v>0</v>
      </c>
      <c r="J126" s="235">
        <f>$E$228*'Médias por UF'!BO112</f>
        <v>0</v>
      </c>
      <c r="K126" s="235">
        <f>$E$228*'Médias por UF'!BP112</f>
        <v>0</v>
      </c>
      <c r="L126" s="235">
        <f>$E$228*'Médias por UF'!BQ112</f>
        <v>0</v>
      </c>
      <c r="M126" s="235">
        <f>$E$228*'Médias por UF'!BR112</f>
        <v>0</v>
      </c>
      <c r="N126" s="235">
        <f t="shared" si="39"/>
        <v>0</v>
      </c>
      <c r="P126" s="237" t="s">
        <v>138</v>
      </c>
      <c r="Q126" s="235">
        <f>'Médias por UF'!BG112*'Evolução das Receitas'!$T$228</f>
        <v>0</v>
      </c>
      <c r="R126" s="235">
        <f>'Médias por UF'!BH112*'Evolução das Receitas'!$T$228</f>
        <v>0</v>
      </c>
      <c r="S126" s="235">
        <f>'Médias por UF'!BI112*'Evolução das Receitas'!$T$228</f>
        <v>0</v>
      </c>
      <c r="T126" s="235">
        <f>'Médias por UF'!BJ112*'Evolução das Receitas'!$T$228</f>
        <v>0</v>
      </c>
      <c r="U126" s="235">
        <f>'Médias por UF'!BK112*'Evolução das Receitas'!$T$228</f>
        <v>0</v>
      </c>
      <c r="V126" s="235">
        <f>'Médias por UF'!BL112*'Evolução das Receitas'!$T$228</f>
        <v>0</v>
      </c>
      <c r="W126" s="235">
        <f>'Médias por UF'!BM112*'Evolução das Receitas'!$T$228</f>
        <v>0</v>
      </c>
      <c r="X126" s="235">
        <f>'Médias por UF'!BN112*'Evolução das Receitas'!$T$228</f>
        <v>0</v>
      </c>
      <c r="Y126" s="235">
        <f>'Médias por UF'!BO112*'Evolução das Receitas'!$T$228</f>
        <v>0</v>
      </c>
      <c r="Z126" s="235">
        <f>'Médias por UF'!BP112*'Evolução das Receitas'!$T$228</f>
        <v>0</v>
      </c>
      <c r="AA126" s="235">
        <f>'Médias por UF'!BQ112*'Evolução das Receitas'!$T$228</f>
        <v>0</v>
      </c>
      <c r="AB126" s="235">
        <f>'Médias por UF'!BR112*'Evolução das Receitas'!$T$228</f>
        <v>0</v>
      </c>
      <c r="AC126" s="235">
        <f t="shared" si="40"/>
        <v>0</v>
      </c>
      <c r="AE126" s="237" t="s">
        <v>138</v>
      </c>
      <c r="AF126" s="235">
        <f>JAN!E24+JAN!V24</f>
        <v>1128.3600000000001</v>
      </c>
      <c r="AG126" s="235">
        <f>FEV!E24+FEV!V24+AF126</f>
        <v>4583.4880000000003</v>
      </c>
      <c r="AH126" s="235">
        <f>MAR!E24+MAR!V24+AG126</f>
        <v>5566.8080000000009</v>
      </c>
      <c r="AI126" s="235">
        <f>ABR!E24+ABR!V24+AH126</f>
        <v>7149.5760000000009</v>
      </c>
      <c r="AJ126" s="235">
        <f>MAI!E24+MAI!V24</f>
        <v>0</v>
      </c>
      <c r="AK126" s="235">
        <f>JUN!E24+JUN!V24</f>
        <v>0</v>
      </c>
      <c r="AL126" s="235">
        <f>JUL!E24+JUL!V24</f>
        <v>0</v>
      </c>
      <c r="AM126" s="235">
        <f>AGO!E24+AGO!V24</f>
        <v>0</v>
      </c>
      <c r="AN126" s="235">
        <f>SET!E24+SET!V24</f>
        <v>0</v>
      </c>
      <c r="AO126" s="235">
        <f>OUT!E24+OUT!V24</f>
        <v>0</v>
      </c>
      <c r="AP126" s="235">
        <f>NOV!E24+NOV!V24</f>
        <v>0</v>
      </c>
      <c r="AQ126" s="235">
        <f>DEZ!E24+DEZ!V24</f>
        <v>0</v>
      </c>
      <c r="AR126" s="235">
        <f t="shared" si="41"/>
        <v>7149.5760000000009</v>
      </c>
    </row>
    <row r="127" spans="1:44">
      <c r="A127" s="242" t="s">
        <v>139</v>
      </c>
      <c r="B127" s="235">
        <f>$E$229*'Médias por UF'!BG113</f>
        <v>0</v>
      </c>
      <c r="C127" s="235">
        <f>$E$229*'Médias por UF'!BH113</f>
        <v>0</v>
      </c>
      <c r="D127" s="235">
        <f>$E$229*'Médias por UF'!BI113</f>
        <v>0</v>
      </c>
      <c r="E127" s="235">
        <f>$E$229*'Médias por UF'!BJ113</f>
        <v>0</v>
      </c>
      <c r="F127" s="235">
        <f>$E$229*'Médias por UF'!BK113</f>
        <v>0</v>
      </c>
      <c r="G127" s="235">
        <f>$E$229*'Médias por UF'!BL113</f>
        <v>0</v>
      </c>
      <c r="H127" s="235">
        <f>$E$229*'Médias por UF'!BM113</f>
        <v>0</v>
      </c>
      <c r="I127" s="235">
        <f>$E$229*'Médias por UF'!BN113</f>
        <v>0</v>
      </c>
      <c r="J127" s="235">
        <f>$E$229*'Médias por UF'!BO113</f>
        <v>0</v>
      </c>
      <c r="K127" s="235">
        <f>$E$229*'Médias por UF'!BP113</f>
        <v>0</v>
      </c>
      <c r="L127" s="235">
        <f>$E$229*'Médias por UF'!BQ113</f>
        <v>0</v>
      </c>
      <c r="M127" s="235">
        <f>$E$229*'Médias por UF'!BR113</f>
        <v>0</v>
      </c>
      <c r="N127" s="235">
        <f t="shared" si="39"/>
        <v>0</v>
      </c>
      <c r="P127" s="237" t="s">
        <v>139</v>
      </c>
      <c r="Q127" s="235">
        <f>'Médias por UF'!BG113*'Evolução das Receitas'!$T$229</f>
        <v>0</v>
      </c>
      <c r="R127" s="235">
        <f>'Médias por UF'!BH113*'Evolução das Receitas'!$T$229</f>
        <v>0</v>
      </c>
      <c r="S127" s="235">
        <f>'Médias por UF'!BI113*'Evolução das Receitas'!$T$229</f>
        <v>0</v>
      </c>
      <c r="T127" s="235">
        <f>'Médias por UF'!BJ113*'Evolução das Receitas'!$T$229</f>
        <v>0</v>
      </c>
      <c r="U127" s="235">
        <f>'Médias por UF'!BK113*'Evolução das Receitas'!$T$229</f>
        <v>0</v>
      </c>
      <c r="V127" s="235">
        <f>'Médias por UF'!BL113*'Evolução das Receitas'!$T$229</f>
        <v>0</v>
      </c>
      <c r="W127" s="235">
        <f>'Médias por UF'!BM113*'Evolução das Receitas'!$T$229</f>
        <v>0</v>
      </c>
      <c r="X127" s="235">
        <f>'Médias por UF'!BN113*'Evolução das Receitas'!$T$229</f>
        <v>0</v>
      </c>
      <c r="Y127" s="235">
        <f>'Médias por UF'!BO113*'Evolução das Receitas'!$T$229</f>
        <v>0</v>
      </c>
      <c r="Z127" s="235">
        <f>'Médias por UF'!BP113*'Evolução das Receitas'!$T$229</f>
        <v>0</v>
      </c>
      <c r="AA127" s="235">
        <f>'Médias por UF'!BQ113*'Evolução das Receitas'!$T$229</f>
        <v>0</v>
      </c>
      <c r="AB127" s="235">
        <f>'Médias por UF'!BR113*'Evolução das Receitas'!$T$229</f>
        <v>0</v>
      </c>
      <c r="AC127" s="235">
        <f t="shared" si="40"/>
        <v>0</v>
      </c>
      <c r="AE127" s="237" t="s">
        <v>139</v>
      </c>
      <c r="AF127" s="235">
        <f>JAN!E25+JAN!V25</f>
        <v>21485.028000000002</v>
      </c>
      <c r="AG127" s="235">
        <f>FEV!E25+FEV!V25+AF127</f>
        <v>44703.604000000007</v>
      </c>
      <c r="AH127" s="235">
        <f>MAR!E25+MAR!V25+AG127</f>
        <v>60995.406000000003</v>
      </c>
      <c r="AI127" s="235">
        <f>ABR!E25+ABR!V25+AH127</f>
        <v>83099.662000000011</v>
      </c>
      <c r="AJ127" s="235">
        <f>MAI!E25+MAI!V25</f>
        <v>0</v>
      </c>
      <c r="AK127" s="235">
        <f>JUN!E25+JUN!V25</f>
        <v>0</v>
      </c>
      <c r="AL127" s="235">
        <f>JUL!E25+JUL!V25</f>
        <v>0</v>
      </c>
      <c r="AM127" s="235">
        <f>AGO!E25+AGO!V25</f>
        <v>0</v>
      </c>
      <c r="AN127" s="235">
        <f>SET!E25+SET!V25</f>
        <v>0</v>
      </c>
      <c r="AO127" s="235">
        <f>OUT!E25+OUT!V25</f>
        <v>0</v>
      </c>
      <c r="AP127" s="235">
        <f>NOV!E25+NOV!V25</f>
        <v>0</v>
      </c>
      <c r="AQ127" s="235">
        <f>DEZ!E25+DEZ!V25</f>
        <v>0</v>
      </c>
      <c r="AR127" s="235">
        <f t="shared" si="41"/>
        <v>83099.662000000011</v>
      </c>
    </row>
    <row r="128" spans="1:44">
      <c r="A128" s="242" t="s">
        <v>140</v>
      </c>
      <c r="B128" s="235">
        <f>$E$230*'Médias por UF'!BG114</f>
        <v>0</v>
      </c>
      <c r="C128" s="235">
        <f>$E$230*'Médias por UF'!BH114</f>
        <v>0</v>
      </c>
      <c r="D128" s="235">
        <f>$E$230*'Médias por UF'!BI114</f>
        <v>0</v>
      </c>
      <c r="E128" s="235">
        <f>$E$230*'Médias por UF'!BJ114</f>
        <v>0</v>
      </c>
      <c r="F128" s="235">
        <f>$E$230*'Médias por UF'!BK114</f>
        <v>0</v>
      </c>
      <c r="G128" s="235">
        <f>$E$230*'Médias por UF'!BL114</f>
        <v>0</v>
      </c>
      <c r="H128" s="235">
        <f>$E$230*'Médias por UF'!BM114</f>
        <v>0</v>
      </c>
      <c r="I128" s="235">
        <f>$E$230*'Médias por UF'!BN114</f>
        <v>0</v>
      </c>
      <c r="J128" s="235">
        <f>$E$230*'Médias por UF'!BO114</f>
        <v>0</v>
      </c>
      <c r="K128" s="235">
        <f>$E$230*'Médias por UF'!BP114</f>
        <v>0</v>
      </c>
      <c r="L128" s="235">
        <f>$E$230*'Médias por UF'!BQ114</f>
        <v>0</v>
      </c>
      <c r="M128" s="235">
        <f>$E$230*'Médias por UF'!BR114</f>
        <v>0</v>
      </c>
      <c r="N128" s="235">
        <f t="shared" si="39"/>
        <v>0</v>
      </c>
      <c r="P128" s="237" t="s">
        <v>140</v>
      </c>
      <c r="Q128" s="235">
        <f>'Médias por UF'!BG114*'Evolução das Receitas'!$T$230</f>
        <v>0</v>
      </c>
      <c r="R128" s="235">
        <f>'Médias por UF'!BH114*'Evolução das Receitas'!$T$230</f>
        <v>0</v>
      </c>
      <c r="S128" s="235">
        <f>'Médias por UF'!BI114*'Evolução das Receitas'!$T$230</f>
        <v>0</v>
      </c>
      <c r="T128" s="235">
        <f>'Médias por UF'!BJ114*'Evolução das Receitas'!$T$230</f>
        <v>0</v>
      </c>
      <c r="U128" s="235">
        <f>'Médias por UF'!BK114*'Evolução das Receitas'!$T$230</f>
        <v>0</v>
      </c>
      <c r="V128" s="235">
        <f>'Médias por UF'!BL114*'Evolução das Receitas'!$T$230</f>
        <v>0</v>
      </c>
      <c r="W128" s="235">
        <f>'Médias por UF'!BM114*'Evolução das Receitas'!$T$230</f>
        <v>0</v>
      </c>
      <c r="X128" s="235">
        <f>'Médias por UF'!BN114*'Evolução das Receitas'!$T$230</f>
        <v>0</v>
      </c>
      <c r="Y128" s="235">
        <f>'Médias por UF'!BO114*'Evolução das Receitas'!$T$230</f>
        <v>0</v>
      </c>
      <c r="Z128" s="235">
        <f>'Médias por UF'!BP114*'Evolução das Receitas'!$T$230</f>
        <v>0</v>
      </c>
      <c r="AA128" s="235">
        <f>'Médias por UF'!BQ114*'Evolução das Receitas'!$T$230</f>
        <v>0</v>
      </c>
      <c r="AB128" s="235">
        <f>'Médias por UF'!BR114*'Evolução das Receitas'!$T$230</f>
        <v>0</v>
      </c>
      <c r="AC128" s="235">
        <f t="shared" si="40"/>
        <v>0</v>
      </c>
      <c r="AE128" s="237" t="s">
        <v>140</v>
      </c>
      <c r="AF128" s="235">
        <f>JAN!E26+JAN!V26</f>
        <v>828.5440000000001</v>
      </c>
      <c r="AG128" s="235">
        <f>FEV!E26+FEV!V26+AF128</f>
        <v>1752.4160000000002</v>
      </c>
      <c r="AH128" s="235">
        <f>MAR!E26+MAR!V26+AG128</f>
        <v>2335.8720000000003</v>
      </c>
      <c r="AI128" s="235">
        <f>ABR!E26+ABR!V26+AH128</f>
        <v>3695.0320000000002</v>
      </c>
      <c r="AJ128" s="235">
        <f>MAI!E26+MAI!V26</f>
        <v>0</v>
      </c>
      <c r="AK128" s="235">
        <f>JUN!E26+JUN!V26</f>
        <v>0</v>
      </c>
      <c r="AL128" s="235">
        <f>JUL!E26+JUL!V26</f>
        <v>0</v>
      </c>
      <c r="AM128" s="235">
        <f>AGO!E26+AGO!V26</f>
        <v>0</v>
      </c>
      <c r="AN128" s="235">
        <f>SET!E26+SET!V26</f>
        <v>0</v>
      </c>
      <c r="AO128" s="235">
        <f>OUT!E26+OUT!V26</f>
        <v>0</v>
      </c>
      <c r="AP128" s="235">
        <f>NOV!E26+NOV!V26</f>
        <v>0</v>
      </c>
      <c r="AQ128" s="235">
        <f>DEZ!E26+DEZ!V26</f>
        <v>0</v>
      </c>
      <c r="AR128" s="235">
        <f t="shared" si="41"/>
        <v>3695.0320000000002</v>
      </c>
    </row>
    <row r="129" spans="1:45">
      <c r="A129" s="242" t="s">
        <v>141</v>
      </c>
      <c r="B129" s="235">
        <f>$E$231*'Médias por UF'!BG115</f>
        <v>0</v>
      </c>
      <c r="C129" s="235">
        <f>$E$231*'Médias por UF'!BH115</f>
        <v>0</v>
      </c>
      <c r="D129" s="235">
        <f>$E$231*'Médias por UF'!BI115</f>
        <v>0</v>
      </c>
      <c r="E129" s="235">
        <f>$E$231*'Médias por UF'!BJ115</f>
        <v>0</v>
      </c>
      <c r="F129" s="235">
        <f>$E$231*'Médias por UF'!BK115</f>
        <v>0</v>
      </c>
      <c r="G129" s="235">
        <f>$E$231*'Médias por UF'!BL115</f>
        <v>0</v>
      </c>
      <c r="H129" s="235">
        <f>$E$231*'Médias por UF'!BM115</f>
        <v>0</v>
      </c>
      <c r="I129" s="235">
        <f>$E$231*'Médias por UF'!BN115</f>
        <v>0</v>
      </c>
      <c r="J129" s="235">
        <f>$E$231*'Médias por UF'!BO115</f>
        <v>0</v>
      </c>
      <c r="K129" s="235">
        <f>$E$231*'Médias por UF'!BP115</f>
        <v>0</v>
      </c>
      <c r="L129" s="235">
        <f>$E$231*'Médias por UF'!BQ115</f>
        <v>0</v>
      </c>
      <c r="M129" s="235">
        <f>$E$231*'Médias por UF'!BR115</f>
        <v>0</v>
      </c>
      <c r="N129" s="235">
        <f t="shared" si="39"/>
        <v>0</v>
      </c>
      <c r="P129" s="237" t="s">
        <v>141</v>
      </c>
      <c r="Q129" s="235">
        <f>'Médias por UF'!BG115*'Evolução das Receitas'!$T$231</f>
        <v>0</v>
      </c>
      <c r="R129" s="235">
        <f>'Médias por UF'!BH115*'Evolução das Receitas'!$T$231</f>
        <v>0</v>
      </c>
      <c r="S129" s="235">
        <f>'Médias por UF'!BI115*'Evolução das Receitas'!$T$231</f>
        <v>0</v>
      </c>
      <c r="T129" s="235">
        <f>'Médias por UF'!BJ115*'Evolução das Receitas'!$T$231</f>
        <v>0</v>
      </c>
      <c r="U129" s="235">
        <f>'Médias por UF'!BK115*'Evolução das Receitas'!$T$231</f>
        <v>0</v>
      </c>
      <c r="V129" s="235">
        <f>'Médias por UF'!BL115*'Evolução das Receitas'!$T$231</f>
        <v>0</v>
      </c>
      <c r="W129" s="235">
        <f>'Médias por UF'!BM115*'Evolução das Receitas'!$T$231</f>
        <v>0</v>
      </c>
      <c r="X129" s="235">
        <f>'Médias por UF'!BN115*'Evolução das Receitas'!$T$231</f>
        <v>0</v>
      </c>
      <c r="Y129" s="235">
        <f>'Médias por UF'!BO115*'Evolução das Receitas'!$T$231</f>
        <v>0</v>
      </c>
      <c r="Z129" s="235">
        <f>'Médias por UF'!BP115*'Evolução das Receitas'!$T$231</f>
        <v>0</v>
      </c>
      <c r="AA129" s="235">
        <f>'Médias por UF'!BQ115*'Evolução das Receitas'!$T$231</f>
        <v>0</v>
      </c>
      <c r="AB129" s="235">
        <f>'Médias por UF'!BR115*'Evolução das Receitas'!$T$231</f>
        <v>0</v>
      </c>
      <c r="AC129" s="235">
        <f t="shared" si="40"/>
        <v>0</v>
      </c>
      <c r="AE129" s="237" t="s">
        <v>141</v>
      </c>
      <c r="AF129" s="235">
        <f>JAN!E27+JAN!V27</f>
        <v>0</v>
      </c>
      <c r="AG129" s="235">
        <f>FEV!E27+FEV!V27+AF129</f>
        <v>67.84</v>
      </c>
      <c r="AH129" s="235">
        <f>MAR!E27+MAR!V27+AG129</f>
        <v>67.84</v>
      </c>
      <c r="AI129" s="235">
        <f>ABR!E27+ABR!V27+AH129</f>
        <v>152.43200000000002</v>
      </c>
      <c r="AJ129" s="235">
        <f>MAI!E27+MAI!V27</f>
        <v>0</v>
      </c>
      <c r="AK129" s="235">
        <f>JUN!E27+JUN!V27</f>
        <v>0</v>
      </c>
      <c r="AL129" s="235">
        <f>JUL!E27+JUL!V27</f>
        <v>0</v>
      </c>
      <c r="AM129" s="235">
        <f>AGO!E27+AGO!V27</f>
        <v>0</v>
      </c>
      <c r="AN129" s="235">
        <f>SET!E27+SET!V27</f>
        <v>0</v>
      </c>
      <c r="AO129" s="235">
        <f>OUT!E27+OUT!V27</f>
        <v>0</v>
      </c>
      <c r="AP129" s="235">
        <f>NOV!E27+NOV!V27</f>
        <v>0</v>
      </c>
      <c r="AQ129" s="235">
        <f>DEZ!E27+DEZ!V27</f>
        <v>0</v>
      </c>
      <c r="AR129" s="235">
        <f t="shared" si="41"/>
        <v>152.43200000000002</v>
      </c>
    </row>
    <row r="130" spans="1:45">
      <c r="A130" s="242" t="s">
        <v>142</v>
      </c>
      <c r="B130" s="235">
        <f>$E$232*'Médias por UF'!BG116</f>
        <v>0</v>
      </c>
      <c r="C130" s="235">
        <f>$E$232*'Médias por UF'!BH116</f>
        <v>0</v>
      </c>
      <c r="D130" s="235">
        <f>$E$232*'Médias por UF'!BI116</f>
        <v>0</v>
      </c>
      <c r="E130" s="235">
        <f>$E$232*'Médias por UF'!BJ116</f>
        <v>0</v>
      </c>
      <c r="F130" s="235">
        <f>$E$232*'Médias por UF'!BK116</f>
        <v>0</v>
      </c>
      <c r="G130" s="235">
        <f>$E$232*'Médias por UF'!BL116</f>
        <v>0</v>
      </c>
      <c r="H130" s="235">
        <f>$E$232*'Médias por UF'!BM116</f>
        <v>0</v>
      </c>
      <c r="I130" s="235">
        <f>$E$232*'Médias por UF'!BN116</f>
        <v>0</v>
      </c>
      <c r="J130" s="235">
        <f>$E$232*'Médias por UF'!BO116</f>
        <v>0</v>
      </c>
      <c r="K130" s="235">
        <f>$E$232*'Médias por UF'!BP116</f>
        <v>0</v>
      </c>
      <c r="L130" s="235">
        <f>$E$232*'Médias por UF'!BQ116</f>
        <v>0</v>
      </c>
      <c r="M130" s="235">
        <f>$E$232*'Médias por UF'!BR116</f>
        <v>0</v>
      </c>
      <c r="N130" s="235">
        <f t="shared" si="39"/>
        <v>0</v>
      </c>
      <c r="P130" s="237" t="s">
        <v>142</v>
      </c>
      <c r="Q130" s="235">
        <f>'Médias por UF'!BG116*'Evolução das Receitas'!$T$232</f>
        <v>0</v>
      </c>
      <c r="R130" s="235">
        <f>'Médias por UF'!BH116*'Evolução das Receitas'!$T$232</f>
        <v>0</v>
      </c>
      <c r="S130" s="235">
        <f>'Médias por UF'!BI116*'Evolução das Receitas'!$T$232</f>
        <v>0</v>
      </c>
      <c r="T130" s="235">
        <f>'Médias por UF'!BJ116*'Evolução das Receitas'!$T$232</f>
        <v>0</v>
      </c>
      <c r="U130" s="235">
        <f>'Médias por UF'!BK116*'Evolução das Receitas'!$T$232</f>
        <v>0</v>
      </c>
      <c r="V130" s="235">
        <f>'Médias por UF'!BL116*'Evolução das Receitas'!$T$232</f>
        <v>0</v>
      </c>
      <c r="W130" s="235">
        <f>'Médias por UF'!BM116*'Evolução das Receitas'!$T$232</f>
        <v>0</v>
      </c>
      <c r="X130" s="235">
        <f>'Médias por UF'!BN116*'Evolução das Receitas'!$T$232</f>
        <v>0</v>
      </c>
      <c r="Y130" s="235">
        <f>'Médias por UF'!BO116*'Evolução das Receitas'!$T$232</f>
        <v>0</v>
      </c>
      <c r="Z130" s="235">
        <f>'Médias por UF'!BP116*'Evolução das Receitas'!$T$232</f>
        <v>0</v>
      </c>
      <c r="AA130" s="235">
        <f>'Médias por UF'!BQ116*'Evolução das Receitas'!$T$232</f>
        <v>0</v>
      </c>
      <c r="AB130" s="235">
        <f>'Médias por UF'!BR116*'Evolução das Receitas'!$T$232</f>
        <v>0</v>
      </c>
      <c r="AC130" s="235">
        <f t="shared" si="40"/>
        <v>0</v>
      </c>
      <c r="AE130" s="237" t="s">
        <v>142</v>
      </c>
      <c r="AF130" s="235">
        <f>JAN!E28+JAN!V28</f>
        <v>9501.4</v>
      </c>
      <c r="AG130" s="235">
        <f>FEV!E28+FEV!V28+AF130</f>
        <v>17673.392</v>
      </c>
      <c r="AH130" s="235">
        <f>MAR!E28+MAR!V28+AG130</f>
        <v>26222.872000000003</v>
      </c>
      <c r="AI130" s="235">
        <f>ABR!E28+ABR!V28+AH130</f>
        <v>33841.392000000007</v>
      </c>
      <c r="AJ130" s="235">
        <f>MAI!E28+MAI!V28</f>
        <v>0</v>
      </c>
      <c r="AK130" s="235">
        <f>JUN!E28+JUN!V28</f>
        <v>0</v>
      </c>
      <c r="AL130" s="235">
        <f>JUL!E28+JUL!V28</f>
        <v>0</v>
      </c>
      <c r="AM130" s="235">
        <f>AGO!E28+AGO!V28</f>
        <v>0</v>
      </c>
      <c r="AN130" s="235">
        <f>SET!E28+SET!V28</f>
        <v>0</v>
      </c>
      <c r="AO130" s="235">
        <f>OUT!E28+OUT!V28</f>
        <v>0</v>
      </c>
      <c r="AP130" s="235">
        <f>NOV!E28+NOV!V28</f>
        <v>0</v>
      </c>
      <c r="AQ130" s="235">
        <f>DEZ!E28+DEZ!V28</f>
        <v>0</v>
      </c>
      <c r="AR130" s="235">
        <f t="shared" si="41"/>
        <v>33841.392000000007</v>
      </c>
    </row>
    <row r="131" spans="1:45">
      <c r="A131" s="242" t="s">
        <v>143</v>
      </c>
      <c r="B131" s="235">
        <f>$E$233*'Médias por UF'!BG117</f>
        <v>57228.463825798724</v>
      </c>
      <c r="C131" s="235">
        <f>$E$233*'Médias por UF'!BH117</f>
        <v>88879.012339513618</v>
      </c>
      <c r="D131" s="235">
        <f>$E$233*'Médias por UF'!BI117</f>
        <v>115556.81644434594</v>
      </c>
      <c r="E131" s="235">
        <f>$E$233*'Médias por UF'!BJ117</f>
        <v>137321.8591556309</v>
      </c>
      <c r="F131" s="235">
        <f>$E$233*'Médias por UF'!BK117</f>
        <v>161949.11874717375</v>
      </c>
      <c r="G131" s="235">
        <f>$E$233*'Médias por UF'!BL117</f>
        <v>179948.41157574538</v>
      </c>
      <c r="H131" s="235">
        <f>$E$233*'Médias por UF'!BM117</f>
        <v>199522.02105604729</v>
      </c>
      <c r="I131" s="235">
        <f>$E$233*'Médias por UF'!BN117</f>
        <v>221406.56037951267</v>
      </c>
      <c r="J131" s="235">
        <f>$E$233*'Médias por UF'!BO117</f>
        <v>235464.01769601554</v>
      </c>
      <c r="K131" s="235">
        <f>$E$233*'Médias por UF'!BP117</f>
        <v>257308.0979772257</v>
      </c>
      <c r="L131" s="235">
        <f>$E$233*'Médias por UF'!BQ117</f>
        <v>276313.86938771483</v>
      </c>
      <c r="M131" s="235">
        <f>$E$233*'Médias por UF'!BR117</f>
        <v>290779.50842432189</v>
      </c>
      <c r="N131" s="235">
        <f t="shared" si="39"/>
        <v>290779.50842432189</v>
      </c>
      <c r="P131" s="237" t="s">
        <v>143</v>
      </c>
      <c r="Q131" s="235">
        <f>'Médias por UF'!BG117*'Evolução das Receitas'!$T$233</f>
        <v>57228.463825798724</v>
      </c>
      <c r="R131" s="235">
        <f>'Médias por UF'!BH117*'Evolução das Receitas'!$T$233</f>
        <v>88879.012339513618</v>
      </c>
      <c r="S131" s="235">
        <f>'Médias por UF'!BI117*'Evolução das Receitas'!$T$233</f>
        <v>115556.81644434594</v>
      </c>
      <c r="T131" s="235">
        <f>'Médias por UF'!BJ117*'Evolução das Receitas'!$T$233</f>
        <v>137321.8591556309</v>
      </c>
      <c r="U131" s="235">
        <f>'Médias por UF'!BK117*'Evolução das Receitas'!$T$233</f>
        <v>161949.11874717375</v>
      </c>
      <c r="V131" s="235">
        <f>'Médias por UF'!BL117*'Evolução das Receitas'!$T$233</f>
        <v>179948.41157574538</v>
      </c>
      <c r="W131" s="235">
        <f>'Médias por UF'!BM117*'Evolução das Receitas'!$T$233</f>
        <v>199522.02105604729</v>
      </c>
      <c r="X131" s="235">
        <f>'Médias por UF'!BN117*'Evolução das Receitas'!$T$233</f>
        <v>221406.56037951267</v>
      </c>
      <c r="Y131" s="235">
        <f>'Médias por UF'!BO117*'Evolução das Receitas'!$T$233</f>
        <v>235464.01769601554</v>
      </c>
      <c r="Z131" s="235">
        <f>'Médias por UF'!BP117*'Evolução das Receitas'!$T$233</f>
        <v>257308.0979772257</v>
      </c>
      <c r="AA131" s="235">
        <f>'Médias por UF'!BQ117*'Evolução das Receitas'!$T$233</f>
        <v>276313.86938771483</v>
      </c>
      <c r="AB131" s="235">
        <f>'Médias por UF'!BR117*'Evolução das Receitas'!$T$233</f>
        <v>290779.50842432189</v>
      </c>
      <c r="AC131" s="235">
        <f t="shared" si="40"/>
        <v>290779.50842432189</v>
      </c>
      <c r="AE131" s="237" t="s">
        <v>143</v>
      </c>
      <c r="AF131" s="235">
        <f>JAN!E29+JAN!V29</f>
        <v>39593.741999999998</v>
      </c>
      <c r="AG131" s="235">
        <f>FEV!E29+FEV!V29+AF131</f>
        <v>87904.55799999999</v>
      </c>
      <c r="AH131" s="235">
        <f>MAR!E29+MAR!V29+AG131</f>
        <v>117856.454</v>
      </c>
      <c r="AI131" s="235">
        <f>ABR!E29+ABR!V29+AH131</f>
        <v>154376.66999999998</v>
      </c>
      <c r="AJ131" s="235">
        <f>MAI!E29+MAI!V29</f>
        <v>0</v>
      </c>
      <c r="AK131" s="235">
        <f>JUN!E29+JUN!V29</f>
        <v>0</v>
      </c>
      <c r="AL131" s="235">
        <f>JUL!E29+JUL!V29</f>
        <v>0</v>
      </c>
      <c r="AM131" s="235">
        <f>AGO!E29+AGO!V29</f>
        <v>0</v>
      </c>
      <c r="AN131" s="235">
        <f>SET!E29+SET!V29</f>
        <v>0</v>
      </c>
      <c r="AO131" s="235">
        <f>OUT!E29+OUT!V29</f>
        <v>0</v>
      </c>
      <c r="AP131" s="235">
        <f>NOV!E29+NOV!V29</f>
        <v>0</v>
      </c>
      <c r="AQ131" s="235">
        <f>DEZ!E29+DEZ!V29</f>
        <v>0</v>
      </c>
      <c r="AR131" s="235">
        <f t="shared" si="41"/>
        <v>154376.66999999998</v>
      </c>
    </row>
    <row r="132" spans="1:45">
      <c r="A132" s="242" t="s">
        <v>144</v>
      </c>
      <c r="B132" s="235">
        <f>$E$234*'Médias por UF'!BG118</f>
        <v>1855.5802975384452</v>
      </c>
      <c r="C132" s="235">
        <f>$E$234*'Médias por UF'!BH118</f>
        <v>2605.7574726827497</v>
      </c>
      <c r="D132" s="235">
        <f>$E$234*'Médias por UF'!BI118</f>
        <v>4465.2296322901848</v>
      </c>
      <c r="E132" s="235">
        <f>$E$234*'Médias por UF'!BJ118</f>
        <v>5403.2916434875633</v>
      </c>
      <c r="F132" s="235">
        <f>$E$234*'Médias por UF'!BK118</f>
        <v>5721.5225190352339</v>
      </c>
      <c r="G132" s="235">
        <f>$E$234*'Médias por UF'!BL118</f>
        <v>5978.1360098074019</v>
      </c>
      <c r="H132" s="235">
        <f>$E$234*'Médias por UF'!BM118</f>
        <v>6140.5839130098029</v>
      </c>
      <c r="I132" s="235">
        <f>$E$234*'Médias por UF'!BN118</f>
        <v>6277.2232803180514</v>
      </c>
      <c r="J132" s="235">
        <f>$E$234*'Médias por UF'!BO118</f>
        <v>6424.2075017454754</v>
      </c>
      <c r="K132" s="235">
        <f>$E$234*'Médias por UF'!BP118</f>
        <v>6711.0406354829147</v>
      </c>
      <c r="L132" s="235">
        <f>$E$234*'Médias por UF'!BQ118</f>
        <v>7330.2523643557988</v>
      </c>
      <c r="M132" s="235">
        <f>$E$234*'Médias por UF'!BR118</f>
        <v>7758</v>
      </c>
      <c r="N132" s="235">
        <f t="shared" si="39"/>
        <v>7758</v>
      </c>
      <c r="P132" s="237" t="s">
        <v>144</v>
      </c>
      <c r="Q132" s="235">
        <f>'Médias por UF'!BG118*'Evolução das Receitas'!$T$234</f>
        <v>1855.5802975384452</v>
      </c>
      <c r="R132" s="235">
        <f>'Médias por UF'!BH118*'Evolução das Receitas'!$T$234</f>
        <v>2605.7574726827497</v>
      </c>
      <c r="S132" s="235">
        <f>'Médias por UF'!BI118*'Evolução das Receitas'!$T$234</f>
        <v>4465.2296322901848</v>
      </c>
      <c r="T132" s="235">
        <f>'Médias por UF'!BJ118*'Evolução das Receitas'!$T$234</f>
        <v>5403.2916434875633</v>
      </c>
      <c r="U132" s="235">
        <f>'Médias por UF'!BK118*'Evolução das Receitas'!$T$234</f>
        <v>5721.5225190352339</v>
      </c>
      <c r="V132" s="235">
        <f>'Médias por UF'!BL118*'Evolução das Receitas'!$T$234</f>
        <v>5978.1360098074019</v>
      </c>
      <c r="W132" s="235">
        <f>'Médias por UF'!BM118*'Evolução das Receitas'!$T$234</f>
        <v>6140.5839130098029</v>
      </c>
      <c r="X132" s="235">
        <f>'Médias por UF'!BN118*'Evolução das Receitas'!$T$234</f>
        <v>6277.2232803180514</v>
      </c>
      <c r="Y132" s="235">
        <f>'Médias por UF'!BO118*'Evolução das Receitas'!$T$234</f>
        <v>6424.2075017454754</v>
      </c>
      <c r="Z132" s="235">
        <f>'Médias por UF'!BP118*'Evolução das Receitas'!$T$234</f>
        <v>6711.0406354829147</v>
      </c>
      <c r="AA132" s="235">
        <f>'Médias por UF'!BQ118*'Evolução das Receitas'!$T$234</f>
        <v>7330.2523643557988</v>
      </c>
      <c r="AB132" s="235">
        <f>'Médias por UF'!BR118*'Evolução das Receitas'!$T$234</f>
        <v>7758</v>
      </c>
      <c r="AC132" s="235">
        <f t="shared" si="40"/>
        <v>7758</v>
      </c>
      <c r="AE132" s="237" t="s">
        <v>144</v>
      </c>
      <c r="AF132" s="235">
        <f>JAN!E30+JAN!V30</f>
        <v>1622.2560000000001</v>
      </c>
      <c r="AG132" s="235">
        <f>FEV!E30+FEV!V30+AF132</f>
        <v>2098.4480000000003</v>
      </c>
      <c r="AH132" s="235">
        <f>MAR!E30+MAR!V30+AG132</f>
        <v>2242.4960000000001</v>
      </c>
      <c r="AI132" s="235">
        <f>ABR!E30+ABR!V30+AH132</f>
        <v>2669.52</v>
      </c>
      <c r="AJ132" s="235">
        <f>MAI!E30+MAI!V30</f>
        <v>0</v>
      </c>
      <c r="AK132" s="235">
        <f>JUN!E30+JUN!V30</f>
        <v>0</v>
      </c>
      <c r="AL132" s="235">
        <f>JUL!E30+JUL!V30</f>
        <v>0</v>
      </c>
      <c r="AM132" s="235">
        <f>AGO!E30+AGO!V30</f>
        <v>0</v>
      </c>
      <c r="AN132" s="235">
        <f>SET!E30+SET!V30</f>
        <v>0</v>
      </c>
      <c r="AO132" s="235">
        <f>OUT!E30+OUT!V30</f>
        <v>0</v>
      </c>
      <c r="AP132" s="235">
        <f>NOV!E30+NOV!V30</f>
        <v>0</v>
      </c>
      <c r="AQ132" s="235">
        <f>DEZ!E30+DEZ!V30</f>
        <v>0</v>
      </c>
      <c r="AR132" s="235">
        <f t="shared" si="41"/>
        <v>2669.52</v>
      </c>
    </row>
    <row r="133" spans="1:45">
      <c r="A133" s="242" t="s">
        <v>145</v>
      </c>
      <c r="B133" s="235">
        <f>$E$235*'Médias por UF'!BG119</f>
        <v>780.26859942222336</v>
      </c>
      <c r="C133" s="235">
        <f>$E$235*'Médias por UF'!BH119</f>
        <v>1309.0212389261744</v>
      </c>
      <c r="D133" s="235">
        <f>$E$235*'Médias por UF'!BI119</f>
        <v>1723.8697296053199</v>
      </c>
      <c r="E133" s="235">
        <f>$E$235*'Médias por UF'!BJ119</f>
        <v>1937.2451983792168</v>
      </c>
      <c r="F133" s="235">
        <f>$E$235*'Médias por UF'!BK119</f>
        <v>2186.566305092811</v>
      </c>
      <c r="G133" s="235">
        <f>$E$235*'Médias por UF'!BL119</f>
        <v>2628.2755752601201</v>
      </c>
      <c r="H133" s="235">
        <f>$E$235*'Médias por UF'!BM119</f>
        <v>3384.9834126411665</v>
      </c>
      <c r="I133" s="235">
        <f>$E$235*'Médias por UF'!BN119</f>
        <v>4157.8007439452731</v>
      </c>
      <c r="J133" s="235">
        <f>$E$235*'Médias por UF'!BO119</f>
        <v>4352.066063123073</v>
      </c>
      <c r="K133" s="235">
        <f>$E$235*'Médias por UF'!BP119</f>
        <v>4599.8462410330158</v>
      </c>
      <c r="L133" s="235">
        <f>$E$235*'Médias por UF'!BQ119</f>
        <v>5132.7375132958487</v>
      </c>
      <c r="M133" s="235">
        <f>$E$235*'Médias por UF'!BR119</f>
        <v>5391</v>
      </c>
      <c r="N133" s="235">
        <f t="shared" si="39"/>
        <v>5391</v>
      </c>
      <c r="P133" s="237" t="s">
        <v>145</v>
      </c>
      <c r="Q133" s="235">
        <f>'Médias por UF'!BG119*'Evolução das Receitas'!$T$235</f>
        <v>780.26859942222336</v>
      </c>
      <c r="R133" s="235">
        <f>'Médias por UF'!BH119*'Evolução das Receitas'!$T$235</f>
        <v>1309.0212389261744</v>
      </c>
      <c r="S133" s="235">
        <f>'Médias por UF'!BI119*'Evolução das Receitas'!$T$235</f>
        <v>1723.8697296053199</v>
      </c>
      <c r="T133" s="235">
        <f>'Médias por UF'!BJ119*'Evolução das Receitas'!$T$235</f>
        <v>1937.2451983792168</v>
      </c>
      <c r="U133" s="235">
        <f>'Médias por UF'!BK119*'Evolução das Receitas'!$T$235</f>
        <v>2186.566305092811</v>
      </c>
      <c r="V133" s="235">
        <f>'Médias por UF'!BL119*'Evolução das Receitas'!$T$235</f>
        <v>2628.2755752601201</v>
      </c>
      <c r="W133" s="235">
        <f>'Médias por UF'!BM119*'Evolução das Receitas'!$T$235</f>
        <v>3384.9834126411665</v>
      </c>
      <c r="X133" s="235">
        <f>'Médias por UF'!BN119*'Evolução das Receitas'!$T$235</f>
        <v>4157.8007439452731</v>
      </c>
      <c r="Y133" s="235">
        <f>'Médias por UF'!BO119*'Evolução das Receitas'!$T$235</f>
        <v>4352.066063123073</v>
      </c>
      <c r="Z133" s="235">
        <f>'Médias por UF'!BP119*'Evolução das Receitas'!$T$235</f>
        <v>4599.8462410330158</v>
      </c>
      <c r="AA133" s="235">
        <f>'Médias por UF'!BQ119*'Evolução das Receitas'!$T$235</f>
        <v>5132.7375132958487</v>
      </c>
      <c r="AB133" s="235">
        <f>'Médias por UF'!BR119*'Evolução das Receitas'!$T$235</f>
        <v>5391</v>
      </c>
      <c r="AC133" s="235">
        <f t="shared" si="40"/>
        <v>5391</v>
      </c>
      <c r="AE133" s="237" t="s">
        <v>145</v>
      </c>
      <c r="AF133" s="235">
        <f>JAN!E31+JAN!V31</f>
        <v>2671.768</v>
      </c>
      <c r="AG133" s="235">
        <f>FEV!E31+FEV!V31+AF133</f>
        <v>3075.4</v>
      </c>
      <c r="AH133" s="235">
        <f>MAR!E31+MAR!V31+AG133</f>
        <v>5898.8240000000005</v>
      </c>
      <c r="AI133" s="235">
        <f>ABR!E31+ABR!V31+AH133</f>
        <v>7135.7040000000006</v>
      </c>
      <c r="AJ133" s="235">
        <f>MAI!E31+MAI!V31</f>
        <v>0</v>
      </c>
      <c r="AK133" s="235">
        <f>JUN!E31+JUN!V31</f>
        <v>0</v>
      </c>
      <c r="AL133" s="235">
        <f>JUL!E31+JUL!V31</f>
        <v>0</v>
      </c>
      <c r="AM133" s="235">
        <f>AGO!E31+AGO!V31</f>
        <v>0</v>
      </c>
      <c r="AN133" s="235">
        <f>SET!E31+SET!V31</f>
        <v>0</v>
      </c>
      <c r="AO133" s="235">
        <f>OUT!E31+OUT!V31</f>
        <v>0</v>
      </c>
      <c r="AP133" s="235">
        <f>NOV!E31+NOV!V31</f>
        <v>0</v>
      </c>
      <c r="AQ133" s="235">
        <f>DEZ!E31+DEZ!V31</f>
        <v>0</v>
      </c>
      <c r="AR133" s="235">
        <f t="shared" si="41"/>
        <v>7135.7040000000006</v>
      </c>
    </row>
    <row r="134" spans="1:45">
      <c r="A134" s="243" t="s">
        <v>37</v>
      </c>
      <c r="B134" s="236">
        <f>SUM(B107:B133)</f>
        <v>124722.61200056353</v>
      </c>
      <c r="C134" s="236">
        <f t="shared" ref="C134:D134" si="42">SUM(C107:C133)</f>
        <v>204472.66808154903</v>
      </c>
      <c r="D134" s="236">
        <f t="shared" si="42"/>
        <v>272112.79833083838</v>
      </c>
      <c r="E134" s="236">
        <f>SUM(E107:E133)</f>
        <v>332528.66071134026</v>
      </c>
      <c r="F134" s="236">
        <f t="shared" ref="F134:N134" si="43">SUM(F107:F133)</f>
        <v>396082.35477545892</v>
      </c>
      <c r="G134" s="236">
        <f t="shared" si="43"/>
        <v>457425.61291674274</v>
      </c>
      <c r="H134" s="236">
        <f t="shared" si="43"/>
        <v>509433.63124917418</v>
      </c>
      <c r="I134" s="236">
        <f t="shared" si="43"/>
        <v>569391.4012878238</v>
      </c>
      <c r="J134" s="236">
        <f t="shared" si="43"/>
        <v>615314.31196938897</v>
      </c>
      <c r="K134" s="236">
        <f t="shared" si="43"/>
        <v>678281.09983022523</v>
      </c>
      <c r="L134" s="236">
        <f t="shared" si="43"/>
        <v>731686.40497344569</v>
      </c>
      <c r="M134" s="236">
        <f t="shared" si="43"/>
        <v>782719.79842432193</v>
      </c>
      <c r="N134" s="236">
        <f t="shared" si="43"/>
        <v>782719.79842432193</v>
      </c>
      <c r="P134" s="238" t="s">
        <v>37</v>
      </c>
      <c r="Q134" s="236">
        <f>SUM(Q107:Q133)</f>
        <v>124722.61200056353</v>
      </c>
      <c r="R134" s="236">
        <f t="shared" ref="R134:S134" si="44">SUM(R107:R133)</f>
        <v>204472.66808154903</v>
      </c>
      <c r="S134" s="236">
        <f t="shared" si="44"/>
        <v>272112.79833083838</v>
      </c>
      <c r="T134" s="236">
        <f>SUM(T107:T133)</f>
        <v>332528.66071134026</v>
      </c>
      <c r="U134" s="236">
        <f t="shared" ref="U134:AC134" si="45">SUM(U107:U133)</f>
        <v>396082.35477545892</v>
      </c>
      <c r="V134" s="236">
        <f t="shared" si="45"/>
        <v>457425.61291674274</v>
      </c>
      <c r="W134" s="236">
        <f t="shared" si="45"/>
        <v>509433.63124917418</v>
      </c>
      <c r="X134" s="236">
        <f t="shared" si="45"/>
        <v>569391.4012878238</v>
      </c>
      <c r="Y134" s="236">
        <f t="shared" si="45"/>
        <v>615314.31196938897</v>
      </c>
      <c r="Z134" s="236">
        <f t="shared" si="45"/>
        <v>678281.09983022523</v>
      </c>
      <c r="AA134" s="236">
        <f t="shared" si="45"/>
        <v>731686.40497344569</v>
      </c>
      <c r="AB134" s="236">
        <f t="shared" si="45"/>
        <v>782719.79842432193</v>
      </c>
      <c r="AC134" s="236">
        <f t="shared" si="45"/>
        <v>782719.79842432193</v>
      </c>
      <c r="AE134" s="238" t="s">
        <v>37</v>
      </c>
      <c r="AF134" s="236">
        <f>SUM(AF107:AF133)</f>
        <v>168866.96400000001</v>
      </c>
      <c r="AG134" s="236">
        <f t="shared" ref="AG134:AH134" si="46">SUM(AG107:AG133)</f>
        <v>346140.41200000001</v>
      </c>
      <c r="AH134" s="236">
        <f t="shared" si="46"/>
        <v>472524.83</v>
      </c>
      <c r="AI134" s="236">
        <f>SUM(AI107:AI133)</f>
        <v>617757.598</v>
      </c>
      <c r="AJ134" s="236">
        <f t="shared" ref="AJ134:AR134" si="47">SUM(AJ107:AJ133)</f>
        <v>0</v>
      </c>
      <c r="AK134" s="236">
        <f t="shared" si="47"/>
        <v>0</v>
      </c>
      <c r="AL134" s="236">
        <f t="shared" si="47"/>
        <v>0</v>
      </c>
      <c r="AM134" s="236">
        <f t="shared" si="47"/>
        <v>0</v>
      </c>
      <c r="AN134" s="236">
        <f t="shared" si="47"/>
        <v>0</v>
      </c>
      <c r="AO134" s="236">
        <f t="shared" si="47"/>
        <v>0</v>
      </c>
      <c r="AP134" s="236">
        <f t="shared" si="47"/>
        <v>0</v>
      </c>
      <c r="AQ134" s="236">
        <f t="shared" si="47"/>
        <v>0</v>
      </c>
      <c r="AR134" s="236">
        <f t="shared" si="47"/>
        <v>617757.598</v>
      </c>
    </row>
    <row r="135" spans="1:45">
      <c r="N135" s="94">
        <f>N134-SUM(E209:E235)</f>
        <v>0</v>
      </c>
      <c r="AC135" s="94">
        <f>AC134-SUM(T209:T235)</f>
        <v>0</v>
      </c>
      <c r="AR135" s="94">
        <f>AR134-'TOTAL POR UF'!E32</f>
        <v>0</v>
      </c>
    </row>
    <row r="136" spans="1:45">
      <c r="A136" s="242" t="s">
        <v>337</v>
      </c>
      <c r="B136" s="235">
        <f>B134*0.2/0.8</f>
        <v>31180.653000140883</v>
      </c>
      <c r="C136" s="235">
        <f t="shared" ref="C136:M136" si="48">C134*0.2/0.8</f>
        <v>51118.167020387264</v>
      </c>
      <c r="D136" s="235">
        <f t="shared" si="48"/>
        <v>68028.199582709596</v>
      </c>
      <c r="E136" s="235">
        <f t="shared" si="48"/>
        <v>83132.165177835064</v>
      </c>
      <c r="F136" s="235">
        <f t="shared" si="48"/>
        <v>99020.588693864731</v>
      </c>
      <c r="G136" s="235">
        <f t="shared" si="48"/>
        <v>114356.40322918569</v>
      </c>
      <c r="H136" s="235">
        <f t="shared" si="48"/>
        <v>127358.40781229355</v>
      </c>
      <c r="I136" s="235">
        <f t="shared" si="48"/>
        <v>142347.85032195595</v>
      </c>
      <c r="J136" s="235">
        <f t="shared" si="48"/>
        <v>153828.57799234724</v>
      </c>
      <c r="K136" s="235">
        <f t="shared" si="48"/>
        <v>169570.27495755631</v>
      </c>
      <c r="L136" s="235">
        <f t="shared" si="48"/>
        <v>182921.60124336142</v>
      </c>
      <c r="M136" s="235">
        <f t="shared" si="48"/>
        <v>195679.94960608048</v>
      </c>
      <c r="N136" s="235">
        <f t="shared" ref="N136" si="49">M136</f>
        <v>195679.94960608048</v>
      </c>
      <c r="P136" s="242" t="s">
        <v>337</v>
      </c>
      <c r="Q136" s="235">
        <f>Q134*0.2/0.8</f>
        <v>31180.653000140883</v>
      </c>
      <c r="R136" s="235">
        <f t="shared" ref="R136:AB136" si="50">R134*0.2/0.8</f>
        <v>51118.167020387264</v>
      </c>
      <c r="S136" s="235">
        <f t="shared" si="50"/>
        <v>68028.199582709596</v>
      </c>
      <c r="T136" s="235">
        <f t="shared" si="50"/>
        <v>83132.165177835064</v>
      </c>
      <c r="U136" s="235">
        <f t="shared" si="50"/>
        <v>99020.588693864731</v>
      </c>
      <c r="V136" s="235">
        <f t="shared" si="50"/>
        <v>114356.40322918569</v>
      </c>
      <c r="W136" s="235">
        <f t="shared" si="50"/>
        <v>127358.40781229355</v>
      </c>
      <c r="X136" s="235">
        <f t="shared" si="50"/>
        <v>142347.85032195595</v>
      </c>
      <c r="Y136" s="235">
        <f t="shared" si="50"/>
        <v>153828.57799234724</v>
      </c>
      <c r="Z136" s="235">
        <f t="shared" si="50"/>
        <v>169570.27495755631</v>
      </c>
      <c r="AA136" s="235">
        <f t="shared" si="50"/>
        <v>182921.60124336142</v>
      </c>
      <c r="AB136" s="235">
        <f t="shared" si="50"/>
        <v>195679.94960608048</v>
      </c>
      <c r="AC136" s="235">
        <f t="shared" ref="AC136" si="51">AB136</f>
        <v>195679.94960608048</v>
      </c>
      <c r="AE136" s="237" t="s">
        <v>337</v>
      </c>
      <c r="AF136" s="235">
        <f>JAN!E67+JAN!V67</f>
        <v>42090.036</v>
      </c>
      <c r="AG136" s="235">
        <f>FEV!E67+FEV!V67+AF136</f>
        <v>86302.708000000013</v>
      </c>
      <c r="AH136" s="235">
        <f>MAR!E67+MAR!V67+AG136</f>
        <v>117856.79000000001</v>
      </c>
      <c r="AI136" s="235">
        <f>ABR!E67+ABR!V67+AH136</f>
        <v>154164.98200000002</v>
      </c>
      <c r="AJ136" s="235">
        <f>MAI!E67+MAI!V67</f>
        <v>0</v>
      </c>
      <c r="AK136" s="235">
        <f>JUN!E67+JUN!V67</f>
        <v>0</v>
      </c>
      <c r="AL136" s="235">
        <f>JUL!E67+JUL!V67</f>
        <v>0</v>
      </c>
      <c r="AM136" s="235">
        <f>AGO!E67+AGO!V67</f>
        <v>0</v>
      </c>
      <c r="AN136" s="235">
        <f>SET!E67+SET!V67</f>
        <v>0</v>
      </c>
      <c r="AO136" s="235">
        <f>OUT!E67+OUT!V67</f>
        <v>0</v>
      </c>
      <c r="AP136" s="235">
        <f>NOV!E67+NOV!V67</f>
        <v>0</v>
      </c>
      <c r="AQ136" s="235">
        <f>DEZ!E67+DEZ!V67</f>
        <v>0</v>
      </c>
      <c r="AR136" s="235">
        <f>AI136</f>
        <v>154164.98200000002</v>
      </c>
      <c r="AS136" s="93">
        <f>AR136-'TOTAL POR UF'!E65</f>
        <v>0</v>
      </c>
    </row>
    <row r="137" spans="1:45" ht="21">
      <c r="A137" s="326" t="s">
        <v>391</v>
      </c>
      <c r="B137" s="326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P137" s="326" t="s">
        <v>161</v>
      </c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E137" s="326" t="s">
        <v>390</v>
      </c>
      <c r="AF137" s="326"/>
      <c r="AG137" s="326"/>
      <c r="AH137" s="326"/>
      <c r="AI137" s="326"/>
      <c r="AJ137" s="326"/>
      <c r="AK137" s="326"/>
      <c r="AL137" s="326"/>
      <c r="AM137" s="326"/>
      <c r="AN137" s="326"/>
      <c r="AO137" s="326"/>
      <c r="AP137" s="326"/>
      <c r="AQ137" s="326"/>
      <c r="AR137" s="326"/>
    </row>
    <row r="139" spans="1:45">
      <c r="A139" s="327" t="s">
        <v>33</v>
      </c>
      <c r="B139" s="331" t="s">
        <v>28</v>
      </c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1"/>
      <c r="P139" s="327" t="s">
        <v>33</v>
      </c>
      <c r="Q139" s="331" t="s">
        <v>28</v>
      </c>
      <c r="R139" s="331"/>
      <c r="S139" s="331"/>
      <c r="T139" s="331"/>
      <c r="U139" s="331"/>
      <c r="V139" s="331"/>
      <c r="W139" s="331"/>
      <c r="X139" s="331"/>
      <c r="Y139" s="331"/>
      <c r="Z139" s="331"/>
      <c r="AA139" s="331"/>
      <c r="AB139" s="331"/>
      <c r="AE139" s="327" t="s">
        <v>33</v>
      </c>
      <c r="AF139" s="331" t="s">
        <v>28</v>
      </c>
      <c r="AG139" s="331"/>
      <c r="AH139" s="331"/>
      <c r="AI139" s="331"/>
      <c r="AJ139" s="331"/>
      <c r="AK139" s="331"/>
      <c r="AL139" s="331"/>
      <c r="AM139" s="331"/>
      <c r="AN139" s="331"/>
      <c r="AO139" s="331"/>
      <c r="AP139" s="331"/>
      <c r="AQ139" s="331"/>
    </row>
    <row r="140" spans="1:45">
      <c r="A140" s="328"/>
      <c r="B140" s="240" t="s">
        <v>148</v>
      </c>
      <c r="C140" s="240" t="s">
        <v>149</v>
      </c>
      <c r="D140" s="240" t="s">
        <v>150</v>
      </c>
      <c r="E140" s="240" t="s">
        <v>151</v>
      </c>
      <c r="F140" s="240" t="s">
        <v>152</v>
      </c>
      <c r="G140" s="240" t="s">
        <v>153</v>
      </c>
      <c r="H140" s="240" t="s">
        <v>154</v>
      </c>
      <c r="I140" s="240" t="s">
        <v>155</v>
      </c>
      <c r="J140" s="240" t="s">
        <v>156</v>
      </c>
      <c r="K140" s="240" t="s">
        <v>157</v>
      </c>
      <c r="L140" s="240" t="s">
        <v>158</v>
      </c>
      <c r="M140" s="240" t="s">
        <v>159</v>
      </c>
      <c r="N140" s="240" t="s">
        <v>160</v>
      </c>
      <c r="P140" s="328"/>
      <c r="Q140" s="240" t="s">
        <v>148</v>
      </c>
      <c r="R140" s="240" t="s">
        <v>149</v>
      </c>
      <c r="S140" s="240" t="s">
        <v>150</v>
      </c>
      <c r="T140" s="240" t="s">
        <v>151</v>
      </c>
      <c r="U140" s="240" t="s">
        <v>152</v>
      </c>
      <c r="V140" s="240" t="s">
        <v>153</v>
      </c>
      <c r="W140" s="240" t="s">
        <v>154</v>
      </c>
      <c r="X140" s="240" t="s">
        <v>155</v>
      </c>
      <c r="Y140" s="240" t="s">
        <v>156</v>
      </c>
      <c r="Z140" s="240" t="s">
        <v>157</v>
      </c>
      <c r="AA140" s="240" t="s">
        <v>158</v>
      </c>
      <c r="AB140" s="240" t="s">
        <v>159</v>
      </c>
      <c r="AC140" s="240" t="s">
        <v>160</v>
      </c>
      <c r="AE140" s="328"/>
      <c r="AF140" s="240" t="s">
        <v>148</v>
      </c>
      <c r="AG140" s="240" t="s">
        <v>149</v>
      </c>
      <c r="AH140" s="240" t="s">
        <v>150</v>
      </c>
      <c r="AI140" s="240" t="s">
        <v>151</v>
      </c>
      <c r="AJ140" s="240" t="s">
        <v>152</v>
      </c>
      <c r="AK140" s="240" t="s">
        <v>153</v>
      </c>
      <c r="AL140" s="240" t="s">
        <v>154</v>
      </c>
      <c r="AM140" s="240" t="s">
        <v>155</v>
      </c>
      <c r="AN140" s="240" t="s">
        <v>156</v>
      </c>
      <c r="AO140" s="240" t="s">
        <v>157</v>
      </c>
      <c r="AP140" s="240" t="s">
        <v>158</v>
      </c>
      <c r="AQ140" s="240" t="s">
        <v>159</v>
      </c>
      <c r="AR140" s="240" t="s">
        <v>160</v>
      </c>
    </row>
    <row r="141" spans="1:45">
      <c r="A141" s="242" t="s">
        <v>119</v>
      </c>
      <c r="B141" s="235">
        <f>$F$209*'Médias por UF'!BG123</f>
        <v>8006.8395076053093</v>
      </c>
      <c r="C141" s="235">
        <f>$F$209*'Médias por UF'!BH123</f>
        <v>15855.623326071149</v>
      </c>
      <c r="D141" s="235">
        <f>$F$209*'Médias por UF'!BI123</f>
        <v>26073.61843204873</v>
      </c>
      <c r="E141" s="235">
        <f>$F$209*'Médias por UF'!BJ123</f>
        <v>37803.360957517485</v>
      </c>
      <c r="F141" s="235">
        <f>$F$209*'Médias por UF'!BK123</f>
        <v>51867.818479893933</v>
      </c>
      <c r="G141" s="235">
        <f>$F$209*'Médias por UF'!BL123</f>
        <v>65638.843438376542</v>
      </c>
      <c r="H141" s="235">
        <f>$F$209*'Médias por UF'!BM123</f>
        <v>80190.588375684922</v>
      </c>
      <c r="I141" s="235">
        <f>$F$209*'Médias por UF'!BN123</f>
        <v>94448.452145123621</v>
      </c>
      <c r="J141" s="235">
        <f>$F$209*'Médias por UF'!BO123</f>
        <v>106295.39480082758</v>
      </c>
      <c r="K141" s="235">
        <f>$F$209*'Médias por UF'!BP123</f>
        <v>121093.29689202757</v>
      </c>
      <c r="L141" s="235">
        <f>$F$209*'Médias por UF'!BQ123</f>
        <v>132676.18988656584</v>
      </c>
      <c r="M141" s="235">
        <f>$F$209*'Médias por UF'!BR123</f>
        <v>142491</v>
      </c>
      <c r="N141" s="235">
        <f>M141</f>
        <v>142491</v>
      </c>
      <c r="P141" s="237" t="s">
        <v>119</v>
      </c>
      <c r="Q141" s="235">
        <f>'Médias por UF'!BG123*'Evolução das Receitas'!$U$209</f>
        <v>8006.8395076053093</v>
      </c>
      <c r="R141" s="235">
        <f>'Médias por UF'!BH123*'Evolução das Receitas'!$U$209</f>
        <v>15855.623326071149</v>
      </c>
      <c r="S141" s="235">
        <f>'Médias por UF'!BI123*'Evolução das Receitas'!$U$209</f>
        <v>26073.61843204873</v>
      </c>
      <c r="T141" s="235">
        <f>'Médias por UF'!BJ123*'Evolução das Receitas'!$U$209</f>
        <v>37803.360957517485</v>
      </c>
      <c r="U141" s="235">
        <f>'Médias por UF'!BK123*'Evolução das Receitas'!$U$209</f>
        <v>51867.818479893933</v>
      </c>
      <c r="V141" s="235">
        <f>'Médias por UF'!BL123*'Evolução das Receitas'!$U$209</f>
        <v>65638.843438376542</v>
      </c>
      <c r="W141" s="235">
        <f>'Médias por UF'!BM123*'Evolução das Receitas'!$U$209</f>
        <v>80190.588375684922</v>
      </c>
      <c r="X141" s="235">
        <f>'Médias por UF'!BN123*'Evolução das Receitas'!$U$209</f>
        <v>94448.452145123621</v>
      </c>
      <c r="Y141" s="235">
        <f>'Médias por UF'!BO123*'Evolução das Receitas'!$U$209</f>
        <v>106295.39480082758</v>
      </c>
      <c r="Z141" s="235">
        <f>'Médias por UF'!BP123*'Evolução das Receitas'!$U$209</f>
        <v>121093.29689202757</v>
      </c>
      <c r="AA141" s="235">
        <f>'Médias por UF'!BQ123*'Evolução das Receitas'!$U$209</f>
        <v>132676.18988656584</v>
      </c>
      <c r="AB141" s="235">
        <f>'Médias por UF'!BR123*'Evolução das Receitas'!$U$209</f>
        <v>142491</v>
      </c>
      <c r="AC141" s="235">
        <f>AB141</f>
        <v>142491</v>
      </c>
      <c r="AE141" s="237" t="s">
        <v>119</v>
      </c>
      <c r="AF141" s="235">
        <f>JAN!F5+JAN!W5</f>
        <v>7413.5360000000001</v>
      </c>
      <c r="AG141" s="235">
        <f>FEV!F5+FEV!W5+AF141</f>
        <v>18557.311999999998</v>
      </c>
      <c r="AH141" s="235">
        <f>MAR!F5+MAR!W5+AG141</f>
        <v>29397.856</v>
      </c>
      <c r="AI141" s="235">
        <f>ABR!F5+ABR!W5+AH141</f>
        <v>44407.839999999997</v>
      </c>
      <c r="AJ141" s="235">
        <f>MAI!F5+MAI!W5</f>
        <v>0</v>
      </c>
      <c r="AK141" s="235">
        <f>JUN!F5+JUN!W5</f>
        <v>0</v>
      </c>
      <c r="AL141" s="235">
        <f>JUL!F5+JUL!W5</f>
        <v>0</v>
      </c>
      <c r="AM141" s="235">
        <f>AGO!F5+AGO!W5</f>
        <v>0</v>
      </c>
      <c r="AN141" s="235">
        <f>SET!F5+SET!W5</f>
        <v>0</v>
      </c>
      <c r="AO141" s="235">
        <f>OUT!F5+OUT!W5</f>
        <v>0</v>
      </c>
      <c r="AP141" s="235">
        <f>NOV!F5+NOV!W5</f>
        <v>0</v>
      </c>
      <c r="AQ141" s="235">
        <f>DEZ!F5+DEZ!W5</f>
        <v>0</v>
      </c>
      <c r="AR141" s="235">
        <f>AI141</f>
        <v>44407.839999999997</v>
      </c>
    </row>
    <row r="142" spans="1:45">
      <c r="A142" s="242" t="s">
        <v>120</v>
      </c>
      <c r="B142" s="235">
        <f>$F$210*'Médias por UF'!BG124</f>
        <v>39240.564505825816</v>
      </c>
      <c r="C142" s="235">
        <f>$F$210*'Médias por UF'!BH124</f>
        <v>78946.585887224122</v>
      </c>
      <c r="D142" s="235">
        <f>$F$210*'Médias por UF'!BI124</f>
        <v>126732.93018797318</v>
      </c>
      <c r="E142" s="235">
        <f>$F$210*'Médias por UF'!BJ124</f>
        <v>172139.3347434719</v>
      </c>
      <c r="F142" s="235">
        <f>$F$210*'Médias por UF'!BK124</f>
        <v>225422.40743322522</v>
      </c>
      <c r="G142" s="235">
        <f>$F$210*'Médias por UF'!BL124</f>
        <v>272572.74298039597</v>
      </c>
      <c r="H142" s="235">
        <f>$F$210*'Médias por UF'!BM124</f>
        <v>317979.99626844458</v>
      </c>
      <c r="I142" s="235">
        <f>$F$210*'Médias por UF'!BN124</f>
        <v>372935.08535180648</v>
      </c>
      <c r="J142" s="235">
        <f>$F$210*'Médias por UF'!BO124</f>
        <v>419546.54040932318</v>
      </c>
      <c r="K142" s="235">
        <f>$F$210*'Médias por UF'!BP124</f>
        <v>477888.57068816357</v>
      </c>
      <c r="L142" s="235">
        <f>$F$210*'Médias por UF'!BQ124</f>
        <v>520342.28739951079</v>
      </c>
      <c r="M142" s="235">
        <f>$F$210*'Médias por UF'!BR124</f>
        <v>561629</v>
      </c>
      <c r="N142" s="235">
        <f t="shared" ref="N142:N167" si="52">M142</f>
        <v>561629</v>
      </c>
      <c r="P142" s="237" t="s">
        <v>120</v>
      </c>
      <c r="Q142" s="235">
        <f>'Médias por UF'!BG124*'Evolução das Receitas'!$U$210</f>
        <v>39240.564505825816</v>
      </c>
      <c r="R142" s="235">
        <f>'Médias por UF'!BH124*'Evolução das Receitas'!$U$210</f>
        <v>78946.585887224122</v>
      </c>
      <c r="S142" s="235">
        <f>'Médias por UF'!BI124*'Evolução das Receitas'!$U$210</f>
        <v>126732.93018797318</v>
      </c>
      <c r="T142" s="235">
        <f>'Médias por UF'!BJ124*'Evolução das Receitas'!$U$210</f>
        <v>172139.3347434719</v>
      </c>
      <c r="U142" s="235">
        <f>'Médias por UF'!BK124*'Evolução das Receitas'!$U$210</f>
        <v>225422.40743322522</v>
      </c>
      <c r="V142" s="235">
        <f>'Médias por UF'!BL124*'Evolução das Receitas'!$U$210</f>
        <v>272572.74298039597</v>
      </c>
      <c r="W142" s="235">
        <f>'Médias por UF'!BM124*'Evolução das Receitas'!$U$210</f>
        <v>317979.99626844458</v>
      </c>
      <c r="X142" s="235">
        <f>'Médias por UF'!BN124*'Evolução das Receitas'!$U$210</f>
        <v>372935.08535180648</v>
      </c>
      <c r="Y142" s="235">
        <f>'Médias por UF'!BO124*'Evolução das Receitas'!$U$210</f>
        <v>419546.54040932318</v>
      </c>
      <c r="Z142" s="235">
        <f>'Médias por UF'!BP124*'Evolução das Receitas'!$U$210</f>
        <v>477888.57068816357</v>
      </c>
      <c r="AA142" s="235">
        <f>'Médias por UF'!BQ124*'Evolução das Receitas'!$U$210</f>
        <v>520342.28739951079</v>
      </c>
      <c r="AB142" s="235">
        <f>'Médias por UF'!BR124*'Evolução das Receitas'!$U$210</f>
        <v>561629</v>
      </c>
      <c r="AC142" s="235">
        <f t="shared" ref="AC142:AC167" si="53">AB142</f>
        <v>561629</v>
      </c>
      <c r="AE142" s="237" t="s">
        <v>120</v>
      </c>
      <c r="AF142" s="235">
        <f>JAN!F6+JAN!W6</f>
        <v>30571.664000000004</v>
      </c>
      <c r="AG142" s="235">
        <f>FEV!F6+FEV!W6+AF142</f>
        <v>70749.90400000001</v>
      </c>
      <c r="AH142" s="235">
        <f>MAR!F6+MAR!W6+AG142</f>
        <v>105621.584</v>
      </c>
      <c r="AI142" s="235">
        <f>ABR!F6+ABR!W6+AH142</f>
        <v>157095.21600000001</v>
      </c>
      <c r="AJ142" s="235">
        <f>MAI!F6+MAI!W6</f>
        <v>0</v>
      </c>
      <c r="AK142" s="235">
        <f>JUN!F6+JUN!W6</f>
        <v>0</v>
      </c>
      <c r="AL142" s="235">
        <f>JUL!F6+JUL!W6</f>
        <v>0</v>
      </c>
      <c r="AM142" s="235">
        <f>AGO!F6+AGO!W6</f>
        <v>0</v>
      </c>
      <c r="AN142" s="235">
        <f>SET!F6+SET!W6</f>
        <v>0</v>
      </c>
      <c r="AO142" s="235">
        <f>OUT!F6+OUT!W6</f>
        <v>0</v>
      </c>
      <c r="AP142" s="235">
        <f>NOV!F6+NOV!W6</f>
        <v>0</v>
      </c>
      <c r="AQ142" s="235">
        <f>DEZ!F6+DEZ!W6</f>
        <v>0</v>
      </c>
      <c r="AR142" s="235">
        <f t="shared" ref="AR142:AR167" si="54">AI142</f>
        <v>157095.21600000001</v>
      </c>
    </row>
    <row r="143" spans="1:45">
      <c r="A143" s="242" t="s">
        <v>121</v>
      </c>
      <c r="B143" s="235">
        <f>$F$211*'Médias por UF'!BG125</f>
        <v>13775.004129104929</v>
      </c>
      <c r="C143" s="235">
        <f>$F$211*'Médias por UF'!BH125</f>
        <v>26578.982282154309</v>
      </c>
      <c r="D143" s="235">
        <f>$F$211*'Médias por UF'!BI125</f>
        <v>41013.942981849417</v>
      </c>
      <c r="E143" s="235">
        <f>$F$211*'Médias por UF'!BJ125</f>
        <v>53582.892150643231</v>
      </c>
      <c r="F143" s="235">
        <f>$F$211*'Médias por UF'!BK125</f>
        <v>67793.903154107815</v>
      </c>
      <c r="G143" s="235">
        <f>$F$211*'Médias por UF'!BL125</f>
        <v>84369.103308563906</v>
      </c>
      <c r="H143" s="235">
        <f>$F$211*'Médias por UF'!BM125</f>
        <v>98189.378969098092</v>
      </c>
      <c r="I143" s="235">
        <f>$F$211*'Médias por UF'!BN125</f>
        <v>115756.92375606431</v>
      </c>
      <c r="J143" s="235">
        <f>$F$211*'Médias por UF'!BO125</f>
        <v>130562.56641752075</v>
      </c>
      <c r="K143" s="235">
        <f>$F$211*'Médias por UF'!BP125</f>
        <v>150349.02178465805</v>
      </c>
      <c r="L143" s="235">
        <f>$F$211*'Médias por UF'!BQ125</f>
        <v>169208.11249438624</v>
      </c>
      <c r="M143" s="235">
        <f>$F$211*'Médias por UF'!BR125</f>
        <v>184885</v>
      </c>
      <c r="N143" s="235">
        <f t="shared" si="52"/>
        <v>184885</v>
      </c>
      <c r="P143" s="237" t="s">
        <v>121</v>
      </c>
      <c r="Q143" s="235">
        <f>'Médias por UF'!BG125*'Evolução das Receitas'!$U$211</f>
        <v>13775.004129104929</v>
      </c>
      <c r="R143" s="235">
        <f>'Médias por UF'!BH125*'Evolução das Receitas'!$U$211</f>
        <v>26578.982282154309</v>
      </c>
      <c r="S143" s="235">
        <f>'Médias por UF'!BI125*'Evolução das Receitas'!$U$211</f>
        <v>41013.942981849417</v>
      </c>
      <c r="T143" s="235">
        <f>'Médias por UF'!BJ125*'Evolução das Receitas'!$U$211</f>
        <v>53582.892150643231</v>
      </c>
      <c r="U143" s="235">
        <f>'Médias por UF'!BK125*'Evolução das Receitas'!$U$211</f>
        <v>67793.903154107815</v>
      </c>
      <c r="V143" s="235">
        <f>'Médias por UF'!BL125*'Evolução das Receitas'!$U$211</f>
        <v>84369.103308563906</v>
      </c>
      <c r="W143" s="235">
        <f>'Médias por UF'!BM125*'Evolução das Receitas'!$U$211</f>
        <v>98189.378969098092</v>
      </c>
      <c r="X143" s="235">
        <f>'Médias por UF'!BN125*'Evolução das Receitas'!$U$211</f>
        <v>115756.92375606431</v>
      </c>
      <c r="Y143" s="235">
        <f>'Médias por UF'!BO125*'Evolução das Receitas'!$U$211</f>
        <v>130562.56641752075</v>
      </c>
      <c r="Z143" s="235">
        <f>'Médias por UF'!BP125*'Evolução das Receitas'!$U$211</f>
        <v>150349.02178465805</v>
      </c>
      <c r="AA143" s="235">
        <f>'Médias por UF'!BQ125*'Evolução das Receitas'!$U$211</f>
        <v>169208.11249438624</v>
      </c>
      <c r="AB143" s="235">
        <f>'Médias por UF'!BR125*'Evolução das Receitas'!$U$211</f>
        <v>184885</v>
      </c>
      <c r="AC143" s="235">
        <f t="shared" si="53"/>
        <v>184885</v>
      </c>
      <c r="AE143" s="237" t="s">
        <v>121</v>
      </c>
      <c r="AF143" s="235">
        <f>JAN!F7+JAN!W7</f>
        <v>15049.279999999999</v>
      </c>
      <c r="AG143" s="235">
        <f>FEV!F7+FEV!W7+AF143</f>
        <v>32788.351999999999</v>
      </c>
      <c r="AH143" s="235">
        <f>MAR!F7+MAR!W7+AG143</f>
        <v>50375.808000000005</v>
      </c>
      <c r="AI143" s="235">
        <f>ABR!F7+ABR!W7+AH143</f>
        <v>67511.288</v>
      </c>
      <c r="AJ143" s="235">
        <f>MAI!F7+MAI!W7</f>
        <v>0</v>
      </c>
      <c r="AK143" s="235">
        <f>JUN!F7+JUN!W7</f>
        <v>0</v>
      </c>
      <c r="AL143" s="235">
        <f>JUL!F7+JUL!W7</f>
        <v>0</v>
      </c>
      <c r="AM143" s="235">
        <f>AGO!F7+AGO!W7</f>
        <v>0</v>
      </c>
      <c r="AN143" s="235">
        <f>SET!F7+SET!W7</f>
        <v>0</v>
      </c>
      <c r="AO143" s="235">
        <f>OUT!F7+OUT!W7</f>
        <v>0</v>
      </c>
      <c r="AP143" s="235">
        <f>NOV!F7+NOV!W7</f>
        <v>0</v>
      </c>
      <c r="AQ143" s="235">
        <f>DEZ!F7+DEZ!W7</f>
        <v>0</v>
      </c>
      <c r="AR143" s="235">
        <f t="shared" si="54"/>
        <v>67511.288</v>
      </c>
    </row>
    <row r="144" spans="1:45">
      <c r="A144" s="242" t="s">
        <v>122</v>
      </c>
      <c r="B144" s="235">
        <f>$F$212*'Médias por UF'!BG126</f>
        <v>31622.38706453962</v>
      </c>
      <c r="C144" s="235">
        <f>$F$212*'Médias por UF'!BH126</f>
        <v>60790.150626298258</v>
      </c>
      <c r="D144" s="235">
        <f>$F$212*'Médias por UF'!BI126</f>
        <v>97485.287590333101</v>
      </c>
      <c r="E144" s="235">
        <f>$F$212*'Médias por UF'!BJ126</f>
        <v>132123.08602290723</v>
      </c>
      <c r="F144" s="235">
        <f>$F$212*'Médias por UF'!BK126</f>
        <v>168899.66989428998</v>
      </c>
      <c r="G144" s="235">
        <f>$F$212*'Médias por UF'!BL126</f>
        <v>205453.42398116837</v>
      </c>
      <c r="H144" s="235">
        <f>$F$212*'Médias por UF'!BM126</f>
        <v>242167.73187821836</v>
      </c>
      <c r="I144" s="235">
        <f>$F$212*'Médias por UF'!BN126</f>
        <v>287544.10185086698</v>
      </c>
      <c r="J144" s="235">
        <f>$F$212*'Médias por UF'!BO126</f>
        <v>323067.30038633099</v>
      </c>
      <c r="K144" s="235">
        <f>$F$212*'Médias por UF'!BP126</f>
        <v>364161.03220895294</v>
      </c>
      <c r="L144" s="235">
        <f>$F$212*'Médias por UF'!BQ126</f>
        <v>402712.29044462863</v>
      </c>
      <c r="M144" s="235">
        <f>$F$212*'Médias por UF'!BR126</f>
        <v>434812</v>
      </c>
      <c r="N144" s="235">
        <f t="shared" si="52"/>
        <v>434812</v>
      </c>
      <c r="P144" s="237" t="s">
        <v>122</v>
      </c>
      <c r="Q144" s="235">
        <f>'Médias por UF'!BG126*'Evolução das Receitas'!$U$212</f>
        <v>31622.38706453962</v>
      </c>
      <c r="R144" s="235">
        <f>'Médias por UF'!BH126*'Evolução das Receitas'!$U$212</f>
        <v>60790.150626298258</v>
      </c>
      <c r="S144" s="235">
        <f>'Médias por UF'!BI126*'Evolução das Receitas'!$U$212</f>
        <v>97485.287590333101</v>
      </c>
      <c r="T144" s="235">
        <f>'Médias por UF'!BJ126*'Evolução das Receitas'!$U$212</f>
        <v>132123.08602290723</v>
      </c>
      <c r="U144" s="235">
        <f>'Médias por UF'!BK126*'Evolução das Receitas'!$U$212</f>
        <v>168899.66989428998</v>
      </c>
      <c r="V144" s="235">
        <f>'Médias por UF'!BL126*'Evolução das Receitas'!$U$212</f>
        <v>205453.42398116837</v>
      </c>
      <c r="W144" s="235">
        <f>'Médias por UF'!BM126*'Evolução das Receitas'!$U$212</f>
        <v>242167.73187821836</v>
      </c>
      <c r="X144" s="235">
        <f>'Médias por UF'!BN126*'Evolução das Receitas'!$U$212</f>
        <v>287544.10185086698</v>
      </c>
      <c r="Y144" s="235">
        <f>'Médias por UF'!BO126*'Evolução das Receitas'!$U$212</f>
        <v>323067.30038633099</v>
      </c>
      <c r="Z144" s="235">
        <f>'Médias por UF'!BP126*'Evolução das Receitas'!$U$212</f>
        <v>364161.03220895294</v>
      </c>
      <c r="AA144" s="235">
        <f>'Médias por UF'!BQ126*'Evolução das Receitas'!$U$212</f>
        <v>402712.29044462863</v>
      </c>
      <c r="AB144" s="235">
        <f>'Médias por UF'!BR126*'Evolução das Receitas'!$U$212</f>
        <v>434812</v>
      </c>
      <c r="AC144" s="235">
        <f t="shared" si="53"/>
        <v>434812</v>
      </c>
      <c r="AE144" s="237" t="s">
        <v>122</v>
      </c>
      <c r="AF144" s="235">
        <f>JAN!F8+JAN!W8</f>
        <v>27050.592000000001</v>
      </c>
      <c r="AG144" s="235">
        <f>FEV!F8+FEV!W8+AF144</f>
        <v>61164.191999999995</v>
      </c>
      <c r="AH144" s="235">
        <f>MAR!F8+MAR!W8+AG144</f>
        <v>95960.063999999984</v>
      </c>
      <c r="AI144" s="235">
        <f>ABR!F8+ABR!W8+AH144</f>
        <v>133485.02399999998</v>
      </c>
      <c r="AJ144" s="235">
        <f>MAI!F8+MAI!W8</f>
        <v>0</v>
      </c>
      <c r="AK144" s="235">
        <f>JUN!F8+JUN!W8</f>
        <v>0</v>
      </c>
      <c r="AL144" s="235">
        <f>JUL!F8+JUL!W8</f>
        <v>0</v>
      </c>
      <c r="AM144" s="235">
        <f>AGO!F8+AGO!W8</f>
        <v>0</v>
      </c>
      <c r="AN144" s="235">
        <f>SET!F8+SET!W8</f>
        <v>0</v>
      </c>
      <c r="AO144" s="235">
        <f>OUT!F8+OUT!W8</f>
        <v>0</v>
      </c>
      <c r="AP144" s="235">
        <f>NOV!F8+NOV!W8</f>
        <v>0</v>
      </c>
      <c r="AQ144" s="235">
        <f>DEZ!F8+DEZ!W8</f>
        <v>0</v>
      </c>
      <c r="AR144" s="235">
        <f t="shared" si="54"/>
        <v>133485.02399999998</v>
      </c>
    </row>
    <row r="145" spans="1:44">
      <c r="A145" s="242" t="s">
        <v>123</v>
      </c>
      <c r="B145" s="235">
        <f>$F$213*'Médias por UF'!BG127</f>
        <v>94153.97770684956</v>
      </c>
      <c r="C145" s="235">
        <f>$F$213*'Médias por UF'!BH127</f>
        <v>195493.92463304271</v>
      </c>
      <c r="D145" s="235">
        <f>$F$213*'Médias por UF'!BI127</f>
        <v>314593.52636368346</v>
      </c>
      <c r="E145" s="235">
        <f>$F$213*'Médias por UF'!BJ127</f>
        <v>428204.09775487863</v>
      </c>
      <c r="F145" s="235">
        <f>$F$213*'Médias por UF'!BK127</f>
        <v>559257.27150342357</v>
      </c>
      <c r="G145" s="235">
        <f>$F$213*'Médias por UF'!BL127</f>
        <v>677817.83135604614</v>
      </c>
      <c r="H145" s="235">
        <f>$F$213*'Médias por UF'!BM127</f>
        <v>793415.46098325658</v>
      </c>
      <c r="I145" s="235">
        <f>$F$213*'Médias por UF'!BN127</f>
        <v>930988.05381578766</v>
      </c>
      <c r="J145" s="235">
        <f>$F$213*'Médias por UF'!BO127</f>
        <v>1056894.2518906423</v>
      </c>
      <c r="K145" s="235">
        <f>$F$213*'Médias por UF'!BP127</f>
        <v>1188787.0409865011</v>
      </c>
      <c r="L145" s="235">
        <f>$F$213*'Médias por UF'!BQ127</f>
        <v>1308130.9193886116</v>
      </c>
      <c r="M145" s="235">
        <f>$F$213*'Médias por UF'!BR127</f>
        <v>1420330</v>
      </c>
      <c r="N145" s="235">
        <f t="shared" si="52"/>
        <v>1420330</v>
      </c>
      <c r="P145" s="237" t="s">
        <v>123</v>
      </c>
      <c r="Q145" s="235">
        <f>'Médias por UF'!BG127*'Evolução das Receitas'!$U$213</f>
        <v>94153.97770684956</v>
      </c>
      <c r="R145" s="235">
        <f>'Médias por UF'!BH127*'Evolução das Receitas'!$U$213</f>
        <v>195493.92463304271</v>
      </c>
      <c r="S145" s="235">
        <f>'Médias por UF'!BI127*'Evolução das Receitas'!$U$213</f>
        <v>314593.52636368346</v>
      </c>
      <c r="T145" s="235">
        <f>'Médias por UF'!BJ127*'Evolução das Receitas'!$U$213</f>
        <v>428204.09775487863</v>
      </c>
      <c r="U145" s="235">
        <f>'Médias por UF'!BK127*'Evolução das Receitas'!$U$213</f>
        <v>559257.27150342357</v>
      </c>
      <c r="V145" s="235">
        <f>'Médias por UF'!BL127*'Evolução das Receitas'!$U$213</f>
        <v>677817.83135604614</v>
      </c>
      <c r="W145" s="235">
        <f>'Médias por UF'!BM127*'Evolução das Receitas'!$U$213</f>
        <v>793415.46098325658</v>
      </c>
      <c r="X145" s="235">
        <f>'Médias por UF'!BN127*'Evolução das Receitas'!$U$213</f>
        <v>930988.05381578766</v>
      </c>
      <c r="Y145" s="235">
        <f>'Médias por UF'!BO127*'Evolução das Receitas'!$U$213</f>
        <v>1056894.2518906423</v>
      </c>
      <c r="Z145" s="235">
        <f>'Médias por UF'!BP127*'Evolução das Receitas'!$U$213</f>
        <v>1188787.0409865011</v>
      </c>
      <c r="AA145" s="235">
        <f>'Médias por UF'!BQ127*'Evolução das Receitas'!$U$213</f>
        <v>1308130.9193886116</v>
      </c>
      <c r="AB145" s="235">
        <f>'Médias por UF'!BR127*'Evolução das Receitas'!$U$213</f>
        <v>1420330</v>
      </c>
      <c r="AC145" s="235">
        <f t="shared" si="53"/>
        <v>1420330</v>
      </c>
      <c r="AE145" s="237" t="s">
        <v>123</v>
      </c>
      <c r="AF145" s="235">
        <f>JAN!F9+JAN!W9</f>
        <v>97196.816000000006</v>
      </c>
      <c r="AG145" s="235">
        <f>FEV!F9+FEV!W9+AF145</f>
        <v>225084.91200000001</v>
      </c>
      <c r="AH145" s="235">
        <f>MAR!F9+MAR!W9+AG145</f>
        <v>327956.36800000002</v>
      </c>
      <c r="AI145" s="235">
        <f>ABR!F9+ABR!W9+AH145</f>
        <v>450916.94400000002</v>
      </c>
      <c r="AJ145" s="235">
        <f>MAI!F9+MAI!W9</f>
        <v>0</v>
      </c>
      <c r="AK145" s="235">
        <f>JUN!F9+JUN!W9</f>
        <v>0</v>
      </c>
      <c r="AL145" s="235">
        <f>JUL!F9+JUL!W9</f>
        <v>0</v>
      </c>
      <c r="AM145" s="235">
        <f>AGO!F9+AGO!W9</f>
        <v>0</v>
      </c>
      <c r="AN145" s="235">
        <f>SET!F9+SET!W9</f>
        <v>0</v>
      </c>
      <c r="AO145" s="235">
        <f>OUT!F9+OUT!W9</f>
        <v>0</v>
      </c>
      <c r="AP145" s="235">
        <f>NOV!F9+NOV!W9</f>
        <v>0</v>
      </c>
      <c r="AQ145" s="235">
        <f>DEZ!F9+DEZ!W9</f>
        <v>0</v>
      </c>
      <c r="AR145" s="235">
        <f t="shared" si="54"/>
        <v>450916.94400000002</v>
      </c>
    </row>
    <row r="146" spans="1:44">
      <c r="A146" s="242" t="s">
        <v>124</v>
      </c>
      <c r="B146" s="235">
        <f>$F$214*'Médias por UF'!BG128</f>
        <v>60691.230752550204</v>
      </c>
      <c r="C146" s="235">
        <f>$F$214*'Médias por UF'!BH128</f>
        <v>120207.7551854192</v>
      </c>
      <c r="D146" s="235">
        <f>$F$214*'Médias por UF'!BI128</f>
        <v>195292.77017474736</v>
      </c>
      <c r="E146" s="235">
        <f>$F$214*'Médias por UF'!BJ128</f>
        <v>261632.19592081974</v>
      </c>
      <c r="F146" s="235">
        <f>$F$214*'Médias por UF'!BK128</f>
        <v>339809.67639779305</v>
      </c>
      <c r="G146" s="235">
        <f>$F$214*'Médias por UF'!BL128</f>
        <v>433118.9918525414</v>
      </c>
      <c r="H146" s="235">
        <f>$F$214*'Médias por UF'!BM128</f>
        <v>511166.57693490363</v>
      </c>
      <c r="I146" s="235">
        <f>$F$214*'Médias por UF'!BN128</f>
        <v>592391.75716026616</v>
      </c>
      <c r="J146" s="235">
        <f>$F$214*'Médias por UF'!BO128</f>
        <v>666440.4258330767</v>
      </c>
      <c r="K146" s="235">
        <f>$F$214*'Médias por UF'!BP128</f>
        <v>750809.11605421419</v>
      </c>
      <c r="L146" s="235">
        <f>$F$214*'Médias por UF'!BQ128</f>
        <v>832279.40058216953</v>
      </c>
      <c r="M146" s="235">
        <f>$F$214*'Médias por UF'!BR128</f>
        <v>910702</v>
      </c>
      <c r="N146" s="235">
        <f t="shared" si="52"/>
        <v>910702</v>
      </c>
      <c r="P146" s="237" t="s">
        <v>124</v>
      </c>
      <c r="Q146" s="235">
        <f>'Médias por UF'!BG128*'Evolução das Receitas'!$U$214</f>
        <v>60691.230752550204</v>
      </c>
      <c r="R146" s="235">
        <f>'Médias por UF'!BH128*'Evolução das Receitas'!$U$214</f>
        <v>120207.7551854192</v>
      </c>
      <c r="S146" s="235">
        <f>'Médias por UF'!BI128*'Evolução das Receitas'!$U$214</f>
        <v>195292.77017474736</v>
      </c>
      <c r="T146" s="235">
        <f>'Médias por UF'!BJ128*'Evolução das Receitas'!$U$214</f>
        <v>261632.19592081974</v>
      </c>
      <c r="U146" s="235">
        <f>'Médias por UF'!BK128*'Evolução das Receitas'!$U$214</f>
        <v>339809.67639779305</v>
      </c>
      <c r="V146" s="235">
        <f>'Médias por UF'!BL128*'Evolução das Receitas'!$U$214</f>
        <v>433118.9918525414</v>
      </c>
      <c r="W146" s="235">
        <f>'Médias por UF'!BM128*'Evolução das Receitas'!$U$214</f>
        <v>511166.57693490363</v>
      </c>
      <c r="X146" s="235">
        <f>'Médias por UF'!BN128*'Evolução das Receitas'!$U$214</f>
        <v>592391.75716026616</v>
      </c>
      <c r="Y146" s="235">
        <f>'Médias por UF'!BO128*'Evolução das Receitas'!$U$214</f>
        <v>666440.4258330767</v>
      </c>
      <c r="Z146" s="235">
        <f>'Médias por UF'!BP128*'Evolução das Receitas'!$U$214</f>
        <v>750809.11605421419</v>
      </c>
      <c r="AA146" s="235">
        <f>'Médias por UF'!BQ128*'Evolução das Receitas'!$U$214</f>
        <v>832279.40058216953</v>
      </c>
      <c r="AB146" s="235">
        <f>'Médias por UF'!BR128*'Evolução das Receitas'!$U$214</f>
        <v>910702</v>
      </c>
      <c r="AC146" s="235">
        <f t="shared" si="53"/>
        <v>910702</v>
      </c>
      <c r="AE146" s="237" t="s">
        <v>124</v>
      </c>
      <c r="AF146" s="235">
        <f>JAN!F10+JAN!W10</f>
        <v>55199.008000000002</v>
      </c>
      <c r="AG146" s="235">
        <f>FEV!F10+FEV!W10+AF146</f>
        <v>114026.016</v>
      </c>
      <c r="AH146" s="235">
        <f>MAR!F10+MAR!W10+AG146</f>
        <v>164438.33600000001</v>
      </c>
      <c r="AI146" s="235">
        <f>ABR!F10+ABR!W10+AH146</f>
        <v>238957.60000000003</v>
      </c>
      <c r="AJ146" s="235">
        <f>MAI!F10+MAI!W10</f>
        <v>0</v>
      </c>
      <c r="AK146" s="235">
        <f>JUN!F10+JUN!W10</f>
        <v>0</v>
      </c>
      <c r="AL146" s="235">
        <f>JUL!F10+JUL!W10</f>
        <v>0</v>
      </c>
      <c r="AM146" s="235">
        <f>AGO!F10+AGO!W10</f>
        <v>0</v>
      </c>
      <c r="AN146" s="235">
        <f>SET!F10+SET!W10</f>
        <v>0</v>
      </c>
      <c r="AO146" s="235">
        <f>OUT!F10+OUT!W10</f>
        <v>0</v>
      </c>
      <c r="AP146" s="235">
        <f>NOV!F10+NOV!W10</f>
        <v>0</v>
      </c>
      <c r="AQ146" s="235">
        <f>DEZ!F10+DEZ!W10</f>
        <v>0</v>
      </c>
      <c r="AR146" s="235">
        <f t="shared" si="54"/>
        <v>238957.60000000003</v>
      </c>
    </row>
    <row r="147" spans="1:44">
      <c r="A147" s="242" t="s">
        <v>125</v>
      </c>
      <c r="B147" s="235">
        <f>$F$215*'Médias por UF'!BG129</f>
        <v>80409.396205471741</v>
      </c>
      <c r="C147" s="235">
        <f>$F$215*'Médias por UF'!BH129</f>
        <v>167556.92703095544</v>
      </c>
      <c r="D147" s="235">
        <f>$F$215*'Médias por UF'!BI129</f>
        <v>281153.23232931719</v>
      </c>
      <c r="E147" s="235">
        <f>$F$215*'Médias por UF'!BJ129</f>
        <v>390850.43761817191</v>
      </c>
      <c r="F147" s="235">
        <f>$F$215*'Médias por UF'!BK129</f>
        <v>516828.23615173332</v>
      </c>
      <c r="G147" s="235">
        <f>$F$215*'Médias por UF'!BL129</f>
        <v>632974.73951624963</v>
      </c>
      <c r="H147" s="235">
        <f>$F$215*'Médias por UF'!BM129</f>
        <v>745487.47838242608</v>
      </c>
      <c r="I147" s="235">
        <f>$F$215*'Médias por UF'!BN129</f>
        <v>874606.27214876353</v>
      </c>
      <c r="J147" s="235">
        <f>$F$215*'Médias por UF'!BO129</f>
        <v>983608.35412525909</v>
      </c>
      <c r="K147" s="235">
        <f>$F$215*'Médias por UF'!BP129</f>
        <v>1104432.089226326</v>
      </c>
      <c r="L147" s="235">
        <f>$F$215*'Médias por UF'!BQ129</f>
        <v>1223109.5107413684</v>
      </c>
      <c r="M147" s="235">
        <f>$F$215*'Médias por UF'!BR129</f>
        <v>1324510</v>
      </c>
      <c r="N147" s="235">
        <f t="shared" si="52"/>
        <v>1324510</v>
      </c>
      <c r="P147" s="237" t="s">
        <v>125</v>
      </c>
      <c r="Q147" s="235">
        <f>'Médias por UF'!BG129*'Evolução das Receitas'!$U$215</f>
        <v>80409.396205471741</v>
      </c>
      <c r="R147" s="235">
        <f>'Médias por UF'!BH129*'Evolução das Receitas'!$U$215</f>
        <v>167556.92703095544</v>
      </c>
      <c r="S147" s="235">
        <f>'Médias por UF'!BI129*'Evolução das Receitas'!$U$215</f>
        <v>281153.23232931719</v>
      </c>
      <c r="T147" s="235">
        <f>'Médias por UF'!BJ129*'Evolução das Receitas'!$U$215</f>
        <v>390850.43761817191</v>
      </c>
      <c r="U147" s="235">
        <f>'Médias por UF'!BK129*'Evolução das Receitas'!$U$215</f>
        <v>516828.23615173332</v>
      </c>
      <c r="V147" s="235">
        <f>'Médias por UF'!BL129*'Evolução das Receitas'!$U$215</f>
        <v>632974.73951624963</v>
      </c>
      <c r="W147" s="235">
        <f>'Médias por UF'!BM129*'Evolução das Receitas'!$U$215</f>
        <v>745487.47838242608</v>
      </c>
      <c r="X147" s="235">
        <f>'Médias por UF'!BN129*'Evolução das Receitas'!$U$215</f>
        <v>874606.27214876353</v>
      </c>
      <c r="Y147" s="235">
        <f>'Médias por UF'!BO129*'Evolução das Receitas'!$U$215</f>
        <v>983608.35412525909</v>
      </c>
      <c r="Z147" s="235">
        <f>'Médias por UF'!BP129*'Evolução das Receitas'!$U$215</f>
        <v>1104432.089226326</v>
      </c>
      <c r="AA147" s="235">
        <f>'Médias por UF'!BQ129*'Evolução das Receitas'!$U$215</f>
        <v>1223109.5107413684</v>
      </c>
      <c r="AB147" s="235">
        <f>'Médias por UF'!BR129*'Evolução das Receitas'!$U$215</f>
        <v>1324510</v>
      </c>
      <c r="AC147" s="235">
        <f t="shared" si="53"/>
        <v>1324510</v>
      </c>
      <c r="AE147" s="237" t="s">
        <v>125</v>
      </c>
      <c r="AF147" s="235">
        <f>JAN!F11+JAN!W11</f>
        <v>76592.688000000009</v>
      </c>
      <c r="AG147" s="235">
        <f>FEV!F11+FEV!W11+AF147</f>
        <v>157252.40000000002</v>
      </c>
      <c r="AH147" s="235">
        <f>MAR!F11+MAR!W11+AG147</f>
        <v>242839.63200000004</v>
      </c>
      <c r="AI147" s="235">
        <f>ABR!F11+ABR!W11+AH147</f>
        <v>351396.68800000008</v>
      </c>
      <c r="AJ147" s="235">
        <f>MAI!F11+MAI!W11</f>
        <v>0</v>
      </c>
      <c r="AK147" s="235">
        <f>JUN!F11+JUN!W11</f>
        <v>0</v>
      </c>
      <c r="AL147" s="235">
        <f>JUL!F11+JUL!W11</f>
        <v>0</v>
      </c>
      <c r="AM147" s="235">
        <f>AGO!F11+AGO!W11</f>
        <v>0</v>
      </c>
      <c r="AN147" s="235">
        <f>SET!F11+SET!W11</f>
        <v>0</v>
      </c>
      <c r="AO147" s="235">
        <f>OUT!F11+OUT!W11</f>
        <v>0</v>
      </c>
      <c r="AP147" s="235">
        <f>NOV!F11+NOV!W11</f>
        <v>0</v>
      </c>
      <c r="AQ147" s="235">
        <f>DEZ!F11+DEZ!W11</f>
        <v>0</v>
      </c>
      <c r="AR147" s="235">
        <f t="shared" si="54"/>
        <v>351396.68800000008</v>
      </c>
    </row>
    <row r="148" spans="1:44">
      <c r="A148" s="242" t="s">
        <v>126</v>
      </c>
      <c r="B148" s="235">
        <f>$F$216*'Médias por UF'!BG130</f>
        <v>76252.256899255153</v>
      </c>
      <c r="C148" s="235">
        <f>$F$216*'Médias por UF'!BH130</f>
        <v>145869.49673282355</v>
      </c>
      <c r="D148" s="235">
        <f>$F$216*'Médias por UF'!BI130</f>
        <v>244914.29141956684</v>
      </c>
      <c r="E148" s="235">
        <f>$F$216*'Médias por UF'!BJ130</f>
        <v>333144.83447625168</v>
      </c>
      <c r="F148" s="235">
        <f>$F$216*'Médias por UF'!BK130</f>
        <v>444066.08050235512</v>
      </c>
      <c r="G148" s="235">
        <f>$F$216*'Médias por UF'!BL130</f>
        <v>546273.33660885517</v>
      </c>
      <c r="H148" s="235">
        <f>$F$216*'Médias por UF'!BM130</f>
        <v>646838.9587972858</v>
      </c>
      <c r="I148" s="235">
        <f>$F$216*'Médias por UF'!BN130</f>
        <v>765340.11179250746</v>
      </c>
      <c r="J148" s="235">
        <f>$F$216*'Médias por UF'!BO130</f>
        <v>860980.73736253486</v>
      </c>
      <c r="K148" s="235">
        <f>$F$216*'Médias por UF'!BP130</f>
        <v>971967.77474699065</v>
      </c>
      <c r="L148" s="235">
        <f>$F$216*'Médias por UF'!BQ130</f>
        <v>1066614.0844535683</v>
      </c>
      <c r="M148" s="235">
        <f>$F$216*'Médias por UF'!BR130</f>
        <v>1157768</v>
      </c>
      <c r="N148" s="235">
        <f t="shared" si="52"/>
        <v>1157768</v>
      </c>
      <c r="P148" s="237" t="s">
        <v>126</v>
      </c>
      <c r="Q148" s="235">
        <f>'Médias por UF'!BG130*'Evolução das Receitas'!$U$216</f>
        <v>76252.256899255153</v>
      </c>
      <c r="R148" s="235">
        <f>'Médias por UF'!BH130*'Evolução das Receitas'!$U$216</f>
        <v>145869.49673282355</v>
      </c>
      <c r="S148" s="235">
        <f>'Médias por UF'!BI130*'Evolução das Receitas'!$U$216</f>
        <v>244914.29141956684</v>
      </c>
      <c r="T148" s="235">
        <f>'Médias por UF'!BJ130*'Evolução das Receitas'!$U$216</f>
        <v>333144.83447625168</v>
      </c>
      <c r="U148" s="235">
        <f>'Médias por UF'!BK130*'Evolução das Receitas'!$U$216</f>
        <v>444066.08050235512</v>
      </c>
      <c r="V148" s="235">
        <f>'Médias por UF'!BL130*'Evolução das Receitas'!$U$216</f>
        <v>546273.33660885517</v>
      </c>
      <c r="W148" s="235">
        <f>'Médias por UF'!BM130*'Evolução das Receitas'!$U$216</f>
        <v>646838.9587972858</v>
      </c>
      <c r="X148" s="235">
        <f>'Médias por UF'!BN130*'Evolução das Receitas'!$U$216</f>
        <v>765340.11179250746</v>
      </c>
      <c r="Y148" s="235">
        <f>'Médias por UF'!BO130*'Evolução das Receitas'!$U$216</f>
        <v>860980.73736253486</v>
      </c>
      <c r="Z148" s="235">
        <f>'Médias por UF'!BP130*'Evolução das Receitas'!$U$216</f>
        <v>971967.77474699065</v>
      </c>
      <c r="AA148" s="235">
        <f>'Médias por UF'!BQ130*'Evolução das Receitas'!$U$216</f>
        <v>1066614.0844535683</v>
      </c>
      <c r="AB148" s="235">
        <f>'Médias por UF'!BR130*'Evolução das Receitas'!$U$216</f>
        <v>1157768</v>
      </c>
      <c r="AC148" s="235">
        <f t="shared" si="53"/>
        <v>1157768</v>
      </c>
      <c r="AE148" s="237" t="s">
        <v>126</v>
      </c>
      <c r="AF148" s="235">
        <f>JAN!F12+JAN!W12</f>
        <v>71301.775999999998</v>
      </c>
      <c r="AG148" s="235">
        <f>FEV!F12+FEV!W12+AF148</f>
        <v>163860.736</v>
      </c>
      <c r="AH148" s="235">
        <f>MAR!F12+MAR!W12+AG148</f>
        <v>234817.024</v>
      </c>
      <c r="AI148" s="235">
        <f>ABR!F12+ABR!W12+AH148</f>
        <v>328060.864</v>
      </c>
      <c r="AJ148" s="235">
        <f>MAI!F12+MAI!W12</f>
        <v>0</v>
      </c>
      <c r="AK148" s="235">
        <f>JUN!F12+JUN!W12</f>
        <v>0</v>
      </c>
      <c r="AL148" s="235">
        <f>JUL!F12+JUL!W12</f>
        <v>0</v>
      </c>
      <c r="AM148" s="235">
        <f>AGO!F12+AGO!W12</f>
        <v>0</v>
      </c>
      <c r="AN148" s="235">
        <f>SET!F12+SET!W12</f>
        <v>0</v>
      </c>
      <c r="AO148" s="235">
        <f>OUT!F12+OUT!W12</f>
        <v>0</v>
      </c>
      <c r="AP148" s="235">
        <f>NOV!F12+NOV!W12</f>
        <v>0</v>
      </c>
      <c r="AQ148" s="235">
        <f>DEZ!F12+DEZ!W12</f>
        <v>0</v>
      </c>
      <c r="AR148" s="235">
        <f t="shared" si="54"/>
        <v>328060.864</v>
      </c>
    </row>
    <row r="149" spans="1:44">
      <c r="A149" s="242" t="s">
        <v>127</v>
      </c>
      <c r="B149" s="235">
        <f>$F$217*'Médias por UF'!BG131</f>
        <v>132146.13841604342</v>
      </c>
      <c r="C149" s="235">
        <f>$F$217*'Médias por UF'!BH131</f>
        <v>272702.88500043441</v>
      </c>
      <c r="D149" s="235">
        <f>$F$217*'Médias por UF'!BI131</f>
        <v>475191.91931128036</v>
      </c>
      <c r="E149" s="235">
        <f>$F$217*'Médias por UF'!BJ131</f>
        <v>662249.97847641353</v>
      </c>
      <c r="F149" s="235">
        <f>$F$217*'Médias por UF'!BK131</f>
        <v>878149.71759855491</v>
      </c>
      <c r="G149" s="235">
        <f>$F$217*'Médias por UF'!BL131</f>
        <v>1103811.5056334522</v>
      </c>
      <c r="H149" s="235">
        <f>$F$217*'Médias por UF'!BM131</f>
        <v>1286079.1210237262</v>
      </c>
      <c r="I149" s="235">
        <f>$F$217*'Médias por UF'!BN131</f>
        <v>1492921.9737884004</v>
      </c>
      <c r="J149" s="235">
        <f>$F$217*'Médias por UF'!BO131</f>
        <v>1674575.3565992843</v>
      </c>
      <c r="K149" s="235">
        <f>$F$217*'Médias por UF'!BP131</f>
        <v>1861468.5002290674</v>
      </c>
      <c r="L149" s="235">
        <f>$F$217*'Médias por UF'!BQ131</f>
        <v>2018023.0743949413</v>
      </c>
      <c r="M149" s="235">
        <f>$F$217*'Médias por UF'!BR131</f>
        <v>2162709</v>
      </c>
      <c r="N149" s="235">
        <f t="shared" si="52"/>
        <v>2162709</v>
      </c>
      <c r="P149" s="237" t="s">
        <v>127</v>
      </c>
      <c r="Q149" s="235">
        <f>'Médias por UF'!BG131*'Evolução das Receitas'!$U$217</f>
        <v>132146.13841604342</v>
      </c>
      <c r="R149" s="235">
        <f>'Médias por UF'!BH131*'Evolução das Receitas'!$U$217</f>
        <v>272702.88500043441</v>
      </c>
      <c r="S149" s="235">
        <f>'Médias por UF'!BI131*'Evolução das Receitas'!$U$217</f>
        <v>475191.91931128036</v>
      </c>
      <c r="T149" s="235">
        <f>'Médias por UF'!BJ131*'Evolução das Receitas'!$U$217</f>
        <v>662249.97847641353</v>
      </c>
      <c r="U149" s="235">
        <f>'Médias por UF'!BK131*'Evolução das Receitas'!$U$217</f>
        <v>878149.71759855491</v>
      </c>
      <c r="V149" s="235">
        <f>'Médias por UF'!BL131*'Evolução das Receitas'!$U$217</f>
        <v>1103811.5056334522</v>
      </c>
      <c r="W149" s="235">
        <f>'Médias por UF'!BM131*'Evolução das Receitas'!$U$217</f>
        <v>1286079.1210237262</v>
      </c>
      <c r="X149" s="235">
        <f>'Médias por UF'!BN131*'Evolução das Receitas'!$U$217</f>
        <v>1492921.9737884004</v>
      </c>
      <c r="Y149" s="235">
        <f>'Médias por UF'!BO131*'Evolução das Receitas'!$U$217</f>
        <v>1674575.3565992843</v>
      </c>
      <c r="Z149" s="235">
        <f>'Médias por UF'!BP131*'Evolução das Receitas'!$U$217</f>
        <v>1861468.5002290674</v>
      </c>
      <c r="AA149" s="235">
        <f>'Médias por UF'!BQ131*'Evolução das Receitas'!$U$217</f>
        <v>2018023.0743949413</v>
      </c>
      <c r="AB149" s="235">
        <f>'Médias por UF'!BR131*'Evolução das Receitas'!$U$217</f>
        <v>2162709</v>
      </c>
      <c r="AC149" s="235">
        <f t="shared" si="53"/>
        <v>2162709</v>
      </c>
      <c r="AE149" s="237" t="s">
        <v>127</v>
      </c>
      <c r="AF149" s="235">
        <f>JAN!F13+JAN!W13</f>
        <v>120937.93600000002</v>
      </c>
      <c r="AG149" s="235">
        <f>FEV!F13+FEV!W13+AF149</f>
        <v>271720.04800000007</v>
      </c>
      <c r="AH149" s="235">
        <f>MAR!F13+MAR!W13+AG149</f>
        <v>436754.06400000007</v>
      </c>
      <c r="AI149" s="235">
        <f>ABR!F13+ABR!W13+AH149</f>
        <v>657431.152</v>
      </c>
      <c r="AJ149" s="235">
        <f>MAI!F13+MAI!W13</f>
        <v>0</v>
      </c>
      <c r="AK149" s="235">
        <f>JUN!F13+JUN!W13</f>
        <v>0</v>
      </c>
      <c r="AL149" s="235">
        <f>JUL!F13+JUL!W13</f>
        <v>0</v>
      </c>
      <c r="AM149" s="235">
        <f>AGO!F13+AGO!W13</f>
        <v>0</v>
      </c>
      <c r="AN149" s="235">
        <f>SET!F13+SET!W13</f>
        <v>0</v>
      </c>
      <c r="AO149" s="235">
        <f>OUT!F13+OUT!W13</f>
        <v>0</v>
      </c>
      <c r="AP149" s="235">
        <f>NOV!F13+NOV!W13</f>
        <v>0</v>
      </c>
      <c r="AQ149" s="235">
        <f>DEZ!F13+DEZ!W13</f>
        <v>0</v>
      </c>
      <c r="AR149" s="235">
        <f t="shared" si="54"/>
        <v>657431.152</v>
      </c>
    </row>
    <row r="150" spans="1:44">
      <c r="A150" s="242" t="s">
        <v>128</v>
      </c>
      <c r="B150" s="235">
        <f>$F$218*'Médias por UF'!BG132</f>
        <v>25028.910185334702</v>
      </c>
      <c r="C150" s="235">
        <f>$F$218*'Médias por UF'!BH132</f>
        <v>48158.134625754406</v>
      </c>
      <c r="D150" s="235">
        <f>$F$218*'Médias por UF'!BI132</f>
        <v>79904.586199233119</v>
      </c>
      <c r="E150" s="235">
        <f>$F$218*'Médias por UF'!BJ132</f>
        <v>109760.6947407391</v>
      </c>
      <c r="F150" s="235">
        <f>$F$218*'Médias por UF'!BK132</f>
        <v>141924.60475646306</v>
      </c>
      <c r="G150" s="235">
        <f>$F$218*'Médias por UF'!BL132</f>
        <v>175169.72777596492</v>
      </c>
      <c r="H150" s="235">
        <f>$F$218*'Médias por UF'!BM132</f>
        <v>206217.57319136587</v>
      </c>
      <c r="I150" s="235">
        <f>$F$218*'Médias por UF'!BN132</f>
        <v>241995.08939608737</v>
      </c>
      <c r="J150" s="235">
        <f>$F$218*'Médias por UF'!BO132</f>
        <v>277030.07699239621</v>
      </c>
      <c r="K150" s="235">
        <f>$F$218*'Médias por UF'!BP132</f>
        <v>312545.07283886429</v>
      </c>
      <c r="L150" s="235">
        <f>$F$218*'Médias por UF'!BQ132</f>
        <v>351496.27988883347</v>
      </c>
      <c r="M150" s="235">
        <f>$F$218*'Médias por UF'!BR132</f>
        <v>384359</v>
      </c>
      <c r="N150" s="235">
        <f t="shared" si="52"/>
        <v>384359</v>
      </c>
      <c r="P150" s="237" t="s">
        <v>128</v>
      </c>
      <c r="Q150" s="235">
        <f>'Médias por UF'!BG132*'Evolução das Receitas'!$U$218</f>
        <v>25028.910185334702</v>
      </c>
      <c r="R150" s="235">
        <f>'Médias por UF'!BH132*'Evolução das Receitas'!$U$218</f>
        <v>48158.134625754406</v>
      </c>
      <c r="S150" s="235">
        <f>'Médias por UF'!BI132*'Evolução das Receitas'!$U$218</f>
        <v>79904.586199233119</v>
      </c>
      <c r="T150" s="235">
        <f>'Médias por UF'!BJ132*'Evolução das Receitas'!$U$218</f>
        <v>109760.6947407391</v>
      </c>
      <c r="U150" s="235">
        <f>'Médias por UF'!BK132*'Evolução das Receitas'!$U$218</f>
        <v>141924.60475646306</v>
      </c>
      <c r="V150" s="235">
        <f>'Médias por UF'!BL132*'Evolução das Receitas'!$U$218</f>
        <v>175169.72777596492</v>
      </c>
      <c r="W150" s="235">
        <f>'Médias por UF'!BM132*'Evolução das Receitas'!$U$218</f>
        <v>206217.57319136587</v>
      </c>
      <c r="X150" s="235">
        <f>'Médias por UF'!BN132*'Evolução das Receitas'!$U$218</f>
        <v>241995.08939608737</v>
      </c>
      <c r="Y150" s="235">
        <f>'Médias por UF'!BO132*'Evolução das Receitas'!$U$218</f>
        <v>277030.07699239621</v>
      </c>
      <c r="Z150" s="235">
        <f>'Médias por UF'!BP132*'Evolução das Receitas'!$U$218</f>
        <v>312545.07283886429</v>
      </c>
      <c r="AA150" s="235">
        <f>'Médias por UF'!BQ132*'Evolução das Receitas'!$U$218</f>
        <v>351496.27988883347</v>
      </c>
      <c r="AB150" s="235">
        <f>'Médias por UF'!BR132*'Evolução das Receitas'!$U$218</f>
        <v>384359</v>
      </c>
      <c r="AC150" s="235">
        <f t="shared" si="53"/>
        <v>384359</v>
      </c>
      <c r="AE150" s="237" t="s">
        <v>128</v>
      </c>
      <c r="AF150" s="235">
        <f>JAN!F14+JAN!W14</f>
        <v>23900.560000000001</v>
      </c>
      <c r="AG150" s="235">
        <f>FEV!F14+FEV!W14+AF150</f>
        <v>52555.983999999997</v>
      </c>
      <c r="AH150" s="235">
        <f>MAR!F14+MAR!W14+AG150</f>
        <v>76814.543999999994</v>
      </c>
      <c r="AI150" s="235">
        <f>ABR!F14+ABR!W14+AH150</f>
        <v>107668.4</v>
      </c>
      <c r="AJ150" s="235">
        <f>MAI!F14+MAI!W14</f>
        <v>0</v>
      </c>
      <c r="AK150" s="235">
        <f>JUN!F14+JUN!W14</f>
        <v>0</v>
      </c>
      <c r="AL150" s="235">
        <f>JUL!F14+JUL!W14</f>
        <v>0</v>
      </c>
      <c r="AM150" s="235">
        <f>AGO!F14+AGO!W14</f>
        <v>0</v>
      </c>
      <c r="AN150" s="235">
        <f>SET!F14+SET!W14</f>
        <v>0</v>
      </c>
      <c r="AO150" s="235">
        <f>OUT!F14+OUT!W14</f>
        <v>0</v>
      </c>
      <c r="AP150" s="235">
        <f>NOV!F14+NOV!W14</f>
        <v>0</v>
      </c>
      <c r="AQ150" s="235">
        <f>DEZ!F14+DEZ!W14</f>
        <v>0</v>
      </c>
      <c r="AR150" s="235">
        <f t="shared" si="54"/>
        <v>107668.4</v>
      </c>
    </row>
    <row r="151" spans="1:44">
      <c r="A151" s="242" t="s">
        <v>129</v>
      </c>
      <c r="B151" s="235">
        <f>$F$219*'Médias por UF'!BG133</f>
        <v>95590.605705230453</v>
      </c>
      <c r="C151" s="235">
        <f>$F$219*'Médias por UF'!BH133</f>
        <v>223607.2518821409</v>
      </c>
      <c r="D151" s="235">
        <f>$F$219*'Médias por UF'!BI133</f>
        <v>409597.36012852914</v>
      </c>
      <c r="E151" s="235">
        <f>$F$219*'Médias por UF'!BJ133</f>
        <v>566368.83338693099</v>
      </c>
      <c r="F151" s="235">
        <f>$F$219*'Médias por UF'!BK133</f>
        <v>755339.63243712147</v>
      </c>
      <c r="G151" s="235">
        <f>$F$219*'Médias por UF'!BL133</f>
        <v>947516.77956514189</v>
      </c>
      <c r="H151" s="235">
        <f>$F$219*'Médias por UF'!BM133</f>
        <v>1133322.6105420778</v>
      </c>
      <c r="I151" s="235">
        <f>$F$219*'Médias por UF'!BN133</f>
        <v>1334465.0170977071</v>
      </c>
      <c r="J151" s="235">
        <f>$F$219*'Médias por UF'!BO133</f>
        <v>1501415.4763866672</v>
      </c>
      <c r="K151" s="235">
        <f>$F$219*'Médias por UF'!BP133</f>
        <v>1676319.2993791196</v>
      </c>
      <c r="L151" s="235">
        <f>$F$219*'Médias por UF'!BQ133</f>
        <v>1825347.9131063747</v>
      </c>
      <c r="M151" s="235">
        <f>$F$219*'Médias por UF'!BR133</f>
        <v>1974113</v>
      </c>
      <c r="N151" s="235">
        <f t="shared" si="52"/>
        <v>1974113</v>
      </c>
      <c r="P151" s="237" t="s">
        <v>129</v>
      </c>
      <c r="Q151" s="235">
        <f>'Médias por UF'!BG133*'Evolução das Receitas'!$U$219</f>
        <v>95590.605705230453</v>
      </c>
      <c r="R151" s="235">
        <f>'Médias por UF'!BH133*'Evolução das Receitas'!$U$219</f>
        <v>223607.2518821409</v>
      </c>
      <c r="S151" s="235">
        <f>'Médias por UF'!BI133*'Evolução das Receitas'!$U$219</f>
        <v>409597.36012852914</v>
      </c>
      <c r="T151" s="235">
        <f>'Médias por UF'!BJ133*'Evolução das Receitas'!$U$219</f>
        <v>566368.83338693099</v>
      </c>
      <c r="U151" s="235">
        <f>'Médias por UF'!BK133*'Evolução das Receitas'!$U$219</f>
        <v>755339.63243712147</v>
      </c>
      <c r="V151" s="235">
        <f>'Médias por UF'!BL133*'Evolução das Receitas'!$U$219</f>
        <v>947516.77956514189</v>
      </c>
      <c r="W151" s="235">
        <f>'Médias por UF'!BM133*'Evolução das Receitas'!$U$219</f>
        <v>1133322.6105420778</v>
      </c>
      <c r="X151" s="235">
        <f>'Médias por UF'!BN133*'Evolução das Receitas'!$U$219</f>
        <v>1334465.0170977071</v>
      </c>
      <c r="Y151" s="235">
        <f>'Médias por UF'!BO133*'Evolução das Receitas'!$U$219</f>
        <v>1501415.4763866672</v>
      </c>
      <c r="Z151" s="235">
        <f>'Médias por UF'!BP133*'Evolução das Receitas'!$U$219</f>
        <v>1676319.2993791196</v>
      </c>
      <c r="AA151" s="235">
        <f>'Médias por UF'!BQ133*'Evolução das Receitas'!$U$219</f>
        <v>1825347.9131063747</v>
      </c>
      <c r="AB151" s="235">
        <f>'Médias por UF'!BR133*'Evolução das Receitas'!$U$219</f>
        <v>1974113</v>
      </c>
      <c r="AC151" s="235">
        <f t="shared" si="53"/>
        <v>1974113</v>
      </c>
      <c r="AE151" s="237" t="s">
        <v>129</v>
      </c>
      <c r="AF151" s="235">
        <f>JAN!F15+JAN!W15</f>
        <v>120801.792</v>
      </c>
      <c r="AG151" s="235">
        <f>FEV!F15+FEV!W15+AF151</f>
        <v>285456.76800000004</v>
      </c>
      <c r="AH151" s="235">
        <f>MAR!F15+MAR!W15+AG151</f>
        <v>452992.44800000009</v>
      </c>
      <c r="AI151" s="235">
        <f>ABR!F15+ABR!W15+AH151</f>
        <v>649259.3600000001</v>
      </c>
      <c r="AJ151" s="235">
        <f>MAI!F15+MAI!W15</f>
        <v>0</v>
      </c>
      <c r="AK151" s="235">
        <f>JUN!F15+JUN!W15</f>
        <v>0</v>
      </c>
      <c r="AL151" s="235">
        <f>JUL!F15+JUL!W15</f>
        <v>0</v>
      </c>
      <c r="AM151" s="235">
        <f>AGO!F15+AGO!W15</f>
        <v>0</v>
      </c>
      <c r="AN151" s="235">
        <f>SET!F15+SET!W15</f>
        <v>0</v>
      </c>
      <c r="AO151" s="235">
        <f>OUT!F15+OUT!W15</f>
        <v>0</v>
      </c>
      <c r="AP151" s="235">
        <f>NOV!F15+NOV!W15</f>
        <v>0</v>
      </c>
      <c r="AQ151" s="235">
        <f>DEZ!F15+DEZ!W15</f>
        <v>0</v>
      </c>
      <c r="AR151" s="235">
        <f t="shared" si="54"/>
        <v>649259.3600000001</v>
      </c>
    </row>
    <row r="152" spans="1:44">
      <c r="A152" s="242" t="s">
        <v>130</v>
      </c>
      <c r="B152" s="235">
        <f>$F$220*'Médias por UF'!BG134</f>
        <v>108939.74070145286</v>
      </c>
      <c r="C152" s="235">
        <f>$F$220*'Médias por UF'!BH134</f>
        <v>236811.9415445241</v>
      </c>
      <c r="D152" s="235">
        <f>$F$220*'Médias por UF'!BI134</f>
        <v>411510.69842080807</v>
      </c>
      <c r="E152" s="235">
        <f>$F$220*'Médias por UF'!BJ134</f>
        <v>562448.1946857681</v>
      </c>
      <c r="F152" s="235">
        <f>$F$220*'Médias por UF'!BK134</f>
        <v>739949.47591611336</v>
      </c>
      <c r="G152" s="235">
        <f>$F$220*'Médias por UF'!BL134</f>
        <v>900535.36185317778</v>
      </c>
      <c r="H152" s="235">
        <f>$F$220*'Médias por UF'!BM134</f>
        <v>1062555.3549554038</v>
      </c>
      <c r="I152" s="235">
        <f>$F$220*'Médias por UF'!BN134</f>
        <v>1241367.4584069103</v>
      </c>
      <c r="J152" s="235">
        <f>$F$220*'Médias por UF'!BO134</f>
        <v>1391818.8235948184</v>
      </c>
      <c r="K152" s="235">
        <f>$F$220*'Médias por UF'!BP134</f>
        <v>1539943.6297240888</v>
      </c>
      <c r="L152" s="235">
        <f>$F$220*'Médias por UF'!BQ134</f>
        <v>1685169.80357858</v>
      </c>
      <c r="M152" s="235">
        <f>$F$220*'Médias por UF'!BR134</f>
        <v>1817472</v>
      </c>
      <c r="N152" s="235">
        <f t="shared" si="52"/>
        <v>1817472</v>
      </c>
      <c r="P152" s="237" t="s">
        <v>130</v>
      </c>
      <c r="Q152" s="235">
        <f>'Médias por UF'!BG134*'Evolução das Receitas'!$U$220</f>
        <v>108939.74070145286</v>
      </c>
      <c r="R152" s="235">
        <f>'Médias por UF'!BH134*'Evolução das Receitas'!$U$220</f>
        <v>236811.9415445241</v>
      </c>
      <c r="S152" s="235">
        <f>'Médias por UF'!BI134*'Evolução das Receitas'!$U$220</f>
        <v>411510.69842080807</v>
      </c>
      <c r="T152" s="235">
        <f>'Médias por UF'!BJ134*'Evolução das Receitas'!$U$220</f>
        <v>562448.1946857681</v>
      </c>
      <c r="U152" s="235">
        <f>'Médias por UF'!BK134*'Evolução das Receitas'!$U$220</f>
        <v>739949.47591611336</v>
      </c>
      <c r="V152" s="235">
        <f>'Médias por UF'!BL134*'Evolução das Receitas'!$U$220</f>
        <v>900535.36185317778</v>
      </c>
      <c r="W152" s="235">
        <f>'Médias por UF'!BM134*'Evolução das Receitas'!$U$220</f>
        <v>1062555.3549554038</v>
      </c>
      <c r="X152" s="235">
        <f>'Médias por UF'!BN134*'Evolução das Receitas'!$U$220</f>
        <v>1241367.4584069103</v>
      </c>
      <c r="Y152" s="235">
        <f>'Médias por UF'!BO134*'Evolução das Receitas'!$U$220</f>
        <v>1391818.8235948184</v>
      </c>
      <c r="Z152" s="235">
        <f>'Médias por UF'!BP134*'Evolução das Receitas'!$U$220</f>
        <v>1539943.6297240888</v>
      </c>
      <c r="AA152" s="235">
        <f>'Médias por UF'!BQ134*'Evolução das Receitas'!$U$220</f>
        <v>1685169.80357858</v>
      </c>
      <c r="AB152" s="235">
        <f>'Médias por UF'!BR134*'Evolução das Receitas'!$U$220</f>
        <v>1817472</v>
      </c>
      <c r="AC152" s="235">
        <f t="shared" si="53"/>
        <v>1817472</v>
      </c>
      <c r="AE152" s="237" t="s">
        <v>130</v>
      </c>
      <c r="AF152" s="235">
        <f>JAN!F16+JAN!W16</f>
        <v>99039.504000000015</v>
      </c>
      <c r="AG152" s="235">
        <f>FEV!F16+FEV!W16+AF152</f>
        <v>235418.09600000002</v>
      </c>
      <c r="AH152" s="235">
        <f>MAR!F16+MAR!W16+AG152</f>
        <v>372478.96</v>
      </c>
      <c r="AI152" s="235">
        <f>ABR!F16+ABR!W16+AH152</f>
        <v>546003.47200000007</v>
      </c>
      <c r="AJ152" s="235">
        <f>MAI!F16+MAI!W16</f>
        <v>0</v>
      </c>
      <c r="AK152" s="235">
        <f>JUN!F16+JUN!W16</f>
        <v>0</v>
      </c>
      <c r="AL152" s="235">
        <f>JUL!F16+JUL!W16</f>
        <v>0</v>
      </c>
      <c r="AM152" s="235">
        <f>AGO!F16+AGO!W16</f>
        <v>0</v>
      </c>
      <c r="AN152" s="235">
        <f>SET!F16+SET!W16</f>
        <v>0</v>
      </c>
      <c r="AO152" s="235">
        <f>OUT!F16+OUT!W16</f>
        <v>0</v>
      </c>
      <c r="AP152" s="235">
        <f>NOV!F16+NOV!W16</f>
        <v>0</v>
      </c>
      <c r="AQ152" s="235">
        <f>DEZ!F16+DEZ!W16</f>
        <v>0</v>
      </c>
      <c r="AR152" s="235">
        <f t="shared" si="54"/>
        <v>546003.47200000007</v>
      </c>
    </row>
    <row r="153" spans="1:44">
      <c r="A153" s="242" t="s">
        <v>131</v>
      </c>
      <c r="B153" s="235">
        <f>$F$221*'Médias por UF'!BG135</f>
        <v>234083.41864834115</v>
      </c>
      <c r="C153" s="235">
        <f>$F$221*'Médias por UF'!BH135</f>
        <v>469597.87620970141</v>
      </c>
      <c r="D153" s="235">
        <f>$F$221*'Médias por UF'!BI135</f>
        <v>783041.3544826986</v>
      </c>
      <c r="E153" s="235">
        <f>$F$221*'Médias por UF'!BJ135</f>
        <v>1068800.6096730186</v>
      </c>
      <c r="F153" s="235">
        <f>$F$221*'Médias por UF'!BK135</f>
        <v>1404699.7487192107</v>
      </c>
      <c r="G153" s="235">
        <f>$F$221*'Médias por UF'!BL135</f>
        <v>1731633.5829029921</v>
      </c>
      <c r="H153" s="235">
        <f>$F$221*'Médias por UF'!BM135</f>
        <v>2045549.6874983232</v>
      </c>
      <c r="I153" s="235">
        <f>$F$221*'Médias por UF'!BN135</f>
        <v>2393576.1999697187</v>
      </c>
      <c r="J153" s="235">
        <f>$F$221*'Médias por UF'!BO135</f>
        <v>2703018.6930167554</v>
      </c>
      <c r="K153" s="235">
        <f>$F$221*'Médias por UF'!BP135</f>
        <v>3031292.8173411032</v>
      </c>
      <c r="L153" s="235">
        <f>$F$221*'Médias por UF'!BQ135</f>
        <v>3319242.9570548474</v>
      </c>
      <c r="M153" s="235">
        <f>$F$221*'Médias por UF'!BR135</f>
        <v>3589374.4000000004</v>
      </c>
      <c r="N153" s="235">
        <f t="shared" si="52"/>
        <v>3589374.4000000004</v>
      </c>
      <c r="P153" s="237" t="s">
        <v>131</v>
      </c>
      <c r="Q153" s="235">
        <f>'Médias por UF'!BG135*'Evolução das Receitas'!$U$221</f>
        <v>234083.41864834115</v>
      </c>
      <c r="R153" s="235">
        <f>'Médias por UF'!BH135*'Evolução das Receitas'!$U$221</f>
        <v>469597.87620970141</v>
      </c>
      <c r="S153" s="235">
        <f>'Médias por UF'!BI135*'Evolução das Receitas'!$U$221</f>
        <v>783041.3544826986</v>
      </c>
      <c r="T153" s="235">
        <f>'Médias por UF'!BJ135*'Evolução das Receitas'!$U$221</f>
        <v>1068800.6096730186</v>
      </c>
      <c r="U153" s="235">
        <f>'Médias por UF'!BK135*'Evolução das Receitas'!$U$221</f>
        <v>1404699.7487192107</v>
      </c>
      <c r="V153" s="235">
        <f>'Médias por UF'!BL135*'Evolução das Receitas'!$U$221</f>
        <v>1731633.5829029921</v>
      </c>
      <c r="W153" s="235">
        <f>'Médias por UF'!BM135*'Evolução das Receitas'!$U$221</f>
        <v>2045549.6874983232</v>
      </c>
      <c r="X153" s="235">
        <f>'Médias por UF'!BN135*'Evolução das Receitas'!$U$221</f>
        <v>2393576.1999697187</v>
      </c>
      <c r="Y153" s="235">
        <f>'Médias por UF'!BO135*'Evolução das Receitas'!$U$221</f>
        <v>2703018.6930167554</v>
      </c>
      <c r="Z153" s="235">
        <f>'Médias por UF'!BP135*'Evolução das Receitas'!$U$221</f>
        <v>3031292.8173411032</v>
      </c>
      <c r="AA153" s="235">
        <f>'Médias por UF'!BQ135*'Evolução das Receitas'!$U$221</f>
        <v>3319242.9570548474</v>
      </c>
      <c r="AB153" s="235">
        <f>'Médias por UF'!BR135*'Evolução das Receitas'!$U$221</f>
        <v>3589374.4000000004</v>
      </c>
      <c r="AC153" s="235">
        <f t="shared" si="53"/>
        <v>3589374.4000000004</v>
      </c>
      <c r="AE153" s="237" t="s">
        <v>131</v>
      </c>
      <c r="AF153" s="235">
        <f>JAN!F17+JAN!W17</f>
        <v>269370.17599999998</v>
      </c>
      <c r="AG153" s="235">
        <f>FEV!F17+FEV!W17+AF153</f>
        <v>579197.47200000007</v>
      </c>
      <c r="AH153" s="235">
        <f>MAR!F17+MAR!W17+AG153</f>
        <v>877956.8</v>
      </c>
      <c r="AI153" s="235">
        <f>ABR!F17+ABR!W17+AH153</f>
        <v>1235770.56</v>
      </c>
      <c r="AJ153" s="235">
        <f>MAI!F17+MAI!W17</f>
        <v>0</v>
      </c>
      <c r="AK153" s="235">
        <f>JUN!F17+JUN!W17</f>
        <v>0</v>
      </c>
      <c r="AL153" s="235">
        <f>JUL!F17+JUL!W17</f>
        <v>0</v>
      </c>
      <c r="AM153" s="235">
        <f>AGO!F17+AGO!W17</f>
        <v>0</v>
      </c>
      <c r="AN153" s="235">
        <f>SET!F17+SET!W17</f>
        <v>0</v>
      </c>
      <c r="AO153" s="235">
        <f>OUT!F17+OUT!W17</f>
        <v>0</v>
      </c>
      <c r="AP153" s="235">
        <f>NOV!F17+NOV!W17</f>
        <v>0</v>
      </c>
      <c r="AQ153" s="235">
        <f>DEZ!F17+DEZ!W17</f>
        <v>0</v>
      </c>
      <c r="AR153" s="235">
        <f t="shared" si="54"/>
        <v>1235770.56</v>
      </c>
    </row>
    <row r="154" spans="1:44">
      <c r="A154" s="242" t="s">
        <v>132</v>
      </c>
      <c r="B154" s="235">
        <f>$F$222*'Médias por UF'!BG136</f>
        <v>38682.072653492585</v>
      </c>
      <c r="C154" s="235">
        <f>$F$222*'Médias por UF'!BH136</f>
        <v>81851.1254632536</v>
      </c>
      <c r="D154" s="235">
        <f>$F$222*'Médias por UF'!BI136</f>
        <v>138297.6546365291</v>
      </c>
      <c r="E154" s="235">
        <f>$F$222*'Médias por UF'!BJ136</f>
        <v>191224.43748063038</v>
      </c>
      <c r="F154" s="235">
        <f>$F$222*'Médias por UF'!BK136</f>
        <v>247871.22999654026</v>
      </c>
      <c r="G154" s="235">
        <f>$F$222*'Médias por UF'!BL136</f>
        <v>306308.32350731257</v>
      </c>
      <c r="H154" s="235">
        <f>$F$222*'Médias por UF'!BM136</f>
        <v>364457.84799998841</v>
      </c>
      <c r="I154" s="235">
        <f>$F$222*'Médias por UF'!BN136</f>
        <v>422534.07601949217</v>
      </c>
      <c r="J154" s="235">
        <f>$F$222*'Médias por UF'!BO136</f>
        <v>484347.42864776409</v>
      </c>
      <c r="K154" s="235">
        <f>$F$222*'Médias por UF'!BP136</f>
        <v>552696.27905747655</v>
      </c>
      <c r="L154" s="235">
        <f>$F$222*'Médias por UF'!BQ136</f>
        <v>610139.95686172007</v>
      </c>
      <c r="M154" s="235">
        <f>$F$222*'Médias por UF'!BR136</f>
        <v>659760</v>
      </c>
      <c r="N154" s="235">
        <f t="shared" si="52"/>
        <v>659760</v>
      </c>
      <c r="P154" s="237" t="s">
        <v>132</v>
      </c>
      <c r="Q154" s="235">
        <f>'Médias por UF'!BG136*'Evolução das Receitas'!$U$222</f>
        <v>38682.072653492585</v>
      </c>
      <c r="R154" s="235">
        <f>'Médias por UF'!BH136*'Evolução das Receitas'!$U$222</f>
        <v>81851.1254632536</v>
      </c>
      <c r="S154" s="235">
        <f>'Médias por UF'!BI136*'Evolução das Receitas'!$U$222</f>
        <v>138297.6546365291</v>
      </c>
      <c r="T154" s="235">
        <f>'Médias por UF'!BJ136*'Evolução das Receitas'!$U$222</f>
        <v>191224.43748063038</v>
      </c>
      <c r="U154" s="235">
        <f>'Médias por UF'!BK136*'Evolução das Receitas'!$U$222</f>
        <v>247871.22999654026</v>
      </c>
      <c r="V154" s="235">
        <f>'Médias por UF'!BL136*'Evolução das Receitas'!$U$222</f>
        <v>306308.32350731257</v>
      </c>
      <c r="W154" s="235">
        <f>'Médias por UF'!BM136*'Evolução das Receitas'!$U$222</f>
        <v>364457.84799998841</v>
      </c>
      <c r="X154" s="235">
        <f>'Médias por UF'!BN136*'Evolução das Receitas'!$U$222</f>
        <v>422534.07601949217</v>
      </c>
      <c r="Y154" s="235">
        <f>'Médias por UF'!BO136*'Evolução das Receitas'!$U$222</f>
        <v>484347.42864776409</v>
      </c>
      <c r="Z154" s="235">
        <f>'Médias por UF'!BP136*'Evolução das Receitas'!$U$222</f>
        <v>552696.27905747655</v>
      </c>
      <c r="AA154" s="235">
        <f>'Médias por UF'!BQ136*'Evolução das Receitas'!$U$222</f>
        <v>610139.95686172007</v>
      </c>
      <c r="AB154" s="235">
        <f>'Médias por UF'!BR136*'Evolução das Receitas'!$U$222</f>
        <v>659760</v>
      </c>
      <c r="AC154" s="235">
        <f t="shared" si="53"/>
        <v>659760</v>
      </c>
      <c r="AE154" s="237" t="s">
        <v>132</v>
      </c>
      <c r="AF154" s="235">
        <f>JAN!F18+JAN!W18</f>
        <v>34166.112000000001</v>
      </c>
      <c r="AG154" s="235">
        <f>FEV!F18+FEV!W18+AF154</f>
        <v>81167.072</v>
      </c>
      <c r="AH154" s="235">
        <f>MAR!F18+MAR!W18+AG154</f>
        <v>127106.72</v>
      </c>
      <c r="AI154" s="235">
        <f>ABR!F18+ABR!W18+AH154</f>
        <v>174031.872</v>
      </c>
      <c r="AJ154" s="235">
        <f>MAI!F18+MAI!W18</f>
        <v>0</v>
      </c>
      <c r="AK154" s="235">
        <f>JUN!F18+JUN!W18</f>
        <v>0</v>
      </c>
      <c r="AL154" s="235">
        <f>JUL!F18+JUL!W18</f>
        <v>0</v>
      </c>
      <c r="AM154" s="235">
        <f>AGO!F18+AGO!W18</f>
        <v>0</v>
      </c>
      <c r="AN154" s="235">
        <f>SET!F18+SET!W18</f>
        <v>0</v>
      </c>
      <c r="AO154" s="235">
        <f>OUT!F18+OUT!W18</f>
        <v>0</v>
      </c>
      <c r="AP154" s="235">
        <f>NOV!F18+NOV!W18</f>
        <v>0</v>
      </c>
      <c r="AQ154" s="235">
        <f>DEZ!F18+DEZ!W18</f>
        <v>0</v>
      </c>
      <c r="AR154" s="235">
        <f t="shared" si="54"/>
        <v>174031.872</v>
      </c>
    </row>
    <row r="155" spans="1:44">
      <c r="A155" s="242" t="s">
        <v>133</v>
      </c>
      <c r="B155" s="235">
        <f>$F$223*'Médias por UF'!BG137</f>
        <v>54336.554213326963</v>
      </c>
      <c r="C155" s="235">
        <f>$F$223*'Médias por UF'!BH137</f>
        <v>108203.81363969638</v>
      </c>
      <c r="D155" s="235">
        <f>$F$223*'Médias por UF'!BI137</f>
        <v>174917.98828599098</v>
      </c>
      <c r="E155" s="235">
        <f>$F$223*'Médias por UF'!BJ137</f>
        <v>228454.97387112022</v>
      </c>
      <c r="F155" s="235">
        <f>$F$223*'Médias por UF'!BK137</f>
        <v>300014.92017984885</v>
      </c>
      <c r="G155" s="235">
        <f>$F$223*'Médias por UF'!BL137</f>
        <v>370033.52820577018</v>
      </c>
      <c r="H155" s="235">
        <f>$F$223*'Médias por UF'!BM137</f>
        <v>436964.70869503031</v>
      </c>
      <c r="I155" s="235">
        <f>$F$223*'Médias por UF'!BN137</f>
        <v>518783.66192611749</v>
      </c>
      <c r="J155" s="235">
        <f>$F$223*'Médias por UF'!BO137</f>
        <v>584674.64702223381</v>
      </c>
      <c r="K155" s="235">
        <f>$F$223*'Médias por UF'!BP137</f>
        <v>651245.200896514</v>
      </c>
      <c r="L155" s="235">
        <f>$F$223*'Médias por UF'!BQ137</f>
        <v>716617.48969384097</v>
      </c>
      <c r="M155" s="235">
        <f>$F$223*'Médias por UF'!BR137</f>
        <v>775552</v>
      </c>
      <c r="N155" s="235">
        <f t="shared" si="52"/>
        <v>775552</v>
      </c>
      <c r="P155" s="237" t="s">
        <v>133</v>
      </c>
      <c r="Q155" s="235">
        <f>'Médias por UF'!BG137*'Evolução das Receitas'!$U$223</f>
        <v>54336.554213326963</v>
      </c>
      <c r="R155" s="235">
        <f>'Médias por UF'!BH137*'Evolução das Receitas'!$U$223</f>
        <v>108203.81363969638</v>
      </c>
      <c r="S155" s="235">
        <f>'Médias por UF'!BI137*'Evolução das Receitas'!$U$223</f>
        <v>174917.98828599098</v>
      </c>
      <c r="T155" s="235">
        <f>'Médias por UF'!BJ137*'Evolução das Receitas'!$U$223</f>
        <v>228454.97387112022</v>
      </c>
      <c r="U155" s="235">
        <f>'Médias por UF'!BK137*'Evolução das Receitas'!$U$223</f>
        <v>300014.92017984885</v>
      </c>
      <c r="V155" s="235">
        <f>'Médias por UF'!BL137*'Evolução das Receitas'!$U$223</f>
        <v>370033.52820577018</v>
      </c>
      <c r="W155" s="235">
        <f>'Médias por UF'!BM137*'Evolução das Receitas'!$U$223</f>
        <v>436964.70869503031</v>
      </c>
      <c r="X155" s="235">
        <f>'Médias por UF'!BN137*'Evolução das Receitas'!$U$223</f>
        <v>518783.66192611749</v>
      </c>
      <c r="Y155" s="235">
        <f>'Médias por UF'!BO137*'Evolução das Receitas'!$U$223</f>
        <v>584674.64702223381</v>
      </c>
      <c r="Z155" s="235">
        <f>'Médias por UF'!BP137*'Evolução das Receitas'!$U$223</f>
        <v>651245.200896514</v>
      </c>
      <c r="AA155" s="235">
        <f>'Médias por UF'!BQ137*'Evolução das Receitas'!$U$223</f>
        <v>716617.48969384097</v>
      </c>
      <c r="AB155" s="235">
        <f>'Médias por UF'!BR137*'Evolução das Receitas'!$U$223</f>
        <v>775552</v>
      </c>
      <c r="AC155" s="235">
        <f t="shared" si="53"/>
        <v>775552</v>
      </c>
      <c r="AE155" s="237" t="s">
        <v>133</v>
      </c>
      <c r="AF155" s="235">
        <f>JAN!F19+JAN!W19</f>
        <v>45495.584000000003</v>
      </c>
      <c r="AG155" s="235">
        <f>FEV!F19+FEV!W19+AF155</f>
        <v>107731.34400000001</v>
      </c>
      <c r="AH155" s="235">
        <f>MAR!F19+MAR!W19+AG155</f>
        <v>159129.16800000001</v>
      </c>
      <c r="AI155" s="235">
        <f>ABR!F19+ABR!W19+AH155</f>
        <v>224551.47200000001</v>
      </c>
      <c r="AJ155" s="235">
        <f>MAI!F19+MAI!W19</f>
        <v>0</v>
      </c>
      <c r="AK155" s="235">
        <f>JUN!F19+JUN!W19</f>
        <v>0</v>
      </c>
      <c r="AL155" s="235">
        <f>JUL!F19+JUL!W19</f>
        <v>0</v>
      </c>
      <c r="AM155" s="235">
        <f>AGO!F19+AGO!W19</f>
        <v>0</v>
      </c>
      <c r="AN155" s="235">
        <f>SET!F19+SET!W19</f>
        <v>0</v>
      </c>
      <c r="AO155" s="235">
        <f>OUT!F19+OUT!W19</f>
        <v>0</v>
      </c>
      <c r="AP155" s="235">
        <f>NOV!F19+NOV!W19</f>
        <v>0</v>
      </c>
      <c r="AQ155" s="235">
        <f>DEZ!F19+DEZ!W19</f>
        <v>0</v>
      </c>
      <c r="AR155" s="235">
        <f t="shared" si="54"/>
        <v>224551.47200000001</v>
      </c>
    </row>
    <row r="156" spans="1:44">
      <c r="A156" s="242" t="s">
        <v>134</v>
      </c>
      <c r="B156" s="235">
        <f>$F$224*'Médias por UF'!BG138</f>
        <v>326736.31733016542</v>
      </c>
      <c r="C156" s="235">
        <f>$F$224*'Médias por UF'!BH138</f>
        <v>699193.39391603903</v>
      </c>
      <c r="D156" s="235">
        <f>$F$224*'Médias por UF'!BI138</f>
        <v>1214410.2961429935</v>
      </c>
      <c r="E156" s="235">
        <f>$F$224*'Médias por UF'!BJ138</f>
        <v>1697581.4413565015</v>
      </c>
      <c r="F156" s="235">
        <f>$F$224*'Médias por UF'!BK138</f>
        <v>2224893.66482674</v>
      </c>
      <c r="G156" s="235">
        <f>$F$224*'Médias por UF'!BL138</f>
        <v>2742051.290375927</v>
      </c>
      <c r="H156" s="235">
        <f>$F$224*'Médias por UF'!BM138</f>
        <v>3248628.4181972565</v>
      </c>
      <c r="I156" s="235">
        <f>$F$224*'Médias por UF'!BN138</f>
        <v>3790214.3506841739</v>
      </c>
      <c r="J156" s="235">
        <f>$F$224*'Médias por UF'!BO138</f>
        <v>4260145.653352485</v>
      </c>
      <c r="K156" s="235">
        <f>$F$224*'Médias por UF'!BP138</f>
        <v>4764885.7624630537</v>
      </c>
      <c r="L156" s="235">
        <f>$F$224*'Médias por UF'!BQ138</f>
        <v>5227096.6617370471</v>
      </c>
      <c r="M156" s="235">
        <f>$F$224*'Médias por UF'!BR138</f>
        <v>5665056</v>
      </c>
      <c r="N156" s="235">
        <f t="shared" si="52"/>
        <v>5665056</v>
      </c>
      <c r="P156" s="237" t="s">
        <v>134</v>
      </c>
      <c r="Q156" s="235">
        <f>'Médias por UF'!BG138*'Evolução das Receitas'!$U$224</f>
        <v>326736.31733016542</v>
      </c>
      <c r="R156" s="235">
        <f>'Médias por UF'!BH138*'Evolução das Receitas'!$U$224</f>
        <v>699193.39391603903</v>
      </c>
      <c r="S156" s="235">
        <f>'Médias por UF'!BI138*'Evolução das Receitas'!$U$224</f>
        <v>1214410.2961429935</v>
      </c>
      <c r="T156" s="235">
        <f>'Médias por UF'!BJ138*'Evolução das Receitas'!$U$224</f>
        <v>1697581.4413565015</v>
      </c>
      <c r="U156" s="235">
        <f>'Médias por UF'!BK138*'Evolução das Receitas'!$U$224</f>
        <v>2224893.66482674</v>
      </c>
      <c r="V156" s="235">
        <f>'Médias por UF'!BL138*'Evolução das Receitas'!$U$224</f>
        <v>2742051.290375927</v>
      </c>
      <c r="W156" s="235">
        <f>'Médias por UF'!BM138*'Evolução das Receitas'!$U$224</f>
        <v>3248628.4181972565</v>
      </c>
      <c r="X156" s="235">
        <f>'Médias por UF'!BN138*'Evolução das Receitas'!$U$224</f>
        <v>3790214.3506841739</v>
      </c>
      <c r="Y156" s="235">
        <f>'Médias por UF'!BO138*'Evolução das Receitas'!$U$224</f>
        <v>4260145.653352485</v>
      </c>
      <c r="Z156" s="235">
        <f>'Médias por UF'!BP138*'Evolução das Receitas'!$U$224</f>
        <v>4764885.7624630537</v>
      </c>
      <c r="AA156" s="235">
        <f>'Médias por UF'!BQ138*'Evolução das Receitas'!$U$224</f>
        <v>5227096.6617370471</v>
      </c>
      <c r="AB156" s="235">
        <f>'Médias por UF'!BR138*'Evolução das Receitas'!$U$224</f>
        <v>5665056</v>
      </c>
      <c r="AC156" s="235">
        <f t="shared" si="53"/>
        <v>5665056</v>
      </c>
      <c r="AE156" s="237" t="s">
        <v>134</v>
      </c>
      <c r="AF156" s="235">
        <f>JAN!F20+JAN!W20</f>
        <v>370893.08799999999</v>
      </c>
      <c r="AG156" s="235">
        <f>FEV!F20+FEV!W20+AF156</f>
        <v>840826.88</v>
      </c>
      <c r="AH156" s="235">
        <f>MAR!F20+MAR!W20+AG156</f>
        <v>1295674.8799999999</v>
      </c>
      <c r="AI156" s="235">
        <f>ABR!F20+ABR!W20+AH156</f>
        <v>1827771.2319999998</v>
      </c>
      <c r="AJ156" s="235">
        <f>MAI!F20+MAI!W20</f>
        <v>0</v>
      </c>
      <c r="AK156" s="235">
        <f>JUN!F20+JUN!W20</f>
        <v>0</v>
      </c>
      <c r="AL156" s="235">
        <f>JUL!F20+JUL!W20</f>
        <v>0</v>
      </c>
      <c r="AM156" s="235">
        <f>AGO!F20+AGO!W20</f>
        <v>0</v>
      </c>
      <c r="AN156" s="235">
        <f>SET!F20+SET!W20</f>
        <v>0</v>
      </c>
      <c r="AO156" s="235">
        <f>OUT!F20+OUT!W20</f>
        <v>0</v>
      </c>
      <c r="AP156" s="235">
        <f>NOV!F20+NOV!W20</f>
        <v>0</v>
      </c>
      <c r="AQ156" s="235">
        <f>DEZ!F20+DEZ!W20</f>
        <v>0</v>
      </c>
      <c r="AR156" s="235">
        <f t="shared" si="54"/>
        <v>1827771.2319999998</v>
      </c>
    </row>
    <row r="157" spans="1:44">
      <c r="A157" s="242" t="s">
        <v>135</v>
      </c>
      <c r="B157" s="235">
        <f>$F$225*'Médias por UF'!BG139</f>
        <v>83507.115787915915</v>
      </c>
      <c r="C157" s="235">
        <f>$F$225*'Médias por UF'!BH139</f>
        <v>170161.22061180376</v>
      </c>
      <c r="D157" s="235">
        <f>$F$225*'Médias por UF'!BI139</f>
        <v>263782.67357260507</v>
      </c>
      <c r="E157" s="235">
        <f>$F$225*'Médias por UF'!BJ139</f>
        <v>363632.55633877829</v>
      </c>
      <c r="F157" s="235">
        <f>$F$225*'Médias por UF'!BK139</f>
        <v>475872.05518850748</v>
      </c>
      <c r="G157" s="235">
        <f>$F$225*'Médias por UF'!BL139</f>
        <v>582397.98206392524</v>
      </c>
      <c r="H157" s="235">
        <f>$F$225*'Médias por UF'!BM139</f>
        <v>685892.97531608667</v>
      </c>
      <c r="I157" s="235">
        <f>$F$225*'Médias por UF'!BN139</f>
        <v>810632.6559184608</v>
      </c>
      <c r="J157" s="235">
        <f>$F$225*'Médias por UF'!BO139</f>
        <v>925404.99562779116</v>
      </c>
      <c r="K157" s="235">
        <f>$F$225*'Médias por UF'!BP139</f>
        <v>1040088.9461095352</v>
      </c>
      <c r="L157" s="235">
        <f>$F$225*'Médias por UF'!BQ139</f>
        <v>1146449.5229581138</v>
      </c>
      <c r="M157" s="235">
        <f>$F$225*'Médias por UF'!BR139</f>
        <v>1251393</v>
      </c>
      <c r="N157" s="235">
        <f t="shared" si="52"/>
        <v>1251393</v>
      </c>
      <c r="P157" s="237" t="s">
        <v>135</v>
      </c>
      <c r="Q157" s="235">
        <f>'Médias por UF'!BG139*'Evolução das Receitas'!$U$225</f>
        <v>83507.115787915915</v>
      </c>
      <c r="R157" s="235">
        <f>'Médias por UF'!BH139*'Evolução das Receitas'!$U$225</f>
        <v>170161.22061180376</v>
      </c>
      <c r="S157" s="235">
        <f>'Médias por UF'!BI139*'Evolução das Receitas'!$U$225</f>
        <v>263782.67357260507</v>
      </c>
      <c r="T157" s="235">
        <f>'Médias por UF'!BJ139*'Evolução das Receitas'!$U$225</f>
        <v>363632.55633877829</v>
      </c>
      <c r="U157" s="235">
        <f>'Médias por UF'!BK139*'Evolução das Receitas'!$U$225</f>
        <v>475872.05518850748</v>
      </c>
      <c r="V157" s="235">
        <f>'Médias por UF'!BL139*'Evolução das Receitas'!$U$225</f>
        <v>582397.98206392524</v>
      </c>
      <c r="W157" s="235">
        <f>'Médias por UF'!BM139*'Evolução das Receitas'!$U$225</f>
        <v>685892.97531608667</v>
      </c>
      <c r="X157" s="235">
        <f>'Médias por UF'!BN139*'Evolução das Receitas'!$U$225</f>
        <v>810632.6559184608</v>
      </c>
      <c r="Y157" s="235">
        <f>'Médias por UF'!BO139*'Evolução das Receitas'!$U$225</f>
        <v>925404.99562779116</v>
      </c>
      <c r="Z157" s="235">
        <f>'Médias por UF'!BP139*'Evolução das Receitas'!$U$225</f>
        <v>1040088.9461095352</v>
      </c>
      <c r="AA157" s="235">
        <f>'Médias por UF'!BQ139*'Evolução das Receitas'!$U$225</f>
        <v>1146449.5229581138</v>
      </c>
      <c r="AB157" s="235">
        <f>'Médias por UF'!BR139*'Evolução das Receitas'!$U$225</f>
        <v>1251393</v>
      </c>
      <c r="AC157" s="235">
        <f t="shared" si="53"/>
        <v>1251393</v>
      </c>
      <c r="AE157" s="237" t="s">
        <v>135</v>
      </c>
      <c r="AF157" s="235">
        <f>JAN!F21+JAN!W21</f>
        <v>87982.32</v>
      </c>
      <c r="AG157" s="235">
        <f>FEV!F21+FEV!W21+AF157</f>
        <v>204347.60000000003</v>
      </c>
      <c r="AH157" s="235">
        <f>MAR!F21+MAR!W21+AG157</f>
        <v>304869.00800000003</v>
      </c>
      <c r="AI157" s="235">
        <f>ABR!F21+ABR!W21+AH157</f>
        <v>420855.24800000002</v>
      </c>
      <c r="AJ157" s="235">
        <f>MAI!F21+MAI!W21</f>
        <v>0</v>
      </c>
      <c r="AK157" s="235">
        <f>JUN!F21+JUN!W21</f>
        <v>0</v>
      </c>
      <c r="AL157" s="235">
        <f>JUL!F21+JUL!W21</f>
        <v>0</v>
      </c>
      <c r="AM157" s="235">
        <f>AGO!F21+AGO!W21</f>
        <v>0</v>
      </c>
      <c r="AN157" s="235">
        <f>SET!F21+SET!W21</f>
        <v>0</v>
      </c>
      <c r="AO157" s="235">
        <f>OUT!F21+OUT!W21</f>
        <v>0</v>
      </c>
      <c r="AP157" s="235">
        <f>NOV!F21+NOV!W21</f>
        <v>0</v>
      </c>
      <c r="AQ157" s="235">
        <f>DEZ!F21+DEZ!W21</f>
        <v>0</v>
      </c>
      <c r="AR157" s="235">
        <f t="shared" si="54"/>
        <v>420855.24800000002</v>
      </c>
    </row>
    <row r="158" spans="1:44">
      <c r="A158" s="242" t="s">
        <v>136</v>
      </c>
      <c r="B158" s="235">
        <f>$F$226*'Médias por UF'!BG140</f>
        <v>27852.425797089865</v>
      </c>
      <c r="C158" s="235">
        <f>$F$226*'Médias por UF'!BH140</f>
        <v>51292.222185655381</v>
      </c>
      <c r="D158" s="235">
        <f>$F$226*'Médias por UF'!BI140</f>
        <v>82853.964518740933</v>
      </c>
      <c r="E158" s="235">
        <f>$F$226*'Médias por UF'!BJ140</f>
        <v>116386.0272217301</v>
      </c>
      <c r="F158" s="235">
        <f>$F$226*'Médias por UF'!BK140</f>
        <v>151526.82011200461</v>
      </c>
      <c r="G158" s="235">
        <f>$F$226*'Médias por UF'!BL140</f>
        <v>190535.64164402758</v>
      </c>
      <c r="H158" s="235">
        <f>$F$226*'Médias por UF'!BM140</f>
        <v>225127.77009877362</v>
      </c>
      <c r="I158" s="235">
        <f>$F$226*'Médias por UF'!BN140</f>
        <v>268576.65170953772</v>
      </c>
      <c r="J158" s="235">
        <f>$F$226*'Médias por UF'!BO140</f>
        <v>301810.24946755578</v>
      </c>
      <c r="K158" s="235">
        <f>$F$226*'Médias por UF'!BP140</f>
        <v>344479.9590660414</v>
      </c>
      <c r="L158" s="235">
        <f>$F$226*'Médias por UF'!BQ140</f>
        <v>382536.52035352454</v>
      </c>
      <c r="M158" s="235">
        <f>$F$226*'Médias por UF'!BR140</f>
        <v>414390</v>
      </c>
      <c r="N158" s="235">
        <f t="shared" si="52"/>
        <v>414390</v>
      </c>
      <c r="P158" s="237" t="s">
        <v>136</v>
      </c>
      <c r="Q158" s="235">
        <f>'Médias por UF'!BG140*'Evolução das Receitas'!$U$226</f>
        <v>27852.425797089865</v>
      </c>
      <c r="R158" s="235">
        <f>'Médias por UF'!BH140*'Evolução das Receitas'!$U$226</f>
        <v>51292.222185655381</v>
      </c>
      <c r="S158" s="235">
        <f>'Médias por UF'!BI140*'Evolução das Receitas'!$U$226</f>
        <v>82853.964518740933</v>
      </c>
      <c r="T158" s="235">
        <f>'Médias por UF'!BJ140*'Evolução das Receitas'!$U$226</f>
        <v>116386.0272217301</v>
      </c>
      <c r="U158" s="235">
        <f>'Médias por UF'!BK140*'Evolução das Receitas'!$U$226</f>
        <v>151526.82011200461</v>
      </c>
      <c r="V158" s="235">
        <f>'Médias por UF'!BL140*'Evolução das Receitas'!$U$226</f>
        <v>190535.64164402758</v>
      </c>
      <c r="W158" s="235">
        <f>'Médias por UF'!BM140*'Evolução das Receitas'!$U$226</f>
        <v>225127.77009877362</v>
      </c>
      <c r="X158" s="235">
        <f>'Médias por UF'!BN140*'Evolução das Receitas'!$U$226</f>
        <v>268576.65170953772</v>
      </c>
      <c r="Y158" s="235">
        <f>'Médias por UF'!BO140*'Evolução das Receitas'!$U$226</f>
        <v>301810.24946755578</v>
      </c>
      <c r="Z158" s="235">
        <f>'Médias por UF'!BP140*'Evolução das Receitas'!$U$226</f>
        <v>344479.9590660414</v>
      </c>
      <c r="AA158" s="235">
        <f>'Médias por UF'!BQ140*'Evolução das Receitas'!$U$226</f>
        <v>382536.52035352454</v>
      </c>
      <c r="AB158" s="235">
        <f>'Médias por UF'!BR140*'Evolução das Receitas'!$U$226</f>
        <v>414390</v>
      </c>
      <c r="AC158" s="235">
        <f t="shared" si="53"/>
        <v>414390</v>
      </c>
      <c r="AE158" s="237" t="s">
        <v>136</v>
      </c>
      <c r="AF158" s="235">
        <f>JAN!F22+JAN!W22</f>
        <v>24356.168000000001</v>
      </c>
      <c r="AG158" s="235">
        <f>FEV!F22+FEV!W22+AF158</f>
        <v>48091.032000000007</v>
      </c>
      <c r="AH158" s="235">
        <f>MAR!F22+MAR!W22+AG158</f>
        <v>75919.664000000004</v>
      </c>
      <c r="AI158" s="235">
        <f>ABR!F22+ABR!W22+AH158</f>
        <v>100649.072</v>
      </c>
      <c r="AJ158" s="235">
        <f>MAI!F22+MAI!W22</f>
        <v>0</v>
      </c>
      <c r="AK158" s="235">
        <f>JUN!F22+JUN!W22</f>
        <v>0</v>
      </c>
      <c r="AL158" s="235">
        <f>JUL!F22+JUL!W22</f>
        <v>0</v>
      </c>
      <c r="AM158" s="235">
        <f>AGO!F22+AGO!W22</f>
        <v>0</v>
      </c>
      <c r="AN158" s="235">
        <f>SET!F22+SET!W22</f>
        <v>0</v>
      </c>
      <c r="AO158" s="235">
        <f>OUT!F22+OUT!W22</f>
        <v>0</v>
      </c>
      <c r="AP158" s="235">
        <f>NOV!F22+NOV!W22</f>
        <v>0</v>
      </c>
      <c r="AQ158" s="235">
        <f>DEZ!F22+DEZ!W22</f>
        <v>0</v>
      </c>
      <c r="AR158" s="235">
        <f t="shared" si="54"/>
        <v>100649.072</v>
      </c>
    </row>
    <row r="159" spans="1:44">
      <c r="A159" s="242" t="s">
        <v>137</v>
      </c>
      <c r="B159" s="235">
        <f>$F$227*'Médias por UF'!BG141</f>
        <v>275585.10170650465</v>
      </c>
      <c r="C159" s="235">
        <f>$F$227*'Médias por UF'!BH141</f>
        <v>542324.95241410506</v>
      </c>
      <c r="D159" s="235">
        <f>$F$227*'Médias por UF'!BI141</f>
        <v>905486.80140871753</v>
      </c>
      <c r="E159" s="235">
        <f>$F$227*'Médias por UF'!BJ141</f>
        <v>1239605.2649742088</v>
      </c>
      <c r="F159" s="235">
        <f>$F$227*'Médias por UF'!BK141</f>
        <v>1628604.1554653577</v>
      </c>
      <c r="G159" s="235">
        <f>$F$227*'Médias por UF'!BL141</f>
        <v>2004229.3706102488</v>
      </c>
      <c r="H159" s="235">
        <f>$F$227*'Médias por UF'!BM141</f>
        <v>2392281.6084414213</v>
      </c>
      <c r="I159" s="235">
        <f>$F$227*'Médias por UF'!BN141</f>
        <v>2852136.7043676027</v>
      </c>
      <c r="J159" s="235">
        <f>$F$227*'Médias por UF'!BO141</f>
        <v>3246906.4947706214</v>
      </c>
      <c r="K159" s="235">
        <f>$F$227*'Médias por UF'!BP141</f>
        <v>3679037.3284080704</v>
      </c>
      <c r="L159" s="235">
        <f>$F$227*'Médias por UF'!BQ141</f>
        <v>4037500.4381989976</v>
      </c>
      <c r="M159" s="235">
        <f>$F$227*'Médias por UF'!BR141</f>
        <v>4384074</v>
      </c>
      <c r="N159" s="235">
        <f t="shared" si="52"/>
        <v>4384074</v>
      </c>
      <c r="P159" s="237" t="s">
        <v>137</v>
      </c>
      <c r="Q159" s="235">
        <f>'Médias por UF'!BG141*'Evolução das Receitas'!$U$227</f>
        <v>275585.10170650465</v>
      </c>
      <c r="R159" s="235">
        <f>'Médias por UF'!BH141*'Evolução das Receitas'!$U$227</f>
        <v>542324.95241410506</v>
      </c>
      <c r="S159" s="235">
        <f>'Médias por UF'!BI141*'Evolução das Receitas'!$U$227</f>
        <v>905486.80140871753</v>
      </c>
      <c r="T159" s="235">
        <f>'Médias por UF'!BJ141*'Evolução das Receitas'!$U$227</f>
        <v>1239605.2649742088</v>
      </c>
      <c r="U159" s="235">
        <f>'Médias por UF'!BK141*'Evolução das Receitas'!$U$227</f>
        <v>1628604.1554653577</v>
      </c>
      <c r="V159" s="235">
        <f>'Médias por UF'!BL141*'Evolução das Receitas'!$U$227</f>
        <v>2004229.3706102488</v>
      </c>
      <c r="W159" s="235">
        <f>'Médias por UF'!BM141*'Evolução das Receitas'!$U$227</f>
        <v>2392281.6084414213</v>
      </c>
      <c r="X159" s="235">
        <f>'Médias por UF'!BN141*'Evolução das Receitas'!$U$227</f>
        <v>2852136.7043676027</v>
      </c>
      <c r="Y159" s="235">
        <f>'Médias por UF'!BO141*'Evolução das Receitas'!$U$227</f>
        <v>3246906.4947706214</v>
      </c>
      <c r="Z159" s="235">
        <f>'Médias por UF'!BP141*'Evolução das Receitas'!$U$227</f>
        <v>3679037.3284080704</v>
      </c>
      <c r="AA159" s="235">
        <f>'Médias por UF'!BQ141*'Evolução das Receitas'!$U$227</f>
        <v>4037500.4381989976</v>
      </c>
      <c r="AB159" s="235">
        <f>'Médias por UF'!BR141*'Evolução das Receitas'!$U$227</f>
        <v>4384074</v>
      </c>
      <c r="AC159" s="235">
        <f t="shared" si="53"/>
        <v>4384074</v>
      </c>
      <c r="AE159" s="237" t="s">
        <v>137</v>
      </c>
      <c r="AF159" s="235">
        <f>JAN!F23+JAN!W23</f>
        <v>340951.53600000002</v>
      </c>
      <c r="AG159" s="235">
        <f>FEV!F23+FEV!W23+AF159</f>
        <v>711788.62400000007</v>
      </c>
      <c r="AH159" s="235">
        <f>MAR!F23+MAR!W23+AG159</f>
        <v>1052545.584</v>
      </c>
      <c r="AI159" s="235">
        <f>ABR!F23+ABR!W23+AH159</f>
        <v>1418394.9920000001</v>
      </c>
      <c r="AJ159" s="235">
        <f>MAI!F23+MAI!W23</f>
        <v>0</v>
      </c>
      <c r="AK159" s="235">
        <f>JUN!F23+JUN!W23</f>
        <v>0</v>
      </c>
      <c r="AL159" s="235">
        <f>JUL!F23+JUL!W23</f>
        <v>0</v>
      </c>
      <c r="AM159" s="235">
        <f>AGO!F23+AGO!W23</f>
        <v>0</v>
      </c>
      <c r="AN159" s="235">
        <f>SET!F23+SET!W23</f>
        <v>0</v>
      </c>
      <c r="AO159" s="235">
        <f>OUT!F23+OUT!W23</f>
        <v>0</v>
      </c>
      <c r="AP159" s="235">
        <f>NOV!F23+NOV!W23</f>
        <v>0</v>
      </c>
      <c r="AQ159" s="235">
        <f>DEZ!F23+DEZ!W23</f>
        <v>0</v>
      </c>
      <c r="AR159" s="235">
        <f t="shared" si="54"/>
        <v>1418394.9920000001</v>
      </c>
    </row>
    <row r="160" spans="1:44">
      <c r="A160" s="242" t="s">
        <v>138</v>
      </c>
      <c r="B160" s="235">
        <f>$F$228*'Médias por UF'!BG142</f>
        <v>44369.663241195864</v>
      </c>
      <c r="C160" s="235">
        <f>$F$228*'Médias por UF'!BH142</f>
        <v>95223.044013456994</v>
      </c>
      <c r="D160" s="235">
        <f>$F$228*'Médias por UF'!BI142</f>
        <v>148733.0920324738</v>
      </c>
      <c r="E160" s="235">
        <f>$F$228*'Médias por UF'!BJ142</f>
        <v>204980.75387056996</v>
      </c>
      <c r="F160" s="235">
        <f>$F$228*'Médias por UF'!BK142</f>
        <v>267095.39943348808</v>
      </c>
      <c r="G160" s="235">
        <f>$F$228*'Médias por UF'!BL142</f>
        <v>332990.2190676278</v>
      </c>
      <c r="H160" s="235">
        <f>$F$228*'Médias por UF'!BM142</f>
        <v>390401.41226401756</v>
      </c>
      <c r="I160" s="235">
        <f>$F$228*'Médias por UF'!BN142</f>
        <v>458832.40708573256</v>
      </c>
      <c r="J160" s="235">
        <f>$F$228*'Médias por UF'!BO142</f>
        <v>515373.82630739233</v>
      </c>
      <c r="K160" s="235">
        <f>$F$228*'Médias por UF'!BP142</f>
        <v>575221.84733427851</v>
      </c>
      <c r="L160" s="235">
        <f>$F$228*'Médias por UF'!BQ142</f>
        <v>634496.55344297143</v>
      </c>
      <c r="M160" s="235">
        <f>$F$228*'Médias por UF'!BR142</f>
        <v>685873</v>
      </c>
      <c r="N160" s="235">
        <f t="shared" si="52"/>
        <v>685873</v>
      </c>
      <c r="P160" s="237" t="s">
        <v>138</v>
      </c>
      <c r="Q160" s="235">
        <f>'Médias por UF'!BG142*'Evolução das Receitas'!$U$228</f>
        <v>44369.663241195864</v>
      </c>
      <c r="R160" s="235">
        <f>'Médias por UF'!BH142*'Evolução das Receitas'!$U$228</f>
        <v>95223.044013456994</v>
      </c>
      <c r="S160" s="235">
        <f>'Médias por UF'!BI142*'Evolução das Receitas'!$U$228</f>
        <v>148733.0920324738</v>
      </c>
      <c r="T160" s="235">
        <f>'Médias por UF'!BJ142*'Evolução das Receitas'!$U$228</f>
        <v>204980.75387056996</v>
      </c>
      <c r="U160" s="235">
        <f>'Médias por UF'!BK142*'Evolução das Receitas'!$U$228</f>
        <v>267095.39943348808</v>
      </c>
      <c r="V160" s="235">
        <f>'Médias por UF'!BL142*'Evolução das Receitas'!$U$228</f>
        <v>332990.2190676278</v>
      </c>
      <c r="W160" s="235">
        <f>'Médias por UF'!BM142*'Evolução das Receitas'!$U$228</f>
        <v>390401.41226401756</v>
      </c>
      <c r="X160" s="235">
        <f>'Médias por UF'!BN142*'Evolução das Receitas'!$U$228</f>
        <v>458832.40708573256</v>
      </c>
      <c r="Y160" s="235">
        <f>'Médias por UF'!BO142*'Evolução das Receitas'!$U$228</f>
        <v>515373.82630739233</v>
      </c>
      <c r="Z160" s="235">
        <f>'Médias por UF'!BP142*'Evolução das Receitas'!$U$228</f>
        <v>575221.84733427851</v>
      </c>
      <c r="AA160" s="235">
        <f>'Médias por UF'!BQ142*'Evolução das Receitas'!$U$228</f>
        <v>634496.55344297143</v>
      </c>
      <c r="AB160" s="235">
        <f>'Médias por UF'!BR142*'Evolução das Receitas'!$U$228</f>
        <v>685873</v>
      </c>
      <c r="AC160" s="235">
        <f t="shared" si="53"/>
        <v>685873</v>
      </c>
      <c r="AE160" s="237" t="s">
        <v>138</v>
      </c>
      <c r="AF160" s="235">
        <f>JAN!F24+JAN!W24</f>
        <v>44264.4</v>
      </c>
      <c r="AG160" s="235">
        <f>FEV!F24+FEV!W24+AF160</f>
        <v>88233.040000000008</v>
      </c>
      <c r="AH160" s="235">
        <f>MAR!F24+MAR!W24+AG160</f>
        <v>130003.24800000002</v>
      </c>
      <c r="AI160" s="235">
        <f>ABR!F24+ABR!W24+AH160</f>
        <v>185873.74400000001</v>
      </c>
      <c r="AJ160" s="235">
        <f>MAI!F24+MAI!W24</f>
        <v>0</v>
      </c>
      <c r="AK160" s="235">
        <f>JUN!F24+JUN!W24</f>
        <v>0</v>
      </c>
      <c r="AL160" s="235">
        <f>JUL!F24+JUL!W24</f>
        <v>0</v>
      </c>
      <c r="AM160" s="235">
        <f>AGO!F24+AGO!W24</f>
        <v>0</v>
      </c>
      <c r="AN160" s="235">
        <f>SET!F24+SET!W24</f>
        <v>0</v>
      </c>
      <c r="AO160" s="235">
        <f>OUT!F24+OUT!W24</f>
        <v>0</v>
      </c>
      <c r="AP160" s="235">
        <f>NOV!F24+NOV!W24</f>
        <v>0</v>
      </c>
      <c r="AQ160" s="235">
        <f>DEZ!F24+DEZ!W24</f>
        <v>0</v>
      </c>
      <c r="AR160" s="235">
        <f t="shared" si="54"/>
        <v>185873.74400000001</v>
      </c>
    </row>
    <row r="161" spans="1:45">
      <c r="A161" s="242" t="s">
        <v>139</v>
      </c>
      <c r="B161" s="235">
        <f>$F$229*'Médias por UF'!BG143</f>
        <v>556985.29094962706</v>
      </c>
      <c r="C161" s="235">
        <f>$F$229*'Médias por UF'!BH143</f>
        <v>1118005.1833868672</v>
      </c>
      <c r="D161" s="235">
        <f>$F$229*'Médias por UF'!BI143</f>
        <v>1825647.3940868515</v>
      </c>
      <c r="E161" s="235">
        <f>$F$229*'Médias por UF'!BJ143</f>
        <v>2494089.8294125209</v>
      </c>
      <c r="F161" s="235">
        <f>$F$229*'Médias por UF'!BK143</f>
        <v>3238347.9046436348</v>
      </c>
      <c r="G161" s="235">
        <f>$F$229*'Médias por UF'!BL143</f>
        <v>3924756.9551041294</v>
      </c>
      <c r="H161" s="235">
        <f>$F$229*'Médias por UF'!BM143</f>
        <v>4641791.2495409083</v>
      </c>
      <c r="I161" s="235">
        <f>$F$229*'Médias por UF'!BN143</f>
        <v>5466429.1343757436</v>
      </c>
      <c r="J161" s="235">
        <f>$F$229*'Médias por UF'!BO143</f>
        <v>6152393.664513519</v>
      </c>
      <c r="K161" s="235">
        <f>$F$229*'Médias por UF'!BP143</f>
        <v>6925627.6077349558</v>
      </c>
      <c r="L161" s="235">
        <f>$F$229*'Médias por UF'!BQ143</f>
        <v>7638766.639416106</v>
      </c>
      <c r="M161" s="235">
        <f>$F$229*'Médias por UF'!BR143</f>
        <v>8295113</v>
      </c>
      <c r="N161" s="235">
        <f t="shared" si="52"/>
        <v>8295113</v>
      </c>
      <c r="P161" s="237" t="s">
        <v>139</v>
      </c>
      <c r="Q161" s="235">
        <f>'Médias por UF'!BG143*'Evolução das Receitas'!$U$229</f>
        <v>556985.29094962706</v>
      </c>
      <c r="R161" s="235">
        <f>'Médias por UF'!BH143*'Evolução das Receitas'!$U$229</f>
        <v>1118005.1833868672</v>
      </c>
      <c r="S161" s="235">
        <f>'Médias por UF'!BI143*'Evolução das Receitas'!$U$229</f>
        <v>1825647.3940868515</v>
      </c>
      <c r="T161" s="235">
        <f>'Médias por UF'!BJ143*'Evolução das Receitas'!$U$229</f>
        <v>2494089.8294125209</v>
      </c>
      <c r="U161" s="235">
        <f>'Médias por UF'!BK143*'Evolução das Receitas'!$U$229</f>
        <v>3238347.9046436348</v>
      </c>
      <c r="V161" s="235">
        <f>'Médias por UF'!BL143*'Evolução das Receitas'!$U$229</f>
        <v>3924756.9551041294</v>
      </c>
      <c r="W161" s="235">
        <f>'Médias por UF'!BM143*'Evolução das Receitas'!$U$229</f>
        <v>4641791.2495409083</v>
      </c>
      <c r="X161" s="235">
        <f>'Médias por UF'!BN143*'Evolução das Receitas'!$U$229</f>
        <v>5466429.1343757436</v>
      </c>
      <c r="Y161" s="235">
        <f>'Médias por UF'!BO143*'Evolução das Receitas'!$U$229</f>
        <v>6152393.664513519</v>
      </c>
      <c r="Z161" s="235">
        <f>'Médias por UF'!BP143*'Evolução das Receitas'!$U$229</f>
        <v>6925627.6077349558</v>
      </c>
      <c r="AA161" s="235">
        <f>'Médias por UF'!BQ143*'Evolução das Receitas'!$U$229</f>
        <v>7638766.639416106</v>
      </c>
      <c r="AB161" s="235">
        <f>'Médias por UF'!BR143*'Evolução das Receitas'!$U$229</f>
        <v>8295113</v>
      </c>
      <c r="AC161" s="235">
        <f t="shared" si="53"/>
        <v>8295113</v>
      </c>
      <c r="AE161" s="237" t="s">
        <v>139</v>
      </c>
      <c r="AF161" s="235">
        <f>JAN!F25+JAN!W25</f>
        <v>494659.03200000006</v>
      </c>
      <c r="AG161" s="235">
        <f>FEV!F25+FEV!W25+AF161</f>
        <v>1086719.5120000001</v>
      </c>
      <c r="AH161" s="235">
        <f>MAR!F25+MAR!W25+AG161</f>
        <v>1680220.344</v>
      </c>
      <c r="AI161" s="235">
        <f>ABR!F25+ABR!W25+AH161</f>
        <v>2349225.9440000001</v>
      </c>
      <c r="AJ161" s="235">
        <f>MAI!F25+MAI!W25</f>
        <v>0</v>
      </c>
      <c r="AK161" s="235">
        <f>JUN!F25+JUN!W25</f>
        <v>0</v>
      </c>
      <c r="AL161" s="235">
        <f>JUL!F25+JUL!W25</f>
        <v>0</v>
      </c>
      <c r="AM161" s="235">
        <f>AGO!F25+AGO!W25</f>
        <v>0</v>
      </c>
      <c r="AN161" s="235">
        <f>SET!F25+SET!W25</f>
        <v>0</v>
      </c>
      <c r="AO161" s="235">
        <f>OUT!F25+OUT!W25</f>
        <v>0</v>
      </c>
      <c r="AP161" s="235">
        <f>NOV!F25+NOV!W25</f>
        <v>0</v>
      </c>
      <c r="AQ161" s="235">
        <f>DEZ!F25+DEZ!W25</f>
        <v>0</v>
      </c>
      <c r="AR161" s="235">
        <f t="shared" si="54"/>
        <v>2349225.9440000001</v>
      </c>
    </row>
    <row r="162" spans="1:45">
      <c r="A162" s="242" t="s">
        <v>140</v>
      </c>
      <c r="B162" s="235">
        <f>$F$230*'Médias por UF'!BG144</f>
        <v>29651.591579802152</v>
      </c>
      <c r="C162" s="235">
        <f>$F$230*'Médias por UF'!BH144</f>
        <v>63944.959860315772</v>
      </c>
      <c r="D162" s="235">
        <f>$F$230*'Médias por UF'!BI144</f>
        <v>115347.06246058294</v>
      </c>
      <c r="E162" s="235">
        <f>$F$230*'Médias por UF'!BJ144</f>
        <v>161408.92485088736</v>
      </c>
      <c r="F162" s="235">
        <f>$F$230*'Médias por UF'!BK144</f>
        <v>214001.44853672176</v>
      </c>
      <c r="G162" s="235">
        <f>$F$230*'Médias por UF'!BL144</f>
        <v>274661.96589826146</v>
      </c>
      <c r="H162" s="235">
        <f>$F$230*'Médias por UF'!BM144</f>
        <v>332100.48839204386</v>
      </c>
      <c r="I162" s="235">
        <f>$F$230*'Médias por UF'!BN144</f>
        <v>394212.21003078209</v>
      </c>
      <c r="J162" s="235">
        <f>$F$230*'Médias por UF'!BO144</f>
        <v>445340.16723719647</v>
      </c>
      <c r="K162" s="235">
        <f>$F$230*'Médias por UF'!BP144</f>
        <v>497650.02044275263</v>
      </c>
      <c r="L162" s="235">
        <f>$F$230*'Médias por UF'!BQ144</f>
        <v>546581.01257835422</v>
      </c>
      <c r="M162" s="235">
        <f>$F$230*'Médias por UF'!BR144</f>
        <v>593328</v>
      </c>
      <c r="N162" s="235">
        <f t="shared" si="52"/>
        <v>593328</v>
      </c>
      <c r="P162" s="237" t="s">
        <v>140</v>
      </c>
      <c r="Q162" s="235">
        <f>'Médias por UF'!BG144*'Evolução das Receitas'!$U$230</f>
        <v>29651.591579802152</v>
      </c>
      <c r="R162" s="235">
        <f>'Médias por UF'!BH144*'Evolução das Receitas'!$U$230</f>
        <v>63944.959860315772</v>
      </c>
      <c r="S162" s="235">
        <f>'Médias por UF'!BI144*'Evolução das Receitas'!$U$230</f>
        <v>115347.06246058294</v>
      </c>
      <c r="T162" s="235">
        <f>'Médias por UF'!BJ144*'Evolução das Receitas'!$U$230</f>
        <v>161408.92485088736</v>
      </c>
      <c r="U162" s="235">
        <f>'Médias por UF'!BK144*'Evolução das Receitas'!$U$230</f>
        <v>214001.44853672176</v>
      </c>
      <c r="V162" s="235">
        <f>'Médias por UF'!BL144*'Evolução das Receitas'!$U$230</f>
        <v>274661.96589826146</v>
      </c>
      <c r="W162" s="235">
        <f>'Médias por UF'!BM144*'Evolução das Receitas'!$U$230</f>
        <v>332100.48839204386</v>
      </c>
      <c r="X162" s="235">
        <f>'Médias por UF'!BN144*'Evolução das Receitas'!$U$230</f>
        <v>394212.21003078209</v>
      </c>
      <c r="Y162" s="235">
        <f>'Médias por UF'!BO144*'Evolução das Receitas'!$U$230</f>
        <v>445340.16723719647</v>
      </c>
      <c r="Z162" s="235">
        <f>'Médias por UF'!BP144*'Evolução das Receitas'!$U$230</f>
        <v>497650.02044275263</v>
      </c>
      <c r="AA162" s="235">
        <f>'Médias por UF'!BQ144*'Evolução das Receitas'!$U$230</f>
        <v>546581.01257835422</v>
      </c>
      <c r="AB162" s="235">
        <f>'Médias por UF'!BR144*'Evolução das Receitas'!$U$230</f>
        <v>593328</v>
      </c>
      <c r="AC162" s="235">
        <f t="shared" si="53"/>
        <v>593328</v>
      </c>
      <c r="AE162" s="237" t="s">
        <v>140</v>
      </c>
      <c r="AF162" s="235">
        <f>JAN!F26+JAN!W26</f>
        <v>34448.480000000003</v>
      </c>
      <c r="AG162" s="235">
        <f>FEV!F26+FEV!W26+AF162</f>
        <v>78341.312000000005</v>
      </c>
      <c r="AH162" s="235">
        <f>MAR!F26+MAR!W26+AG162</f>
        <v>125418.08000000002</v>
      </c>
      <c r="AI162" s="235">
        <f>ABR!F26+ABR!W26+AH162</f>
        <v>182274.08000000002</v>
      </c>
      <c r="AJ162" s="235">
        <f>MAI!F26+MAI!W26</f>
        <v>0</v>
      </c>
      <c r="AK162" s="235">
        <f>JUN!F26+JUN!W26</f>
        <v>0</v>
      </c>
      <c r="AL162" s="235">
        <f>JUL!F26+JUL!W26</f>
        <v>0</v>
      </c>
      <c r="AM162" s="235">
        <f>AGO!F26+AGO!W26</f>
        <v>0</v>
      </c>
      <c r="AN162" s="235">
        <f>SET!F26+SET!W26</f>
        <v>0</v>
      </c>
      <c r="AO162" s="235">
        <f>OUT!F26+OUT!W26</f>
        <v>0</v>
      </c>
      <c r="AP162" s="235">
        <f>NOV!F26+NOV!W26</f>
        <v>0</v>
      </c>
      <c r="AQ162" s="235">
        <f>DEZ!F26+DEZ!W26</f>
        <v>0</v>
      </c>
      <c r="AR162" s="235">
        <f t="shared" si="54"/>
        <v>182274.08000000002</v>
      </c>
    </row>
    <row r="163" spans="1:45">
      <c r="A163" s="242" t="s">
        <v>141</v>
      </c>
      <c r="B163" s="235">
        <f>$F$231*'Médias por UF'!BG145</f>
        <v>9818.6213037562811</v>
      </c>
      <c r="C163" s="235">
        <f>$F$231*'Médias por UF'!BH145</f>
        <v>16668.48389415348</v>
      </c>
      <c r="D163" s="235">
        <f>$F$231*'Médias por UF'!BI145</f>
        <v>28626.647802538337</v>
      </c>
      <c r="E163" s="235">
        <f>$F$231*'Médias por UF'!BJ145</f>
        <v>36625.079268742273</v>
      </c>
      <c r="F163" s="235">
        <f>$F$231*'Médias por UF'!BK145</f>
        <v>48083.993011090934</v>
      </c>
      <c r="G163" s="235">
        <f>$F$231*'Médias por UF'!BL145</f>
        <v>56550.574954303607</v>
      </c>
      <c r="H163" s="235">
        <f>$F$231*'Médias por UF'!BM145</f>
        <v>63546.58666277866</v>
      </c>
      <c r="I163" s="235">
        <f>$F$231*'Médias por UF'!BN145</f>
        <v>74601.407995476533</v>
      </c>
      <c r="J163" s="235">
        <f>$F$231*'Médias por UF'!BO145</f>
        <v>82520.441281821797</v>
      </c>
      <c r="K163" s="235">
        <f>$F$231*'Médias por UF'!BP145</f>
        <v>91165.160243180813</v>
      </c>
      <c r="L163" s="235">
        <f>$F$231*'Médias por UF'!BQ145</f>
        <v>99154.362357164238</v>
      </c>
      <c r="M163" s="235">
        <f>$F$231*'Médias por UF'!BR145</f>
        <v>107076</v>
      </c>
      <c r="N163" s="235">
        <f t="shared" si="52"/>
        <v>107076</v>
      </c>
      <c r="P163" s="237" t="s">
        <v>141</v>
      </c>
      <c r="Q163" s="235">
        <f>'Médias por UF'!BG145*'Evolução das Receitas'!$U$231</f>
        <v>9818.6213037562811</v>
      </c>
      <c r="R163" s="235">
        <f>'Médias por UF'!BH145*'Evolução das Receitas'!$U$231</f>
        <v>16668.48389415348</v>
      </c>
      <c r="S163" s="235">
        <f>'Médias por UF'!BI145*'Evolução das Receitas'!$U$231</f>
        <v>28626.647802538337</v>
      </c>
      <c r="T163" s="235">
        <f>'Médias por UF'!BJ145*'Evolução das Receitas'!$U$231</f>
        <v>36625.079268742273</v>
      </c>
      <c r="U163" s="235">
        <f>'Médias por UF'!BK145*'Evolução das Receitas'!$U$231</f>
        <v>48083.993011090934</v>
      </c>
      <c r="V163" s="235">
        <f>'Médias por UF'!BL145*'Evolução das Receitas'!$U$231</f>
        <v>56550.574954303607</v>
      </c>
      <c r="W163" s="235">
        <f>'Médias por UF'!BM145*'Evolução das Receitas'!$U$231</f>
        <v>63546.58666277866</v>
      </c>
      <c r="X163" s="235">
        <f>'Médias por UF'!BN145*'Evolução das Receitas'!$U$231</f>
        <v>74601.407995476533</v>
      </c>
      <c r="Y163" s="235">
        <f>'Médias por UF'!BO145*'Evolução das Receitas'!$U$231</f>
        <v>82520.441281821797</v>
      </c>
      <c r="Z163" s="235">
        <f>'Médias por UF'!BP145*'Evolução das Receitas'!$U$231</f>
        <v>91165.160243180813</v>
      </c>
      <c r="AA163" s="235">
        <f>'Médias por UF'!BQ145*'Evolução das Receitas'!$U$231</f>
        <v>99154.362357164238</v>
      </c>
      <c r="AB163" s="235">
        <f>'Médias por UF'!BR145*'Evolução das Receitas'!$U$231</f>
        <v>107076</v>
      </c>
      <c r="AC163" s="235">
        <f t="shared" si="53"/>
        <v>107076</v>
      </c>
      <c r="AE163" s="237" t="s">
        <v>141</v>
      </c>
      <c r="AF163" s="235">
        <f>JAN!F27+JAN!W27</f>
        <v>6728.6559999999999</v>
      </c>
      <c r="AG163" s="235">
        <f>FEV!F27+FEV!W27+AF163</f>
        <v>15370.768</v>
      </c>
      <c r="AH163" s="235">
        <f>MAR!F27+MAR!W27+AG163</f>
        <v>23178.992000000002</v>
      </c>
      <c r="AI163" s="235">
        <f>ABR!F27+ABR!W27+AH163</f>
        <v>37658.320000000007</v>
      </c>
      <c r="AJ163" s="235">
        <f>MAI!F27+MAI!W27</f>
        <v>0</v>
      </c>
      <c r="AK163" s="235">
        <f>JUN!F27+JUN!W27</f>
        <v>0</v>
      </c>
      <c r="AL163" s="235">
        <f>JUL!F27+JUL!W27</f>
        <v>0</v>
      </c>
      <c r="AM163" s="235">
        <f>AGO!F27+AGO!W27</f>
        <v>0</v>
      </c>
      <c r="AN163" s="235">
        <f>SET!F27+SET!W27</f>
        <v>0</v>
      </c>
      <c r="AO163" s="235">
        <f>OUT!F27+OUT!W27</f>
        <v>0</v>
      </c>
      <c r="AP163" s="235">
        <f>NOV!F27+NOV!W27</f>
        <v>0</v>
      </c>
      <c r="AQ163" s="235">
        <f>DEZ!F27+DEZ!W27</f>
        <v>0</v>
      </c>
      <c r="AR163" s="235">
        <f t="shared" si="54"/>
        <v>37658.320000000007</v>
      </c>
    </row>
    <row r="164" spans="1:45">
      <c r="A164" s="242" t="s">
        <v>142</v>
      </c>
      <c r="B164" s="235">
        <f>$F$232*'Médias por UF'!BG146</f>
        <v>208376.00951096293</v>
      </c>
      <c r="C164" s="235">
        <f>$F$232*'Médias por UF'!BH146</f>
        <v>507018.68051993055</v>
      </c>
      <c r="D164" s="235">
        <f>$F$232*'Médias por UF'!BI146</f>
        <v>894047.2928575332</v>
      </c>
      <c r="E164" s="235">
        <f>$F$232*'Médias por UF'!BJ146</f>
        <v>1249784.3437226261</v>
      </c>
      <c r="F164" s="235">
        <f>$F$232*'Médias por UF'!BK146</f>
        <v>1652959.3304991936</v>
      </c>
      <c r="G164" s="235">
        <f>$F$232*'Médias por UF'!BL146</f>
        <v>2028418.9251025892</v>
      </c>
      <c r="H164" s="235">
        <f>$F$232*'Médias por UF'!BM146</f>
        <v>2434792.4329710342</v>
      </c>
      <c r="I164" s="235">
        <f>$F$232*'Médias por UF'!BN146</f>
        <v>2880809.9920232538</v>
      </c>
      <c r="J164" s="235">
        <f>$F$232*'Médias por UF'!BO146</f>
        <v>3279291.0475016376</v>
      </c>
      <c r="K164" s="235">
        <f>$F$232*'Médias por UF'!BP146</f>
        <v>3713983.9529896146</v>
      </c>
      <c r="L164" s="235">
        <f>$F$232*'Médias por UF'!BQ146</f>
        <v>4095809.6607408873</v>
      </c>
      <c r="M164" s="235">
        <f>$F$232*'Médias por UF'!BR146</f>
        <v>4482898</v>
      </c>
      <c r="N164" s="235">
        <f t="shared" si="52"/>
        <v>4482898</v>
      </c>
      <c r="P164" s="237" t="s">
        <v>142</v>
      </c>
      <c r="Q164" s="235">
        <f>'Médias por UF'!BG146*'Evolução das Receitas'!$U$232</f>
        <v>208376.00951096293</v>
      </c>
      <c r="R164" s="235">
        <f>'Médias por UF'!BH146*'Evolução das Receitas'!$U$232</f>
        <v>507018.68051993055</v>
      </c>
      <c r="S164" s="235">
        <f>'Médias por UF'!BI146*'Evolução das Receitas'!$U$232</f>
        <v>894047.2928575332</v>
      </c>
      <c r="T164" s="235">
        <f>'Médias por UF'!BJ146*'Evolução das Receitas'!$U$232</f>
        <v>1249784.3437226261</v>
      </c>
      <c r="U164" s="235">
        <f>'Médias por UF'!BK146*'Evolução das Receitas'!$U$232</f>
        <v>1652959.3304991936</v>
      </c>
      <c r="V164" s="235">
        <f>'Médias por UF'!BL146*'Evolução das Receitas'!$U$232</f>
        <v>2028418.9251025892</v>
      </c>
      <c r="W164" s="235">
        <f>'Médias por UF'!BM146*'Evolução das Receitas'!$U$232</f>
        <v>2434792.4329710342</v>
      </c>
      <c r="X164" s="235">
        <f>'Médias por UF'!BN146*'Evolução das Receitas'!$U$232</f>
        <v>2880809.9920232538</v>
      </c>
      <c r="Y164" s="235">
        <f>'Médias por UF'!BO146*'Evolução das Receitas'!$U$232</f>
        <v>3279291.0475016376</v>
      </c>
      <c r="Z164" s="235">
        <f>'Médias por UF'!BP146*'Evolução das Receitas'!$U$232</f>
        <v>3713983.9529896146</v>
      </c>
      <c r="AA164" s="235">
        <f>'Médias por UF'!BQ146*'Evolução das Receitas'!$U$232</f>
        <v>4095809.6607408873</v>
      </c>
      <c r="AB164" s="235">
        <f>'Médias por UF'!BR146*'Evolução das Receitas'!$U$232</f>
        <v>4482898</v>
      </c>
      <c r="AC164" s="235">
        <f t="shared" si="53"/>
        <v>4482898</v>
      </c>
      <c r="AE164" s="237" t="s">
        <v>142</v>
      </c>
      <c r="AF164" s="235">
        <f>JAN!F28+JAN!W28</f>
        <v>226567.52000000002</v>
      </c>
      <c r="AG164" s="235">
        <f>FEV!F28+FEV!W28+AF164</f>
        <v>562851.80799999996</v>
      </c>
      <c r="AH164" s="235">
        <f>MAR!F28+MAR!W28+AG164</f>
        <v>932340</v>
      </c>
      <c r="AI164" s="235">
        <f>ABR!F28+ABR!W28+AH164</f>
        <v>1326162.56</v>
      </c>
      <c r="AJ164" s="235">
        <f>MAI!F28+MAI!W28</f>
        <v>0</v>
      </c>
      <c r="AK164" s="235">
        <f>JUN!F28+JUN!W28</f>
        <v>0</v>
      </c>
      <c r="AL164" s="235">
        <f>JUL!F28+JUL!W28</f>
        <v>0</v>
      </c>
      <c r="AM164" s="235">
        <f>AGO!F28+AGO!W28</f>
        <v>0</v>
      </c>
      <c r="AN164" s="235">
        <f>SET!F28+SET!W28</f>
        <v>0</v>
      </c>
      <c r="AO164" s="235">
        <f>OUT!F28+OUT!W28</f>
        <v>0</v>
      </c>
      <c r="AP164" s="235">
        <f>NOV!F28+NOV!W28</f>
        <v>0</v>
      </c>
      <c r="AQ164" s="235">
        <f>DEZ!F28+DEZ!W28</f>
        <v>0</v>
      </c>
      <c r="AR164" s="235">
        <f t="shared" si="54"/>
        <v>1326162.56</v>
      </c>
    </row>
    <row r="165" spans="1:45">
      <c r="A165" s="242" t="s">
        <v>143</v>
      </c>
      <c r="B165" s="235">
        <f>$F$233*'Médias por UF'!BG147</f>
        <v>1515734.9945743335</v>
      </c>
      <c r="C165" s="235">
        <f>$F$233*'Médias por UF'!BH147</f>
        <v>3117698.4666788494</v>
      </c>
      <c r="D165" s="235">
        <f>$F$233*'Médias por UF'!BI147</f>
        <v>5303726.2963852519</v>
      </c>
      <c r="E165" s="235">
        <f>$F$233*'Médias por UF'!BJ147</f>
        <v>7277703.0554273156</v>
      </c>
      <c r="F165" s="235">
        <f>$F$233*'Médias por UF'!BK147</f>
        <v>9467076.0189315341</v>
      </c>
      <c r="G165" s="235">
        <f>$F$233*'Médias por UF'!BL147</f>
        <v>11477023.117471797</v>
      </c>
      <c r="H165" s="235">
        <f>$F$233*'Médias por UF'!BM147</f>
        <v>13554573.376906399</v>
      </c>
      <c r="I165" s="235">
        <f>$F$233*'Médias por UF'!BN147</f>
        <v>15959762.198136097</v>
      </c>
      <c r="J165" s="235">
        <f>$F$233*'Médias por UF'!BO147</f>
        <v>17974468.364766873</v>
      </c>
      <c r="K165" s="235">
        <f>$F$233*'Médias por UF'!BP147</f>
        <v>20108774.0187128</v>
      </c>
      <c r="L165" s="235">
        <f>$F$233*'Médias por UF'!BQ147</f>
        <v>21962367.834803261</v>
      </c>
      <c r="M165" s="235">
        <f>$F$233*'Médias por UF'!BR147</f>
        <v>23669330.831388</v>
      </c>
      <c r="N165" s="235">
        <f t="shared" si="52"/>
        <v>23669330.831388</v>
      </c>
      <c r="P165" s="237" t="s">
        <v>143</v>
      </c>
      <c r="Q165" s="235">
        <f>'Médias por UF'!BG147*'Evolução das Receitas'!$U$233</f>
        <v>1515734.9945743335</v>
      </c>
      <c r="R165" s="235">
        <f>'Médias por UF'!BH147*'Evolução das Receitas'!$U$233</f>
        <v>3117698.4666788494</v>
      </c>
      <c r="S165" s="235">
        <f>'Médias por UF'!BI147*'Evolução das Receitas'!$U$233</f>
        <v>5303726.2963852519</v>
      </c>
      <c r="T165" s="235">
        <f>'Médias por UF'!BJ147*'Evolução das Receitas'!$U$233</f>
        <v>7277703.0554273156</v>
      </c>
      <c r="U165" s="235">
        <f>'Médias por UF'!BK147*'Evolução das Receitas'!$U$233</f>
        <v>9467076.0189315341</v>
      </c>
      <c r="V165" s="235">
        <f>'Médias por UF'!BL147*'Evolução das Receitas'!$U$233</f>
        <v>11477023.117471797</v>
      </c>
      <c r="W165" s="235">
        <f>'Médias por UF'!BM147*'Evolução das Receitas'!$U$233</f>
        <v>13554573.376906399</v>
      </c>
      <c r="X165" s="235">
        <f>'Médias por UF'!BN147*'Evolução das Receitas'!$U$233</f>
        <v>15959762.198136097</v>
      </c>
      <c r="Y165" s="235">
        <f>'Médias por UF'!BO147*'Evolução das Receitas'!$U$233</f>
        <v>17974468.364766873</v>
      </c>
      <c r="Z165" s="235">
        <f>'Médias por UF'!BP147*'Evolução das Receitas'!$U$233</f>
        <v>20108774.0187128</v>
      </c>
      <c r="AA165" s="235">
        <f>'Médias por UF'!BQ147*'Evolução das Receitas'!$U$233</f>
        <v>21962367.834803261</v>
      </c>
      <c r="AB165" s="235">
        <f>'Médias por UF'!BR147*'Evolução das Receitas'!$U$233</f>
        <v>23669330.831388</v>
      </c>
      <c r="AC165" s="235">
        <f t="shared" si="53"/>
        <v>23669330.831388</v>
      </c>
      <c r="AE165" s="237" t="s">
        <v>143</v>
      </c>
      <c r="AF165" s="235">
        <f>JAN!F29+JAN!W29</f>
        <v>1587301.6320000002</v>
      </c>
      <c r="AG165" s="235">
        <f>FEV!F29+FEV!W29+AF165</f>
        <v>3534733.3440000005</v>
      </c>
      <c r="AH165" s="235">
        <f>MAR!F29+MAR!W29+AG165</f>
        <v>5498687.9840000002</v>
      </c>
      <c r="AI165" s="235">
        <f>ABR!F29+ABR!W29+AH165</f>
        <v>7776187.7280000001</v>
      </c>
      <c r="AJ165" s="235">
        <f>MAI!F29+MAI!W29</f>
        <v>0</v>
      </c>
      <c r="AK165" s="235">
        <f>JUN!F29+JUN!W29</f>
        <v>0</v>
      </c>
      <c r="AL165" s="235">
        <f>JUL!F29+JUL!W29</f>
        <v>0</v>
      </c>
      <c r="AM165" s="235">
        <f>AGO!F29+AGO!W29</f>
        <v>0</v>
      </c>
      <c r="AN165" s="235">
        <f>SET!F29+SET!W29</f>
        <v>0</v>
      </c>
      <c r="AO165" s="235">
        <f>OUT!F29+OUT!W29</f>
        <v>0</v>
      </c>
      <c r="AP165" s="235">
        <f>NOV!F29+NOV!W29</f>
        <v>0</v>
      </c>
      <c r="AQ165" s="235">
        <f>DEZ!F29+DEZ!W29</f>
        <v>0</v>
      </c>
      <c r="AR165" s="235">
        <f t="shared" si="54"/>
        <v>7776187.7280000001</v>
      </c>
    </row>
    <row r="166" spans="1:45">
      <c r="A166" s="242" t="s">
        <v>144</v>
      </c>
      <c r="B166" s="235">
        <f>$F$234*'Médias por UF'!BG148</f>
        <v>31243.029831014115</v>
      </c>
      <c r="C166" s="235">
        <f>$F$234*'Médias por UF'!BH148</f>
        <v>67521.308098646768</v>
      </c>
      <c r="D166" s="235">
        <f>$F$234*'Médias por UF'!BI148</f>
        <v>113148.11830952633</v>
      </c>
      <c r="E166" s="235">
        <f>$F$234*'Médias por UF'!BJ148</f>
        <v>156333.35488113272</v>
      </c>
      <c r="F166" s="235">
        <f>$F$234*'Médias por UF'!BK148</f>
        <v>200596.14477776669</v>
      </c>
      <c r="G166" s="235">
        <f>$F$234*'Médias por UF'!BL148</f>
        <v>246658.47884924829</v>
      </c>
      <c r="H166" s="235">
        <f>$F$234*'Médias por UF'!BM148</f>
        <v>291315.53609242331</v>
      </c>
      <c r="I166" s="235">
        <f>$F$234*'Médias por UF'!BN148</f>
        <v>341664.2479972791</v>
      </c>
      <c r="J166" s="235">
        <f>$F$234*'Médias por UF'!BO148</f>
        <v>389175.01886393497</v>
      </c>
      <c r="K166" s="235">
        <f>$F$234*'Médias por UF'!BP148</f>
        <v>438699.36729948071</v>
      </c>
      <c r="L166" s="235">
        <f>$F$234*'Médias por UF'!BQ148</f>
        <v>479625.1782120979</v>
      </c>
      <c r="M166" s="235">
        <f>$F$234*'Médias por UF'!BR148</f>
        <v>519542</v>
      </c>
      <c r="N166" s="235">
        <f t="shared" si="52"/>
        <v>519542</v>
      </c>
      <c r="P166" s="237" t="s">
        <v>144</v>
      </c>
      <c r="Q166" s="235">
        <f>'Médias por UF'!BG148*'Evolução das Receitas'!$U$234</f>
        <v>31243.029831014115</v>
      </c>
      <c r="R166" s="235">
        <f>'Médias por UF'!BH148*'Evolução das Receitas'!$U$234</f>
        <v>67521.308098646768</v>
      </c>
      <c r="S166" s="235">
        <f>'Médias por UF'!BI148*'Evolução das Receitas'!$U$234</f>
        <v>113148.11830952633</v>
      </c>
      <c r="T166" s="235">
        <f>'Médias por UF'!BJ148*'Evolução das Receitas'!$U$234</f>
        <v>156333.35488113272</v>
      </c>
      <c r="U166" s="235">
        <f>'Médias por UF'!BK148*'Evolução das Receitas'!$U$234</f>
        <v>200596.14477776669</v>
      </c>
      <c r="V166" s="235">
        <f>'Médias por UF'!BL148*'Evolução das Receitas'!$U$234</f>
        <v>246658.47884924829</v>
      </c>
      <c r="W166" s="235">
        <f>'Médias por UF'!BM148*'Evolução das Receitas'!$U$234</f>
        <v>291315.53609242331</v>
      </c>
      <c r="X166" s="235">
        <f>'Médias por UF'!BN148*'Evolução das Receitas'!$U$234</f>
        <v>341664.2479972791</v>
      </c>
      <c r="Y166" s="235">
        <f>'Médias por UF'!BO148*'Evolução das Receitas'!$U$234</f>
        <v>389175.01886393497</v>
      </c>
      <c r="Z166" s="235">
        <f>'Médias por UF'!BP148*'Evolução das Receitas'!$U$234</f>
        <v>438699.36729948071</v>
      </c>
      <c r="AA166" s="235">
        <f>'Médias por UF'!BQ148*'Evolução das Receitas'!$U$234</f>
        <v>479625.1782120979</v>
      </c>
      <c r="AB166" s="235">
        <f>'Médias por UF'!BR148*'Evolução das Receitas'!$U$234</f>
        <v>519542</v>
      </c>
      <c r="AC166" s="235">
        <f t="shared" si="53"/>
        <v>519542</v>
      </c>
      <c r="AE166" s="237" t="s">
        <v>144</v>
      </c>
      <c r="AF166" s="235">
        <f>JAN!F30+JAN!W30</f>
        <v>35138.576000000001</v>
      </c>
      <c r="AG166" s="235">
        <f>FEV!F30+FEV!W30+AF166</f>
        <v>79258.831999999995</v>
      </c>
      <c r="AH166" s="235">
        <f>MAR!F30+MAR!W30+AG166</f>
        <v>114812.784</v>
      </c>
      <c r="AI166" s="235">
        <f>ABR!F30+ABR!W30+AH166</f>
        <v>157189.45600000001</v>
      </c>
      <c r="AJ166" s="235">
        <f>MAI!F30+MAI!W30</f>
        <v>0</v>
      </c>
      <c r="AK166" s="235">
        <f>JUN!F30+JUN!W30</f>
        <v>0</v>
      </c>
      <c r="AL166" s="235">
        <f>JUL!F30+JUL!W30</f>
        <v>0</v>
      </c>
      <c r="AM166" s="235">
        <f>AGO!F30+AGO!W30</f>
        <v>0</v>
      </c>
      <c r="AN166" s="235">
        <f>SET!F30+SET!W30</f>
        <v>0</v>
      </c>
      <c r="AO166" s="235">
        <f>OUT!F30+OUT!W30</f>
        <v>0</v>
      </c>
      <c r="AP166" s="235">
        <f>NOV!F30+NOV!W30</f>
        <v>0</v>
      </c>
      <c r="AQ166" s="235">
        <f>DEZ!F30+DEZ!W30</f>
        <v>0</v>
      </c>
      <c r="AR166" s="235">
        <f t="shared" si="54"/>
        <v>157189.45600000001</v>
      </c>
    </row>
    <row r="167" spans="1:45">
      <c r="A167" s="242" t="s">
        <v>145</v>
      </c>
      <c r="B167" s="235">
        <f>$F$235*'Médias por UF'!BG149</f>
        <v>23873.143837560783</v>
      </c>
      <c r="C167" s="235">
        <f>$F$235*'Médias por UF'!BH149</f>
        <v>50617.146696783879</v>
      </c>
      <c r="D167" s="235">
        <f>$F$235*'Médias por UF'!BI149</f>
        <v>82319.943138182833</v>
      </c>
      <c r="E167" s="235">
        <f>$F$235*'Médias por UF'!BJ149</f>
        <v>113187.87789009955</v>
      </c>
      <c r="F167" s="235">
        <f>$F$235*'Médias por UF'!BK149</f>
        <v>153187.48954410412</v>
      </c>
      <c r="G167" s="235">
        <f>$F$235*'Médias por UF'!BL149</f>
        <v>190257.53964792652</v>
      </c>
      <c r="H167" s="235">
        <f>$F$235*'Médias por UF'!BM149</f>
        <v>226402.37055655426</v>
      </c>
      <c r="I167" s="235">
        <f>$F$235*'Médias por UF'!BN149</f>
        <v>263907.12923148641</v>
      </c>
      <c r="J167" s="235">
        <f>$F$235*'Médias por UF'!BO149</f>
        <v>291717.04327181389</v>
      </c>
      <c r="K167" s="235">
        <f>$F$235*'Médias por UF'!BP149</f>
        <v>326513.55165262904</v>
      </c>
      <c r="L167" s="235">
        <f>$F$235*'Médias por UF'!BQ149</f>
        <v>356374.56157907314</v>
      </c>
      <c r="M167" s="235">
        <f>$F$235*'Médias por UF'!BR149</f>
        <v>385988</v>
      </c>
      <c r="N167" s="235">
        <f t="shared" si="52"/>
        <v>385988</v>
      </c>
      <c r="P167" s="237" t="s">
        <v>145</v>
      </c>
      <c r="Q167" s="235">
        <f>'Médias por UF'!BG149*'Evolução das Receitas'!$U$235</f>
        <v>23873.143837560783</v>
      </c>
      <c r="R167" s="235">
        <f>'Médias por UF'!BH149*'Evolução das Receitas'!$U$235</f>
        <v>50617.146696783879</v>
      </c>
      <c r="S167" s="235">
        <f>'Médias por UF'!BI149*'Evolução das Receitas'!$U$235</f>
        <v>82319.943138182833</v>
      </c>
      <c r="T167" s="235">
        <f>'Médias por UF'!BJ149*'Evolução das Receitas'!$U$235</f>
        <v>113187.87789009955</v>
      </c>
      <c r="U167" s="235">
        <f>'Médias por UF'!BK149*'Evolução das Receitas'!$U$235</f>
        <v>153187.48954410412</v>
      </c>
      <c r="V167" s="235">
        <f>'Médias por UF'!BL149*'Evolução das Receitas'!$U$235</f>
        <v>190257.53964792652</v>
      </c>
      <c r="W167" s="235">
        <f>'Médias por UF'!BM149*'Evolução das Receitas'!$U$235</f>
        <v>226402.37055655426</v>
      </c>
      <c r="X167" s="235">
        <f>'Médias por UF'!BN149*'Evolução das Receitas'!$U$235</f>
        <v>263907.12923148641</v>
      </c>
      <c r="Y167" s="235">
        <f>'Médias por UF'!BO149*'Evolução das Receitas'!$U$235</f>
        <v>291717.04327181389</v>
      </c>
      <c r="Z167" s="235">
        <f>'Médias por UF'!BP149*'Evolução das Receitas'!$U$235</f>
        <v>326513.55165262904</v>
      </c>
      <c r="AA167" s="235">
        <f>'Médias por UF'!BQ149*'Evolução das Receitas'!$U$235</f>
        <v>356374.56157907314</v>
      </c>
      <c r="AB167" s="235">
        <f>'Médias por UF'!BR149*'Evolução das Receitas'!$U$235</f>
        <v>385988</v>
      </c>
      <c r="AC167" s="235">
        <f t="shared" si="53"/>
        <v>385988</v>
      </c>
      <c r="AE167" s="237" t="s">
        <v>145</v>
      </c>
      <c r="AF167" s="235">
        <f>JAN!F31+JAN!W31</f>
        <v>16575.871999999999</v>
      </c>
      <c r="AG167" s="235">
        <f>FEV!F31+FEV!W31+AF167</f>
        <v>44245.792000000001</v>
      </c>
      <c r="AH167" s="235">
        <f>MAR!F31+MAR!W31+AG167</f>
        <v>72294.752000000008</v>
      </c>
      <c r="AI167" s="235">
        <f>ABR!F31+ABR!W31+AH167</f>
        <v>98524.32</v>
      </c>
      <c r="AJ167" s="235">
        <f>MAI!F31+MAI!W31</f>
        <v>0</v>
      </c>
      <c r="AK167" s="235">
        <f>JUN!F31+JUN!W31</f>
        <v>0</v>
      </c>
      <c r="AL167" s="235">
        <f>JUL!F31+JUL!W31</f>
        <v>0</v>
      </c>
      <c r="AM167" s="235">
        <f>AGO!F31+AGO!W31</f>
        <v>0</v>
      </c>
      <c r="AN167" s="235">
        <f>SET!F31+SET!W31</f>
        <v>0</v>
      </c>
      <c r="AO167" s="235">
        <f>OUT!F31+OUT!W31</f>
        <v>0</v>
      </c>
      <c r="AP167" s="235">
        <f>NOV!F31+NOV!W31</f>
        <v>0</v>
      </c>
      <c r="AQ167" s="235">
        <f>DEZ!F31+DEZ!W31</f>
        <v>0</v>
      </c>
      <c r="AR167" s="235">
        <f t="shared" si="54"/>
        <v>98524.32</v>
      </c>
    </row>
    <row r="168" spans="1:45">
      <c r="A168" s="243" t="s">
        <v>37</v>
      </c>
      <c r="B168" s="236">
        <f>SUM(B141:B167)</f>
        <v>4226692.4027443537</v>
      </c>
      <c r="C168" s="236">
        <f t="shared" ref="C168:D168" si="55">SUM(C141:C167)</f>
        <v>8751901.5363460984</v>
      </c>
      <c r="D168" s="236">
        <f t="shared" si="55"/>
        <v>14777850.743660586</v>
      </c>
      <c r="E168" s="236">
        <f>SUM(E141:E167)</f>
        <v>20310106.471174397</v>
      </c>
      <c r="F168" s="236">
        <f t="shared" ref="F168:N168" si="56">SUM(F141:F167)</f>
        <v>26564138.818090819</v>
      </c>
      <c r="G168" s="236">
        <f t="shared" si="56"/>
        <v>32503759.883276019</v>
      </c>
      <c r="H168" s="236">
        <f t="shared" si="56"/>
        <v>38457437.299934931</v>
      </c>
      <c r="I168" s="236">
        <f t="shared" si="56"/>
        <v>45241433.324181244</v>
      </c>
      <c r="J168" s="236">
        <f t="shared" si="56"/>
        <v>51028823.040448077</v>
      </c>
      <c r="K168" s="236">
        <f t="shared" si="56"/>
        <v>57261126.26451046</v>
      </c>
      <c r="L168" s="236">
        <f t="shared" si="56"/>
        <v>62787869.216347545</v>
      </c>
      <c r="M168" s="236">
        <f t="shared" si="56"/>
        <v>67954528.231388003</v>
      </c>
      <c r="N168" s="236">
        <f t="shared" si="56"/>
        <v>67954528.231388003</v>
      </c>
      <c r="P168" s="238" t="s">
        <v>37</v>
      </c>
      <c r="Q168" s="236">
        <f>SUM(Q141:Q167)</f>
        <v>4226692.4027443537</v>
      </c>
      <c r="R168" s="236">
        <f t="shared" ref="R168:S168" si="57">SUM(R141:R167)</f>
        <v>8751901.5363460984</v>
      </c>
      <c r="S168" s="236">
        <f t="shared" si="57"/>
        <v>14777850.743660586</v>
      </c>
      <c r="T168" s="236">
        <f>SUM(T141:T167)</f>
        <v>20310106.471174397</v>
      </c>
      <c r="U168" s="236">
        <f t="shared" ref="U168:AC168" si="58">SUM(U141:U167)</f>
        <v>26564138.818090819</v>
      </c>
      <c r="V168" s="236">
        <f t="shared" si="58"/>
        <v>32503759.883276019</v>
      </c>
      <c r="W168" s="236">
        <f t="shared" si="58"/>
        <v>38457437.299934931</v>
      </c>
      <c r="X168" s="236">
        <f t="shared" si="58"/>
        <v>45241433.324181244</v>
      </c>
      <c r="Y168" s="236">
        <f t="shared" si="58"/>
        <v>51028823.040448077</v>
      </c>
      <c r="Z168" s="236">
        <f t="shared" si="58"/>
        <v>57261126.26451046</v>
      </c>
      <c r="AA168" s="236">
        <f t="shared" si="58"/>
        <v>62787869.216347545</v>
      </c>
      <c r="AB168" s="236">
        <f t="shared" si="58"/>
        <v>67954528.231388003</v>
      </c>
      <c r="AC168" s="236">
        <f t="shared" si="58"/>
        <v>67954528.231388003</v>
      </c>
      <c r="AE168" s="238" t="s">
        <v>37</v>
      </c>
      <c r="AF168" s="236">
        <f>SUM(AF141:AF167)</f>
        <v>4363954.3040000014</v>
      </c>
      <c r="AG168" s="236">
        <f t="shared" ref="AG168:AH168" si="59">SUM(AG141:AG167)</f>
        <v>9751539.1520000007</v>
      </c>
      <c r="AH168" s="236">
        <f t="shared" si="59"/>
        <v>15060604.696</v>
      </c>
      <c r="AI168" s="236">
        <f>SUM(AI141:AI167)</f>
        <v>21247314.448000003</v>
      </c>
      <c r="AJ168" s="236">
        <f t="shared" ref="AJ168:AR168" si="60">SUM(AJ141:AJ167)</f>
        <v>0</v>
      </c>
      <c r="AK168" s="236">
        <f t="shared" si="60"/>
        <v>0</v>
      </c>
      <c r="AL168" s="236">
        <f t="shared" si="60"/>
        <v>0</v>
      </c>
      <c r="AM168" s="236">
        <f t="shared" si="60"/>
        <v>0</v>
      </c>
      <c r="AN168" s="236">
        <f t="shared" si="60"/>
        <v>0</v>
      </c>
      <c r="AO168" s="236">
        <f t="shared" si="60"/>
        <v>0</v>
      </c>
      <c r="AP168" s="236">
        <f t="shared" si="60"/>
        <v>0</v>
      </c>
      <c r="AQ168" s="236">
        <f t="shared" si="60"/>
        <v>0</v>
      </c>
      <c r="AR168" s="236">
        <f t="shared" si="60"/>
        <v>21247314.448000003</v>
      </c>
    </row>
    <row r="169" spans="1:45">
      <c r="N169" s="94">
        <f>N168-SUM(F209:F235)</f>
        <v>0</v>
      </c>
      <c r="AC169" s="94">
        <f>AC168-SUM(U209:U235)</f>
        <v>0</v>
      </c>
      <c r="AR169" s="94">
        <f>AR168-'TOTAL POR UF'!F32</f>
        <v>0</v>
      </c>
    </row>
    <row r="170" spans="1:45">
      <c r="A170" s="242" t="s">
        <v>337</v>
      </c>
      <c r="B170" s="235">
        <f>B168*0.2/0.8</f>
        <v>1056673.1006860884</v>
      </c>
      <c r="C170" s="235">
        <f t="shared" ref="C170:M170" si="61">C168*0.2/0.8</f>
        <v>2187975.3840865246</v>
      </c>
      <c r="D170" s="235">
        <f t="shared" si="61"/>
        <v>3694462.6859151465</v>
      </c>
      <c r="E170" s="235">
        <f t="shared" si="61"/>
        <v>5077526.6177935991</v>
      </c>
      <c r="F170" s="235">
        <f t="shared" si="61"/>
        <v>6641034.7045227047</v>
      </c>
      <c r="G170" s="235">
        <f t="shared" si="61"/>
        <v>8125939.9708190048</v>
      </c>
      <c r="H170" s="235">
        <f t="shared" si="61"/>
        <v>9614359.3249837328</v>
      </c>
      <c r="I170" s="235">
        <f t="shared" si="61"/>
        <v>11310358.331045309</v>
      </c>
      <c r="J170" s="235">
        <f t="shared" si="61"/>
        <v>12757205.760112019</v>
      </c>
      <c r="K170" s="235">
        <f t="shared" si="61"/>
        <v>14315281.566127615</v>
      </c>
      <c r="L170" s="235">
        <f t="shared" si="61"/>
        <v>15696967.304086886</v>
      </c>
      <c r="M170" s="235">
        <f t="shared" si="61"/>
        <v>16988632.057847001</v>
      </c>
      <c r="N170" s="235">
        <f t="shared" ref="N170" si="62">M170</f>
        <v>16988632.057847001</v>
      </c>
      <c r="P170" s="242" t="s">
        <v>337</v>
      </c>
      <c r="Q170" s="235">
        <f>Q168*0.2/0.8</f>
        <v>1056673.1006860884</v>
      </c>
      <c r="R170" s="235">
        <f t="shared" ref="R170:AB170" si="63">R168*0.2/0.8</f>
        <v>2187975.3840865246</v>
      </c>
      <c r="S170" s="235">
        <f t="shared" si="63"/>
        <v>3694462.6859151465</v>
      </c>
      <c r="T170" s="235">
        <f t="shared" si="63"/>
        <v>5077526.6177935991</v>
      </c>
      <c r="U170" s="235">
        <f t="shared" si="63"/>
        <v>6641034.7045227047</v>
      </c>
      <c r="V170" s="235">
        <f t="shared" si="63"/>
        <v>8125939.9708190048</v>
      </c>
      <c r="W170" s="235">
        <f t="shared" si="63"/>
        <v>9614359.3249837328</v>
      </c>
      <c r="X170" s="235">
        <f t="shared" si="63"/>
        <v>11310358.331045309</v>
      </c>
      <c r="Y170" s="235">
        <f t="shared" si="63"/>
        <v>12757205.760112019</v>
      </c>
      <c r="Z170" s="235">
        <f t="shared" si="63"/>
        <v>14315281.566127615</v>
      </c>
      <c r="AA170" s="235">
        <f t="shared" si="63"/>
        <v>15696967.304086886</v>
      </c>
      <c r="AB170" s="235">
        <f t="shared" si="63"/>
        <v>16988632.057847001</v>
      </c>
      <c r="AC170" s="235">
        <f t="shared" ref="AC170" si="64">AB170</f>
        <v>16988632.057847001</v>
      </c>
      <c r="AE170" s="237" t="s">
        <v>337</v>
      </c>
      <c r="AF170" s="235">
        <f>JAN!F67+JAN!W67</f>
        <v>1091967.1960000005</v>
      </c>
      <c r="AG170" s="235">
        <f>FEV!F67+FEV!W67+AF170</f>
        <v>2438863.4080000008</v>
      </c>
      <c r="AH170" s="235">
        <f>MAR!F67+MAR!W67+AG170</f>
        <v>3766129.7940000007</v>
      </c>
      <c r="AI170" s="235">
        <f>ABR!F67+ABR!W67+AH170</f>
        <v>5312807.2320000008</v>
      </c>
      <c r="AJ170" s="235">
        <f>MAI!F67+MAI!W67</f>
        <v>0</v>
      </c>
      <c r="AK170" s="235">
        <f>JUN!F67+JUN!W67</f>
        <v>0</v>
      </c>
      <c r="AL170" s="235">
        <f>JUL!F67+JUL!W67</f>
        <v>0</v>
      </c>
      <c r="AM170" s="235">
        <f>AGO!F67+AGO!W67</f>
        <v>0</v>
      </c>
      <c r="AN170" s="235">
        <f>SET!F67+SET!W67</f>
        <v>0</v>
      </c>
      <c r="AO170" s="235">
        <f>OUT!F67+OUT!W67</f>
        <v>0</v>
      </c>
      <c r="AP170" s="235">
        <f>NOV!F67+NOV!W67</f>
        <v>0</v>
      </c>
      <c r="AQ170" s="235">
        <f>DEZ!F67+DEZ!W67</f>
        <v>0</v>
      </c>
      <c r="AR170" s="235">
        <f>AI170</f>
        <v>5312807.2320000008</v>
      </c>
      <c r="AS170" s="93">
        <f>AR170-'TOTAL POR UF'!F65</f>
        <v>0</v>
      </c>
    </row>
    <row r="171" spans="1:45" ht="21">
      <c r="A171" s="326" t="s">
        <v>391</v>
      </c>
      <c r="B171" s="326"/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P171" s="326" t="s">
        <v>161</v>
      </c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E171" s="326" t="s">
        <v>390</v>
      </c>
      <c r="AF171" s="326"/>
      <c r="AG171" s="326"/>
      <c r="AH171" s="326"/>
      <c r="AI171" s="326"/>
      <c r="AJ171" s="326"/>
      <c r="AK171" s="326"/>
      <c r="AL171" s="326"/>
      <c r="AM171" s="326"/>
      <c r="AN171" s="326"/>
      <c r="AO171" s="326"/>
      <c r="AP171" s="326"/>
      <c r="AQ171" s="326"/>
      <c r="AR171" s="326"/>
    </row>
    <row r="173" spans="1:45" ht="15" customHeight="1">
      <c r="A173" s="327" t="s">
        <v>33</v>
      </c>
      <c r="B173" s="331" t="s">
        <v>380</v>
      </c>
      <c r="C173" s="331"/>
      <c r="D173" s="331"/>
      <c r="E173" s="331"/>
      <c r="F173" s="331"/>
      <c r="G173" s="331"/>
      <c r="H173" s="331"/>
      <c r="I173" s="331"/>
      <c r="J173" s="331"/>
      <c r="K173" s="331"/>
      <c r="L173" s="331"/>
      <c r="M173" s="331"/>
      <c r="P173" s="327" t="s">
        <v>33</v>
      </c>
      <c r="Q173" s="331" t="s">
        <v>380</v>
      </c>
      <c r="R173" s="331"/>
      <c r="S173" s="331"/>
      <c r="T173" s="331"/>
      <c r="U173" s="331"/>
      <c r="V173" s="331"/>
      <c r="W173" s="331"/>
      <c r="X173" s="331"/>
      <c r="Y173" s="331"/>
      <c r="Z173" s="331"/>
      <c r="AA173" s="331"/>
      <c r="AB173" s="331"/>
      <c r="AE173" s="327" t="s">
        <v>33</v>
      </c>
      <c r="AF173" s="331" t="s">
        <v>380</v>
      </c>
      <c r="AG173" s="331"/>
      <c r="AH173" s="331"/>
      <c r="AI173" s="331"/>
      <c r="AJ173" s="331"/>
      <c r="AK173" s="331"/>
      <c r="AL173" s="331"/>
      <c r="AM173" s="331"/>
      <c r="AN173" s="331"/>
      <c r="AO173" s="331"/>
      <c r="AP173" s="331"/>
      <c r="AQ173" s="331"/>
    </row>
    <row r="174" spans="1:45">
      <c r="A174" s="328"/>
      <c r="B174" s="240" t="s">
        <v>148</v>
      </c>
      <c r="C174" s="240" t="s">
        <v>149</v>
      </c>
      <c r="D174" s="240" t="s">
        <v>150</v>
      </c>
      <c r="E174" s="240" t="s">
        <v>151</v>
      </c>
      <c r="F174" s="240" t="s">
        <v>152</v>
      </c>
      <c r="G174" s="240" t="s">
        <v>153</v>
      </c>
      <c r="H174" s="240" t="s">
        <v>154</v>
      </c>
      <c r="I174" s="240" t="s">
        <v>155</v>
      </c>
      <c r="J174" s="240" t="s">
        <v>156</v>
      </c>
      <c r="K174" s="240" t="s">
        <v>157</v>
      </c>
      <c r="L174" s="240" t="s">
        <v>158</v>
      </c>
      <c r="M174" s="240" t="s">
        <v>159</v>
      </c>
      <c r="N174" s="240" t="s">
        <v>160</v>
      </c>
      <c r="P174" s="328"/>
      <c r="Q174" s="240" t="s">
        <v>148</v>
      </c>
      <c r="R174" s="240" t="s">
        <v>149</v>
      </c>
      <c r="S174" s="240" t="s">
        <v>150</v>
      </c>
      <c r="T174" s="240" t="s">
        <v>151</v>
      </c>
      <c r="U174" s="240" t="s">
        <v>152</v>
      </c>
      <c r="V174" s="240" t="s">
        <v>153</v>
      </c>
      <c r="W174" s="240" t="s">
        <v>154</v>
      </c>
      <c r="X174" s="240" t="s">
        <v>155</v>
      </c>
      <c r="Y174" s="240" t="s">
        <v>156</v>
      </c>
      <c r="Z174" s="240" t="s">
        <v>157</v>
      </c>
      <c r="AA174" s="240" t="s">
        <v>158</v>
      </c>
      <c r="AB174" s="240" t="s">
        <v>159</v>
      </c>
      <c r="AC174" s="240" t="s">
        <v>160</v>
      </c>
      <c r="AE174" s="328"/>
      <c r="AF174" s="240" t="s">
        <v>148</v>
      </c>
      <c r="AG174" s="240" t="s">
        <v>149</v>
      </c>
      <c r="AH174" s="240" t="s">
        <v>150</v>
      </c>
      <c r="AI174" s="240" t="s">
        <v>151</v>
      </c>
      <c r="AJ174" s="240" t="s">
        <v>152</v>
      </c>
      <c r="AK174" s="240" t="s">
        <v>153</v>
      </c>
      <c r="AL174" s="240" t="s">
        <v>154</v>
      </c>
      <c r="AM174" s="240" t="s">
        <v>155</v>
      </c>
      <c r="AN174" s="240" t="s">
        <v>156</v>
      </c>
      <c r="AO174" s="240" t="s">
        <v>157</v>
      </c>
      <c r="AP174" s="240" t="s">
        <v>158</v>
      </c>
      <c r="AQ174" s="240" t="s">
        <v>159</v>
      </c>
      <c r="AR174" s="240" t="s">
        <v>160</v>
      </c>
    </row>
    <row r="175" spans="1:45">
      <c r="A175" s="242" t="s">
        <v>119</v>
      </c>
      <c r="B175" s="235">
        <f>$G$209*'Médias por UF'!BG153</f>
        <v>918.93072138554908</v>
      </c>
      <c r="C175" s="235">
        <f>$G$209*'Médias por UF'!BH153</f>
        <v>1992.3462948401623</v>
      </c>
      <c r="D175" s="235">
        <f>$G$209*'Médias por UF'!BI153</f>
        <v>2791.1803734810037</v>
      </c>
      <c r="E175" s="235">
        <f>$G$209*'Médias por UF'!BJ153</f>
        <v>4332.64876916092</v>
      </c>
      <c r="F175" s="235">
        <f>$G$209*'Médias por UF'!BK153</f>
        <v>5553.7403610416886</v>
      </c>
      <c r="G175" s="235">
        <f>$G$209*'Médias por UF'!BL153</f>
        <v>6277.4245900540764</v>
      </c>
      <c r="H175" s="235">
        <f>$G$209*'Médias por UF'!BM153</f>
        <v>8517.2958815106122</v>
      </c>
      <c r="I175" s="235">
        <f>$G$209*'Médias por UF'!BN153</f>
        <v>10036.74811731505</v>
      </c>
      <c r="J175" s="235">
        <f>$G$209*'Médias por UF'!BO153</f>
        <v>11228.178175785841</v>
      </c>
      <c r="K175" s="235">
        <f>$G$209*'Médias por UF'!BP153</f>
        <v>12816.686407548936</v>
      </c>
      <c r="L175" s="235">
        <f>$G$209*'Médias por UF'!BQ153</f>
        <v>14980.8689019294</v>
      </c>
      <c r="M175" s="235">
        <f>$G$209*'Médias por UF'!BR153</f>
        <v>17084.639296577243</v>
      </c>
      <c r="N175" s="235">
        <f>M175</f>
        <v>17084.639296577243</v>
      </c>
      <c r="P175" s="237" t="s">
        <v>119</v>
      </c>
      <c r="Q175" s="235">
        <f>'Médias por UF'!BG153*'Evolução das Receitas'!$V$209</f>
        <v>808.09520870963911</v>
      </c>
      <c r="R175" s="235">
        <f>'Médias por UF'!BH153*'Evolução das Receitas'!$V$209</f>
        <v>1752.0423003414191</v>
      </c>
      <c r="S175" s="235">
        <f>'Médias por UF'!BI153*'Evolução das Receitas'!$V$209</f>
        <v>2454.5261508435738</v>
      </c>
      <c r="T175" s="235">
        <f>'Médias por UF'!BJ153*'Evolução das Receitas'!$V$209</f>
        <v>3810.0725439907069</v>
      </c>
      <c r="U175" s="235">
        <f>'Médias por UF'!BK153*'Evolução das Receitas'!$V$209</f>
        <v>4883.8839226185291</v>
      </c>
      <c r="V175" s="235">
        <f>'Médias por UF'!BL153*'Evolução das Receitas'!$V$209</f>
        <v>5520.2820149598956</v>
      </c>
      <c r="W175" s="235">
        <f>'Médias por UF'!BM153*'Evolução das Receitas'!$V$209</f>
        <v>7489.994439007668</v>
      </c>
      <c r="X175" s="235">
        <f>'Médias por UF'!BN153*'Evolução das Receitas'!$V$209</f>
        <v>8826.1801198665726</v>
      </c>
      <c r="Y175" s="235">
        <f>'Médias por UF'!BO153*'Evolução das Receitas'!$V$209</f>
        <v>9873.907548449235</v>
      </c>
      <c r="Z175" s="235">
        <f>'Médias por UF'!BP153*'Evolução das Receitas'!$V$209</f>
        <v>11270.820135230628</v>
      </c>
      <c r="AA175" s="235">
        <f>'Médias por UF'!BQ153*'Evolução das Receitas'!$V$209</f>
        <v>13173.972858044397</v>
      </c>
      <c r="AB175" s="235">
        <f>'Médias por UF'!BR153*'Evolução das Receitas'!$V$209</f>
        <v>15024</v>
      </c>
      <c r="AC175" s="235">
        <f>AB175</f>
        <v>15024</v>
      </c>
      <c r="AE175" s="237" t="s">
        <v>119</v>
      </c>
      <c r="AF175" s="235">
        <f>SUM(JAN!G5:N5)+SUM(JAN!X5:AG5)</f>
        <v>1675.2640000000004</v>
      </c>
      <c r="AG175" s="235">
        <f>SUM(FEV!G5:N5)+SUM(FEV!X5:AG5)+AF175</f>
        <v>2533.1840000000002</v>
      </c>
      <c r="AH175" s="235">
        <f>SUM(MAR!G5:N5)+SUM(MAR!X5:AG5)+AG175</f>
        <v>4196.1760000000004</v>
      </c>
      <c r="AI175" s="235">
        <f>SUM(ABR!G5:N5)+SUM(ABR!X5:AG5)+AH175</f>
        <v>5479.4800000000005</v>
      </c>
      <c r="AJ175" s="235">
        <f>SUM(MAI!G5:N5)+SUM(MAI!AB5:AK5)</f>
        <v>0</v>
      </c>
      <c r="AK175" s="235">
        <f>SUM(JUN!G5:N5)+SUM(JUN!X5:AG5)</f>
        <v>0</v>
      </c>
      <c r="AL175" s="235">
        <f>SUM(JUL!G5:N5)+SUM(JUL!X5:AG5)</f>
        <v>0</v>
      </c>
      <c r="AM175" s="235">
        <f>SUM(AGO!G5:N5)+SUM(AGO!X5:AG5)</f>
        <v>0</v>
      </c>
      <c r="AN175" s="235">
        <f>SUM(SET!G5:N5)+SUM(SET!X5:AG5)</f>
        <v>0</v>
      </c>
      <c r="AO175" s="235">
        <f>SUM(OUT!G5:N5)+SUM(OUT!X5:AG5)</f>
        <v>0</v>
      </c>
      <c r="AP175" s="235">
        <f>SUM(NOV!G5:N5)+SUM(NOV!X5:AG5)</f>
        <v>0</v>
      </c>
      <c r="AQ175" s="235">
        <f>SUM(DEZ!G5:N5)+SUM(DEZ!X5:AG5)</f>
        <v>0</v>
      </c>
      <c r="AR175" s="235">
        <f>AI175</f>
        <v>5479.4800000000005</v>
      </c>
    </row>
    <row r="176" spans="1:45">
      <c r="A176" s="242" t="s">
        <v>120</v>
      </c>
      <c r="B176" s="235">
        <f>$G$210*'Médias por UF'!BG154</f>
        <v>5283.8829812484964</v>
      </c>
      <c r="C176" s="235">
        <f>$G$210*'Médias por UF'!BH154</f>
        <v>11148.018150480877</v>
      </c>
      <c r="D176" s="235">
        <f>$G$210*'Médias por UF'!BI154</f>
        <v>15215.136033501718</v>
      </c>
      <c r="E176" s="235">
        <f>$G$210*'Médias por UF'!BJ154</f>
        <v>18713.987126745513</v>
      </c>
      <c r="F176" s="235">
        <f>$G$210*'Médias por UF'!BK154</f>
        <v>24954.02659365963</v>
      </c>
      <c r="G176" s="235">
        <f>$G$210*'Médias por UF'!BL154</f>
        <v>28100.588555790535</v>
      </c>
      <c r="H176" s="235">
        <f>$G$210*'Médias por UF'!BM154</f>
        <v>31522.111771530785</v>
      </c>
      <c r="I176" s="235">
        <f>$G$210*'Médias por UF'!BN154</f>
        <v>36266.400608580429</v>
      </c>
      <c r="J176" s="235">
        <f>$G$210*'Médias por UF'!BO154</f>
        <v>41328.958044633197</v>
      </c>
      <c r="K176" s="235">
        <f>$G$210*'Médias por UF'!BP154</f>
        <v>48147.634277788202</v>
      </c>
      <c r="L176" s="235">
        <f>$G$210*'Médias por UF'!BQ154</f>
        <v>52795.927969631215</v>
      </c>
      <c r="M176" s="235">
        <f>$G$210*'Médias por UF'!BR154</f>
        <v>56749.988584381543</v>
      </c>
      <c r="N176" s="235">
        <f t="shared" ref="N176:N201" si="65">M176</f>
        <v>56749.988584381543</v>
      </c>
      <c r="P176" s="237" t="s">
        <v>120</v>
      </c>
      <c r="Q176" s="235">
        <f>'Médias por UF'!BG154*'Evolução das Receitas'!$V$210</f>
        <v>4666.0187663044417</v>
      </c>
      <c r="R176" s="235">
        <f>'Médias por UF'!BH154*'Evolução das Receitas'!$V$210</f>
        <v>9844.4386603269486</v>
      </c>
      <c r="S176" s="235">
        <f>'Médias por UF'!BI154*'Evolução das Receitas'!$V$210</f>
        <v>13435.973225777076</v>
      </c>
      <c r="T176" s="235">
        <f>'Médias por UF'!BJ154*'Evolução das Receitas'!$V$210</f>
        <v>16525.69056424146</v>
      </c>
      <c r="U176" s="235">
        <f>'Médias por UF'!BK154*'Evolução das Receitas'!$V$210</f>
        <v>22036.058859381479</v>
      </c>
      <c r="V176" s="235">
        <f>'Médias por UF'!BL154*'Evolução das Receitas'!$V$210</f>
        <v>24814.681553477065</v>
      </c>
      <c r="W176" s="235">
        <f>'Médias por UF'!BM154*'Evolução das Receitas'!$V$210</f>
        <v>27836.113252598097</v>
      </c>
      <c r="X176" s="235">
        <f>'Médias por UF'!BN154*'Evolução das Receitas'!$V$210</f>
        <v>32025.634637723797</v>
      </c>
      <c r="Y176" s="235">
        <f>'Médias por UF'!BO154*'Evolução das Receitas'!$V$210</f>
        <v>36496.20828326937</v>
      </c>
      <c r="Z176" s="235">
        <f>'Médias por UF'!BP154*'Evolução das Receitas'!$V$210</f>
        <v>42517.551181695511</v>
      </c>
      <c r="AA176" s="235">
        <f>'Médias por UF'!BQ154*'Evolução das Receitas'!$V$210</f>
        <v>46622.302493260191</v>
      </c>
      <c r="AB176" s="235">
        <f>'Médias por UF'!BR154*'Evolução das Receitas'!$V$210</f>
        <v>50114</v>
      </c>
      <c r="AC176" s="235">
        <f t="shared" ref="AC176:AC201" si="66">AB176</f>
        <v>50114</v>
      </c>
      <c r="AE176" s="237" t="s">
        <v>120</v>
      </c>
      <c r="AF176" s="235">
        <f>SUM(JAN!G6:N6)+SUM(JAN!X6:AG6)</f>
        <v>3987.1280000000002</v>
      </c>
      <c r="AG176" s="235">
        <f>SUM(FEV!G6:N6)+SUM(FEV!X6:AG6)+AF176</f>
        <v>9328.0400000000009</v>
      </c>
      <c r="AH176" s="235">
        <f>SUM(MAR!G6:N6)+SUM(MAR!X6:AG6)+AG176</f>
        <v>12556.704000000002</v>
      </c>
      <c r="AI176" s="235">
        <f>SUM(ABR!G6:N6)+SUM(ABR!X6:AG6)+AH176</f>
        <v>16772.384000000002</v>
      </c>
      <c r="AJ176" s="235">
        <f>SUM(MAI!G6:N6)+SUM(MAI!AB6:AK6)</f>
        <v>0</v>
      </c>
      <c r="AK176" s="235">
        <f>SUM(JUN!G6:N6)+SUM(JUN!X6:AG6)</f>
        <v>0</v>
      </c>
      <c r="AL176" s="235">
        <f>SUM(JUL!G6:N6)+SUM(JUL!X6:AG6)</f>
        <v>0</v>
      </c>
      <c r="AM176" s="235">
        <f>SUM(AGO!G6:N6)+SUM(AGO!X6:AG6)</f>
        <v>0</v>
      </c>
      <c r="AN176" s="235">
        <f>SUM(SET!G6:N6)+SUM(SET!X6:AG6)</f>
        <v>0</v>
      </c>
      <c r="AO176" s="235">
        <f>SUM(OUT!G6:N6)+SUM(OUT!X6:AG6)</f>
        <v>0</v>
      </c>
      <c r="AP176" s="235">
        <f>SUM(NOV!G6:N6)+SUM(NOV!X6:AG6)</f>
        <v>0</v>
      </c>
      <c r="AQ176" s="235">
        <f>SUM(DEZ!G6:N6)+SUM(DEZ!X6:AG6)</f>
        <v>0</v>
      </c>
      <c r="AR176" s="235">
        <f t="shared" ref="AR176:AR201" si="67">AI176</f>
        <v>16772.384000000002</v>
      </c>
    </row>
    <row r="177" spans="1:44">
      <c r="A177" s="242" t="s">
        <v>121</v>
      </c>
      <c r="B177" s="235">
        <f>$G$211*'Médias por UF'!BG155</f>
        <v>1411.4579040994322</v>
      </c>
      <c r="C177" s="235">
        <f>$G$211*'Médias por UF'!BH155</f>
        <v>3214.9135496959429</v>
      </c>
      <c r="D177" s="235">
        <f>$G$211*'Médias por UF'!BI155</f>
        <v>5122.3793466819252</v>
      </c>
      <c r="E177" s="235">
        <f>$G$211*'Médias por UF'!BJ155</f>
        <v>6244.9411952503806</v>
      </c>
      <c r="F177" s="235">
        <f>$G$211*'Médias por UF'!BK155</f>
        <v>7821.1819423059205</v>
      </c>
      <c r="G177" s="235">
        <f>$G$211*'Médias por UF'!BL155</f>
        <v>9818.1545247648046</v>
      </c>
      <c r="H177" s="235">
        <f>$G$211*'Médias por UF'!BM155</f>
        <v>11329.844497624365</v>
      </c>
      <c r="I177" s="235">
        <f>$G$211*'Médias por UF'!BN155</f>
        <v>14958.686830141267</v>
      </c>
      <c r="J177" s="235">
        <f>$G$211*'Médias por UF'!BO155</f>
        <v>17091.902388423594</v>
      </c>
      <c r="K177" s="235">
        <f>$G$211*'Médias por UF'!BP155</f>
        <v>19218.796597294153</v>
      </c>
      <c r="L177" s="235">
        <f>$G$211*'Médias por UF'!BQ155</f>
        <v>21275.257146649703</v>
      </c>
      <c r="M177" s="235">
        <f>$G$211*'Médias por UF'!BR155</f>
        <v>23401.315206802024</v>
      </c>
      <c r="N177" s="235">
        <f t="shared" si="65"/>
        <v>23401.315206802024</v>
      </c>
      <c r="P177" s="237" t="s">
        <v>121</v>
      </c>
      <c r="Q177" s="235">
        <f>'Médias por UF'!BG155*'Evolução das Receitas'!$V$211</f>
        <v>1184.4120135070079</v>
      </c>
      <c r="R177" s="235">
        <f>'Médias por UF'!BH155*'Evolução das Receitas'!$V$211</f>
        <v>2697.7653528220912</v>
      </c>
      <c r="S177" s="235">
        <f>'Médias por UF'!BI155*'Evolução das Receitas'!$V$211</f>
        <v>4298.3978610550557</v>
      </c>
      <c r="T177" s="235">
        <f>'Médias por UF'!BJ155*'Evolução das Receitas'!$V$211</f>
        <v>5240.3853872062064</v>
      </c>
      <c r="U177" s="235">
        <f>'Médias por UF'!BK155*'Evolução das Receitas'!$V$211</f>
        <v>6563.0734188999413</v>
      </c>
      <c r="V177" s="235">
        <f>'Médias por UF'!BL155*'Evolução das Receitas'!$V$211</f>
        <v>8238.8147289587323</v>
      </c>
      <c r="W177" s="235">
        <f>'Médias por UF'!BM155*'Evolução das Receitas'!$V$211</f>
        <v>9507.3355678393891</v>
      </c>
      <c r="X177" s="235">
        <f>'Médias por UF'!BN155*'Evolução das Receitas'!$V$211</f>
        <v>12552.445479564414</v>
      </c>
      <c r="Y177" s="235">
        <f>'Médias por UF'!BO155*'Evolução das Receitas'!$V$211</f>
        <v>14342.513838876714</v>
      </c>
      <c r="Z177" s="235">
        <f>'Médias por UF'!BP155*'Evolução das Receitas'!$V$211</f>
        <v>16127.277695544528</v>
      </c>
      <c r="AA177" s="235">
        <f>'Médias por UF'!BQ155*'Evolução das Receitas'!$V$211</f>
        <v>17852.937789894993</v>
      </c>
      <c r="AB177" s="235">
        <f>'Médias por UF'!BR155*'Evolução das Receitas'!$V$211</f>
        <v>19637</v>
      </c>
      <c r="AC177" s="235">
        <f t="shared" si="66"/>
        <v>19637</v>
      </c>
      <c r="AE177" s="237" t="s">
        <v>121</v>
      </c>
      <c r="AF177" s="235">
        <f>SUM(JAN!G7:N7)+SUM(JAN!X7:AG7)</f>
        <v>3712.2640000000001</v>
      </c>
      <c r="AG177" s="235">
        <f>SUM(FEV!G7:N7)+SUM(FEV!X7:AG7)+AF177</f>
        <v>8322.3919999999998</v>
      </c>
      <c r="AH177" s="235">
        <f>SUM(MAR!G7:N7)+SUM(MAR!X7:AG7)+AG177</f>
        <v>11247.448</v>
      </c>
      <c r="AI177" s="235">
        <f>SUM(ABR!G7:N7)+SUM(ABR!X7:AG7)+AH177</f>
        <v>13436.552</v>
      </c>
      <c r="AJ177" s="235">
        <f>SUM(MAI!G7:N7)+SUM(MAI!AB7:AK7)</f>
        <v>0</v>
      </c>
      <c r="AK177" s="235">
        <f>SUM(JUN!G7:N7)+SUM(JUN!X7:AG7)</f>
        <v>0</v>
      </c>
      <c r="AL177" s="235">
        <f>SUM(JUL!G7:N7)+SUM(JUL!X7:AG7)</f>
        <v>0</v>
      </c>
      <c r="AM177" s="235">
        <f>SUM(AGO!G7:N7)+SUM(AGO!X7:AG7)</f>
        <v>0</v>
      </c>
      <c r="AN177" s="235">
        <f>SUM(SET!G7:N7)+SUM(SET!X7:AG7)</f>
        <v>0</v>
      </c>
      <c r="AO177" s="235">
        <f>SUM(OUT!G7:N7)+SUM(OUT!X7:AG7)</f>
        <v>0</v>
      </c>
      <c r="AP177" s="235">
        <f>SUM(NOV!G7:N7)+SUM(NOV!X7:AG7)</f>
        <v>0</v>
      </c>
      <c r="AQ177" s="235">
        <f>SUM(DEZ!G7:N7)+SUM(DEZ!X7:AG7)</f>
        <v>0</v>
      </c>
      <c r="AR177" s="235">
        <f t="shared" si="67"/>
        <v>13436.552</v>
      </c>
    </row>
    <row r="178" spans="1:44">
      <c r="A178" s="242" t="s">
        <v>122</v>
      </c>
      <c r="B178" s="235">
        <f>$G$212*'Médias por UF'!BG156</f>
        <v>5162.5239738362106</v>
      </c>
      <c r="C178" s="235">
        <f>$G$212*'Médias por UF'!BH156</f>
        <v>10126.121540503442</v>
      </c>
      <c r="D178" s="235">
        <f>$G$212*'Médias por UF'!BI156</f>
        <v>14509.796444245962</v>
      </c>
      <c r="E178" s="235">
        <f>$G$212*'Médias por UF'!BJ156</f>
        <v>18100.855075774765</v>
      </c>
      <c r="F178" s="235">
        <f>$G$212*'Médias por UF'!BK156</f>
        <v>21824.293077529943</v>
      </c>
      <c r="G178" s="235">
        <f>$G$212*'Médias por UF'!BL156</f>
        <v>25766.939255865949</v>
      </c>
      <c r="H178" s="235">
        <f>$G$212*'Médias por UF'!BM156</f>
        <v>29862.542756627052</v>
      </c>
      <c r="I178" s="235">
        <f>$G$212*'Médias por UF'!BN156</f>
        <v>35968.742284441811</v>
      </c>
      <c r="J178" s="235">
        <f>$G$212*'Médias por UF'!BO156</f>
        <v>40861.506872415004</v>
      </c>
      <c r="K178" s="235">
        <f>$G$212*'Médias por UF'!BP156</f>
        <v>46830.826090273673</v>
      </c>
      <c r="L178" s="235">
        <f>$G$212*'Médias por UF'!BQ156</f>
        <v>51919.446266914791</v>
      </c>
      <c r="M178" s="235">
        <f>$G$212*'Médias por UF'!BR156</f>
        <v>57790.974249012768</v>
      </c>
      <c r="N178" s="235">
        <f t="shared" si="65"/>
        <v>57790.974249012768</v>
      </c>
      <c r="P178" s="237" t="s">
        <v>122</v>
      </c>
      <c r="Q178" s="235">
        <f>'Médias por UF'!BG156*'Evolução das Receitas'!$V$212</f>
        <v>4325.9417098555496</v>
      </c>
      <c r="R178" s="235">
        <f>'Médias por UF'!BH156*'Evolução das Receitas'!$V$212</f>
        <v>8485.1928539480632</v>
      </c>
      <c r="S178" s="235">
        <f>'Médias por UF'!BI156*'Evolução das Receitas'!$V$212</f>
        <v>12158.497269511912</v>
      </c>
      <c r="T178" s="235">
        <f>'Médias por UF'!BJ156*'Evolução das Receitas'!$V$212</f>
        <v>15167.628151111207</v>
      </c>
      <c r="U178" s="235">
        <f>'Médias por UF'!BK156*'Evolução das Receitas'!$V$212</f>
        <v>18287.68644768987</v>
      </c>
      <c r="V178" s="235">
        <f>'Médias por UF'!BL156*'Evolução das Receitas'!$V$212</f>
        <v>21591.430437355539</v>
      </c>
      <c r="W178" s="235">
        <f>'Médias por UF'!BM156*'Evolução das Receitas'!$V$212</f>
        <v>25023.345155963096</v>
      </c>
      <c r="X178" s="235">
        <f>'Médias por UF'!BN156*'Evolução das Receitas'!$V$212</f>
        <v>30140.040663808923</v>
      </c>
      <c r="Y178" s="235">
        <f>'Médias por UF'!BO156*'Evolução das Receitas'!$V$212</f>
        <v>34239.937248287031</v>
      </c>
      <c r="Z178" s="235">
        <f>'Médias por UF'!BP156*'Evolução das Receitas'!$V$212</f>
        <v>39241.933774569196</v>
      </c>
      <c r="AA178" s="235">
        <f>'Médias por UF'!BQ156*'Evolução das Receitas'!$V$212</f>
        <v>43505.947729624335</v>
      </c>
      <c r="AB178" s="235">
        <f>'Médias por UF'!BR156*'Evolução das Receitas'!$V$212</f>
        <v>48426</v>
      </c>
      <c r="AC178" s="235">
        <f t="shared" si="66"/>
        <v>48426</v>
      </c>
      <c r="AE178" s="237" t="s">
        <v>122</v>
      </c>
      <c r="AF178" s="235">
        <f>SUM(JAN!G8:N8)+SUM(JAN!X8:AG8)</f>
        <v>5460.3520000000008</v>
      </c>
      <c r="AG178" s="235">
        <f>SUM(FEV!G8:N8)+SUM(FEV!X8:AG8)+AF178</f>
        <v>12489.184000000001</v>
      </c>
      <c r="AH178" s="235">
        <f>SUM(MAR!G8:N8)+SUM(MAR!X8:AG8)+AG178</f>
        <v>17987.292000000001</v>
      </c>
      <c r="AI178" s="235">
        <f>SUM(ABR!G8:N8)+SUM(ABR!X8:AG8)+AH178</f>
        <v>23962.752</v>
      </c>
      <c r="AJ178" s="235">
        <f>SUM(MAI!G8:N8)+SUM(MAI!AB8:AK8)</f>
        <v>0</v>
      </c>
      <c r="AK178" s="235">
        <f>SUM(JUN!G8:N8)+SUM(JUN!X8:AG8)</f>
        <v>0</v>
      </c>
      <c r="AL178" s="235">
        <f>SUM(JUL!G8:N8)+SUM(JUL!X8:AG8)</f>
        <v>0</v>
      </c>
      <c r="AM178" s="235">
        <f>SUM(AGO!G8:N8)+SUM(AGO!X8:AG8)</f>
        <v>0</v>
      </c>
      <c r="AN178" s="235">
        <f>SUM(SET!G8:N8)+SUM(SET!X8:AG8)</f>
        <v>0</v>
      </c>
      <c r="AO178" s="235">
        <f>SUM(OUT!G8:N8)+SUM(OUT!X8:AG8)</f>
        <v>0</v>
      </c>
      <c r="AP178" s="235">
        <f>SUM(NOV!G8:N8)+SUM(NOV!X8:AG8)</f>
        <v>0</v>
      </c>
      <c r="AQ178" s="235">
        <f>SUM(DEZ!G8:N8)+SUM(DEZ!X8:AG8)</f>
        <v>0</v>
      </c>
      <c r="AR178" s="235">
        <f t="shared" si="67"/>
        <v>23962.752</v>
      </c>
    </row>
    <row r="179" spans="1:44">
      <c r="A179" s="242" t="s">
        <v>123</v>
      </c>
      <c r="B179" s="235">
        <f>$G$213*'Médias por UF'!BG157</f>
        <v>17465.651704284188</v>
      </c>
      <c r="C179" s="235">
        <f>$G$213*'Médias por UF'!BH157</f>
        <v>32779.208356601484</v>
      </c>
      <c r="D179" s="235">
        <f>$G$213*'Médias por UF'!BI157</f>
        <v>44760.602653029186</v>
      </c>
      <c r="E179" s="235">
        <f>$G$213*'Médias por UF'!BJ157</f>
        <v>56248.497800580619</v>
      </c>
      <c r="F179" s="235">
        <f>$G$213*'Médias por UF'!BK157</f>
        <v>67169.56450078699</v>
      </c>
      <c r="G179" s="235">
        <f>$G$213*'Médias por UF'!BL157</f>
        <v>77187.399499325649</v>
      </c>
      <c r="H179" s="235">
        <f>$G$213*'Médias por UF'!BM157</f>
        <v>90179.557279391112</v>
      </c>
      <c r="I179" s="235">
        <f>$G$213*'Médias por UF'!BN157</f>
        <v>107134.2247943751</v>
      </c>
      <c r="J179" s="235">
        <f>$G$213*'Médias por UF'!BO157</f>
        <v>118245.18443793524</v>
      </c>
      <c r="K179" s="235">
        <f>$G$213*'Médias por UF'!BP157</f>
        <v>133684.37799792967</v>
      </c>
      <c r="L179" s="235">
        <f>$G$213*'Médias por UF'!BQ157</f>
        <v>148154.54062263385</v>
      </c>
      <c r="M179" s="235">
        <f>$G$213*'Médias por UF'!BR157</f>
        <v>164981.75209107425</v>
      </c>
      <c r="N179" s="235">
        <f t="shared" si="65"/>
        <v>164981.75209107425</v>
      </c>
      <c r="P179" s="237" t="s">
        <v>123</v>
      </c>
      <c r="Q179" s="235">
        <f>'Médias por UF'!BG157*'Evolução das Receitas'!$V$213</f>
        <v>13583.004660617407</v>
      </c>
      <c r="R179" s="235">
        <f>'Médias por UF'!BH157*'Evolução das Receitas'!$V$213</f>
        <v>25492.329024851279</v>
      </c>
      <c r="S179" s="235">
        <f>'Médias por UF'!BI157*'Evolução das Receitas'!$V$213</f>
        <v>34810.236957777284</v>
      </c>
      <c r="T179" s="235">
        <f>'Médias por UF'!BJ157*'Evolução das Receitas'!$V$213</f>
        <v>43744.351525720936</v>
      </c>
      <c r="U179" s="235">
        <f>'Médias por UF'!BK157*'Evolução das Receitas'!$V$213</f>
        <v>52237.644670426766</v>
      </c>
      <c r="V179" s="235">
        <f>'Médias por UF'!BL157*'Evolução das Receitas'!$V$213</f>
        <v>60028.496210256191</v>
      </c>
      <c r="W179" s="235">
        <f>'Médias por UF'!BM157*'Evolução das Receitas'!$V$213</f>
        <v>70132.473013756666</v>
      </c>
      <c r="X179" s="235">
        <f>'Médias por UF'!BN157*'Evolução das Receitas'!$V$213</f>
        <v>83318.086226160085</v>
      </c>
      <c r="Y179" s="235">
        <f>'Médias por UF'!BO157*'Evolução das Receitas'!$V$213</f>
        <v>91959.058757714112</v>
      </c>
      <c r="Z179" s="235">
        <f>'Médias por UF'!BP157*'Evolução das Receitas'!$V$213</f>
        <v>103966.09071004248</v>
      </c>
      <c r="AA179" s="235">
        <f>'Médias por UF'!BQ157*'Evolução das Receitas'!$V$213</f>
        <v>115219.50911658478</v>
      </c>
      <c r="AB179" s="235">
        <f>'Médias por UF'!BR157*'Evolução das Receitas'!$V$213</f>
        <v>128306</v>
      </c>
      <c r="AC179" s="235">
        <f t="shared" si="66"/>
        <v>128306</v>
      </c>
      <c r="AE179" s="237" t="s">
        <v>123</v>
      </c>
      <c r="AF179" s="235">
        <f>SUM(JAN!G9:N9)+SUM(JAN!X9:AG9)</f>
        <v>14116.712000000001</v>
      </c>
      <c r="AG179" s="235">
        <f>SUM(FEV!G9:N9)+SUM(FEV!X9:AG9)+AF179</f>
        <v>29345.816000000003</v>
      </c>
      <c r="AH179" s="235">
        <f>SUM(MAR!G9:N9)+SUM(MAR!X9:AG9)+AG179</f>
        <v>41132.192000000003</v>
      </c>
      <c r="AI179" s="235">
        <f>SUM(ABR!G9:N9)+SUM(ABR!X9:AG9)+AH179</f>
        <v>50696.416000000005</v>
      </c>
      <c r="AJ179" s="235">
        <f>SUM(MAI!G9:N9)+SUM(MAI!AB9:AK9)</f>
        <v>0</v>
      </c>
      <c r="AK179" s="235">
        <f>SUM(JUN!G9:N9)+SUM(JUN!X9:AG9)</f>
        <v>0</v>
      </c>
      <c r="AL179" s="235">
        <f>SUM(JUL!G9:N9)+SUM(JUL!X9:AG9)</f>
        <v>0</v>
      </c>
      <c r="AM179" s="235">
        <f>SUM(AGO!G9:N9)+SUM(AGO!X9:AG9)</f>
        <v>0</v>
      </c>
      <c r="AN179" s="235">
        <f>SUM(SET!G9:N9)+SUM(SET!X9:AG9)</f>
        <v>0</v>
      </c>
      <c r="AO179" s="235">
        <f>SUM(OUT!G9:N9)+SUM(OUT!X9:AG9)</f>
        <v>0</v>
      </c>
      <c r="AP179" s="235">
        <f>SUM(NOV!G9:N9)+SUM(NOV!X9:AG9)</f>
        <v>0</v>
      </c>
      <c r="AQ179" s="235">
        <f>SUM(DEZ!G9:N9)+SUM(DEZ!X9:AG9)</f>
        <v>0</v>
      </c>
      <c r="AR179" s="235">
        <f t="shared" si="67"/>
        <v>50696.416000000005</v>
      </c>
    </row>
    <row r="180" spans="1:44">
      <c r="A180" s="242" t="s">
        <v>124</v>
      </c>
      <c r="B180" s="235">
        <f>$G$214*'Médias por UF'!BG158</f>
        <v>6070.2332682142714</v>
      </c>
      <c r="C180" s="235">
        <f>$G$214*'Médias por UF'!BH158</f>
        <v>18805.14686976311</v>
      </c>
      <c r="D180" s="235">
        <f>$G$214*'Médias por UF'!BI158</f>
        <v>27923.96699452454</v>
      </c>
      <c r="E180" s="235">
        <f>$G$214*'Médias por UF'!BJ158</f>
        <v>33333.625569374402</v>
      </c>
      <c r="F180" s="235">
        <f>$G$214*'Médias por UF'!BK158</f>
        <v>38177.036703304977</v>
      </c>
      <c r="G180" s="235">
        <f>$G$214*'Médias por UF'!BL158</f>
        <v>45232.458011784242</v>
      </c>
      <c r="H180" s="235">
        <f>$G$214*'Médias por UF'!BM158</f>
        <v>53792.789200966057</v>
      </c>
      <c r="I180" s="235">
        <f>$G$214*'Médias por UF'!BN158</f>
        <v>61964.056160773129</v>
      </c>
      <c r="J180" s="235">
        <f>$G$214*'Médias por UF'!BO158</f>
        <v>67976.283535746828</v>
      </c>
      <c r="K180" s="235">
        <f>$G$214*'Médias por UF'!BP158</f>
        <v>75116.755686868113</v>
      </c>
      <c r="L180" s="235">
        <f>$G$214*'Médias por UF'!BQ158</f>
        <v>83045.063198105854</v>
      </c>
      <c r="M180" s="235">
        <f>$G$214*'Médias por UF'!BR158</f>
        <v>91748.68333010051</v>
      </c>
      <c r="N180" s="235">
        <f t="shared" si="65"/>
        <v>91748.68333010051</v>
      </c>
      <c r="P180" s="237" t="s">
        <v>124</v>
      </c>
      <c r="Q180" s="235">
        <f>'Médias por UF'!BG158*'Evolução das Receitas'!$V$214</f>
        <v>5439.6025152443572</v>
      </c>
      <c r="R180" s="235">
        <f>'Médias por UF'!BH158*'Evolução das Receitas'!$V$214</f>
        <v>16851.498071406924</v>
      </c>
      <c r="S180" s="235">
        <f>'Médias por UF'!BI158*'Evolução das Receitas'!$V$214</f>
        <v>25022.972658133174</v>
      </c>
      <c r="T180" s="235">
        <f>'Médias por UF'!BJ158*'Evolução das Receitas'!$V$214</f>
        <v>29870.626955778163</v>
      </c>
      <c r="U180" s="235">
        <f>'Médias por UF'!BK158*'Evolução das Receitas'!$V$214</f>
        <v>34210.860719849275</v>
      </c>
      <c r="V180" s="235">
        <f>'Médias por UF'!BL158*'Evolução das Receitas'!$V$214</f>
        <v>40533.301028144473</v>
      </c>
      <c r="W180" s="235">
        <f>'Médias por UF'!BM158*'Evolução das Receitas'!$V$214</f>
        <v>48204.307562905939</v>
      </c>
      <c r="X180" s="235">
        <f>'Médias por UF'!BN158*'Evolução das Receitas'!$V$214</f>
        <v>55526.669380539257</v>
      </c>
      <c r="Y180" s="235">
        <f>'Médias por UF'!BO158*'Evolução das Receitas'!$V$214</f>
        <v>60914.292179547228</v>
      </c>
      <c r="Z180" s="235">
        <f>'Médias por UF'!BP158*'Evolução das Receitas'!$V$214</f>
        <v>67312.947479444454</v>
      </c>
      <c r="AA180" s="235">
        <f>'Médias por UF'!BQ158*'Evolução das Receitas'!$V$214</f>
        <v>74417.590674226725</v>
      </c>
      <c r="AB180" s="235">
        <f>'Médias por UF'!BR158*'Evolução das Receitas'!$V$214</f>
        <v>82217</v>
      </c>
      <c r="AC180" s="235">
        <f t="shared" si="66"/>
        <v>82217</v>
      </c>
      <c r="AE180" s="237" t="s">
        <v>124</v>
      </c>
      <c r="AF180" s="235">
        <f>SUM(JAN!G10:N10)+SUM(JAN!X10:AG10)</f>
        <v>7626.3600000000006</v>
      </c>
      <c r="AG180" s="235">
        <f>SUM(FEV!G10:N10)+SUM(FEV!X10:AG10)+AF180</f>
        <v>17181.559999999998</v>
      </c>
      <c r="AH180" s="235">
        <f>SUM(MAR!G10:N10)+SUM(MAR!X10:AG10)+AG180</f>
        <v>21435.351999999999</v>
      </c>
      <c r="AI180" s="235">
        <f>SUM(ABR!G10:N10)+SUM(ABR!X10:AG10)+AH180</f>
        <v>26235.552</v>
      </c>
      <c r="AJ180" s="235">
        <f>SUM(MAI!G10:N10)+SUM(MAI!AB10:AK10)</f>
        <v>0</v>
      </c>
      <c r="AK180" s="235">
        <f>SUM(JUN!G10:N10)+SUM(JUN!X10:AG10)</f>
        <v>0</v>
      </c>
      <c r="AL180" s="235">
        <f>SUM(JUL!G10:N10)+SUM(JUL!X10:AG10)</f>
        <v>0</v>
      </c>
      <c r="AM180" s="235">
        <f>SUM(AGO!G10:N10)+SUM(AGO!X10:AG10)</f>
        <v>0</v>
      </c>
      <c r="AN180" s="235">
        <f>SUM(SET!G10:N10)+SUM(SET!X10:AG10)</f>
        <v>0</v>
      </c>
      <c r="AO180" s="235">
        <f>SUM(OUT!G10:N10)+SUM(OUT!X10:AG10)</f>
        <v>0</v>
      </c>
      <c r="AP180" s="235">
        <f>SUM(NOV!G10:N10)+SUM(NOV!X10:AG10)</f>
        <v>0</v>
      </c>
      <c r="AQ180" s="235">
        <f>SUM(DEZ!G10:N10)+SUM(DEZ!X10:AG10)</f>
        <v>0</v>
      </c>
      <c r="AR180" s="235">
        <f t="shared" si="67"/>
        <v>26235.552</v>
      </c>
    </row>
    <row r="181" spans="1:44">
      <c r="A181" s="242" t="s">
        <v>125</v>
      </c>
      <c r="B181" s="235">
        <f>$G$215*'Médias por UF'!BG159</f>
        <v>13878.533880233199</v>
      </c>
      <c r="C181" s="235">
        <f>$G$215*'Médias por UF'!BH159</f>
        <v>28258.339613545642</v>
      </c>
      <c r="D181" s="235">
        <f>$G$215*'Médias por UF'!BI159</f>
        <v>42085.329594418734</v>
      </c>
      <c r="E181" s="235">
        <f>$G$215*'Médias por UF'!BJ159</f>
        <v>52996.314655436268</v>
      </c>
      <c r="F181" s="235">
        <f>$G$215*'Médias por UF'!BK159</f>
        <v>64281.759836143072</v>
      </c>
      <c r="G181" s="235">
        <f>$G$215*'Médias por UF'!BL159</f>
        <v>76272.558679870723</v>
      </c>
      <c r="H181" s="235">
        <f>$G$215*'Médias por UF'!BM159</f>
        <v>88258.924612522896</v>
      </c>
      <c r="I181" s="235">
        <f>$G$215*'Médias por UF'!BN159</f>
        <v>102111.86220877572</v>
      </c>
      <c r="J181" s="235">
        <f>$G$215*'Médias por UF'!BO159</f>
        <v>112350.82477612511</v>
      </c>
      <c r="K181" s="235">
        <f>$G$215*'Médias por UF'!BP159</f>
        <v>127087.94445302256</v>
      </c>
      <c r="L181" s="235">
        <f>$G$215*'Médias por UF'!BQ159</f>
        <v>142997.0200421378</v>
      </c>
      <c r="M181" s="235">
        <f>$G$215*'Médias por UF'!BR159</f>
        <v>159637.62123348564</v>
      </c>
      <c r="N181" s="235">
        <f t="shared" si="65"/>
        <v>159637.62123348564</v>
      </c>
      <c r="P181" s="237" t="s">
        <v>125</v>
      </c>
      <c r="Q181" s="235">
        <f>'Médias por UF'!BG159*'Evolução das Receitas'!$V$215</f>
        <v>12164.154592446059</v>
      </c>
      <c r="R181" s="235">
        <f>'Médias por UF'!BH159*'Evolução das Receitas'!$V$215</f>
        <v>24767.660226314612</v>
      </c>
      <c r="S181" s="235">
        <f>'Médias por UF'!BI159*'Evolução das Receitas'!$V$215</f>
        <v>36886.638003577988</v>
      </c>
      <c r="T181" s="235">
        <f>'Médias por UF'!BJ159*'Evolução das Receitas'!$V$215</f>
        <v>46449.817384299196</v>
      </c>
      <c r="U181" s="235">
        <f>'Médias por UF'!BK159*'Evolução das Receitas'!$V$215</f>
        <v>56341.200797515048</v>
      </c>
      <c r="V181" s="235">
        <f>'Médias por UF'!BL159*'Evolução das Receitas'!$V$215</f>
        <v>66850.807365523491</v>
      </c>
      <c r="W181" s="235">
        <f>'Médias por UF'!BM159*'Evolução das Receitas'!$V$215</f>
        <v>77356.528608462162</v>
      </c>
      <c r="X181" s="235">
        <f>'Médias por UF'!BN159*'Evolução das Receitas'!$V$215</f>
        <v>89498.248759488386</v>
      </c>
      <c r="Y181" s="235">
        <f>'Médias por UF'!BO159*'Evolução das Receitas'!$V$215</f>
        <v>98472.418841884268</v>
      </c>
      <c r="Z181" s="235">
        <f>'Médias por UF'!BP159*'Evolução das Receitas'!$V$215</f>
        <v>111389.10035479828</v>
      </c>
      <c r="AA181" s="235">
        <f>'Médias por UF'!BQ159*'Evolução das Receitas'!$V$215</f>
        <v>125332.96910627594</v>
      </c>
      <c r="AB181" s="235">
        <f>'Médias por UF'!BR159*'Evolução das Receitas'!$V$215</f>
        <v>139918</v>
      </c>
      <c r="AC181" s="235">
        <f t="shared" si="66"/>
        <v>139918</v>
      </c>
      <c r="AE181" s="237" t="s">
        <v>125</v>
      </c>
      <c r="AF181" s="235">
        <f>SUM(JAN!G11:N11)+SUM(JAN!X11:AG11)</f>
        <v>15095.766</v>
      </c>
      <c r="AG181" s="235">
        <f>SUM(FEV!G11:N11)+SUM(FEV!X11:AG11)+AF181</f>
        <v>31319.021999999997</v>
      </c>
      <c r="AH181" s="235">
        <f>SUM(MAR!G11:N11)+SUM(MAR!X11:AG11)+AG181</f>
        <v>42721.317999999999</v>
      </c>
      <c r="AI181" s="235">
        <f>SUM(ABR!G11:N11)+SUM(ABR!X11:AG11)+AH181</f>
        <v>55057.411999999997</v>
      </c>
      <c r="AJ181" s="235">
        <f>SUM(MAI!G11:N11)+SUM(MAI!AB11:AK11)</f>
        <v>0</v>
      </c>
      <c r="AK181" s="235">
        <f>SUM(JUN!G11:N11)+SUM(JUN!X11:AG11)</f>
        <v>0</v>
      </c>
      <c r="AL181" s="235">
        <f>SUM(JUL!G11:N11)+SUM(JUL!X11:AG11)</f>
        <v>0</v>
      </c>
      <c r="AM181" s="235">
        <f>SUM(AGO!G11:N11)+SUM(AGO!X11:AG11)</f>
        <v>0</v>
      </c>
      <c r="AN181" s="235">
        <f>SUM(SET!G11:N11)+SUM(SET!X11:AG11)</f>
        <v>0</v>
      </c>
      <c r="AO181" s="235">
        <f>SUM(OUT!G11:N11)+SUM(OUT!X11:AG11)</f>
        <v>0</v>
      </c>
      <c r="AP181" s="235">
        <f>SUM(NOV!G11:N11)+SUM(NOV!X11:AG11)</f>
        <v>0</v>
      </c>
      <c r="AQ181" s="235">
        <f>SUM(DEZ!G11:N11)+SUM(DEZ!X11:AG11)</f>
        <v>0</v>
      </c>
      <c r="AR181" s="235">
        <f t="shared" si="67"/>
        <v>55057.411999999997</v>
      </c>
    </row>
    <row r="182" spans="1:44">
      <c r="A182" s="242" t="s">
        <v>126</v>
      </c>
      <c r="B182" s="235">
        <f>$G$216*'Médias por UF'!BG160</f>
        <v>7643.2466303348147</v>
      </c>
      <c r="C182" s="235">
        <f>$G$216*'Médias por UF'!BH160</f>
        <v>13779.271412225413</v>
      </c>
      <c r="D182" s="235">
        <f>$G$216*'Médias por UF'!BI160</f>
        <v>21068.488880821893</v>
      </c>
      <c r="E182" s="235">
        <f>$G$216*'Médias por UF'!BJ160</f>
        <v>26068.762614653591</v>
      </c>
      <c r="F182" s="235">
        <f>$G$216*'Médias por UF'!BK160</f>
        <v>32397.79093157758</v>
      </c>
      <c r="G182" s="235">
        <f>$G$216*'Médias por UF'!BL160</f>
        <v>39100.418489814896</v>
      </c>
      <c r="H182" s="235">
        <f>$G$216*'Médias por UF'!BM160</f>
        <v>47317.123821146182</v>
      </c>
      <c r="I182" s="235">
        <f>$G$216*'Médias por UF'!BN160</f>
        <v>60380.51884997444</v>
      </c>
      <c r="J182" s="235">
        <f>$G$216*'Médias por UF'!BO160</f>
        <v>72252.255854653122</v>
      </c>
      <c r="K182" s="235">
        <f>$G$216*'Médias por UF'!BP160</f>
        <v>84013.382620506687</v>
      </c>
      <c r="L182" s="235">
        <f>$G$216*'Médias por UF'!BQ160</f>
        <v>98563.609563343547</v>
      </c>
      <c r="M182" s="235">
        <f>$G$216*'Médias por UF'!BR160</f>
        <v>114509.47847142143</v>
      </c>
      <c r="N182" s="235">
        <f t="shared" si="65"/>
        <v>114509.47847142143</v>
      </c>
      <c r="P182" s="237" t="s">
        <v>126</v>
      </c>
      <c r="Q182" s="235">
        <f>'Médias por UF'!BG160*'Evolução das Receitas'!$V$216</f>
        <v>6977.0056980482223</v>
      </c>
      <c r="R182" s="235">
        <f>'Médias por UF'!BH160*'Evolução das Receitas'!$V$216</f>
        <v>12578.169959411387</v>
      </c>
      <c r="S182" s="235">
        <f>'Médias por UF'!BI160*'Evolução das Receitas'!$V$216</f>
        <v>19232.006250767914</v>
      </c>
      <c r="T182" s="235">
        <f>'Médias por UF'!BJ160*'Evolução das Receitas'!$V$216</f>
        <v>23796.419780783282</v>
      </c>
      <c r="U182" s="235">
        <f>'Médias por UF'!BK160*'Evolução das Receitas'!$V$216</f>
        <v>29573.763986193659</v>
      </c>
      <c r="V182" s="235">
        <f>'Médias por UF'!BL160*'Evolução das Receitas'!$V$216</f>
        <v>35692.141807487154</v>
      </c>
      <c r="W182" s="235">
        <f>'Médias por UF'!BM160*'Evolução das Receitas'!$V$216</f>
        <v>43192.619377889765</v>
      </c>
      <c r="X182" s="235">
        <f>'Médias por UF'!BN160*'Evolução das Receitas'!$V$216</f>
        <v>55117.313942926587</v>
      </c>
      <c r="Y182" s="235">
        <f>'Médias por UF'!BO160*'Evolução das Receitas'!$V$216</f>
        <v>65954.224058928521</v>
      </c>
      <c r="Z182" s="235">
        <f>'Médias por UF'!BP160*'Evolução das Receitas'!$V$216</f>
        <v>76690.165528507045</v>
      </c>
      <c r="AA182" s="235">
        <f>'Médias por UF'!BQ160*'Evolução das Receitas'!$V$216</f>
        <v>89972.088930685743</v>
      </c>
      <c r="AB182" s="235">
        <f>'Médias por UF'!BR160*'Evolução das Receitas'!$V$216</f>
        <v>104528</v>
      </c>
      <c r="AC182" s="235">
        <f t="shared" si="66"/>
        <v>104528</v>
      </c>
      <c r="AE182" s="237" t="s">
        <v>126</v>
      </c>
      <c r="AF182" s="235">
        <f>SUM(JAN!G12:N12)+SUM(JAN!X12:AG12)</f>
        <v>11762.76</v>
      </c>
      <c r="AG182" s="235">
        <f>SUM(FEV!G12:N12)+SUM(FEV!X12:AG12)+AF182</f>
        <v>22547.416000000001</v>
      </c>
      <c r="AH182" s="235">
        <f>SUM(MAR!G12:N12)+SUM(MAR!X12:AG12)+AG182</f>
        <v>32298.976000000002</v>
      </c>
      <c r="AI182" s="235">
        <f>SUM(ABR!G12:N12)+SUM(ABR!X12:AG12)+AH182</f>
        <v>42172.192000000003</v>
      </c>
      <c r="AJ182" s="235">
        <f>SUM(MAI!G12:N12)+SUM(MAI!AB12:AK12)</f>
        <v>0</v>
      </c>
      <c r="AK182" s="235">
        <f>SUM(JUN!G12:N12)+SUM(JUN!X12:AG12)</f>
        <v>0</v>
      </c>
      <c r="AL182" s="235">
        <f>SUM(JUL!G12:N12)+SUM(JUL!X12:AG12)</f>
        <v>0</v>
      </c>
      <c r="AM182" s="235">
        <f>SUM(AGO!G12:N12)+SUM(AGO!X12:AG12)</f>
        <v>0</v>
      </c>
      <c r="AN182" s="235">
        <f>SUM(SET!G12:N12)+SUM(SET!X12:AG12)</f>
        <v>0</v>
      </c>
      <c r="AO182" s="235">
        <f>SUM(OUT!G12:N12)+SUM(OUT!X12:AG12)</f>
        <v>0</v>
      </c>
      <c r="AP182" s="235">
        <f>SUM(NOV!G12:N12)+SUM(NOV!X12:AG12)</f>
        <v>0</v>
      </c>
      <c r="AQ182" s="235">
        <f>SUM(DEZ!G12:N12)+SUM(DEZ!X12:AG12)</f>
        <v>0</v>
      </c>
      <c r="AR182" s="235">
        <f t="shared" si="67"/>
        <v>42172.192000000003</v>
      </c>
    </row>
    <row r="183" spans="1:44">
      <c r="A183" s="242" t="s">
        <v>127</v>
      </c>
      <c r="B183" s="235">
        <f>$G$217*'Médias por UF'!BG161</f>
        <v>9577.410938664183</v>
      </c>
      <c r="C183" s="235">
        <f>$G$217*'Médias por UF'!BH161</f>
        <v>19443.446471703417</v>
      </c>
      <c r="D183" s="235">
        <f>$G$217*'Médias por UF'!BI161</f>
        <v>27746.518053080501</v>
      </c>
      <c r="E183" s="235">
        <f>$G$217*'Médias por UF'!BJ161</f>
        <v>36039.141225635933</v>
      </c>
      <c r="F183" s="235">
        <f>$G$217*'Médias por UF'!BK161</f>
        <v>43246.838792742899</v>
      </c>
      <c r="G183" s="235">
        <f>$G$217*'Médias por UF'!BL161</f>
        <v>50588.023438667507</v>
      </c>
      <c r="H183" s="235">
        <f>$G$217*'Médias por UF'!BM161</f>
        <v>62317.358293784695</v>
      </c>
      <c r="I183" s="235">
        <f>$G$217*'Médias por UF'!BN161</f>
        <v>75040.136065554325</v>
      </c>
      <c r="J183" s="235">
        <f>$G$217*'Médias por UF'!BO161</f>
        <v>84462.836040274473</v>
      </c>
      <c r="K183" s="235">
        <f>$G$217*'Médias por UF'!BP161</f>
        <v>95052.814761380956</v>
      </c>
      <c r="L183" s="235">
        <f>$G$217*'Médias por UF'!BQ161</f>
        <v>106117.78995406421</v>
      </c>
      <c r="M183" s="235">
        <f>$G$217*'Médias por UF'!BR161</f>
        <v>120664.69178961852</v>
      </c>
      <c r="N183" s="235">
        <f t="shared" si="65"/>
        <v>120664.69178961852</v>
      </c>
      <c r="P183" s="237" t="s">
        <v>127</v>
      </c>
      <c r="Q183" s="235">
        <f>'Médias por UF'!BG161*'Evolução das Receitas'!$V$217</f>
        <v>9577.435401971843</v>
      </c>
      <c r="R183" s="235">
        <f>'Médias por UF'!BH161*'Evolução das Receitas'!$V$217</f>
        <v>19443.496135544308</v>
      </c>
      <c r="S183" s="235">
        <f>'Médias por UF'!BI161*'Evolução das Receitas'!$V$217</f>
        <v>27746.588925220371</v>
      </c>
      <c r="T183" s="235">
        <f>'Médias por UF'!BJ161*'Evolução das Receitas'!$V$217</f>
        <v>36039.23327938671</v>
      </c>
      <c r="U183" s="235">
        <f>'Médias por UF'!BK161*'Evolução das Receitas'!$V$217</f>
        <v>43246.94925691004</v>
      </c>
      <c r="V183" s="235">
        <f>'Médias por UF'!BL161*'Evolução das Receitas'!$V$217</f>
        <v>50588.152654213263</v>
      </c>
      <c r="W183" s="235">
        <f>'Médias por UF'!BM161*'Evolução das Receitas'!$V$217</f>
        <v>62317.517469236001</v>
      </c>
      <c r="X183" s="235">
        <f>'Médias por UF'!BN161*'Evolução das Receitas'!$V$217</f>
        <v>75040.327738434105</v>
      </c>
      <c r="Y183" s="235">
        <f>'Médias por UF'!BO161*'Evolução das Receitas'!$V$217</f>
        <v>84463.051781288101</v>
      </c>
      <c r="Z183" s="235">
        <f>'Médias por UF'!BP161*'Evolução das Receitas'!$V$217</f>
        <v>95053.057552075261</v>
      </c>
      <c r="AA183" s="235">
        <f>'Médias por UF'!BQ161*'Evolução das Receitas'!$V$217</f>
        <v>106118.06100770914</v>
      </c>
      <c r="AB183" s="235">
        <f>'Médias por UF'!BR161*'Evolução das Receitas'!$V$217</f>
        <v>120665</v>
      </c>
      <c r="AC183" s="235">
        <f t="shared" si="66"/>
        <v>120665</v>
      </c>
      <c r="AE183" s="237" t="s">
        <v>127</v>
      </c>
      <c r="AF183" s="235">
        <f>SUM(JAN!G13:N13)+SUM(JAN!X13:AG13)</f>
        <v>12952.28</v>
      </c>
      <c r="AG183" s="235">
        <f>SUM(FEV!G13:N13)+SUM(FEV!X13:AG13)+AF183</f>
        <v>30568.352000000006</v>
      </c>
      <c r="AH183" s="235">
        <f>SUM(MAR!G13:N13)+SUM(MAR!X13:AG13)+AG183</f>
        <v>53846.416000000005</v>
      </c>
      <c r="AI183" s="235">
        <f>SUM(ABR!G13:N13)+SUM(ABR!X13:AG13)+AH183</f>
        <v>72784.744000000006</v>
      </c>
      <c r="AJ183" s="235">
        <f>SUM(MAI!G13:N13)+SUM(MAI!AB13:AK13)</f>
        <v>0</v>
      </c>
      <c r="AK183" s="235">
        <f>SUM(JUN!G13:N13)+SUM(JUN!X13:AG13)</f>
        <v>0</v>
      </c>
      <c r="AL183" s="235">
        <f>SUM(JUL!G13:N13)+SUM(JUL!X13:AG13)</f>
        <v>0</v>
      </c>
      <c r="AM183" s="235">
        <f>SUM(AGO!G13:N13)+SUM(AGO!X13:AG13)</f>
        <v>0</v>
      </c>
      <c r="AN183" s="235">
        <f>SUM(SET!G13:N13)+SUM(SET!X13:AG13)</f>
        <v>0</v>
      </c>
      <c r="AO183" s="235">
        <f>SUM(OUT!G13:N13)+SUM(OUT!X13:AG13)</f>
        <v>0</v>
      </c>
      <c r="AP183" s="235">
        <f>SUM(NOV!G13:N13)+SUM(NOV!X13:AG13)</f>
        <v>0</v>
      </c>
      <c r="AQ183" s="235">
        <f>SUM(DEZ!G13:N13)+SUM(DEZ!X13:AG13)</f>
        <v>0</v>
      </c>
      <c r="AR183" s="235">
        <f t="shared" si="67"/>
        <v>72784.744000000006</v>
      </c>
    </row>
    <row r="184" spans="1:44">
      <c r="A184" s="242" t="s">
        <v>128</v>
      </c>
      <c r="B184" s="235">
        <f>$G$218*'Médias por UF'!BG162</f>
        <v>3939.3857420313966</v>
      </c>
      <c r="C184" s="235">
        <f>$G$218*'Médias por UF'!BH162</f>
        <v>6631.9969254692387</v>
      </c>
      <c r="D184" s="235">
        <f>$G$218*'Médias por UF'!BI162</f>
        <v>9955.7151559909453</v>
      </c>
      <c r="E184" s="235">
        <f>$G$218*'Médias por UF'!BJ162</f>
        <v>12303.955180614837</v>
      </c>
      <c r="F184" s="235">
        <f>$G$218*'Médias por UF'!BK162</f>
        <v>14693.31806501448</v>
      </c>
      <c r="G184" s="235">
        <f>$G$218*'Médias por UF'!BL162</f>
        <v>17312.159210284965</v>
      </c>
      <c r="H184" s="235">
        <f>$G$218*'Médias por UF'!BM162</f>
        <v>22942.648096503006</v>
      </c>
      <c r="I184" s="235">
        <f>$G$218*'Médias por UF'!BN162</f>
        <v>27873.756728673372</v>
      </c>
      <c r="J184" s="235">
        <f>$G$218*'Médias por UF'!BO162</f>
        <v>32006.994292083593</v>
      </c>
      <c r="K184" s="235">
        <f>$G$218*'Médias por UF'!BP162</f>
        <v>36668.861294603164</v>
      </c>
      <c r="L184" s="235">
        <f>$G$218*'Médias por UF'!BQ162</f>
        <v>42054.034444557517</v>
      </c>
      <c r="M184" s="235">
        <f>$G$218*'Médias por UF'!BR162</f>
        <v>47184.094856533498</v>
      </c>
      <c r="N184" s="235">
        <f t="shared" si="65"/>
        <v>47184.094856533498</v>
      </c>
      <c r="P184" s="237" t="s">
        <v>128</v>
      </c>
      <c r="Q184" s="235">
        <f>'Médias por UF'!BG162*'Evolução das Receitas'!$V$218</f>
        <v>3336.7491957774869</v>
      </c>
      <c r="R184" s="235">
        <f>'Médias por UF'!BH162*'Evolução das Receitas'!$V$218</f>
        <v>5617.4520233824505</v>
      </c>
      <c r="S184" s="235">
        <f>'Médias por UF'!BI162*'Evolução das Receitas'!$V$218</f>
        <v>8432.7168537225625</v>
      </c>
      <c r="T184" s="235">
        <f>'Médias por UF'!BJ162*'Evolução das Receitas'!$V$218</f>
        <v>10421.729488371488</v>
      </c>
      <c r="U184" s="235">
        <f>'Médias por UF'!BK162*'Evolução das Receitas'!$V$218</f>
        <v>12445.574119242759</v>
      </c>
      <c r="V184" s="235">
        <f>'Médias por UF'!BL162*'Evolução das Receitas'!$V$218</f>
        <v>14663.792049037114</v>
      </c>
      <c r="W184" s="235">
        <f>'Médias por UF'!BM162*'Evolução das Receitas'!$V$218</f>
        <v>19432.944016682224</v>
      </c>
      <c r="X184" s="235">
        <f>'Médias por UF'!BN162*'Evolução das Receitas'!$V$218</f>
        <v>23609.705024656334</v>
      </c>
      <c r="Y184" s="235">
        <f>'Médias por UF'!BO162*'Evolução das Receitas'!$V$218</f>
        <v>27110.651115950899</v>
      </c>
      <c r="Z184" s="235">
        <f>'Médias por UF'!BP162*'Evolução das Receitas'!$V$218</f>
        <v>31059.358348530102</v>
      </c>
      <c r="AA184" s="235">
        <f>'Médias por UF'!BQ162*'Evolução das Receitas'!$V$218</f>
        <v>35620.722315889834</v>
      </c>
      <c r="AB184" s="235">
        <f>'Médias por UF'!BR162*'Evolução das Receitas'!$V$218</f>
        <v>39966</v>
      </c>
      <c r="AC184" s="235">
        <f t="shared" si="66"/>
        <v>39966</v>
      </c>
      <c r="AE184" s="237" t="s">
        <v>128</v>
      </c>
      <c r="AF184" s="235">
        <f>SUM(JAN!G14:N14)+SUM(JAN!X14:AG14)</f>
        <v>5616.768</v>
      </c>
      <c r="AG184" s="235">
        <f>SUM(FEV!G14:N14)+SUM(FEV!X14:AG14)+AF184</f>
        <v>9651.08</v>
      </c>
      <c r="AH184" s="235">
        <f>SUM(MAR!G14:N14)+SUM(MAR!X14:AG14)+AG184</f>
        <v>16884.527999999998</v>
      </c>
      <c r="AI184" s="235">
        <f>SUM(ABR!G14:N14)+SUM(ABR!X14:AG14)+AH184</f>
        <v>20611.847999999998</v>
      </c>
      <c r="AJ184" s="235">
        <f>SUM(MAI!G14:N14)+SUM(MAI!AB14:AK14)</f>
        <v>0</v>
      </c>
      <c r="AK184" s="235">
        <f>SUM(JUN!G14:N14)+SUM(JUN!X14:AG14)</f>
        <v>0</v>
      </c>
      <c r="AL184" s="235">
        <f>SUM(JUL!G14:N14)+SUM(JUL!X14:AG14)</f>
        <v>0</v>
      </c>
      <c r="AM184" s="235">
        <f>SUM(AGO!G14:N14)+SUM(AGO!X14:AG14)</f>
        <v>0</v>
      </c>
      <c r="AN184" s="235">
        <f>SUM(SET!G14:N14)+SUM(SET!X14:AG14)</f>
        <v>0</v>
      </c>
      <c r="AO184" s="235">
        <f>SUM(OUT!G14:N14)+SUM(OUT!X14:AG14)</f>
        <v>0</v>
      </c>
      <c r="AP184" s="235">
        <f>SUM(NOV!G14:N14)+SUM(NOV!X14:AG14)</f>
        <v>0</v>
      </c>
      <c r="AQ184" s="235">
        <f>SUM(DEZ!G14:N14)+SUM(DEZ!X14:AG14)</f>
        <v>0</v>
      </c>
      <c r="AR184" s="235">
        <f t="shared" si="67"/>
        <v>20611.847999999998</v>
      </c>
    </row>
    <row r="185" spans="1:44">
      <c r="A185" s="242" t="s">
        <v>129</v>
      </c>
      <c r="B185" s="235">
        <f>$G$219*'Médias por UF'!BG163</f>
        <v>12455.499135078891</v>
      </c>
      <c r="C185" s="235">
        <f>$G$219*'Médias por UF'!BH163</f>
        <v>24822.942497840755</v>
      </c>
      <c r="D185" s="235">
        <f>$G$219*'Médias por UF'!BI163</f>
        <v>38178.181143451016</v>
      </c>
      <c r="E185" s="235">
        <f>$G$219*'Médias por UF'!BJ163</f>
        <v>47169.883967473128</v>
      </c>
      <c r="F185" s="235">
        <f>$G$219*'Médias por UF'!BK163</f>
        <v>58668.081948666062</v>
      </c>
      <c r="G185" s="235">
        <f>$G$219*'Médias por UF'!BL163</f>
        <v>68798.020099814807</v>
      </c>
      <c r="H185" s="235">
        <f>$G$219*'Médias por UF'!BM163</f>
        <v>76793.601424797074</v>
      </c>
      <c r="I185" s="235">
        <f>$G$219*'Médias por UF'!BN163</f>
        <v>89564.831477871878</v>
      </c>
      <c r="J185" s="235">
        <f>$G$219*'Médias por UF'!BO163</f>
        <v>99634.269706986626</v>
      </c>
      <c r="K185" s="235">
        <f>$G$219*'Médias por UF'!BP163</f>
        <v>113797.65589373992</v>
      </c>
      <c r="L185" s="235">
        <f>$G$219*'Médias por UF'!BQ163</f>
        <v>130635.84237368015</v>
      </c>
      <c r="M185" s="235">
        <f>$G$219*'Médias por UF'!BR163</f>
        <v>143649.94708332894</v>
      </c>
      <c r="N185" s="235">
        <f t="shared" si="65"/>
        <v>143649.94708332894</v>
      </c>
      <c r="P185" s="237" t="s">
        <v>129</v>
      </c>
      <c r="Q185" s="235">
        <f>'Médias por UF'!BG163*'Evolução das Receitas'!$V$219</f>
        <v>11508.226464882562</v>
      </c>
      <c r="R185" s="235">
        <f>'Médias por UF'!BH163*'Evolução das Receitas'!$V$219</f>
        <v>22935.094024885071</v>
      </c>
      <c r="S185" s="235">
        <f>'Médias por UF'!BI163*'Evolução das Receitas'!$V$219</f>
        <v>35274.63250177975</v>
      </c>
      <c r="T185" s="235">
        <f>'Médias por UF'!BJ163*'Evolução das Receitas'!$V$219</f>
        <v>43582.493253208006</v>
      </c>
      <c r="U185" s="235">
        <f>'Médias por UF'!BK163*'Evolução das Receitas'!$V$219</f>
        <v>54206.223773404912</v>
      </c>
      <c r="V185" s="235">
        <f>'Médias por UF'!BL163*'Evolução das Receitas'!$V$219</f>
        <v>63565.7541346051</v>
      </c>
      <c r="W185" s="235">
        <f>'Médias por UF'!BM163*'Evolução das Receitas'!$V$219</f>
        <v>70953.250983056292</v>
      </c>
      <c r="X185" s="235">
        <f>'Médias por UF'!BN163*'Evolução das Receitas'!$V$219</f>
        <v>82753.196219451493</v>
      </c>
      <c r="Y185" s="235">
        <f>'Médias por UF'!BO163*'Evolução das Receitas'!$V$219</f>
        <v>92056.827832931973</v>
      </c>
      <c r="Z185" s="235">
        <f>'Médias por UF'!BP163*'Evolução das Receitas'!$V$219</f>
        <v>105143.05215674861</v>
      </c>
      <c r="AA185" s="235">
        <f>'Médias por UF'!BQ163*'Evolução das Receitas'!$V$219</f>
        <v>120700.65134788278</v>
      </c>
      <c r="AB185" s="235">
        <f>'Médias por UF'!BR163*'Evolução das Receitas'!$V$219</f>
        <v>132725</v>
      </c>
      <c r="AC185" s="235">
        <f t="shared" si="66"/>
        <v>132725</v>
      </c>
      <c r="AE185" s="237" t="s">
        <v>129</v>
      </c>
      <c r="AF185" s="235">
        <f>SUM(JAN!G15:N15)+SUM(JAN!X15:AG15)</f>
        <v>5264.3600000000006</v>
      </c>
      <c r="AG185" s="235">
        <f>SUM(FEV!G15:N15)+SUM(FEV!X15:AG15)+AF185</f>
        <v>15858.216000000002</v>
      </c>
      <c r="AH185" s="235">
        <f>SUM(MAR!G15:N15)+SUM(MAR!X15:AG15)+AG185</f>
        <v>22567.868000000002</v>
      </c>
      <c r="AI185" s="235">
        <f>SUM(ABR!G15:N15)+SUM(ABR!X15:AG15)+AH185</f>
        <v>27619.556000000004</v>
      </c>
      <c r="AJ185" s="235">
        <f>SUM(MAI!G15:N15)+SUM(MAI!AB15:AK15)</f>
        <v>0</v>
      </c>
      <c r="AK185" s="235">
        <f>SUM(JUN!G15:N15)+SUM(JUN!X15:AG15)</f>
        <v>0</v>
      </c>
      <c r="AL185" s="235">
        <f>SUM(JUL!G15:N15)+SUM(JUL!X15:AG15)</f>
        <v>0</v>
      </c>
      <c r="AM185" s="235">
        <f>SUM(AGO!G15:N15)+SUM(AGO!X15:AG15)</f>
        <v>0</v>
      </c>
      <c r="AN185" s="235">
        <f>SUM(SET!G15:N15)+SUM(SET!X15:AG15)</f>
        <v>0</v>
      </c>
      <c r="AO185" s="235">
        <f>SUM(OUT!G15:N15)+SUM(OUT!X15:AG15)</f>
        <v>0</v>
      </c>
      <c r="AP185" s="235">
        <f>SUM(NOV!G15:N15)+SUM(NOV!X15:AG15)</f>
        <v>0</v>
      </c>
      <c r="AQ185" s="235">
        <f>SUM(DEZ!G15:N15)+SUM(DEZ!X15:AG15)</f>
        <v>0</v>
      </c>
      <c r="AR185" s="235">
        <f t="shared" si="67"/>
        <v>27619.556000000004</v>
      </c>
    </row>
    <row r="186" spans="1:44">
      <c r="A186" s="242" t="s">
        <v>130</v>
      </c>
      <c r="B186" s="235">
        <f>$G$220*'Médias por UF'!BG164</f>
        <v>10180.673159198062</v>
      </c>
      <c r="C186" s="235">
        <f>$G$220*'Médias por UF'!BH164</f>
        <v>20930.360350579853</v>
      </c>
      <c r="D186" s="235">
        <f>$G$220*'Médias por UF'!BI164</f>
        <v>29215.764837906354</v>
      </c>
      <c r="E186" s="235">
        <f>$G$220*'Médias por UF'!BJ164</f>
        <v>40050.260907640004</v>
      </c>
      <c r="F186" s="235">
        <f>$G$220*'Médias por UF'!BK164</f>
        <v>50913.905654016911</v>
      </c>
      <c r="G186" s="235">
        <f>$G$220*'Médias por UF'!BL164</f>
        <v>67059.168125167766</v>
      </c>
      <c r="H186" s="235">
        <f>$G$220*'Médias por UF'!BM164</f>
        <v>77943.932025900111</v>
      </c>
      <c r="I186" s="235">
        <f>$G$220*'Médias por UF'!BN164</f>
        <v>91217.200186171685</v>
      </c>
      <c r="J186" s="235">
        <f>$G$220*'Médias por UF'!BO164</f>
        <v>103738.59359126129</v>
      </c>
      <c r="K186" s="235">
        <f>$G$220*'Médias por UF'!BP164</f>
        <v>117490.37761130309</v>
      </c>
      <c r="L186" s="235">
        <f>$G$220*'Médias por UF'!BQ164</f>
        <v>130617.62278496788</v>
      </c>
      <c r="M186" s="235">
        <f>$G$220*'Médias por UF'!BR164</f>
        <v>142764.30607567923</v>
      </c>
      <c r="N186" s="235">
        <f t="shared" si="65"/>
        <v>142764.30607567923</v>
      </c>
      <c r="P186" s="237" t="s">
        <v>130</v>
      </c>
      <c r="Q186" s="235">
        <f>'Médias por UF'!BG164*'Evolução das Receitas'!$V$220</f>
        <v>9234.2823331848176</v>
      </c>
      <c r="R186" s="235">
        <f>'Médias por UF'!BH164*'Evolução das Receitas'!$V$220</f>
        <v>18984.6834084767</v>
      </c>
      <c r="S186" s="235">
        <f>'Médias por UF'!BI164*'Evolução das Receitas'!$V$220</f>
        <v>26499.880398322512</v>
      </c>
      <c r="T186" s="235">
        <f>'Médias por UF'!BJ164*'Evolução das Receitas'!$V$220</f>
        <v>36327.206556545112</v>
      </c>
      <c r="U186" s="235">
        <f>'Médias por UF'!BK164*'Evolução das Receitas'!$V$220</f>
        <v>46180.971743459966</v>
      </c>
      <c r="V186" s="235">
        <f>'Médias por UF'!BL164*'Evolução das Receitas'!$V$220</f>
        <v>60825.377832391328</v>
      </c>
      <c r="W186" s="235">
        <f>'Médias por UF'!BM164*'Evolução das Receitas'!$V$220</f>
        <v>70698.298946513212</v>
      </c>
      <c r="X186" s="235">
        <f>'Médias por UF'!BN164*'Evolução das Receitas'!$V$220</f>
        <v>82737.69003189358</v>
      </c>
      <c r="Y186" s="235">
        <f>'Médias por UF'!BO164*'Evolução das Receitas'!$V$220</f>
        <v>94095.100303237952</v>
      </c>
      <c r="Z186" s="235">
        <f>'Médias por UF'!BP164*'Evolução das Receitas'!$V$220</f>
        <v>106568.52462796582</v>
      </c>
      <c r="AA186" s="235">
        <f>'Médias por UF'!BQ164*'Evolução das Receitas'!$V$220</f>
        <v>118475.46695830059</v>
      </c>
      <c r="AB186" s="235">
        <f>'Médias por UF'!BR164*'Evolução das Receitas'!$V$220</f>
        <v>129493</v>
      </c>
      <c r="AC186" s="235">
        <f t="shared" si="66"/>
        <v>129493</v>
      </c>
      <c r="AE186" s="237" t="s">
        <v>130</v>
      </c>
      <c r="AF186" s="235">
        <f>SUM(JAN!G16:N16)+SUM(JAN!X16:AG16)</f>
        <v>6872.7919999999995</v>
      </c>
      <c r="AG186" s="235">
        <f>SUM(FEV!G16:N16)+SUM(FEV!X16:AG16)+AF186</f>
        <v>16472.576000000001</v>
      </c>
      <c r="AH186" s="235">
        <f>SUM(MAR!G16:N16)+SUM(MAR!X16:AG16)+AG186</f>
        <v>24709.856</v>
      </c>
      <c r="AI186" s="235">
        <f>SUM(ABR!G16:N16)+SUM(ABR!X16:AG16)+AH186</f>
        <v>33873.360000000001</v>
      </c>
      <c r="AJ186" s="235">
        <f>SUM(MAI!G16:N16)+SUM(MAI!AB16:AK16)</f>
        <v>0</v>
      </c>
      <c r="AK186" s="235">
        <f>SUM(JUN!G16:N16)+SUM(JUN!X16:AG16)</f>
        <v>0</v>
      </c>
      <c r="AL186" s="235">
        <f>SUM(JUL!G16:N16)+SUM(JUL!X16:AG16)</f>
        <v>0</v>
      </c>
      <c r="AM186" s="235">
        <f>SUM(AGO!G16:N16)+SUM(AGO!X16:AG16)</f>
        <v>0</v>
      </c>
      <c r="AN186" s="235">
        <f>SUM(SET!G16:N16)+SUM(SET!X16:AG16)</f>
        <v>0</v>
      </c>
      <c r="AO186" s="235">
        <f>SUM(OUT!G16:N16)+SUM(OUT!X16:AG16)</f>
        <v>0</v>
      </c>
      <c r="AP186" s="235">
        <f>SUM(NOV!G16:N16)+SUM(NOV!X16:AG16)</f>
        <v>0</v>
      </c>
      <c r="AQ186" s="235">
        <f>SUM(DEZ!G16:N16)+SUM(DEZ!X16:AG16)</f>
        <v>0</v>
      </c>
      <c r="AR186" s="235">
        <f t="shared" si="67"/>
        <v>33873.360000000001</v>
      </c>
    </row>
    <row r="187" spans="1:44">
      <c r="A187" s="242" t="s">
        <v>131</v>
      </c>
      <c r="B187" s="235">
        <f>$G$221*'Médias por UF'!BG165</f>
        <v>48739.235644647488</v>
      </c>
      <c r="C187" s="235">
        <f>$G$221*'Médias por UF'!BH165</f>
        <v>82289.166255088989</v>
      </c>
      <c r="D187" s="235">
        <f>$G$221*'Médias por UF'!BI165</f>
        <v>119724.74741457935</v>
      </c>
      <c r="E187" s="235">
        <f>$G$221*'Médias por UF'!BJ165</f>
        <v>146459.43943015256</v>
      </c>
      <c r="F187" s="235">
        <f>$G$221*'Médias por UF'!BK165</f>
        <v>180304.80036321364</v>
      </c>
      <c r="G187" s="235">
        <f>$G$221*'Médias por UF'!BL165</f>
        <v>210746.97273731511</v>
      </c>
      <c r="H187" s="235">
        <f>$G$221*'Médias por UF'!BM165</f>
        <v>240927.32592197665</v>
      </c>
      <c r="I187" s="235">
        <f>$G$221*'Médias por UF'!BN165</f>
        <v>274839.56546949962</v>
      </c>
      <c r="J187" s="235">
        <f>$G$221*'Médias por UF'!BO165</f>
        <v>306147.49960172892</v>
      </c>
      <c r="K187" s="235">
        <f>$G$221*'Médias por UF'!BP165</f>
        <v>345248.35976297426</v>
      </c>
      <c r="L187" s="235">
        <f>$G$221*'Médias por UF'!BQ165</f>
        <v>389539.84797962906</v>
      </c>
      <c r="M187" s="235">
        <f>$G$221*'Médias por UF'!BR165</f>
        <v>425769.30358290905</v>
      </c>
      <c r="N187" s="235">
        <f t="shared" si="65"/>
        <v>425769.30358290905</v>
      </c>
      <c r="P187" s="237" t="s">
        <v>131</v>
      </c>
      <c r="Q187" s="235">
        <f>'Médias por UF'!BG165*'Evolução das Receitas'!$V$221</f>
        <v>41443.562884279345</v>
      </c>
      <c r="R187" s="235">
        <f>'Médias por UF'!BH165*'Evolução das Receitas'!$V$221</f>
        <v>69971.475573647447</v>
      </c>
      <c r="S187" s="235">
        <f>'Médias por UF'!BI165*'Evolução das Receitas'!$V$221</f>
        <v>101803.40402661782</v>
      </c>
      <c r="T187" s="235">
        <f>'Médias por UF'!BJ165*'Evolução das Receitas'!$V$221</f>
        <v>124536.23672463998</v>
      </c>
      <c r="U187" s="235">
        <f>'Médias por UF'!BK165*'Evolução das Receitas'!$V$221</f>
        <v>153315.35739852951</v>
      </c>
      <c r="V187" s="235">
        <f>'Médias por UF'!BL165*'Evolução das Receitas'!$V$221</f>
        <v>179200.70558738027</v>
      </c>
      <c r="W187" s="235">
        <f>'Médias por UF'!BM165*'Evolução das Receitas'!$V$221</f>
        <v>204863.42574568544</v>
      </c>
      <c r="X187" s="235">
        <f>'Médias por UF'!BN165*'Evolução das Receitas'!$V$221</f>
        <v>233699.41411615256</v>
      </c>
      <c r="Y187" s="235">
        <f>'Médias por UF'!BO165*'Evolução das Receitas'!$V$221</f>
        <v>260320.93002267901</v>
      </c>
      <c r="Z187" s="235">
        <f>'Médias por UF'!BP165*'Evolução das Receitas'!$V$221</f>
        <v>293568.86539730657</v>
      </c>
      <c r="AA187" s="235">
        <f>'Médias por UF'!BQ165*'Evolução das Receitas'!$V$221</f>
        <v>331230.45472809521</v>
      </c>
      <c r="AB187" s="235">
        <f>'Médias por UF'!BR165*'Evolução das Receitas'!$V$221</f>
        <v>362036.80000000005</v>
      </c>
      <c r="AC187" s="235">
        <f t="shared" si="66"/>
        <v>362036.80000000005</v>
      </c>
      <c r="AE187" s="237" t="s">
        <v>131</v>
      </c>
      <c r="AF187" s="235">
        <f>SUM(JAN!G17:N17)+SUM(JAN!X17:AG17)</f>
        <v>55195.556000000004</v>
      </c>
      <c r="AG187" s="235">
        <f>SUM(FEV!G17:N17)+SUM(FEV!X17:AG17)+AF187</f>
        <v>101046.788</v>
      </c>
      <c r="AH187" s="235">
        <f>SUM(MAR!G17:N17)+SUM(MAR!X17:AG17)+AG187</f>
        <v>133932.28399999999</v>
      </c>
      <c r="AI187" s="235">
        <f>SUM(ABR!G17:N17)+SUM(ABR!X17:AG17)+AH187</f>
        <v>173052.75799999997</v>
      </c>
      <c r="AJ187" s="235">
        <f>SUM(MAI!G17:N17)+SUM(MAI!AB17:AK17)</f>
        <v>0</v>
      </c>
      <c r="AK187" s="235">
        <f>SUM(JUN!G17:N17)+SUM(JUN!X17:AG17)</f>
        <v>0</v>
      </c>
      <c r="AL187" s="235">
        <f>SUM(JUL!G17:N17)+SUM(JUL!X17:AG17)</f>
        <v>0</v>
      </c>
      <c r="AM187" s="235">
        <f>SUM(AGO!G17:N17)+SUM(AGO!X17:AG17)</f>
        <v>0</v>
      </c>
      <c r="AN187" s="235">
        <f>SUM(SET!G17:N17)+SUM(SET!X17:AG17)</f>
        <v>0</v>
      </c>
      <c r="AO187" s="235">
        <f>SUM(OUT!G17:N17)+SUM(OUT!X17:AG17)</f>
        <v>0</v>
      </c>
      <c r="AP187" s="235">
        <f>SUM(NOV!G17:N17)+SUM(NOV!X17:AG17)</f>
        <v>0</v>
      </c>
      <c r="AQ187" s="235">
        <f>SUM(DEZ!G17:N17)+SUM(DEZ!X17:AG17)</f>
        <v>0</v>
      </c>
      <c r="AR187" s="235">
        <f t="shared" si="67"/>
        <v>173052.75799999997</v>
      </c>
    </row>
    <row r="188" spans="1:44">
      <c r="A188" s="242" t="s">
        <v>132</v>
      </c>
      <c r="B188" s="235">
        <f>$G$222*'Médias por UF'!BG166</f>
        <v>8339.0484908376566</v>
      </c>
      <c r="C188" s="235">
        <f>$G$222*'Médias por UF'!BH166</f>
        <v>15461.331077877479</v>
      </c>
      <c r="D188" s="235">
        <f>$G$222*'Médias por UF'!BI166</f>
        <v>21648.40148605248</v>
      </c>
      <c r="E188" s="235">
        <f>$G$222*'Médias por UF'!BJ166</f>
        <v>26318.348625387756</v>
      </c>
      <c r="F188" s="235">
        <f>$G$222*'Médias por UF'!BK166</f>
        <v>32346.577600386667</v>
      </c>
      <c r="G188" s="235">
        <f>$G$222*'Médias por UF'!BL166</f>
        <v>37935.708430204504</v>
      </c>
      <c r="H188" s="235">
        <f>$G$222*'Médias por UF'!BM166</f>
        <v>43696.164972988692</v>
      </c>
      <c r="I188" s="235">
        <f>$G$222*'Médias por UF'!BN166</f>
        <v>49927.767902257452</v>
      </c>
      <c r="J188" s="235">
        <f>$G$222*'Médias por UF'!BO166</f>
        <v>57418.08954574143</v>
      </c>
      <c r="K188" s="235">
        <f>$G$222*'Médias por UF'!BP166</f>
        <v>64351.197145581616</v>
      </c>
      <c r="L188" s="235">
        <f>$G$222*'Médias por UF'!BQ166</f>
        <v>73663.114836356792</v>
      </c>
      <c r="M188" s="235">
        <f>$G$222*'Médias por UF'!BR166</f>
        <v>80089.879449208631</v>
      </c>
      <c r="N188" s="235">
        <f t="shared" si="65"/>
        <v>80089.879449208631</v>
      </c>
      <c r="P188" s="237" t="s">
        <v>132</v>
      </c>
      <c r="Q188" s="235">
        <f>'Médias por UF'!BG166*'Evolução das Receitas'!$V$222</f>
        <v>6976.2196144763284</v>
      </c>
      <c r="R188" s="235">
        <f>'Médias por UF'!BH166*'Evolução das Receitas'!$V$222</f>
        <v>12934.526193235581</v>
      </c>
      <c r="S188" s="235">
        <f>'Médias por UF'!BI166*'Evolução das Receitas'!$V$222</f>
        <v>18110.459872609212</v>
      </c>
      <c r="T188" s="235">
        <f>'Médias por UF'!BJ166*'Evolução das Receitas'!$V$222</f>
        <v>22017.209769530109</v>
      </c>
      <c r="U188" s="235">
        <f>'Médias por UF'!BK166*'Evolução das Receitas'!$V$222</f>
        <v>27060.2610555549</v>
      </c>
      <c r="V188" s="235">
        <f>'Médias por UF'!BL166*'Evolução das Receitas'!$V$222</f>
        <v>31735.974857398127</v>
      </c>
      <c r="W188" s="235">
        <f>'Médias por UF'!BM166*'Evolução das Receitas'!$V$222</f>
        <v>36555.015059198515</v>
      </c>
      <c r="X188" s="235">
        <f>'Médias por UF'!BN166*'Evolução das Receitas'!$V$222</f>
        <v>41768.203426259563</v>
      </c>
      <c r="Y188" s="235">
        <f>'Médias por UF'!BO166*'Evolução das Receitas'!$V$222</f>
        <v>48034.401401414951</v>
      </c>
      <c r="Z188" s="235">
        <f>'Médias por UF'!BP166*'Evolução das Receitas'!$V$222</f>
        <v>53834.449366170411</v>
      </c>
      <c r="AA188" s="235">
        <f>'Médias por UF'!BQ166*'Evolução das Receitas'!$V$222</f>
        <v>61624.544712677911</v>
      </c>
      <c r="AB188" s="235">
        <f>'Médias por UF'!BR166*'Evolução das Receitas'!$V$222</f>
        <v>67001</v>
      </c>
      <c r="AC188" s="235">
        <f t="shared" si="66"/>
        <v>67001</v>
      </c>
      <c r="AE188" s="237" t="s">
        <v>132</v>
      </c>
      <c r="AF188" s="235">
        <f>SUM(JAN!G18:N18)+SUM(JAN!X18:AG18)</f>
        <v>7292.88</v>
      </c>
      <c r="AG188" s="235">
        <f>SUM(FEV!G18:N18)+SUM(FEV!X18:AG18)+AF188</f>
        <v>16655.968000000001</v>
      </c>
      <c r="AH188" s="235">
        <f>SUM(MAR!G18:N18)+SUM(MAR!X18:AG18)+AG188</f>
        <v>23442.632000000001</v>
      </c>
      <c r="AI188" s="235">
        <f>SUM(ABR!G18:N18)+SUM(ABR!X18:AG18)+AH188</f>
        <v>31464.928</v>
      </c>
      <c r="AJ188" s="235">
        <f>SUM(MAI!G18:N18)+SUM(MAI!AB18:AK18)</f>
        <v>0</v>
      </c>
      <c r="AK188" s="235">
        <f>SUM(JUN!G18:N18)+SUM(JUN!X18:AG18)</f>
        <v>0</v>
      </c>
      <c r="AL188" s="235">
        <f>SUM(JUL!G18:N18)+SUM(JUL!X18:AG18)</f>
        <v>0</v>
      </c>
      <c r="AM188" s="235">
        <f>SUM(AGO!G18:N18)+SUM(AGO!X18:AG18)</f>
        <v>0</v>
      </c>
      <c r="AN188" s="235">
        <f>SUM(SET!G18:N18)+SUM(SET!X18:AG18)</f>
        <v>0</v>
      </c>
      <c r="AO188" s="235">
        <f>SUM(OUT!G18:N18)+SUM(OUT!X18:AG18)</f>
        <v>0</v>
      </c>
      <c r="AP188" s="235">
        <f>SUM(NOV!G18:N18)+SUM(NOV!X18:AG18)</f>
        <v>0</v>
      </c>
      <c r="AQ188" s="235">
        <f>SUM(DEZ!G18:N18)+SUM(DEZ!X18:AG18)</f>
        <v>0</v>
      </c>
      <c r="AR188" s="235">
        <f t="shared" si="67"/>
        <v>31464.928</v>
      </c>
    </row>
    <row r="189" spans="1:44">
      <c r="A189" s="242" t="s">
        <v>133</v>
      </c>
      <c r="B189" s="235">
        <f>$G$223*'Médias por UF'!BG167</f>
        <v>6271.9361670476246</v>
      </c>
      <c r="C189" s="235">
        <f>$G$223*'Médias por UF'!BH167</f>
        <v>11621.56384317326</v>
      </c>
      <c r="D189" s="235">
        <f>$G$223*'Médias por UF'!BI167</f>
        <v>18453.823584260641</v>
      </c>
      <c r="E189" s="235">
        <f>$G$223*'Médias por UF'!BJ167</f>
        <v>26286.332030062091</v>
      </c>
      <c r="F189" s="235">
        <f>$G$223*'Médias por UF'!BK167</f>
        <v>31479.386637795145</v>
      </c>
      <c r="G189" s="235">
        <f>$G$223*'Médias por UF'!BL167</f>
        <v>38968.553813155282</v>
      </c>
      <c r="H189" s="235">
        <f>$G$223*'Médias por UF'!BM167</f>
        <v>44569.829019251018</v>
      </c>
      <c r="I189" s="235">
        <f>$G$223*'Médias por UF'!BN167</f>
        <v>51555.578353129647</v>
      </c>
      <c r="J189" s="235">
        <f>$G$223*'Médias por UF'!BO167</f>
        <v>57452.544083343222</v>
      </c>
      <c r="K189" s="235">
        <f>$G$223*'Médias por UF'!BP167</f>
        <v>64474.558272904047</v>
      </c>
      <c r="L189" s="235">
        <f>$G$223*'Médias por UF'!BQ167</f>
        <v>71362.939608053144</v>
      </c>
      <c r="M189" s="235">
        <f>$G$223*'Médias por UF'!BR167</f>
        <v>78432.371733313834</v>
      </c>
      <c r="N189" s="235">
        <f t="shared" si="65"/>
        <v>78432.371733313834</v>
      </c>
      <c r="P189" s="237" t="s">
        <v>133</v>
      </c>
      <c r="Q189" s="235">
        <f>'Médias por UF'!BG167*'Evolução das Receitas'!$V$223</f>
        <v>5462.8887254453466</v>
      </c>
      <c r="R189" s="235">
        <f>'Médias por UF'!BH167*'Evolução das Receitas'!$V$223</f>
        <v>10122.44200195675</v>
      </c>
      <c r="S189" s="235">
        <f>'Médias por UF'!BI167*'Evolução das Receitas'!$V$223</f>
        <v>16073.3754481544</v>
      </c>
      <c r="T189" s="235">
        <f>'Médias por UF'!BJ167*'Evolução das Receitas'!$V$223</f>
        <v>22895.530671182725</v>
      </c>
      <c r="U189" s="235">
        <f>'Médias por UF'!BK167*'Evolução das Receitas'!$V$223</f>
        <v>27418.707998186837</v>
      </c>
      <c r="V189" s="235">
        <f>'Médias por UF'!BL167*'Evolução das Receitas'!$V$223</f>
        <v>33941.811205168124</v>
      </c>
      <c r="W189" s="235">
        <f>'Médias por UF'!BM167*'Evolução das Receitas'!$V$223</f>
        <v>38820.55077721017</v>
      </c>
      <c r="X189" s="235">
        <f>'Médias por UF'!BN167*'Evolução das Receitas'!$V$223</f>
        <v>44905.17444977491</v>
      </c>
      <c r="Y189" s="235">
        <f>'Médias por UF'!BO167*'Evolução das Receitas'!$V$223</f>
        <v>50041.461992236545</v>
      </c>
      <c r="Z189" s="235">
        <f>'Médias por UF'!BP167*'Evolução das Receitas'!$V$223</f>
        <v>56157.672541000218</v>
      </c>
      <c r="AA189" s="235">
        <f>'Médias por UF'!BQ167*'Evolução das Receitas'!$V$223</f>
        <v>62157.48818486189</v>
      </c>
      <c r="AB189" s="235">
        <f>'Médias por UF'!BR167*'Evolução das Receitas'!$V$223</f>
        <v>68315</v>
      </c>
      <c r="AC189" s="235">
        <f t="shared" si="66"/>
        <v>68315</v>
      </c>
      <c r="AE189" s="237" t="s">
        <v>133</v>
      </c>
      <c r="AF189" s="235">
        <f>SUM(JAN!G19:N19)+SUM(JAN!X19:AG19)</f>
        <v>7921.0959999999995</v>
      </c>
      <c r="AG189" s="235">
        <f>SUM(FEV!G19:N19)+SUM(FEV!X19:AG19)+AF189</f>
        <v>14127.743999999999</v>
      </c>
      <c r="AH189" s="235">
        <f>SUM(MAR!G19:N19)+SUM(MAR!X19:AG19)+AG189</f>
        <v>20953.504000000001</v>
      </c>
      <c r="AI189" s="235">
        <f>SUM(ABR!G19:N19)+SUM(ABR!X19:AG19)+AH189</f>
        <v>24756.072</v>
      </c>
      <c r="AJ189" s="235">
        <f>SUM(MAI!G19:N19)+SUM(MAI!AB19:AK19)</f>
        <v>0</v>
      </c>
      <c r="AK189" s="235">
        <f>SUM(JUN!G19:N19)+SUM(JUN!X19:AG19)</f>
        <v>0</v>
      </c>
      <c r="AL189" s="235">
        <f>SUM(JUL!G19:N19)+SUM(JUL!X19:AG19)</f>
        <v>0</v>
      </c>
      <c r="AM189" s="235">
        <f>SUM(AGO!G19:N19)+SUM(AGO!X19:AG19)</f>
        <v>0</v>
      </c>
      <c r="AN189" s="235">
        <f>SUM(SET!G19:N19)+SUM(SET!X19:AG19)</f>
        <v>0</v>
      </c>
      <c r="AO189" s="235">
        <f>SUM(OUT!G19:N19)+SUM(OUT!X19:AG19)</f>
        <v>0</v>
      </c>
      <c r="AP189" s="235">
        <f>SUM(NOV!G19:N19)+SUM(NOV!X19:AG19)</f>
        <v>0</v>
      </c>
      <c r="AQ189" s="235">
        <f>SUM(DEZ!G19:N19)+SUM(DEZ!X19:AG19)</f>
        <v>0</v>
      </c>
      <c r="AR189" s="235">
        <f t="shared" si="67"/>
        <v>24756.072</v>
      </c>
    </row>
    <row r="190" spans="1:44">
      <c r="A190" s="242" t="s">
        <v>134</v>
      </c>
      <c r="B190" s="235">
        <f>$G$224*'Médias por UF'!BG168</f>
        <v>43740.143204110143</v>
      </c>
      <c r="C190" s="235">
        <f>$G$224*'Médias por UF'!BH168</f>
        <v>85038.070948620094</v>
      </c>
      <c r="D190" s="235">
        <f>$G$224*'Médias por UF'!BI168</f>
        <v>120439.90141766485</v>
      </c>
      <c r="E190" s="235">
        <f>$G$224*'Médias por UF'!BJ168</f>
        <v>158477.8749680304</v>
      </c>
      <c r="F190" s="235">
        <f>$G$224*'Médias por UF'!BK168</f>
        <v>187226.72431797409</v>
      </c>
      <c r="G190" s="235">
        <f>$G$224*'Médias por UF'!BL168</f>
        <v>222217.09850159971</v>
      </c>
      <c r="H190" s="235">
        <f>$G$224*'Médias por UF'!BM168</f>
        <v>259123.25326580467</v>
      </c>
      <c r="I190" s="235">
        <f>$G$224*'Médias por UF'!BN168</f>
        <v>300775.40839689103</v>
      </c>
      <c r="J190" s="235">
        <f>$G$224*'Médias por UF'!BO168</f>
        <v>335347.95612306765</v>
      </c>
      <c r="K190" s="235">
        <f>$G$224*'Médias por UF'!BP168</f>
        <v>383202.19329033198</v>
      </c>
      <c r="L190" s="235">
        <f>$G$224*'Médias por UF'!BQ168</f>
        <v>430861.14222439111</v>
      </c>
      <c r="M190" s="235">
        <f>$G$224*'Médias por UF'!BR168</f>
        <v>484595.29265714326</v>
      </c>
      <c r="N190" s="235">
        <f t="shared" si="65"/>
        <v>484595.29265714326</v>
      </c>
      <c r="P190" s="237" t="s">
        <v>134</v>
      </c>
      <c r="Q190" s="235">
        <f>'Médias por UF'!BG168*'Evolução das Receitas'!$V$224</f>
        <v>39741.817273716348</v>
      </c>
      <c r="R190" s="235">
        <f>'Médias por UF'!BH168*'Evolução das Receitas'!$V$224</f>
        <v>77264.66420511897</v>
      </c>
      <c r="S190" s="235">
        <f>'Médias por UF'!BI168*'Evolução das Receitas'!$V$224</f>
        <v>109430.38142946622</v>
      </c>
      <c r="T190" s="235">
        <f>'Médias por UF'!BJ168*'Evolução das Receitas'!$V$224</f>
        <v>143991.26951908346</v>
      </c>
      <c r="U190" s="235">
        <f>'Médias por UF'!BK168*'Evolução das Receitas'!$V$224</f>
        <v>170112.16062736179</v>
      </c>
      <c r="V190" s="235">
        <f>'Médias por UF'!BL168*'Evolução das Receitas'!$V$224</f>
        <v>201904.03315634662</v>
      </c>
      <c r="W190" s="235">
        <f>'Médias por UF'!BM168*'Evolução das Receitas'!$V$224</f>
        <v>235436.56303559736</v>
      </c>
      <c r="X190" s="235">
        <f>'Médias por UF'!BN168*'Evolução das Receitas'!$V$224</f>
        <v>273281.25710876571</v>
      </c>
      <c r="Y190" s="235">
        <f>'Médias por UF'!BO168*'Evolução das Receitas'!$V$224</f>
        <v>304693.49707352737</v>
      </c>
      <c r="Z190" s="235">
        <f>'Médias por UF'!BP168*'Evolução das Receitas'!$V$224</f>
        <v>348173.33527158335</v>
      </c>
      <c r="AA190" s="235">
        <f>'Médias por UF'!BQ168*'Evolução das Receitas'!$V$224</f>
        <v>391475.73670992104</v>
      </c>
      <c r="AB190" s="235">
        <f>'Médias por UF'!BR168*'Evolução das Receitas'!$V$224</f>
        <v>440298</v>
      </c>
      <c r="AC190" s="235">
        <f t="shared" si="66"/>
        <v>440298</v>
      </c>
      <c r="AE190" s="237" t="s">
        <v>134</v>
      </c>
      <c r="AF190" s="235">
        <f>SUM(JAN!G20:N20)+SUM(JAN!X20:AG20)</f>
        <v>30751.839999999997</v>
      </c>
      <c r="AG190" s="235">
        <f>SUM(FEV!G20:N20)+SUM(FEV!X20:AG20)+AF190</f>
        <v>58245.375999999997</v>
      </c>
      <c r="AH190" s="235">
        <f>SUM(MAR!G20:N20)+SUM(MAR!X20:AG20)+AG190</f>
        <v>78719.543999999994</v>
      </c>
      <c r="AI190" s="235">
        <f>SUM(ABR!G20:N20)+SUM(ABR!X20:AG20)+AH190</f>
        <v>104281.56</v>
      </c>
      <c r="AJ190" s="235">
        <f>SUM(MAI!G20:N20)+SUM(MAI!AB20:AK20)</f>
        <v>0</v>
      </c>
      <c r="AK190" s="235">
        <f>SUM(JUN!G20:N20)+SUM(JUN!X20:AG20)</f>
        <v>0</v>
      </c>
      <c r="AL190" s="235">
        <f>SUM(JUL!G20:N20)+SUM(JUL!X20:AG20)</f>
        <v>0</v>
      </c>
      <c r="AM190" s="235">
        <f>SUM(AGO!G20:N20)+SUM(AGO!X20:AG20)</f>
        <v>0</v>
      </c>
      <c r="AN190" s="235">
        <f>SUM(SET!G20:N20)+SUM(SET!X20:AG20)</f>
        <v>0</v>
      </c>
      <c r="AO190" s="235">
        <f>SUM(OUT!G20:N20)+SUM(OUT!X20:AG20)</f>
        <v>0</v>
      </c>
      <c r="AP190" s="235">
        <f>SUM(NOV!G20:N20)+SUM(NOV!X20:AG20)</f>
        <v>0</v>
      </c>
      <c r="AQ190" s="235">
        <f>SUM(DEZ!G20:N20)+SUM(DEZ!X20:AG20)</f>
        <v>0</v>
      </c>
      <c r="AR190" s="235">
        <f t="shared" si="67"/>
        <v>104281.56</v>
      </c>
    </row>
    <row r="191" spans="1:44">
      <c r="A191" s="242" t="s">
        <v>135</v>
      </c>
      <c r="B191" s="235">
        <f>$G$225*'Médias por UF'!BG169</f>
        <v>15166.87713079346</v>
      </c>
      <c r="C191" s="235">
        <f>$G$225*'Médias por UF'!BH169</f>
        <v>27364.391382747952</v>
      </c>
      <c r="D191" s="235">
        <f>$G$225*'Médias por UF'!BI169</f>
        <v>39936.87292346816</v>
      </c>
      <c r="E191" s="235">
        <f>$G$225*'Médias por UF'!BJ169</f>
        <v>50845.553622492138</v>
      </c>
      <c r="F191" s="235">
        <f>$G$225*'Médias por UF'!BK169</f>
        <v>62352.001184613284</v>
      </c>
      <c r="G191" s="235">
        <f>$G$225*'Médias por UF'!BL169</f>
        <v>72405.675141418673</v>
      </c>
      <c r="H191" s="235">
        <f>$G$225*'Médias por UF'!BM169</f>
        <v>83195.186566574164</v>
      </c>
      <c r="I191" s="235">
        <f>$G$225*'Médias por UF'!BN169</f>
        <v>97563.755126760734</v>
      </c>
      <c r="J191" s="235">
        <f>$G$225*'Médias por UF'!BO169</f>
        <v>107237.31584571126</v>
      </c>
      <c r="K191" s="235">
        <f>$G$225*'Médias por UF'!BP169</f>
        <v>116957.4731959312</v>
      </c>
      <c r="L191" s="235">
        <f>$G$225*'Médias por UF'!BQ169</f>
        <v>128708.70868345648</v>
      </c>
      <c r="M191" s="235">
        <f>$G$225*'Médias por UF'!BR169</f>
        <v>142288.06677509737</v>
      </c>
      <c r="N191" s="235">
        <f t="shared" si="65"/>
        <v>142288.06677509737</v>
      </c>
      <c r="P191" s="237" t="s">
        <v>135</v>
      </c>
      <c r="Q191" s="235">
        <f>'Médias por UF'!BG169*'Evolução das Receitas'!$V$225</f>
        <v>13400.947830533063</v>
      </c>
      <c r="R191" s="235">
        <f>'Médias por UF'!BH169*'Evolução das Receitas'!$V$225</f>
        <v>24178.265451228675</v>
      </c>
      <c r="S191" s="235">
        <f>'Médias por UF'!BI169*'Evolução das Receitas'!$V$225</f>
        <v>35286.891688165641</v>
      </c>
      <c r="T191" s="235">
        <f>'Médias por UF'!BJ169*'Evolução das Receitas'!$V$225</f>
        <v>44925.438877999404</v>
      </c>
      <c r="U191" s="235">
        <f>'Médias por UF'!BK169*'Evolução das Receitas'!$V$225</f>
        <v>55092.152972470532</v>
      </c>
      <c r="V191" s="235">
        <f>'Médias por UF'!BL169*'Evolução das Receitas'!$V$225</f>
        <v>63975.244662242112</v>
      </c>
      <c r="W191" s="235">
        <f>'Médias por UF'!BM169*'Evolução das Receitas'!$V$225</f>
        <v>73508.497848020706</v>
      </c>
      <c r="X191" s="235">
        <f>'Médias por UF'!BN169*'Evolução das Receitas'!$V$225</f>
        <v>86204.086795830968</v>
      </c>
      <c r="Y191" s="235">
        <f>'Médias por UF'!BO169*'Evolução das Receitas'!$V$225</f>
        <v>94751.323080019691</v>
      </c>
      <c r="Z191" s="235">
        <f>'Médias por UF'!BP169*'Evolução das Receitas'!$V$225</f>
        <v>103339.73059671297</v>
      </c>
      <c r="AA191" s="235">
        <f>'Médias por UF'!BQ169*'Evolução das Receitas'!$V$225</f>
        <v>113722.73115474521</v>
      </c>
      <c r="AB191" s="235">
        <f>'Médias por UF'!BR169*'Evolução das Receitas'!$V$225</f>
        <v>125721</v>
      </c>
      <c r="AC191" s="235">
        <f t="shared" si="66"/>
        <v>125721</v>
      </c>
      <c r="AE191" s="237" t="s">
        <v>135</v>
      </c>
      <c r="AF191" s="235">
        <f>SUM(JAN!G21:N21)+SUM(JAN!X21:AG21)</f>
        <v>14924.672</v>
      </c>
      <c r="AG191" s="235">
        <f>SUM(FEV!G21:N21)+SUM(FEV!X21:AG21)+AF191</f>
        <v>33976.904000000002</v>
      </c>
      <c r="AH191" s="235">
        <f>SUM(MAR!G21:N21)+SUM(MAR!X21:AG21)+AG191</f>
        <v>46996.752</v>
      </c>
      <c r="AI191" s="235">
        <f>SUM(ABR!G21:N21)+SUM(ABR!X21:AG21)+AH191</f>
        <v>61881.528000000006</v>
      </c>
      <c r="AJ191" s="235">
        <f>SUM(MAI!G21:N21)+SUM(MAI!AB21:AK21)</f>
        <v>0</v>
      </c>
      <c r="AK191" s="235">
        <f>SUM(JUN!G21:N21)+SUM(JUN!X21:AG21)</f>
        <v>0</v>
      </c>
      <c r="AL191" s="235">
        <f>SUM(JUL!G21:N21)+SUM(JUL!X21:AG21)</f>
        <v>0</v>
      </c>
      <c r="AM191" s="235">
        <f>SUM(AGO!G21:N21)+SUM(AGO!X21:AG21)</f>
        <v>0</v>
      </c>
      <c r="AN191" s="235">
        <f>SUM(SET!G21:N21)+SUM(SET!X21:AG21)</f>
        <v>0</v>
      </c>
      <c r="AO191" s="235">
        <f>SUM(OUT!G21:N21)+SUM(OUT!X21:AG21)</f>
        <v>0</v>
      </c>
      <c r="AP191" s="235">
        <f>SUM(NOV!G21:N21)+SUM(NOV!X21:AG21)</f>
        <v>0</v>
      </c>
      <c r="AQ191" s="235">
        <f>SUM(DEZ!G21:N21)+SUM(DEZ!X21:AG21)</f>
        <v>0</v>
      </c>
      <c r="AR191" s="235">
        <f t="shared" si="67"/>
        <v>61881.528000000006</v>
      </c>
    </row>
    <row r="192" spans="1:44">
      <c r="A192" s="242" t="s">
        <v>136</v>
      </c>
      <c r="B192" s="235">
        <f>$G$226*'Médias por UF'!BG170</f>
        <v>4247.5767948457369</v>
      </c>
      <c r="C192" s="235">
        <f>$G$226*'Médias por UF'!BH170</f>
        <v>8842.1664048564107</v>
      </c>
      <c r="D192" s="235">
        <f>$G$226*'Médias por UF'!BI170</f>
        <v>11908.231894912222</v>
      </c>
      <c r="E192" s="235">
        <f>$G$226*'Médias por UF'!BJ170</f>
        <v>14112.472869449222</v>
      </c>
      <c r="F192" s="235">
        <f>$G$226*'Médias por UF'!BK170</f>
        <v>17583.740582541843</v>
      </c>
      <c r="G192" s="235">
        <f>$G$226*'Médias por UF'!BL170</f>
        <v>20938.301822691759</v>
      </c>
      <c r="H192" s="235">
        <f>$G$226*'Médias por UF'!BM170</f>
        <v>23759.961628433899</v>
      </c>
      <c r="I192" s="235">
        <f>$G$226*'Médias por UF'!BN170</f>
        <v>27444.973907836655</v>
      </c>
      <c r="J192" s="235">
        <f>$G$226*'Médias por UF'!BO170</f>
        <v>30433.863806345889</v>
      </c>
      <c r="K192" s="235">
        <f>$G$226*'Médias por UF'!BP170</f>
        <v>32895.48253127504</v>
      </c>
      <c r="L192" s="235">
        <f>$G$226*'Médias por UF'!BQ170</f>
        <v>35913.17251307104</v>
      </c>
      <c r="M192" s="235">
        <f>$G$226*'Médias por UF'!BR170</f>
        <v>39059.435092816355</v>
      </c>
      <c r="N192" s="235">
        <f t="shared" si="65"/>
        <v>39059.435092816355</v>
      </c>
      <c r="P192" s="237" t="s">
        <v>136</v>
      </c>
      <c r="Q192" s="235">
        <f>'Médias por UF'!BG170*'Evolução das Receitas'!$V$226</f>
        <v>3856.2595788725748</v>
      </c>
      <c r="R192" s="235">
        <f>'Médias por UF'!BH170*'Evolução das Receitas'!$V$226</f>
        <v>8027.5626653975942</v>
      </c>
      <c r="S192" s="235">
        <f>'Médias por UF'!BI170*'Evolução das Receitas'!$V$226</f>
        <v>10811.160228560137</v>
      </c>
      <c r="T192" s="235">
        <f>'Médias por UF'!BJ170*'Evolução das Receitas'!$V$226</f>
        <v>12812.330727117407</v>
      </c>
      <c r="U192" s="235">
        <f>'Médias por UF'!BK170*'Evolução das Receitas'!$V$226</f>
        <v>15963.800380517907</v>
      </c>
      <c r="V192" s="235">
        <f>'Médias por UF'!BL170*'Evolução das Receitas'!$V$226</f>
        <v>19009.315397677849</v>
      </c>
      <c r="W192" s="235">
        <f>'Médias por UF'!BM170*'Evolução das Receitas'!$V$226</f>
        <v>21571.023679778031</v>
      </c>
      <c r="X192" s="235">
        <f>'Médias por UF'!BN170*'Evolução das Receitas'!$V$226</f>
        <v>24916.546218170657</v>
      </c>
      <c r="Y192" s="235">
        <f>'Médias por UF'!BO170*'Evolução das Receitas'!$V$226</f>
        <v>27630.078158383716</v>
      </c>
      <c r="Z192" s="235">
        <f>'Médias por UF'!BP170*'Evolução das Receitas'!$V$226</f>
        <v>29864.914924386176</v>
      </c>
      <c r="AA192" s="235">
        <f>'Médias por UF'!BQ170*'Evolução das Receitas'!$V$226</f>
        <v>32604.593677808516</v>
      </c>
      <c r="AB192" s="235">
        <f>'Médias por UF'!BR170*'Evolução das Receitas'!$V$226</f>
        <v>35461</v>
      </c>
      <c r="AC192" s="235">
        <f t="shared" si="66"/>
        <v>35461</v>
      </c>
      <c r="AE192" s="237" t="s">
        <v>136</v>
      </c>
      <c r="AF192" s="235">
        <f>SUM(JAN!G22:N22)+SUM(JAN!X22:AG22)</f>
        <v>3190.6000000000004</v>
      </c>
      <c r="AG192" s="235">
        <f>SUM(FEV!G22:N22)+SUM(FEV!X22:AG22)+AF192</f>
        <v>7105.496000000001</v>
      </c>
      <c r="AH192" s="235">
        <f>SUM(MAR!G22:N22)+SUM(MAR!X22:AG22)+AG192</f>
        <v>10157.602000000001</v>
      </c>
      <c r="AI192" s="235">
        <f>SUM(ABR!G22:N22)+SUM(ABR!X22:AG22)+AH192</f>
        <v>18560.546000000002</v>
      </c>
      <c r="AJ192" s="235">
        <f>SUM(MAI!G22:N22)+SUM(MAI!AB22:AK22)</f>
        <v>0</v>
      </c>
      <c r="AK192" s="235">
        <f>SUM(JUN!G22:N22)+SUM(JUN!X22:AG22)</f>
        <v>0</v>
      </c>
      <c r="AL192" s="235">
        <f>SUM(JUL!G22:N22)+SUM(JUL!X22:AG22)</f>
        <v>0</v>
      </c>
      <c r="AM192" s="235">
        <f>SUM(AGO!G22:N22)+SUM(AGO!X22:AG22)</f>
        <v>0</v>
      </c>
      <c r="AN192" s="235">
        <f>SUM(SET!G22:N22)+SUM(SET!X22:AG22)</f>
        <v>0</v>
      </c>
      <c r="AO192" s="235">
        <f>SUM(OUT!G22:N22)+SUM(OUT!X22:AG22)</f>
        <v>0</v>
      </c>
      <c r="AP192" s="235">
        <f>SUM(NOV!G22:N22)+SUM(NOV!X22:AG22)</f>
        <v>0</v>
      </c>
      <c r="AQ192" s="235">
        <f>SUM(DEZ!G22:N22)+SUM(DEZ!X22:AG22)</f>
        <v>0</v>
      </c>
      <c r="AR192" s="235">
        <f t="shared" si="67"/>
        <v>18560.546000000002</v>
      </c>
    </row>
    <row r="193" spans="1:45">
      <c r="A193" s="242" t="s">
        <v>137</v>
      </c>
      <c r="B193" s="235">
        <f>$G$227*'Médias por UF'!BG171</f>
        <v>46986.62425207279</v>
      </c>
      <c r="C193" s="235">
        <f>$G$227*'Médias por UF'!BH171</f>
        <v>86380.558787126356</v>
      </c>
      <c r="D193" s="235">
        <f>$G$227*'Médias por UF'!BI171</f>
        <v>118623.11104279436</v>
      </c>
      <c r="E193" s="235">
        <f>$G$227*'Médias por UF'!BJ171</f>
        <v>157459.16574903639</v>
      </c>
      <c r="F193" s="235">
        <f>$G$227*'Médias por UF'!BK171</f>
        <v>198045.60368021217</v>
      </c>
      <c r="G193" s="235">
        <f>$G$227*'Médias por UF'!BL171</f>
        <v>241994.30483892703</v>
      </c>
      <c r="H193" s="235">
        <f>$G$227*'Médias por UF'!BM171</f>
        <v>285388.76248935424</v>
      </c>
      <c r="I193" s="235">
        <f>$G$227*'Médias por UF'!BN171</f>
        <v>344523.49269222218</v>
      </c>
      <c r="J193" s="235">
        <f>$G$227*'Médias por UF'!BO171</f>
        <v>389519.23078749503</v>
      </c>
      <c r="K193" s="235">
        <f>$G$227*'Médias por UF'!BP171</f>
        <v>447495.1370671402</v>
      </c>
      <c r="L193" s="235">
        <f>$G$227*'Médias por UF'!BQ171</f>
        <v>494967.56207021908</v>
      </c>
      <c r="M193" s="235">
        <f>$G$227*'Médias por UF'!BR171</f>
        <v>548474.59426024347</v>
      </c>
      <c r="N193" s="235">
        <f t="shared" si="65"/>
        <v>548474.59426024347</v>
      </c>
      <c r="P193" s="237" t="s">
        <v>137</v>
      </c>
      <c r="Q193" s="235">
        <f>'Médias por UF'!BG171*'Evolução das Receitas'!$V$227</f>
        <v>39321.873253376543</v>
      </c>
      <c r="R193" s="235">
        <f>'Médias por UF'!BH171*'Evolução das Receitas'!$V$227</f>
        <v>72289.623658873141</v>
      </c>
      <c r="S193" s="235">
        <f>'Médias por UF'!BI171*'Evolução das Receitas'!$V$227</f>
        <v>99272.569834386435</v>
      </c>
      <c r="T193" s="235">
        <f>'Médias por UF'!BJ171*'Evolução das Receitas'!$V$227</f>
        <v>131773.44524581119</v>
      </c>
      <c r="U193" s="235">
        <f>'Médias por UF'!BK171*'Evolução das Receitas'!$V$227</f>
        <v>165739.1704610106</v>
      </c>
      <c r="V193" s="235">
        <f>'Médias por UF'!BL171*'Evolução das Receitas'!$V$227</f>
        <v>202518.6855702977</v>
      </c>
      <c r="W193" s="235">
        <f>'Médias por UF'!BM171*'Evolução das Receitas'!$V$227</f>
        <v>238834.36882676915</v>
      </c>
      <c r="X193" s="235">
        <f>'Médias por UF'!BN171*'Evolução das Receitas'!$V$227</f>
        <v>288322.67327348015</v>
      </c>
      <c r="Y193" s="235">
        <f>'Médias por UF'!BO171*'Evolução das Receitas'!$V$227</f>
        <v>325978.42612843</v>
      </c>
      <c r="Z193" s="235">
        <f>'Médias por UF'!BP171*'Evolução das Receitas'!$V$227</f>
        <v>374496.94123280619</v>
      </c>
      <c r="AA193" s="235">
        <f>'Médias por UF'!BQ171*'Evolução das Receitas'!$V$227</f>
        <v>414225.3683908637</v>
      </c>
      <c r="AB193" s="235">
        <f>'Médias por UF'!BR171*'Evolução das Receitas'!$V$227</f>
        <v>459004</v>
      </c>
      <c r="AC193" s="235">
        <f t="shared" si="66"/>
        <v>459004</v>
      </c>
      <c r="AE193" s="237" t="s">
        <v>137</v>
      </c>
      <c r="AF193" s="235">
        <f>SUM(JAN!G23:N23)+SUM(JAN!X23:AG23)</f>
        <v>55558.090000000004</v>
      </c>
      <c r="AG193" s="235">
        <f>SUM(FEV!G23:N23)+SUM(FEV!X23:AG23)+AF193</f>
        <v>109240.85400000002</v>
      </c>
      <c r="AH193" s="235">
        <f>SUM(MAR!G23:N23)+SUM(MAR!X23:AG23)+AG193</f>
        <v>151182.20800000001</v>
      </c>
      <c r="AI193" s="235">
        <f>SUM(ABR!G23:N23)+SUM(ABR!X23:AG23)+AH193</f>
        <v>191373.63200000001</v>
      </c>
      <c r="AJ193" s="235">
        <f>SUM(MAI!G23:N23)+SUM(MAI!AB23:AK23)</f>
        <v>0</v>
      </c>
      <c r="AK193" s="235">
        <f>SUM(JUN!G23:N23)+SUM(JUN!X23:AG23)</f>
        <v>0</v>
      </c>
      <c r="AL193" s="235">
        <f>SUM(JUL!G23:N23)+SUM(JUL!X23:AG23)</f>
        <v>0</v>
      </c>
      <c r="AM193" s="235">
        <f>SUM(AGO!G23:N23)+SUM(AGO!X23:AG23)</f>
        <v>0</v>
      </c>
      <c r="AN193" s="235">
        <f>SUM(SET!G23:N23)+SUM(SET!X23:AG23)</f>
        <v>0</v>
      </c>
      <c r="AO193" s="235">
        <f>SUM(OUT!G23:N23)+SUM(OUT!X23:AG23)</f>
        <v>0</v>
      </c>
      <c r="AP193" s="235">
        <f>SUM(NOV!G23:N23)+SUM(NOV!X23:AG23)</f>
        <v>0</v>
      </c>
      <c r="AQ193" s="235">
        <f>SUM(DEZ!G23:N23)+SUM(DEZ!X23:AG23)</f>
        <v>0</v>
      </c>
      <c r="AR193" s="235">
        <f t="shared" si="67"/>
        <v>191373.63200000001</v>
      </c>
    </row>
    <row r="194" spans="1:45">
      <c r="A194" s="242" t="s">
        <v>138</v>
      </c>
      <c r="B194" s="235">
        <f>$G$228*'Médias por UF'!BG172</f>
        <v>7264.0748616976862</v>
      </c>
      <c r="C194" s="235">
        <f>$G$228*'Médias por UF'!BH172</f>
        <v>14433.89335288509</v>
      </c>
      <c r="D194" s="235">
        <f>$G$228*'Médias por UF'!BI172</f>
        <v>22322.713633371528</v>
      </c>
      <c r="E194" s="235">
        <f>$G$228*'Médias por UF'!BJ172</f>
        <v>26549.180606084075</v>
      </c>
      <c r="F194" s="235">
        <f>$G$228*'Médias por UF'!BK172</f>
        <v>31180.430283945927</v>
      </c>
      <c r="G194" s="235">
        <f>$G$228*'Médias por UF'!BL172</f>
        <v>35887.671284497454</v>
      </c>
      <c r="H194" s="235">
        <f>$G$228*'Médias por UF'!BM172</f>
        <v>42413.850730809078</v>
      </c>
      <c r="I194" s="235">
        <f>$G$228*'Médias por UF'!BN172</f>
        <v>48999.416987139142</v>
      </c>
      <c r="J194" s="235">
        <f>$G$228*'Médias por UF'!BO172</f>
        <v>55768.981558870895</v>
      </c>
      <c r="K194" s="235">
        <f>$G$228*'Médias por UF'!BP172</f>
        <v>61648.523501116339</v>
      </c>
      <c r="L194" s="235">
        <f>$G$228*'Médias por UF'!BQ172</f>
        <v>69282.762422196785</v>
      </c>
      <c r="M194" s="235">
        <f>$G$228*'Médias por UF'!BR172</f>
        <v>75210.732779394282</v>
      </c>
      <c r="N194" s="235">
        <f t="shared" si="65"/>
        <v>75210.732779394282</v>
      </c>
      <c r="P194" s="237" t="s">
        <v>138</v>
      </c>
      <c r="Q194" s="235">
        <f>'Médias por UF'!BG172*'Evolução das Receitas'!$V$228</f>
        <v>6393.5984921876488</v>
      </c>
      <c r="R194" s="235">
        <f>'Médias por UF'!BH172*'Evolução das Receitas'!$V$228</f>
        <v>12704.235643826451</v>
      </c>
      <c r="S194" s="235">
        <f>'Médias por UF'!BI172*'Evolução das Receitas'!$V$228</f>
        <v>19647.714395182487</v>
      </c>
      <c r="T194" s="235">
        <f>'Médias por UF'!BJ172*'Evolução das Receitas'!$V$228</f>
        <v>23367.710868030023</v>
      </c>
      <c r="U194" s="235">
        <f>'Médias por UF'!BK172*'Evolução das Receitas'!$V$228</f>
        <v>27443.98369300499</v>
      </c>
      <c r="V194" s="235">
        <f>'Médias por UF'!BL172*'Evolução das Receitas'!$V$228</f>
        <v>31587.141567407223</v>
      </c>
      <c r="W194" s="235">
        <f>'Médias por UF'!BM172*'Evolução das Receitas'!$V$228</f>
        <v>37331.26891495115</v>
      </c>
      <c r="X194" s="235">
        <f>'Médias por UF'!BN172*'Evolução das Receitas'!$V$228</f>
        <v>43127.666568930355</v>
      </c>
      <c r="Y194" s="235">
        <f>'Médias por UF'!BO172*'Evolução das Receitas'!$V$228</f>
        <v>49086.013455855973</v>
      </c>
      <c r="Z194" s="235">
        <f>'Médias por UF'!BP172*'Evolução das Receitas'!$V$228</f>
        <v>54260.991854675638</v>
      </c>
      <c r="AA194" s="235">
        <f>'Médias por UF'!BQ172*'Evolução das Receitas'!$V$228</f>
        <v>60980.396511721367</v>
      </c>
      <c r="AB194" s="235">
        <f>'Médias por UF'!BR172*'Evolução das Receitas'!$V$228</f>
        <v>66198</v>
      </c>
      <c r="AC194" s="235">
        <f t="shared" si="66"/>
        <v>66198</v>
      </c>
      <c r="AE194" s="237" t="s">
        <v>138</v>
      </c>
      <c r="AF194" s="235">
        <f>SUM(JAN!G24:N24)+SUM(JAN!X24:AG24)</f>
        <v>5887.6179999999995</v>
      </c>
      <c r="AG194" s="235">
        <f>SUM(FEV!G24:N24)+SUM(FEV!X24:AG24)+AF194</f>
        <v>15613.166000000001</v>
      </c>
      <c r="AH194" s="235">
        <f>SUM(MAR!G24:N24)+SUM(MAR!X24:AG24)+AG194</f>
        <v>21137.594000000001</v>
      </c>
      <c r="AI194" s="235">
        <f>SUM(ABR!G24:N24)+SUM(ABR!X24:AG24)+AH194</f>
        <v>28134.762000000002</v>
      </c>
      <c r="AJ194" s="235">
        <f>SUM(MAI!G24:N24)+SUM(MAI!AB24:AK24)</f>
        <v>0</v>
      </c>
      <c r="AK194" s="235">
        <f>SUM(JUN!G24:N24)+SUM(JUN!X24:AG24)</f>
        <v>0</v>
      </c>
      <c r="AL194" s="235">
        <f>SUM(JUL!G24:N24)+SUM(JUL!X24:AG24)</f>
        <v>0</v>
      </c>
      <c r="AM194" s="235">
        <f>SUM(AGO!G24:N24)+SUM(AGO!X24:AG24)</f>
        <v>0</v>
      </c>
      <c r="AN194" s="235">
        <f>SUM(SET!G24:N24)+SUM(SET!X24:AG24)</f>
        <v>0</v>
      </c>
      <c r="AO194" s="235">
        <f>SUM(OUT!G24:N24)+SUM(OUT!X24:AG24)</f>
        <v>0</v>
      </c>
      <c r="AP194" s="235">
        <f>SUM(NOV!G24:N24)+SUM(NOV!X24:AG24)</f>
        <v>0</v>
      </c>
      <c r="AQ194" s="235">
        <f>SUM(DEZ!G24:N24)+SUM(DEZ!X24:AG24)</f>
        <v>0</v>
      </c>
      <c r="AR194" s="235">
        <f t="shared" si="67"/>
        <v>28134.762000000002</v>
      </c>
    </row>
    <row r="195" spans="1:45">
      <c r="A195" s="242" t="s">
        <v>139</v>
      </c>
      <c r="B195" s="235">
        <f>$G$229*'Médias por UF'!BG173</f>
        <v>59475.523627306502</v>
      </c>
      <c r="C195" s="235">
        <f>$G$229*'Médias por UF'!BH173</f>
        <v>106944.99833733261</v>
      </c>
      <c r="D195" s="235">
        <f>$G$229*'Médias por UF'!BI173</f>
        <v>153438.10486827741</v>
      </c>
      <c r="E195" s="235">
        <f>$G$229*'Médias por UF'!BJ173</f>
        <v>198387.00985239469</v>
      </c>
      <c r="F195" s="235">
        <f>$G$229*'Médias por UF'!BK173</f>
        <v>250050.91370268748</v>
      </c>
      <c r="G195" s="235">
        <f>$G$229*'Médias por UF'!BL173</f>
        <v>297473.66643146769</v>
      </c>
      <c r="H195" s="235">
        <f>$G$229*'Médias por UF'!BM173</f>
        <v>357716.09962382331</v>
      </c>
      <c r="I195" s="235">
        <f>$G$229*'Médias por UF'!BN173</f>
        <v>415846.87527023588</v>
      </c>
      <c r="J195" s="235">
        <f>$G$229*'Médias por UF'!BO173</f>
        <v>467370.56229501788</v>
      </c>
      <c r="K195" s="235">
        <f>$G$229*'Médias por UF'!BP173</f>
        <v>535899.94793385069</v>
      </c>
      <c r="L195" s="235">
        <f>$G$229*'Médias por UF'!BQ173</f>
        <v>601634.96245530469</v>
      </c>
      <c r="M195" s="235">
        <f>$G$229*'Médias por UF'!BR173</f>
        <v>672063.88050079718</v>
      </c>
      <c r="N195" s="235">
        <f t="shared" si="65"/>
        <v>672063.88050079718</v>
      </c>
      <c r="P195" s="237" t="s">
        <v>139</v>
      </c>
      <c r="Q195" s="235">
        <f>'Médias por UF'!BG173*'Evolução das Receitas'!$V$229</f>
        <v>54506.525641008659</v>
      </c>
      <c r="R195" s="235">
        <f>'Médias por UF'!BH173*'Evolução das Receitas'!$V$229</f>
        <v>98010.071009700812</v>
      </c>
      <c r="S195" s="235">
        <f>'Médias por UF'!BI173*'Evolução das Receitas'!$V$229</f>
        <v>140618.82077269736</v>
      </c>
      <c r="T195" s="235">
        <f>'Médias por UF'!BJ173*'Evolução das Receitas'!$V$229</f>
        <v>181812.38230238849</v>
      </c>
      <c r="U195" s="235">
        <f>'Médias por UF'!BK173*'Evolução das Receitas'!$V$229</f>
        <v>229159.92509287674</v>
      </c>
      <c r="V195" s="235">
        <f>'Médias por UF'!BL173*'Evolução das Receitas'!$V$229</f>
        <v>272620.65195887297</v>
      </c>
      <c r="W195" s="235">
        <f>'Médias por UF'!BM173*'Evolução das Receitas'!$V$229</f>
        <v>327830.0142177419</v>
      </c>
      <c r="X195" s="235">
        <f>'Médias por UF'!BN173*'Evolução das Receitas'!$V$229</f>
        <v>381104.14145633217</v>
      </c>
      <c r="Y195" s="235">
        <f>'Médias por UF'!BO173*'Evolução das Receitas'!$V$229</f>
        <v>428323.18210797594</v>
      </c>
      <c r="Z195" s="235">
        <f>'Médias por UF'!BP173*'Evolução das Receitas'!$V$229</f>
        <v>491127.14729695418</v>
      </c>
      <c r="AA195" s="235">
        <f>'Médias por UF'!BQ173*'Evolução das Receitas'!$V$229</f>
        <v>551370.2025238052</v>
      </c>
      <c r="AB195" s="235">
        <f>'Médias por UF'!BR173*'Evolução das Receitas'!$V$229</f>
        <v>615915</v>
      </c>
      <c r="AC195" s="235">
        <f t="shared" si="66"/>
        <v>615915</v>
      </c>
      <c r="AE195" s="237" t="s">
        <v>139</v>
      </c>
      <c r="AF195" s="235">
        <f>SUM(JAN!G25:N25)+SUM(JAN!X25:AG25)</f>
        <v>50768.705999999998</v>
      </c>
      <c r="AG195" s="235">
        <f>SUM(FEV!G25:N25)+SUM(FEV!X25:AG25)+AF195</f>
        <v>96486.365999999995</v>
      </c>
      <c r="AH195" s="235">
        <f>SUM(MAR!G25:N25)+SUM(MAR!X25:AG25)+AG195</f>
        <v>127883.586</v>
      </c>
      <c r="AI195" s="235">
        <f>SUM(ABR!G25:N25)+SUM(ABR!X25:AG25)+AH195</f>
        <v>171792.90999999997</v>
      </c>
      <c r="AJ195" s="235">
        <f>SUM(MAI!G25:N25)+SUM(MAI!AB25:AK25)</f>
        <v>0</v>
      </c>
      <c r="AK195" s="235">
        <f>SUM(JUN!G25:N25)+SUM(JUN!X25:AG25)</f>
        <v>0</v>
      </c>
      <c r="AL195" s="235">
        <f>SUM(JUL!G25:N25)+SUM(JUL!X25:AG25)</f>
        <v>0</v>
      </c>
      <c r="AM195" s="235">
        <f>SUM(AGO!G25:N25)+SUM(AGO!X25:AG25)</f>
        <v>0</v>
      </c>
      <c r="AN195" s="235">
        <f>SUM(SET!G25:N25)+SUM(SET!X25:AG25)</f>
        <v>0</v>
      </c>
      <c r="AO195" s="235">
        <f>SUM(OUT!G25:N25)+SUM(OUT!X25:AG25)</f>
        <v>0</v>
      </c>
      <c r="AP195" s="235">
        <f>SUM(NOV!G25:N25)+SUM(NOV!X25:AG25)</f>
        <v>0</v>
      </c>
      <c r="AQ195" s="235">
        <f>SUM(DEZ!G25:N25)+SUM(DEZ!X25:AG25)</f>
        <v>0</v>
      </c>
      <c r="AR195" s="235">
        <f t="shared" si="67"/>
        <v>171792.90999999997</v>
      </c>
    </row>
    <row r="196" spans="1:45">
      <c r="A196" s="242" t="s">
        <v>140</v>
      </c>
      <c r="B196" s="235">
        <f>$G$230*'Médias por UF'!BG174</f>
        <v>4591.8783621711591</v>
      </c>
      <c r="C196" s="235">
        <f>$G$230*'Médias por UF'!BH174</f>
        <v>6563.3093626972013</v>
      </c>
      <c r="D196" s="235">
        <f>$G$230*'Médias por UF'!BI174</f>
        <v>9280.4924371604557</v>
      </c>
      <c r="E196" s="235">
        <f>$G$230*'Médias por UF'!BJ174</f>
        <v>11485.25379431578</v>
      </c>
      <c r="F196" s="235">
        <f>$G$230*'Médias por UF'!BK174</f>
        <v>14699.104148173603</v>
      </c>
      <c r="G196" s="235">
        <f>$G$230*'Médias por UF'!BL174</f>
        <v>18507.18092235384</v>
      </c>
      <c r="H196" s="235">
        <f>$G$230*'Médias por UF'!BM174</f>
        <v>22142.797400708325</v>
      </c>
      <c r="I196" s="235">
        <f>$G$230*'Médias por UF'!BN174</f>
        <v>27325.113930569212</v>
      </c>
      <c r="J196" s="235">
        <f>$G$230*'Médias por UF'!BO174</f>
        <v>31747.465025305868</v>
      </c>
      <c r="K196" s="235">
        <f>$G$230*'Médias por UF'!BP174</f>
        <v>35853.344450105178</v>
      </c>
      <c r="L196" s="235">
        <f>$G$230*'Médias por UF'!BQ174</f>
        <v>40146.687537707279</v>
      </c>
      <c r="M196" s="235">
        <f>$G$230*'Médias por UF'!BR174</f>
        <v>45289.310463459369</v>
      </c>
      <c r="N196" s="235">
        <f t="shared" si="65"/>
        <v>45289.310463459369</v>
      </c>
      <c r="P196" s="237" t="s">
        <v>140</v>
      </c>
      <c r="Q196" s="235">
        <f>'Médias por UF'!BG174*'Evolução das Receitas'!$V$230</f>
        <v>4228.7696758809479</v>
      </c>
      <c r="R196" s="235">
        <f>'Médias por UF'!BH174*'Evolução das Receitas'!$V$230</f>
        <v>6044.3072349321292</v>
      </c>
      <c r="S196" s="235">
        <f>'Médias por UF'!BI174*'Evolução das Receitas'!$V$230</f>
        <v>8546.6255636942715</v>
      </c>
      <c r="T196" s="235">
        <f>'Médias por UF'!BJ174*'Evolução das Receitas'!$V$230</f>
        <v>10577.042581379428</v>
      </c>
      <c r="U196" s="235">
        <f>'Médias por UF'!BK174*'Evolução das Receitas'!$V$230</f>
        <v>13536.753585742184</v>
      </c>
      <c r="V196" s="235">
        <f>'Médias por UF'!BL174*'Evolução das Receitas'!$V$230</f>
        <v>17043.701792110998</v>
      </c>
      <c r="W196" s="235">
        <f>'Médias por UF'!BM174*'Evolução das Receitas'!$V$230</f>
        <v>20391.827222317133</v>
      </c>
      <c r="X196" s="235">
        <f>'Médias por UF'!BN174*'Evolução das Receitas'!$V$230</f>
        <v>25164.345408519781</v>
      </c>
      <c r="Y196" s="235">
        <f>'Médias por UF'!BO174*'Evolução das Receitas'!$V$230</f>
        <v>29236.993403637603</v>
      </c>
      <c r="Z196" s="235">
        <f>'Médias por UF'!BP174*'Evolução das Receitas'!$V$230</f>
        <v>33018.195133076544</v>
      </c>
      <c r="AA196" s="235">
        <f>'Médias por UF'!BQ174*'Evolução das Receitas'!$V$230</f>
        <v>36972.036595118327</v>
      </c>
      <c r="AB196" s="235">
        <f>'Médias por UF'!BR174*'Evolução das Receitas'!$V$230</f>
        <v>41708</v>
      </c>
      <c r="AC196" s="235">
        <f t="shared" si="66"/>
        <v>41708</v>
      </c>
      <c r="AE196" s="237" t="s">
        <v>140</v>
      </c>
      <c r="AF196" s="235">
        <f>SUM(JAN!G26:N26)+SUM(JAN!X26:AG26)</f>
        <v>1973.4880000000001</v>
      </c>
      <c r="AG196" s="235">
        <f>SUM(FEV!G26:N26)+SUM(FEV!X26:AG26)+AF196</f>
        <v>4040.424</v>
      </c>
      <c r="AH196" s="235">
        <f>SUM(MAR!G26:N26)+SUM(MAR!X26:AG26)+AG196</f>
        <v>5872.6880000000001</v>
      </c>
      <c r="AI196" s="235">
        <f>SUM(ABR!G26:N26)+SUM(ABR!X26:AG26)+AH196</f>
        <v>7402.9840000000004</v>
      </c>
      <c r="AJ196" s="235">
        <f>SUM(MAI!G26:N26)+SUM(MAI!AB26:AK26)</f>
        <v>0</v>
      </c>
      <c r="AK196" s="235">
        <f>SUM(JUN!G26:N26)+SUM(JUN!X26:AG26)</f>
        <v>0</v>
      </c>
      <c r="AL196" s="235">
        <f>SUM(JUL!G26:N26)+SUM(JUL!X26:AG26)</f>
        <v>0</v>
      </c>
      <c r="AM196" s="235">
        <f>SUM(AGO!G26:N26)+SUM(AGO!X26:AG26)</f>
        <v>0</v>
      </c>
      <c r="AN196" s="235">
        <f>SUM(SET!G26:N26)+SUM(SET!X26:AG26)</f>
        <v>0</v>
      </c>
      <c r="AO196" s="235">
        <f>SUM(OUT!G26:N26)+SUM(OUT!X26:AG26)</f>
        <v>0</v>
      </c>
      <c r="AP196" s="235">
        <f>SUM(NOV!G26:N26)+SUM(NOV!X26:AG26)</f>
        <v>0</v>
      </c>
      <c r="AQ196" s="235">
        <f>SUM(DEZ!G26:N26)+SUM(DEZ!X26:AG26)</f>
        <v>0</v>
      </c>
      <c r="AR196" s="235">
        <f t="shared" si="67"/>
        <v>7402.9840000000004</v>
      </c>
    </row>
    <row r="197" spans="1:45">
      <c r="A197" s="242" t="s">
        <v>141</v>
      </c>
      <c r="B197" s="235">
        <f>$G$231*'Médias por UF'!BG175</f>
        <v>944.20472213558617</v>
      </c>
      <c r="C197" s="235">
        <f>$G$231*'Médias por UF'!BH175</f>
        <v>1721.8390354896869</v>
      </c>
      <c r="D197" s="235">
        <f>$G$231*'Médias por UF'!BI175</f>
        <v>2710.1056222768821</v>
      </c>
      <c r="E197" s="235">
        <f>$G$231*'Médias por UF'!BJ175</f>
        <v>3310.5947364376698</v>
      </c>
      <c r="F197" s="235">
        <f>$G$231*'Médias por UF'!BK175</f>
        <v>3544.5150739254341</v>
      </c>
      <c r="G197" s="235">
        <f>$G$231*'Médias por UF'!BL175</f>
        <v>4047.1328057977094</v>
      </c>
      <c r="H197" s="235">
        <f>$G$231*'Médias por UF'!BM175</f>
        <v>5247.8296342092563</v>
      </c>
      <c r="I197" s="235">
        <f>$G$231*'Médias por UF'!BN175</f>
        <v>5689.5651223811938</v>
      </c>
      <c r="J197" s="235">
        <f>$G$231*'Médias por UF'!BO175</f>
        <v>6354.2658198056788</v>
      </c>
      <c r="K197" s="235">
        <f>$G$231*'Médias por UF'!BP175</f>
        <v>6971.8502911072173</v>
      </c>
      <c r="L197" s="235">
        <f>$G$231*'Médias por UF'!BQ175</f>
        <v>8196.3897557499731</v>
      </c>
      <c r="M197" s="235">
        <f>$G$231*'Médias por UF'!BR175</f>
        <v>8968.0236995259693</v>
      </c>
      <c r="N197" s="235">
        <f t="shared" si="65"/>
        <v>8968.0236995259693</v>
      </c>
      <c r="P197" s="237" t="s">
        <v>141</v>
      </c>
      <c r="Q197" s="235">
        <f>'Médias por UF'!BG175*'Evolução das Receitas'!$V$231</f>
        <v>862.18466059328296</v>
      </c>
      <c r="R197" s="235">
        <f>'Médias por UF'!BH175*'Evolução das Receitas'!$V$231</f>
        <v>1572.268354104634</v>
      </c>
      <c r="S197" s="235">
        <f>'Médias por UF'!BI175*'Evolução das Receitas'!$V$231</f>
        <v>2474.6873652885715</v>
      </c>
      <c r="T197" s="235">
        <f>'Médias por UF'!BJ175*'Evolução das Receitas'!$V$231</f>
        <v>3023.0138997203003</v>
      </c>
      <c r="U197" s="235">
        <f>'Médias por UF'!BK175*'Evolução das Receitas'!$V$231</f>
        <v>3236.6143213816031</v>
      </c>
      <c r="V197" s="235">
        <f>'Médias por UF'!BL175*'Evolução das Receitas'!$V$231</f>
        <v>3695.5712492630073</v>
      </c>
      <c r="W197" s="235">
        <f>'Médias por UF'!BM175*'Evolução das Receitas'!$V$231</f>
        <v>4791.96736253174</v>
      </c>
      <c r="X197" s="235">
        <f>'Médias por UF'!BN175*'Evolução das Receitas'!$V$231</f>
        <v>5195.3306936111621</v>
      </c>
      <c r="Y197" s="235">
        <f>'Médias por UF'!BO175*'Evolução das Receitas'!$V$231</f>
        <v>5802.2909552680112</v>
      </c>
      <c r="Z197" s="235">
        <f>'Médias por UF'!BP175*'Evolução das Receitas'!$V$231</f>
        <v>6366.2278275306962</v>
      </c>
      <c r="AA197" s="235">
        <f>'Médias por UF'!BQ175*'Evolução das Receitas'!$V$231</f>
        <v>7484.3954430433059</v>
      </c>
      <c r="AB197" s="235">
        <f>'Médias por UF'!BR175*'Evolução das Receitas'!$V$231</f>
        <v>8189</v>
      </c>
      <c r="AC197" s="235">
        <f t="shared" si="66"/>
        <v>8189</v>
      </c>
      <c r="AE197" s="237" t="s">
        <v>141</v>
      </c>
      <c r="AF197" s="235">
        <f>SUM(JAN!G27:N27)+SUM(JAN!X27:AG27)</f>
        <v>513.22400000000005</v>
      </c>
      <c r="AG197" s="235">
        <f>SUM(FEV!G27:N27)+SUM(FEV!X27:AG27)+AF197</f>
        <v>826.08</v>
      </c>
      <c r="AH197" s="235">
        <f>SUM(MAR!G27:N27)+SUM(MAR!X27:AG27)+AG197</f>
        <v>909.16800000000001</v>
      </c>
      <c r="AI197" s="235">
        <f>SUM(ABR!G27:N27)+SUM(ABR!X27:AG27)+AH197</f>
        <v>1214.664</v>
      </c>
      <c r="AJ197" s="235">
        <f>SUM(MAI!G27:N27)+SUM(MAI!AB27:AK27)</f>
        <v>0</v>
      </c>
      <c r="AK197" s="235">
        <f>SUM(JUN!G27:N27)+SUM(JUN!X27:AG27)</f>
        <v>0</v>
      </c>
      <c r="AL197" s="235">
        <f>SUM(JUL!G27:N27)+SUM(JUL!X27:AG27)</f>
        <v>0</v>
      </c>
      <c r="AM197" s="235">
        <f>SUM(AGO!G27:N27)+SUM(AGO!X27:AG27)</f>
        <v>0</v>
      </c>
      <c r="AN197" s="235">
        <f>SUM(SET!G27:N27)+SUM(SET!X27:AG27)</f>
        <v>0</v>
      </c>
      <c r="AO197" s="235">
        <f>SUM(OUT!G27:N27)+SUM(OUT!X27:AG27)</f>
        <v>0</v>
      </c>
      <c r="AP197" s="235">
        <f>SUM(NOV!G27:N27)+SUM(NOV!X27:AG27)</f>
        <v>0</v>
      </c>
      <c r="AQ197" s="235">
        <f>SUM(DEZ!G27:N27)+SUM(DEZ!X27:AG27)</f>
        <v>0</v>
      </c>
      <c r="AR197" s="235">
        <f t="shared" si="67"/>
        <v>1214.664</v>
      </c>
    </row>
    <row r="198" spans="1:45">
      <c r="A198" s="242" t="s">
        <v>142</v>
      </c>
      <c r="B198" s="235">
        <f>$G$232*'Médias por UF'!BG176</f>
        <v>33022.205108242742</v>
      </c>
      <c r="C198" s="235">
        <f>$G$232*'Médias por UF'!BH176</f>
        <v>64934.704196401297</v>
      </c>
      <c r="D198" s="235">
        <f>$G$232*'Médias por UF'!BI176</f>
        <v>95783.50169990868</v>
      </c>
      <c r="E198" s="235">
        <f>$G$232*'Médias por UF'!BJ176</f>
        <v>122487.34957796692</v>
      </c>
      <c r="F198" s="235">
        <f>$G$232*'Médias por UF'!BK176</f>
        <v>146812.45163323253</v>
      </c>
      <c r="G198" s="235">
        <f>$G$232*'Médias por UF'!BL176</f>
        <v>177583.33689179225</v>
      </c>
      <c r="H198" s="235">
        <f>$G$232*'Médias por UF'!BM176</f>
        <v>210399.8638157931</v>
      </c>
      <c r="I198" s="235">
        <f>$G$232*'Médias por UF'!BN176</f>
        <v>244856.58335755335</v>
      </c>
      <c r="J198" s="235">
        <f>$G$232*'Médias por UF'!BO176</f>
        <v>274452.52991670358</v>
      </c>
      <c r="K198" s="235">
        <f>$G$232*'Médias por UF'!BP176</f>
        <v>309309.58535532904</v>
      </c>
      <c r="L198" s="235">
        <f>$G$232*'Médias por UF'!BQ176</f>
        <v>346633.36514165107</v>
      </c>
      <c r="M198" s="235">
        <f>$G$232*'Médias por UF'!BR176</f>
        <v>388527.29280460317</v>
      </c>
      <c r="N198" s="235">
        <f t="shared" si="65"/>
        <v>388527.29280460317</v>
      </c>
      <c r="P198" s="237" t="s">
        <v>142</v>
      </c>
      <c r="Q198" s="235">
        <f>'Médias por UF'!BG176*'Evolução das Receitas'!$V$232</f>
        <v>30352.796590242346</v>
      </c>
      <c r="R198" s="235">
        <f>'Médias por UF'!BH176*'Evolução das Receitas'!$V$232</f>
        <v>59685.592214704993</v>
      </c>
      <c r="S198" s="235">
        <f>'Médias por UF'!BI176*'Evolução das Receitas'!$V$232</f>
        <v>88040.672458689427</v>
      </c>
      <c r="T198" s="235">
        <f>'Médias por UF'!BJ176*'Evolução das Receitas'!$V$232</f>
        <v>112585.86743166707</v>
      </c>
      <c r="U198" s="235">
        <f>'Médias por UF'!BK176*'Evolução das Receitas'!$V$232</f>
        <v>134944.60671937338</v>
      </c>
      <c r="V198" s="235">
        <f>'Médias por UF'!BL176*'Evolução das Receitas'!$V$232</f>
        <v>163228.0728929154</v>
      </c>
      <c r="W198" s="235">
        <f>'Médias por UF'!BM176*'Evolução das Receitas'!$V$232</f>
        <v>193391.81765972919</v>
      </c>
      <c r="X198" s="235">
        <f>'Médias por UF'!BN176*'Evolução das Receitas'!$V$232</f>
        <v>225063.16716500552</v>
      </c>
      <c r="Y198" s="235">
        <f>'Médias por UF'!BO176*'Evolução das Receitas'!$V$232</f>
        <v>252266.67289277224</v>
      </c>
      <c r="Z198" s="235">
        <f>'Médias por UF'!BP176*'Evolução das Receitas'!$V$232</f>
        <v>284305.99643265625</v>
      </c>
      <c r="AA198" s="235">
        <f>'Médias por UF'!BQ176*'Evolução das Receitas'!$V$232</f>
        <v>318612.64228261652</v>
      </c>
      <c r="AB198" s="235">
        <f>'Médias por UF'!BR176*'Evolução das Receitas'!$V$232</f>
        <v>357120</v>
      </c>
      <c r="AC198" s="235">
        <f t="shared" si="66"/>
        <v>357120</v>
      </c>
      <c r="AE198" s="237" t="s">
        <v>142</v>
      </c>
      <c r="AF198" s="235">
        <f>SUM(JAN!G28:N28)+SUM(JAN!X28:AG28)</f>
        <v>21853.216</v>
      </c>
      <c r="AG198" s="235">
        <f>SUM(FEV!G28:N28)+SUM(FEV!X28:AG28)+AF198</f>
        <v>39783.376000000004</v>
      </c>
      <c r="AH198" s="235">
        <f>SUM(MAR!G28:N28)+SUM(MAR!X28:AG28)+AG198</f>
        <v>55392.648000000001</v>
      </c>
      <c r="AI198" s="235">
        <f>SUM(ABR!G28:N28)+SUM(ABR!X28:AG28)+AH198</f>
        <v>68355.72</v>
      </c>
      <c r="AJ198" s="235">
        <f>SUM(MAI!G28:N28)+SUM(MAI!AB28:AK28)</f>
        <v>0</v>
      </c>
      <c r="AK198" s="235">
        <f>SUM(JUN!G28:N28)+SUM(JUN!X28:AG28)</f>
        <v>0</v>
      </c>
      <c r="AL198" s="235">
        <f>SUM(JUL!G28:N28)+SUM(JUL!X28:AG28)</f>
        <v>0</v>
      </c>
      <c r="AM198" s="235">
        <f>SUM(AGO!G28:N28)+SUM(AGO!X28:AG28)</f>
        <v>0</v>
      </c>
      <c r="AN198" s="235">
        <f>SUM(SET!G28:N28)+SUM(SET!X28:AG28)</f>
        <v>0</v>
      </c>
      <c r="AO198" s="235">
        <f>SUM(OUT!G28:N28)+SUM(OUT!X28:AG28)</f>
        <v>0</v>
      </c>
      <c r="AP198" s="235">
        <f>SUM(NOV!G28:N28)+SUM(NOV!X28:AG28)</f>
        <v>0</v>
      </c>
      <c r="AQ198" s="235">
        <f>SUM(DEZ!G28:N28)+SUM(DEZ!X28:AG28)</f>
        <v>0</v>
      </c>
      <c r="AR198" s="235">
        <f t="shared" si="67"/>
        <v>68355.72</v>
      </c>
    </row>
    <row r="199" spans="1:45">
      <c r="A199" s="242" t="s">
        <v>143</v>
      </c>
      <c r="B199" s="235">
        <f>$G$233*'Médias por UF'!BG177</f>
        <v>269818.6564669924</v>
      </c>
      <c r="C199" s="235">
        <f>$G$233*'Médias por UF'!BH177</f>
        <v>408491.43639992626</v>
      </c>
      <c r="D199" s="235">
        <f>$G$233*'Médias por UF'!BI177</f>
        <v>541517.60608567868</v>
      </c>
      <c r="E199" s="235">
        <f>$G$233*'Médias por UF'!BJ177</f>
        <v>674481.58299482614</v>
      </c>
      <c r="F199" s="235">
        <f>$G$233*'Médias por UF'!BK177</f>
        <v>807862.37246644194</v>
      </c>
      <c r="G199" s="235">
        <f>$G$233*'Médias por UF'!BL177</f>
        <v>934179.60909756529</v>
      </c>
      <c r="H199" s="235">
        <f>$G$233*'Médias por UF'!BM177</f>
        <v>1076596.9043341146</v>
      </c>
      <c r="I199" s="235">
        <f>$G$233*'Médias por UF'!BN177</f>
        <v>1236340.8743787026</v>
      </c>
      <c r="J199" s="235">
        <f>$G$233*'Médias por UF'!BO177</f>
        <v>1361266.7022168187</v>
      </c>
      <c r="K199" s="235">
        <f>$G$233*'Médias por UF'!BP177</f>
        <v>1588456.822600343</v>
      </c>
      <c r="L199" s="235">
        <f>$G$233*'Médias por UF'!BQ177</f>
        <v>1763499.9384462158</v>
      </c>
      <c r="M199" s="235">
        <f>$G$233*'Médias por UF'!BR177</f>
        <v>1912014.7295731464</v>
      </c>
      <c r="N199" s="235">
        <f t="shared" si="65"/>
        <v>1912014.7295731464</v>
      </c>
      <c r="P199" s="237" t="s">
        <v>143</v>
      </c>
      <c r="Q199" s="235">
        <f>'Médias por UF'!BG177*'Evolução das Receitas'!$V$233</f>
        <v>242774.1555384036</v>
      </c>
      <c r="R199" s="235">
        <f>'Médias por UF'!BH177*'Evolução das Receitas'!$V$233</f>
        <v>367547.46619529423</v>
      </c>
      <c r="S199" s="235">
        <f>'Médias por UF'!BI177*'Evolução das Receitas'!$V$233</f>
        <v>487240.13842501352</v>
      </c>
      <c r="T199" s="235">
        <f>'Médias por UF'!BJ177*'Evolução das Receitas'!$V$233</f>
        <v>606876.85159312235</v>
      </c>
      <c r="U199" s="235">
        <f>'Médias por UF'!BK177*'Evolução das Receitas'!$V$233</f>
        <v>726888.59930923488</v>
      </c>
      <c r="V199" s="235">
        <f>'Médias por UF'!BL177*'Evolução das Receitas'!$V$233</f>
        <v>840544.78919103858</v>
      </c>
      <c r="W199" s="235">
        <f>'Médias por UF'!BM177*'Evolução das Receitas'!$V$233</f>
        <v>968687.2943752436</v>
      </c>
      <c r="X199" s="235">
        <f>'Médias por UF'!BN177*'Evolução das Receitas'!$V$233</f>
        <v>1112419.7846994295</v>
      </c>
      <c r="Y199" s="235">
        <f>'Médias por UF'!BO177*'Evolução das Receitas'!$V$233</f>
        <v>1224824.0296669931</v>
      </c>
      <c r="Z199" s="235">
        <f>'Médias por UF'!BP177*'Evolução das Receitas'!$V$233</f>
        <v>1429242.3984521246</v>
      </c>
      <c r="AA199" s="235">
        <f>'Médias por UF'!BQ177*'Evolução das Receitas'!$V$233</f>
        <v>1586740.5684776334</v>
      </c>
      <c r="AB199" s="235">
        <f>'Médias por UF'!BR177*'Evolução das Receitas'!$V$233</f>
        <v>1720369.4044999999</v>
      </c>
      <c r="AC199" s="235">
        <f t="shared" si="66"/>
        <v>1720369.4044999999</v>
      </c>
      <c r="AE199" s="237" t="s">
        <v>143</v>
      </c>
      <c r="AF199" s="235">
        <f>SUM(JAN!G29:N29)+SUM(JAN!X29:AG29)</f>
        <v>162710.04800000001</v>
      </c>
      <c r="AG199" s="235">
        <f>SUM(FEV!G29:N29)+SUM(FEV!X29:AG29)+AF199</f>
        <v>306043.84999999998</v>
      </c>
      <c r="AH199" s="235">
        <f>SUM(MAR!G29:N29)+SUM(MAR!X29:AG29)+AG199</f>
        <v>413295.77799999999</v>
      </c>
      <c r="AI199" s="235">
        <f>SUM(ABR!G29:N29)+SUM(ABR!X29:AG29)+AH199</f>
        <v>537858.19039999996</v>
      </c>
      <c r="AJ199" s="235">
        <f>SUM(MAI!G29:N29)+SUM(MAI!AB29:AK29)</f>
        <v>0</v>
      </c>
      <c r="AK199" s="235">
        <f>SUM(JUN!G29:N29)+SUM(JUN!X29:AG29)</f>
        <v>0</v>
      </c>
      <c r="AL199" s="235">
        <f>SUM(JUL!G29:N29)+SUM(JUL!X29:AG29)</f>
        <v>0</v>
      </c>
      <c r="AM199" s="235">
        <f>SUM(AGO!G29:N29)+SUM(AGO!X29:AG29)</f>
        <v>0</v>
      </c>
      <c r="AN199" s="235">
        <f>SUM(SET!G29:N29)+SUM(SET!X29:AG29)</f>
        <v>0</v>
      </c>
      <c r="AO199" s="235">
        <f>SUM(OUT!G29:N29)+SUM(OUT!X29:AG29)</f>
        <v>0</v>
      </c>
      <c r="AP199" s="235">
        <f>SUM(NOV!G29:N29)+SUM(NOV!X29:AG29)</f>
        <v>0</v>
      </c>
      <c r="AQ199" s="235">
        <f>SUM(DEZ!G29:N29)+SUM(DEZ!X29:AG29)</f>
        <v>0</v>
      </c>
      <c r="AR199" s="235">
        <f t="shared" si="67"/>
        <v>537858.19039999996</v>
      </c>
    </row>
    <row r="200" spans="1:45">
      <c r="A200" s="242" t="s">
        <v>144</v>
      </c>
      <c r="B200" s="235">
        <f>$G$234*'Médias por UF'!BG178</f>
        <v>6192.1994108039826</v>
      </c>
      <c r="C200" s="235">
        <f>$G$234*'Médias por UF'!BH178</f>
        <v>10176.523475836213</v>
      </c>
      <c r="D200" s="235">
        <f>$G$234*'Médias por UF'!BI178</f>
        <v>14793.528653094596</v>
      </c>
      <c r="E200" s="235">
        <f>$G$234*'Médias por UF'!BJ178</f>
        <v>17376.898253219046</v>
      </c>
      <c r="F200" s="235">
        <f>$G$234*'Médias por UF'!BK178</f>
        <v>19869.668432839215</v>
      </c>
      <c r="G200" s="235">
        <f>$G$234*'Médias por UF'!BL178</f>
        <v>23715.348310946436</v>
      </c>
      <c r="H200" s="235">
        <f>$G$234*'Médias por UF'!BM178</f>
        <v>28177.15102223356</v>
      </c>
      <c r="I200" s="235">
        <f>$G$234*'Médias por UF'!BN178</f>
        <v>31608.404489752207</v>
      </c>
      <c r="J200" s="235">
        <f>$G$234*'Médias por UF'!BO178</f>
        <v>34829.175228436092</v>
      </c>
      <c r="K200" s="235">
        <f>$G$234*'Médias por UF'!BP178</f>
        <v>39310.970260681679</v>
      </c>
      <c r="L200" s="235">
        <f>$G$234*'Médias por UF'!BQ178</f>
        <v>42856.37374354143</v>
      </c>
      <c r="M200" s="235">
        <f>$G$234*'Médias por UF'!BR178</f>
        <v>48106.262427072666</v>
      </c>
      <c r="N200" s="235">
        <f t="shared" si="65"/>
        <v>48106.262427072666</v>
      </c>
      <c r="P200" s="237" t="s">
        <v>144</v>
      </c>
      <c r="Q200" s="235">
        <f>'Médias por UF'!BG178*'Evolução das Receitas'!$V$234</f>
        <v>5581.2643283083444</v>
      </c>
      <c r="R200" s="235">
        <f>'Médias por UF'!BH178*'Evolução das Receitas'!$V$234</f>
        <v>9172.4868166838623</v>
      </c>
      <c r="S200" s="235">
        <f>'Médias por UF'!BI178*'Evolução das Receitas'!$V$234</f>
        <v>13333.968802307028</v>
      </c>
      <c r="T200" s="235">
        <f>'Médias por UF'!BJ178*'Evolução das Receitas'!$V$234</f>
        <v>15662.457864021324</v>
      </c>
      <c r="U200" s="235">
        <f>'Médias por UF'!BK178*'Evolução das Receitas'!$V$234</f>
        <v>17909.286229708341</v>
      </c>
      <c r="V200" s="235">
        <f>'Médias por UF'!BL178*'Evolução das Receitas'!$V$234</f>
        <v>21375.543450740926</v>
      </c>
      <c r="W200" s="235">
        <f>'Médias por UF'!BM178*'Evolução das Receitas'!$V$234</f>
        <v>25397.135563715692</v>
      </c>
      <c r="X200" s="235">
        <f>'Médias por UF'!BN178*'Evolução das Receitas'!$V$234</f>
        <v>28489.854533042238</v>
      </c>
      <c r="Y200" s="235">
        <f>'Médias por UF'!BO178*'Evolução das Receitas'!$V$234</f>
        <v>31392.857430867472</v>
      </c>
      <c r="Z200" s="235">
        <f>'Médias por UF'!BP178*'Evolução das Receitas'!$V$234</f>
        <v>35432.469381448063</v>
      </c>
      <c r="AA200" s="235">
        <f>'Médias por UF'!BQ178*'Evolução das Receitas'!$V$234</f>
        <v>38628.07609169386</v>
      </c>
      <c r="AB200" s="235">
        <f>'Médias por UF'!BR178*'Evolução das Receitas'!$V$234</f>
        <v>43360</v>
      </c>
      <c r="AC200" s="235">
        <f t="shared" si="66"/>
        <v>43360</v>
      </c>
      <c r="AE200" s="237" t="s">
        <v>144</v>
      </c>
      <c r="AF200" s="235">
        <f>SUM(JAN!G30:N30)+SUM(JAN!X30:AG30)</f>
        <v>3455.4320000000007</v>
      </c>
      <c r="AG200" s="235">
        <f>SUM(FEV!G30:N30)+SUM(FEV!X30:AG30)+AF200</f>
        <v>8152.728000000001</v>
      </c>
      <c r="AH200" s="235">
        <f>SUM(MAR!G30:N30)+SUM(MAR!X30:AG30)+AG200</f>
        <v>12428.784000000001</v>
      </c>
      <c r="AI200" s="235">
        <f>SUM(ABR!G30:N30)+SUM(ABR!X30:AG30)+AH200</f>
        <v>16596.432000000001</v>
      </c>
      <c r="AJ200" s="235">
        <f>SUM(MAI!G30:N30)+SUM(MAI!AB30:AK30)</f>
        <v>0</v>
      </c>
      <c r="AK200" s="235">
        <f>SUM(JUN!G30:N30)+SUM(JUN!X30:AG30)</f>
        <v>0</v>
      </c>
      <c r="AL200" s="235">
        <f>SUM(JUL!G30:N30)+SUM(JUL!X30:AG30)</f>
        <v>0</v>
      </c>
      <c r="AM200" s="235">
        <f>SUM(AGO!G30:N30)+SUM(AGO!X30:AG30)</f>
        <v>0</v>
      </c>
      <c r="AN200" s="235">
        <f>SUM(SET!G30:N30)+SUM(SET!X30:AG30)</f>
        <v>0</v>
      </c>
      <c r="AO200" s="235">
        <f>SUM(OUT!G30:N30)+SUM(OUT!X30:AG30)</f>
        <v>0</v>
      </c>
      <c r="AP200" s="235">
        <f>SUM(NOV!G30:N30)+SUM(NOV!X30:AG30)</f>
        <v>0</v>
      </c>
      <c r="AQ200" s="235">
        <f>SUM(DEZ!G30:N30)+SUM(DEZ!X30:AG30)</f>
        <v>0</v>
      </c>
      <c r="AR200" s="235">
        <f t="shared" si="67"/>
        <v>16596.432000000001</v>
      </c>
    </row>
    <row r="201" spans="1:45">
      <c r="A201" s="242" t="s">
        <v>145</v>
      </c>
      <c r="B201" s="235">
        <f>$G$235*'Médias por UF'!BG179</f>
        <v>2150.6233458965166</v>
      </c>
      <c r="C201" s="235">
        <f>$G$235*'Médias por UF'!BH179</f>
        <v>4069.8659953330703</v>
      </c>
      <c r="D201" s="235">
        <f>$G$235*'Médias por UF'!BI179</f>
        <v>6057.62591416336</v>
      </c>
      <c r="E201" s="235">
        <f>$G$235*'Médias por UF'!BJ179</f>
        <v>7532.5642881700296</v>
      </c>
      <c r="F201" s="235">
        <f>$G$235*'Médias por UF'!BK179</f>
        <v>9015.8246085839637</v>
      </c>
      <c r="G201" s="235">
        <f>$G$235*'Médias por UF'!BL179</f>
        <v>11285.202284494913</v>
      </c>
      <c r="H201" s="235">
        <f>$G$235*'Médias por UF'!BM179</f>
        <v>13854.451007524094</v>
      </c>
      <c r="I201" s="235">
        <f>$G$235*'Médias por UF'!BN179</f>
        <v>17069.946790777438</v>
      </c>
      <c r="J201" s="235">
        <f>$G$235*'Médias por UF'!BO179</f>
        <v>19886.795536370217</v>
      </c>
      <c r="K201" s="235">
        <f>$G$235*'Médias por UF'!BP179</f>
        <v>24608.683298951182</v>
      </c>
      <c r="L201" s="235">
        <f>$G$235*'Médias por UF'!BQ179</f>
        <v>28988.079274460317</v>
      </c>
      <c r="M201" s="235">
        <f>$G$235*'Médias por UF'!BR179</f>
        <v>32656.631975563709</v>
      </c>
      <c r="N201" s="235">
        <f t="shared" si="65"/>
        <v>32656.631975563709</v>
      </c>
      <c r="P201" s="237" t="s">
        <v>145</v>
      </c>
      <c r="Q201" s="235">
        <f>'Médias por UF'!BG179*'Evolução das Receitas'!$V$235</f>
        <v>1907.8378436956561</v>
      </c>
      <c r="R201" s="235">
        <f>'Médias por UF'!BH179*'Evolução das Receitas'!$V$235</f>
        <v>3610.4157334113397</v>
      </c>
      <c r="S201" s="235">
        <f>'Médias por UF'!BI179*'Evolução das Receitas'!$V$235</f>
        <v>5373.7759259628392</v>
      </c>
      <c r="T201" s="235">
        <f>'Médias por UF'!BJ179*'Evolução das Receitas'!$V$235</f>
        <v>6682.2073872031306</v>
      </c>
      <c r="U201" s="235">
        <f>'Médias por UF'!BK179*'Evolução das Receitas'!$V$235</f>
        <v>7998.0213240030198</v>
      </c>
      <c r="V201" s="235">
        <f>'Médias por UF'!BL179*'Evolução das Receitas'!$V$235</f>
        <v>10011.207231243394</v>
      </c>
      <c r="W201" s="235">
        <f>'Médias por UF'!BM179*'Evolução das Receitas'!$V$235</f>
        <v>12290.411515440572</v>
      </c>
      <c r="X201" s="235">
        <f>'Médias por UF'!BN179*'Evolução das Receitas'!$V$235</f>
        <v>15142.907538623667</v>
      </c>
      <c r="Y201" s="235">
        <f>'Médias por UF'!BO179*'Evolução das Receitas'!$V$235</f>
        <v>17641.760090867436</v>
      </c>
      <c r="Z201" s="235">
        <f>'Médias por UF'!BP179*'Evolução das Receitas'!$V$235</f>
        <v>21830.590359228547</v>
      </c>
      <c r="AA201" s="235">
        <f>'Médias por UF'!BQ179*'Evolução das Receitas'!$V$235</f>
        <v>25715.59299836888</v>
      </c>
      <c r="AB201" s="235">
        <f>'Médias por UF'!BR179*'Evolução das Receitas'!$V$235</f>
        <v>28970</v>
      </c>
      <c r="AC201" s="235">
        <f t="shared" si="66"/>
        <v>28970</v>
      </c>
      <c r="AE201" s="237" t="s">
        <v>145</v>
      </c>
      <c r="AF201" s="235">
        <f>SUM(JAN!G31:N31)+SUM(JAN!X31:AG31)</f>
        <v>3795.2560000000003</v>
      </c>
      <c r="AG201" s="235">
        <f>SUM(FEV!G31:N31)+SUM(FEV!X31:AG31)+AF201</f>
        <v>7323.5840000000007</v>
      </c>
      <c r="AH201" s="235">
        <f>SUM(MAR!G31:N31)+SUM(MAR!X31:AG31)+AG201</f>
        <v>10079.144</v>
      </c>
      <c r="AI201" s="235">
        <f>SUM(ABR!G31:N31)+SUM(ABR!X31:AG31)+AH201</f>
        <v>12672.352000000001</v>
      </c>
      <c r="AJ201" s="235">
        <f>SUM(MAI!G31:N31)+SUM(MAI!AB31:AK31)</f>
        <v>0</v>
      </c>
      <c r="AK201" s="235">
        <f>SUM(JUN!G31:N31)+SUM(JUN!X31:AG31)</f>
        <v>0</v>
      </c>
      <c r="AL201" s="235">
        <f>SUM(JUL!G31:N31)+SUM(JUL!X31:AG31)</f>
        <v>0</v>
      </c>
      <c r="AM201" s="235">
        <f>SUM(AGO!G31:N31)+SUM(AGO!X31:AG31)</f>
        <v>0</v>
      </c>
      <c r="AN201" s="235">
        <f>SUM(SET!G31:N31)+SUM(SET!X31:AG31)</f>
        <v>0</v>
      </c>
      <c r="AO201" s="235">
        <f>SUM(OUT!G31:N31)+SUM(OUT!X31:AG31)</f>
        <v>0</v>
      </c>
      <c r="AP201" s="235">
        <f>SUM(NOV!G31:N31)+SUM(NOV!X31:AG31)</f>
        <v>0</v>
      </c>
      <c r="AQ201" s="235">
        <f>SUM(DEZ!G31:N31)+SUM(DEZ!X31:AG31)</f>
        <v>0</v>
      </c>
      <c r="AR201" s="235">
        <f t="shared" si="67"/>
        <v>12672.352000000001</v>
      </c>
    </row>
    <row r="202" spans="1:45">
      <c r="A202" s="243" t="s">
        <v>37</v>
      </c>
      <c r="B202" s="236">
        <f>SUM(B175:B201)</f>
        <v>650938.2376282101</v>
      </c>
      <c r="C202" s="236">
        <f t="shared" ref="C202:D202" si="68">SUM(C175:C201)</f>
        <v>1126265.9308886414</v>
      </c>
      <c r="D202" s="236">
        <f t="shared" si="68"/>
        <v>1575211.8281887975</v>
      </c>
      <c r="E202" s="236">
        <f>SUM(E175:E201)</f>
        <v>1993172.4954863652</v>
      </c>
      <c r="F202" s="236">
        <f t="shared" ref="F202:N202" si="69">SUM(F175:F201)</f>
        <v>2422075.6531233573</v>
      </c>
      <c r="G202" s="236">
        <f t="shared" si="69"/>
        <v>2859399.0757954339</v>
      </c>
      <c r="H202" s="236">
        <f t="shared" si="69"/>
        <v>3337987.1610959023</v>
      </c>
      <c r="I202" s="236">
        <f t="shared" si="69"/>
        <v>3886884.4864883572</v>
      </c>
      <c r="J202" s="236">
        <f t="shared" si="69"/>
        <v>4336410.7651070869</v>
      </c>
      <c r="K202" s="236">
        <f t="shared" si="69"/>
        <v>4966610.2426498821</v>
      </c>
      <c r="L202" s="236">
        <f t="shared" si="69"/>
        <v>5549412.0699606203</v>
      </c>
      <c r="M202" s="236">
        <f t="shared" si="69"/>
        <v>6121713.3000423107</v>
      </c>
      <c r="N202" s="236">
        <f t="shared" si="69"/>
        <v>6121713.3000423107</v>
      </c>
      <c r="P202" s="238" t="s">
        <v>37</v>
      </c>
      <c r="Q202" s="236">
        <f>SUM(Q175:Q201)</f>
        <v>579615.63049156941</v>
      </c>
      <c r="R202" s="236">
        <f t="shared" ref="R202:S202" si="70">SUM(R175:R201)</f>
        <v>1002585.2249938278</v>
      </c>
      <c r="S202" s="236">
        <f t="shared" si="70"/>
        <v>1402317.7132932846</v>
      </c>
      <c r="T202" s="236">
        <f>SUM(T175:T201)</f>
        <v>1774514.6503335389</v>
      </c>
      <c r="U202" s="236">
        <f t="shared" ref="U202:AC202" si="71">SUM(U175:U201)</f>
        <v>2156033.2928845491</v>
      </c>
      <c r="V202" s="236">
        <f t="shared" si="71"/>
        <v>2545305.4815865126</v>
      </c>
      <c r="W202" s="236">
        <f t="shared" si="71"/>
        <v>2971845.910197841</v>
      </c>
      <c r="X202" s="236">
        <f t="shared" si="71"/>
        <v>3459950.0916764415</v>
      </c>
      <c r="Y202" s="236">
        <f t="shared" si="71"/>
        <v>3860002.1096512945</v>
      </c>
      <c r="Z202" s="236">
        <f t="shared" si="71"/>
        <v>4421359.8056128128</v>
      </c>
      <c r="AA202" s="236">
        <f t="shared" si="71"/>
        <v>4940557.0488113528</v>
      </c>
      <c r="AB202" s="236">
        <f t="shared" si="71"/>
        <v>5450685.2045</v>
      </c>
      <c r="AC202" s="236">
        <f t="shared" si="71"/>
        <v>5450685.2045</v>
      </c>
      <c r="AE202" s="238" t="s">
        <v>37</v>
      </c>
      <c r="AF202" s="236">
        <f>SUM(AF175:AF201)</f>
        <v>519934.52800000011</v>
      </c>
      <c r="AG202" s="236">
        <f t="shared" ref="AG202:AH202" si="72">SUM(AG175:AG201)</f>
        <v>1024285.542</v>
      </c>
      <c r="AH202" s="236">
        <f t="shared" si="72"/>
        <v>1413968.0420000001</v>
      </c>
      <c r="AI202" s="236">
        <f>SUM(AI175:AI201)</f>
        <v>1838101.2864000001</v>
      </c>
      <c r="AJ202" s="236">
        <f t="shared" ref="AJ202:AR202" si="73">SUM(AJ175:AJ201)</f>
        <v>0</v>
      </c>
      <c r="AK202" s="236">
        <f t="shared" si="73"/>
        <v>0</v>
      </c>
      <c r="AL202" s="236">
        <f t="shared" si="73"/>
        <v>0</v>
      </c>
      <c r="AM202" s="236">
        <f t="shared" si="73"/>
        <v>0</v>
      </c>
      <c r="AN202" s="236">
        <f t="shared" si="73"/>
        <v>0</v>
      </c>
      <c r="AO202" s="236">
        <f t="shared" si="73"/>
        <v>0</v>
      </c>
      <c r="AP202" s="236">
        <f t="shared" si="73"/>
        <v>0</v>
      </c>
      <c r="AQ202" s="236">
        <f t="shared" si="73"/>
        <v>0</v>
      </c>
      <c r="AR202" s="236">
        <f t="shared" si="73"/>
        <v>1838101.2864000001</v>
      </c>
    </row>
    <row r="203" spans="1:45">
      <c r="N203" s="94">
        <f>N202-SUM(G209:G235)</f>
        <v>0</v>
      </c>
      <c r="AC203" s="94">
        <f>AC202-SUM(V209:V235)</f>
        <v>0</v>
      </c>
      <c r="AR203" s="94">
        <f>AR202-SUM('TOTAL POR UF'!G32:P32)</f>
        <v>0</v>
      </c>
    </row>
    <row r="204" spans="1:45" ht="15.75" thickBot="1">
      <c r="A204" s="242" t="s">
        <v>337</v>
      </c>
      <c r="B204" s="235">
        <f>B202*0.2/0.8</f>
        <v>162734.55940705253</v>
      </c>
      <c r="C204" s="235">
        <f t="shared" ref="C204:M204" si="74">C202*0.2/0.8</f>
        <v>281566.48272216035</v>
      </c>
      <c r="D204" s="235">
        <f t="shared" si="74"/>
        <v>393802.95704719936</v>
      </c>
      <c r="E204" s="235">
        <f t="shared" si="74"/>
        <v>498293.12387159129</v>
      </c>
      <c r="F204" s="235">
        <f t="shared" si="74"/>
        <v>605518.91328083933</v>
      </c>
      <c r="G204" s="235">
        <f t="shared" si="74"/>
        <v>714849.76894885849</v>
      </c>
      <c r="H204" s="235">
        <f t="shared" si="74"/>
        <v>834496.79027397558</v>
      </c>
      <c r="I204" s="235">
        <f t="shared" si="74"/>
        <v>971721.12162208941</v>
      </c>
      <c r="J204" s="235">
        <f t="shared" si="74"/>
        <v>1084102.6912767717</v>
      </c>
      <c r="K204" s="235">
        <f t="shared" si="74"/>
        <v>1241652.5606624705</v>
      </c>
      <c r="L204" s="235">
        <f t="shared" si="74"/>
        <v>1387353.0174901551</v>
      </c>
      <c r="M204" s="235">
        <f t="shared" si="74"/>
        <v>1530428.3250105777</v>
      </c>
      <c r="N204" s="235">
        <f t="shared" ref="N204" si="75">M204</f>
        <v>1530428.3250105777</v>
      </c>
      <c r="P204" s="242" t="s">
        <v>337</v>
      </c>
      <c r="Q204" s="235">
        <f>Q202*0.2/0.8</f>
        <v>144903.90762289235</v>
      </c>
      <c r="R204" s="235">
        <f t="shared" ref="R204:AB204" si="76">R202*0.2/0.8</f>
        <v>250646.30624845697</v>
      </c>
      <c r="S204" s="235">
        <f t="shared" si="76"/>
        <v>350579.42832332116</v>
      </c>
      <c r="T204" s="235">
        <f t="shared" si="76"/>
        <v>443628.66258338472</v>
      </c>
      <c r="U204" s="235">
        <f t="shared" si="76"/>
        <v>539008.32322113728</v>
      </c>
      <c r="V204" s="235">
        <f t="shared" si="76"/>
        <v>636326.37039662816</v>
      </c>
      <c r="W204" s="235">
        <f t="shared" si="76"/>
        <v>742961.47754946025</v>
      </c>
      <c r="X204" s="235">
        <f t="shared" si="76"/>
        <v>864987.52291911049</v>
      </c>
      <c r="Y204" s="235">
        <f t="shared" si="76"/>
        <v>965000.52741282363</v>
      </c>
      <c r="Z204" s="235">
        <f t="shared" si="76"/>
        <v>1105339.9514032032</v>
      </c>
      <c r="AA204" s="235">
        <f t="shared" si="76"/>
        <v>1235139.2622028382</v>
      </c>
      <c r="AB204" s="235">
        <f t="shared" si="76"/>
        <v>1362671.301125</v>
      </c>
      <c r="AC204" s="235">
        <f t="shared" ref="AC204" si="77">AB204</f>
        <v>1362671.301125</v>
      </c>
      <c r="AE204" s="237" t="s">
        <v>337</v>
      </c>
      <c r="AF204" s="235">
        <f>SUM(JAN!G67:N67)+SUM(JAN!X67:AG67)</f>
        <v>128757.78200000002</v>
      </c>
      <c r="AG204" s="235">
        <f>SUM(FEV!G67:N67)+SUM(FEV!X67:AG67)+AF204</f>
        <v>253347.31800000003</v>
      </c>
      <c r="AH204" s="235">
        <f>SUM(MAR!G67:N67)+SUM(MAR!X67:AG67)+AG204</f>
        <v>349497.89800000004</v>
      </c>
      <c r="AI204" s="235">
        <f>SUM(ABR!G67:N67)+SUM(ABR!X67:AG67)+AH204</f>
        <v>454146.91660000006</v>
      </c>
      <c r="AJ204" s="235">
        <f>SUM(MAI!G67:N67)+SUM(MAI!AB67:AK67)</f>
        <v>0</v>
      </c>
      <c r="AK204" s="235">
        <f>SUM(JUN!G67:N67)+SUM(JUN!X67:AG67)</f>
        <v>0</v>
      </c>
      <c r="AL204" s="235">
        <f>SUM(JUL!G67:N67)+SUM(JUL!X67:AG67)</f>
        <v>0</v>
      </c>
      <c r="AM204" s="235">
        <f>SUM(AGO!G67:N67)+SUM(AGO!X67:AG67)</f>
        <v>0</v>
      </c>
      <c r="AN204" s="235">
        <f>SUM(SET!G67:N67)+SUM(SET!X67:AG67)</f>
        <v>0</v>
      </c>
      <c r="AO204" s="235">
        <f>SUM(OUT!G67:N67)+SUM(OUT!X67:AG67)</f>
        <v>0</v>
      </c>
      <c r="AP204" s="235">
        <f>SUM(NOV!G67:N67)+SUM(NOV!X67:AG67)</f>
        <v>0</v>
      </c>
      <c r="AQ204" s="235">
        <f>SUM(DEZ!G67:N67)+SUM(DEZ!X67:AG67)</f>
        <v>0</v>
      </c>
      <c r="AR204" s="235">
        <f>AI204</f>
        <v>454146.91660000006</v>
      </c>
      <c r="AS204" s="93">
        <f>AR204-SUM('TOTAL POR UF'!G65:P65)</f>
        <v>0</v>
      </c>
    </row>
    <row r="205" spans="1:45" ht="21" customHeight="1" thickBot="1">
      <c r="A205" s="321" t="s">
        <v>212</v>
      </c>
      <c r="B205" s="318" t="s">
        <v>394</v>
      </c>
      <c r="C205" s="319"/>
      <c r="D205" s="319"/>
      <c r="E205" s="319"/>
      <c r="F205" s="319"/>
      <c r="G205" s="319"/>
      <c r="H205" s="320"/>
      <c r="P205" s="321" t="s">
        <v>212</v>
      </c>
      <c r="Q205" s="318" t="s">
        <v>394</v>
      </c>
      <c r="R205" s="319"/>
      <c r="S205" s="319"/>
      <c r="T205" s="319"/>
      <c r="U205" s="319"/>
      <c r="V205" s="319"/>
      <c r="W205" s="320"/>
    </row>
    <row r="206" spans="1:45" ht="21" customHeight="1" thickBot="1">
      <c r="A206" s="321"/>
      <c r="B206" s="318" t="s">
        <v>395</v>
      </c>
      <c r="C206" s="319"/>
      <c r="D206" s="319"/>
      <c r="E206" s="319"/>
      <c r="F206" s="319"/>
      <c r="G206" s="319"/>
      <c r="H206" s="320"/>
      <c r="P206" s="321"/>
      <c r="Q206" s="318" t="s">
        <v>395</v>
      </c>
      <c r="R206" s="319"/>
      <c r="S206" s="319"/>
      <c r="T206" s="319"/>
      <c r="U206" s="319"/>
      <c r="V206" s="319"/>
      <c r="W206" s="320"/>
    </row>
    <row r="207" spans="1:45" ht="21" customHeight="1" thickBot="1">
      <c r="A207" s="321"/>
      <c r="B207" s="322" t="s">
        <v>396</v>
      </c>
      <c r="C207" s="323"/>
      <c r="D207" s="322" t="s">
        <v>397</v>
      </c>
      <c r="E207" s="323"/>
      <c r="F207" s="324" t="s">
        <v>28</v>
      </c>
      <c r="G207" s="324" t="s">
        <v>398</v>
      </c>
      <c r="H207" s="324" t="s">
        <v>219</v>
      </c>
      <c r="P207" s="321"/>
      <c r="Q207" s="322" t="s">
        <v>396</v>
      </c>
      <c r="R207" s="323"/>
      <c r="S207" s="322" t="s">
        <v>397</v>
      </c>
      <c r="T207" s="323"/>
      <c r="U207" s="324" t="s">
        <v>28</v>
      </c>
      <c r="V207" s="324" t="s">
        <v>398</v>
      </c>
      <c r="W207" s="324" t="s">
        <v>219</v>
      </c>
    </row>
    <row r="208" spans="1:45" ht="21" customHeight="1" thickBot="1">
      <c r="A208" s="321"/>
      <c r="B208" s="245" t="s">
        <v>399</v>
      </c>
      <c r="C208" s="245" t="s">
        <v>400</v>
      </c>
      <c r="D208" s="245" t="s">
        <v>399</v>
      </c>
      <c r="E208" s="245" t="s">
        <v>400</v>
      </c>
      <c r="F208" s="325"/>
      <c r="G208" s="325"/>
      <c r="H208" s="325"/>
      <c r="P208" s="321"/>
      <c r="Q208" s="245" t="s">
        <v>399</v>
      </c>
      <c r="R208" s="245" t="s">
        <v>400</v>
      </c>
      <c r="S208" s="245" t="s">
        <v>399</v>
      </c>
      <c r="T208" s="245" t="s">
        <v>400</v>
      </c>
      <c r="U208" s="325"/>
      <c r="V208" s="325"/>
      <c r="W208" s="325"/>
    </row>
    <row r="209" spans="1:23" ht="21" customHeight="1" thickBot="1">
      <c r="A209" s="246" t="s">
        <v>119</v>
      </c>
      <c r="B209" s="229">
        <v>185605.81660326422</v>
      </c>
      <c r="C209" s="229">
        <v>7000</v>
      </c>
      <c r="D209" s="229">
        <v>51561.469943785632</v>
      </c>
      <c r="E209" s="229">
        <v>1000</v>
      </c>
      <c r="F209" s="229">
        <v>142491</v>
      </c>
      <c r="G209" s="229">
        <v>17084.639296577243</v>
      </c>
      <c r="H209" s="230">
        <v>356882</v>
      </c>
      <c r="P209" s="246" t="s">
        <v>119</v>
      </c>
      <c r="Q209" s="229">
        <v>155680</v>
      </c>
      <c r="R209" s="229">
        <v>7000</v>
      </c>
      <c r="S209" s="229">
        <v>35687</v>
      </c>
      <c r="T209" s="229">
        <v>1000</v>
      </c>
      <c r="U209" s="229">
        <v>142491</v>
      </c>
      <c r="V209" s="229">
        <v>15024</v>
      </c>
      <c r="W209" s="230">
        <v>356882</v>
      </c>
    </row>
    <row r="210" spans="1:23" ht="21" customHeight="1" thickBot="1">
      <c r="A210" s="247" t="s">
        <v>120</v>
      </c>
      <c r="B210" s="229">
        <v>638126.04026046442</v>
      </c>
      <c r="C210" s="231">
        <v>30000</v>
      </c>
      <c r="D210" s="229">
        <v>61355.739150336434</v>
      </c>
      <c r="E210" s="231">
        <v>2000</v>
      </c>
      <c r="F210" s="231">
        <v>561629</v>
      </c>
      <c r="G210" s="229">
        <v>56749.988584381543</v>
      </c>
      <c r="H210" s="230">
        <v>1195758</v>
      </c>
      <c r="P210" s="247" t="s">
        <v>120</v>
      </c>
      <c r="Q210" s="231">
        <v>509812</v>
      </c>
      <c r="R210" s="231">
        <v>30000</v>
      </c>
      <c r="S210" s="231">
        <v>42203</v>
      </c>
      <c r="T210" s="231">
        <v>2000</v>
      </c>
      <c r="U210" s="231">
        <v>561629</v>
      </c>
      <c r="V210" s="231">
        <v>50114</v>
      </c>
      <c r="W210" s="230">
        <v>1195758</v>
      </c>
    </row>
    <row r="211" spans="1:23" ht="21" customHeight="1" thickBot="1">
      <c r="A211" s="247" t="s">
        <v>121</v>
      </c>
      <c r="B211" s="229">
        <v>233610.88845605939</v>
      </c>
      <c r="C211" s="231">
        <v>9748</v>
      </c>
      <c r="D211" s="229">
        <v>101533.41127776331</v>
      </c>
      <c r="E211" s="231">
        <v>3886</v>
      </c>
      <c r="F211" s="231">
        <v>184885</v>
      </c>
      <c r="G211" s="229">
        <v>23401.315206802024</v>
      </c>
      <c r="H211" s="230">
        <v>469654</v>
      </c>
      <c r="P211" s="247" t="s">
        <v>121</v>
      </c>
      <c r="Q211" s="231">
        <v>184183</v>
      </c>
      <c r="R211" s="231">
        <v>9748</v>
      </c>
      <c r="S211" s="231">
        <v>67315</v>
      </c>
      <c r="T211" s="231">
        <v>3886</v>
      </c>
      <c r="U211" s="231">
        <v>184885</v>
      </c>
      <c r="V211" s="231">
        <v>19637</v>
      </c>
      <c r="W211" s="230">
        <v>469654</v>
      </c>
    </row>
    <row r="212" spans="1:23" ht="21" customHeight="1" thickBot="1">
      <c r="A212" s="247" t="s">
        <v>122</v>
      </c>
      <c r="B212" s="229">
        <v>717365.44657955039</v>
      </c>
      <c r="C212" s="231">
        <v>30791.06</v>
      </c>
      <c r="D212" s="229">
        <v>132066.54858273329</v>
      </c>
      <c r="E212" s="231">
        <v>9631.6200000000008</v>
      </c>
      <c r="F212" s="231">
        <v>434812</v>
      </c>
      <c r="G212" s="229">
        <v>57790.974249012768</v>
      </c>
      <c r="H212" s="230">
        <v>1164971.6800000002</v>
      </c>
      <c r="P212" s="247" t="s">
        <v>122</v>
      </c>
      <c r="Q212" s="231">
        <v>551189</v>
      </c>
      <c r="R212" s="231">
        <v>30791.06</v>
      </c>
      <c r="S212" s="231">
        <v>90122</v>
      </c>
      <c r="T212" s="231">
        <v>9631.6200000000008</v>
      </c>
      <c r="U212" s="231">
        <v>434812</v>
      </c>
      <c r="V212" s="231">
        <v>48426</v>
      </c>
      <c r="W212" s="230">
        <v>1164971.6800000002</v>
      </c>
    </row>
    <row r="213" spans="1:23" ht="21" customHeight="1" thickBot="1">
      <c r="A213" s="247" t="s">
        <v>123</v>
      </c>
      <c r="B213" s="229">
        <v>1815915.9938798738</v>
      </c>
      <c r="C213" s="231">
        <v>180000</v>
      </c>
      <c r="D213" s="229">
        <v>430014.85109894071</v>
      </c>
      <c r="E213" s="231">
        <v>30000</v>
      </c>
      <c r="F213" s="231">
        <v>1420330</v>
      </c>
      <c r="G213" s="229">
        <v>164981.75209107425</v>
      </c>
      <c r="H213" s="230">
        <v>3189540</v>
      </c>
      <c r="P213" s="247" t="s">
        <v>123</v>
      </c>
      <c r="Q213" s="231">
        <v>1227854</v>
      </c>
      <c r="R213" s="231">
        <v>180000</v>
      </c>
      <c r="S213" s="231">
        <v>203050</v>
      </c>
      <c r="T213" s="231">
        <v>30000</v>
      </c>
      <c r="U213" s="231">
        <v>1420330</v>
      </c>
      <c r="V213" s="231">
        <v>128306</v>
      </c>
      <c r="W213" s="230">
        <v>3189540</v>
      </c>
    </row>
    <row r="214" spans="1:23" ht="21" customHeight="1" thickBot="1">
      <c r="A214" s="247" t="s">
        <v>124</v>
      </c>
      <c r="B214" s="229">
        <v>958032.25292431808</v>
      </c>
      <c r="C214" s="231">
        <v>64988</v>
      </c>
      <c r="D214" s="229">
        <v>170125.64403347109</v>
      </c>
      <c r="E214" s="231">
        <v>7890</v>
      </c>
      <c r="F214" s="231">
        <v>910702</v>
      </c>
      <c r="G214" s="229">
        <v>91748.68333010051</v>
      </c>
      <c r="H214" s="230">
        <v>1982148</v>
      </c>
      <c r="P214" s="247" t="s">
        <v>124</v>
      </c>
      <c r="Q214" s="231">
        <v>792662</v>
      </c>
      <c r="R214" s="231">
        <v>64988</v>
      </c>
      <c r="S214" s="231">
        <v>123689</v>
      </c>
      <c r="T214" s="231">
        <v>7890</v>
      </c>
      <c r="U214" s="231">
        <v>910702</v>
      </c>
      <c r="V214" s="231">
        <v>82217</v>
      </c>
      <c r="W214" s="230">
        <v>1982148</v>
      </c>
    </row>
    <row r="215" spans="1:23" ht="21" customHeight="1" thickBot="1">
      <c r="A215" s="247" t="s">
        <v>125</v>
      </c>
      <c r="B215" s="229">
        <v>1864955.6577984616</v>
      </c>
      <c r="C215" s="231">
        <v>200000</v>
      </c>
      <c r="D215" s="229">
        <v>358037.4068249971</v>
      </c>
      <c r="E215" s="231">
        <v>20000</v>
      </c>
      <c r="F215" s="231">
        <v>1324510</v>
      </c>
      <c r="G215" s="229">
        <v>159637.62123348564</v>
      </c>
      <c r="H215" s="230">
        <v>3469210</v>
      </c>
      <c r="P215" s="247" t="s">
        <v>125</v>
      </c>
      <c r="Q215" s="231">
        <v>1544907</v>
      </c>
      <c r="R215" s="231">
        <v>200000</v>
      </c>
      <c r="S215" s="231">
        <v>239875</v>
      </c>
      <c r="T215" s="231">
        <v>20000</v>
      </c>
      <c r="U215" s="231">
        <v>1324510</v>
      </c>
      <c r="V215" s="231">
        <v>139918</v>
      </c>
      <c r="W215" s="230">
        <v>3469210</v>
      </c>
    </row>
    <row r="216" spans="1:23" ht="21" customHeight="1" thickBot="1">
      <c r="A216" s="247" t="s">
        <v>126</v>
      </c>
      <c r="B216" s="229">
        <v>1178048.6016358573</v>
      </c>
      <c r="C216" s="232">
        <v>68000</v>
      </c>
      <c r="D216" s="229">
        <v>208838.05418524126</v>
      </c>
      <c r="E216" s="232">
        <v>34694.67</v>
      </c>
      <c r="F216" s="232">
        <v>1157768</v>
      </c>
      <c r="G216" s="229">
        <v>114509.47847142143</v>
      </c>
      <c r="H216" s="230">
        <v>2530070.67</v>
      </c>
      <c r="P216" s="247" t="s">
        <v>126</v>
      </c>
      <c r="Q216" s="232">
        <v>1016106</v>
      </c>
      <c r="R216" s="232">
        <v>68000</v>
      </c>
      <c r="S216" s="232">
        <v>148974</v>
      </c>
      <c r="T216" s="232">
        <v>34694.67</v>
      </c>
      <c r="U216" s="232">
        <v>1157768</v>
      </c>
      <c r="V216" s="232">
        <v>104528</v>
      </c>
      <c r="W216" s="230">
        <v>2530070.67</v>
      </c>
    </row>
    <row r="217" spans="1:23" ht="21" customHeight="1" thickBot="1">
      <c r="A217" s="247" t="s">
        <v>127</v>
      </c>
      <c r="B217" s="229">
        <v>1108317.096401409</v>
      </c>
      <c r="C217" s="231">
        <v>140000</v>
      </c>
      <c r="D217" s="229">
        <v>176536.80288894381</v>
      </c>
      <c r="E217" s="231">
        <v>25000</v>
      </c>
      <c r="F217" s="231">
        <v>2162709</v>
      </c>
      <c r="G217" s="229">
        <v>120664.69178961852</v>
      </c>
      <c r="H217" s="230">
        <v>3733228</v>
      </c>
      <c r="P217" s="247" t="s">
        <v>127</v>
      </c>
      <c r="Q217" s="231">
        <v>1108317</v>
      </c>
      <c r="R217" s="231">
        <v>140000</v>
      </c>
      <c r="S217" s="231">
        <v>176537</v>
      </c>
      <c r="T217" s="231">
        <v>25000</v>
      </c>
      <c r="U217" s="231">
        <v>2162709</v>
      </c>
      <c r="V217" s="231">
        <v>120665</v>
      </c>
      <c r="W217" s="230">
        <v>3733228</v>
      </c>
    </row>
    <row r="218" spans="1:23" ht="21" customHeight="1" thickBot="1">
      <c r="A218" s="247" t="s">
        <v>128</v>
      </c>
      <c r="B218" s="229">
        <v>537822.33948183327</v>
      </c>
      <c r="C218" s="231">
        <v>50000</v>
      </c>
      <c r="D218" s="229">
        <v>126353.87389766668</v>
      </c>
      <c r="E218" s="231">
        <v>4200</v>
      </c>
      <c r="F218" s="231">
        <v>384359</v>
      </c>
      <c r="G218" s="229">
        <v>47184.094856533498</v>
      </c>
      <c r="H218" s="230">
        <v>982301</v>
      </c>
      <c r="P218" s="247" t="s">
        <v>128</v>
      </c>
      <c r="Q218" s="231">
        <v>423059</v>
      </c>
      <c r="R218" s="231">
        <v>50000</v>
      </c>
      <c r="S218" s="231">
        <v>80717</v>
      </c>
      <c r="T218" s="231">
        <v>4200</v>
      </c>
      <c r="U218" s="231">
        <v>384359</v>
      </c>
      <c r="V218" s="231">
        <v>39966</v>
      </c>
      <c r="W218" s="230">
        <v>982301</v>
      </c>
    </row>
    <row r="219" spans="1:23" ht="21" customHeight="1" thickBot="1">
      <c r="A219" s="247" t="s">
        <v>129</v>
      </c>
      <c r="B219" s="229">
        <v>958642.66224313586</v>
      </c>
      <c r="C219" s="231">
        <v>0</v>
      </c>
      <c r="D219" s="229">
        <v>259465.09532306288</v>
      </c>
      <c r="E219" s="231">
        <v>0</v>
      </c>
      <c r="F219" s="231">
        <v>1974113</v>
      </c>
      <c r="G219" s="229">
        <v>143649.94708332894</v>
      </c>
      <c r="H219" s="230">
        <v>3082176</v>
      </c>
      <c r="P219" s="247" t="s">
        <v>129</v>
      </c>
      <c r="Q219" s="231">
        <v>807120</v>
      </c>
      <c r="R219" s="231">
        <v>0</v>
      </c>
      <c r="S219" s="231">
        <v>168218</v>
      </c>
      <c r="T219" s="231">
        <v>0</v>
      </c>
      <c r="U219" s="231">
        <v>1974113</v>
      </c>
      <c r="V219" s="231">
        <v>132725</v>
      </c>
      <c r="W219" s="230">
        <v>3082176</v>
      </c>
    </row>
    <row r="220" spans="1:23" ht="21" customHeight="1" thickBot="1">
      <c r="A220" s="247" t="s">
        <v>130</v>
      </c>
      <c r="B220" s="229">
        <v>1045558.7416904059</v>
      </c>
      <c r="C220" s="231">
        <v>70000</v>
      </c>
      <c r="D220" s="229">
        <v>309509.55868468853</v>
      </c>
      <c r="E220" s="231">
        <v>10000</v>
      </c>
      <c r="F220" s="231">
        <v>1817472</v>
      </c>
      <c r="G220" s="229">
        <v>142764.30607567923</v>
      </c>
      <c r="H220" s="230">
        <v>3087125</v>
      </c>
      <c r="P220" s="247" t="s">
        <v>130</v>
      </c>
      <c r="Q220" s="231">
        <v>850069</v>
      </c>
      <c r="R220" s="231">
        <v>70000</v>
      </c>
      <c r="S220" s="231">
        <v>210091</v>
      </c>
      <c r="T220" s="231">
        <v>10000</v>
      </c>
      <c r="U220" s="231">
        <v>1817472</v>
      </c>
      <c r="V220" s="231">
        <v>129493</v>
      </c>
      <c r="W220" s="230">
        <v>3087125</v>
      </c>
    </row>
    <row r="221" spans="1:23" ht="21" customHeight="1" thickBot="1">
      <c r="A221" s="247" t="s">
        <v>131</v>
      </c>
      <c r="B221" s="229">
        <v>4957061.6566753173</v>
      </c>
      <c r="C221" s="233">
        <v>600000</v>
      </c>
      <c r="D221" s="229">
        <v>915103.86402088497</v>
      </c>
      <c r="E221" s="233">
        <v>80611</v>
      </c>
      <c r="F221" s="233">
        <v>3589374.4000000004</v>
      </c>
      <c r="G221" s="229">
        <v>425769.30358290905</v>
      </c>
      <c r="H221" s="230">
        <v>9087911.8000000007</v>
      </c>
      <c r="P221" s="247" t="s">
        <v>131</v>
      </c>
      <c r="Q221" s="233">
        <v>3848080.8000000003</v>
      </c>
      <c r="R221" s="233">
        <v>600000</v>
      </c>
      <c r="S221" s="233">
        <v>607808.80000000005</v>
      </c>
      <c r="T221" s="233">
        <v>80611</v>
      </c>
      <c r="U221" s="233">
        <v>3589374.4000000004</v>
      </c>
      <c r="V221" s="233">
        <v>362036.80000000005</v>
      </c>
      <c r="W221" s="230">
        <v>9087911.8000000007</v>
      </c>
    </row>
    <row r="222" spans="1:23" ht="21" customHeight="1" thickBot="1">
      <c r="A222" s="247" t="s">
        <v>132</v>
      </c>
      <c r="B222" s="229">
        <v>916503.72740338708</v>
      </c>
      <c r="C222" s="231">
        <v>0</v>
      </c>
      <c r="D222" s="229">
        <v>203511.62998091598</v>
      </c>
      <c r="E222" s="231">
        <v>0</v>
      </c>
      <c r="F222" s="231">
        <v>659760</v>
      </c>
      <c r="G222" s="229">
        <v>80089.879449208631</v>
      </c>
      <c r="H222" s="230">
        <v>1555914</v>
      </c>
      <c r="P222" s="247" t="s">
        <v>132</v>
      </c>
      <c r="Q222" s="231">
        <v>700579</v>
      </c>
      <c r="R222" s="231">
        <v>0</v>
      </c>
      <c r="S222" s="231">
        <v>128574</v>
      </c>
      <c r="T222" s="231">
        <v>0</v>
      </c>
      <c r="U222" s="231">
        <v>659760</v>
      </c>
      <c r="V222" s="231">
        <v>67001</v>
      </c>
      <c r="W222" s="230">
        <v>1555914</v>
      </c>
    </row>
    <row r="223" spans="1:23" ht="21" customHeight="1" thickBot="1">
      <c r="A223" s="247" t="s">
        <v>133</v>
      </c>
      <c r="B223" s="229">
        <v>760632.08677101368</v>
      </c>
      <c r="C223" s="231">
        <v>83964</v>
      </c>
      <c r="D223" s="229">
        <v>206757.57520262728</v>
      </c>
      <c r="E223" s="231">
        <v>21423</v>
      </c>
      <c r="F223" s="231">
        <v>775552</v>
      </c>
      <c r="G223" s="229">
        <v>78432.371733313834</v>
      </c>
      <c r="H223" s="230">
        <v>1691821</v>
      </c>
      <c r="P223" s="247" t="s">
        <v>133</v>
      </c>
      <c r="Q223" s="231">
        <v>599743</v>
      </c>
      <c r="R223" s="231">
        <v>83964</v>
      </c>
      <c r="S223" s="231">
        <v>142824</v>
      </c>
      <c r="T223" s="231">
        <v>21423</v>
      </c>
      <c r="U223" s="231">
        <v>775552</v>
      </c>
      <c r="V223" s="231">
        <v>68315</v>
      </c>
      <c r="W223" s="230">
        <v>1691821</v>
      </c>
    </row>
    <row r="224" spans="1:23" ht="21" customHeight="1" thickBot="1">
      <c r="A224" s="247" t="s">
        <v>134</v>
      </c>
      <c r="B224" s="229">
        <v>3900670.7360560582</v>
      </c>
      <c r="C224" s="233">
        <v>0</v>
      </c>
      <c r="D224" s="229">
        <v>1203057.1969424004</v>
      </c>
      <c r="E224" s="233">
        <v>0</v>
      </c>
      <c r="F224" s="233">
        <v>5665056</v>
      </c>
      <c r="G224" s="229">
        <v>484595.29265714326</v>
      </c>
      <c r="H224" s="230">
        <v>10224704</v>
      </c>
      <c r="P224" s="247" t="s">
        <v>134</v>
      </c>
      <c r="Q224" s="233">
        <v>3259270</v>
      </c>
      <c r="R224" s="233">
        <v>0</v>
      </c>
      <c r="S224" s="233">
        <v>860080</v>
      </c>
      <c r="T224" s="233">
        <v>0</v>
      </c>
      <c r="U224" s="233">
        <v>5665056</v>
      </c>
      <c r="V224" s="233">
        <v>440298</v>
      </c>
      <c r="W224" s="230">
        <v>10224704</v>
      </c>
    </row>
    <row r="225" spans="1:23" ht="21" customHeight="1" thickBot="1">
      <c r="A225" s="247" t="s">
        <v>135</v>
      </c>
      <c r="B225" s="229">
        <v>1621826.522337107</v>
      </c>
      <c r="C225" s="231">
        <v>219993</v>
      </c>
      <c r="D225" s="229">
        <v>288737.87482950132</v>
      </c>
      <c r="E225" s="231">
        <v>7955</v>
      </c>
      <c r="F225" s="231">
        <v>1251393</v>
      </c>
      <c r="G225" s="229">
        <v>142288.06677509737</v>
      </c>
      <c r="H225" s="230">
        <v>3147466</v>
      </c>
      <c r="P225" s="247" t="s">
        <v>135</v>
      </c>
      <c r="Q225" s="231">
        <v>1339206</v>
      </c>
      <c r="R225" s="231">
        <v>219993</v>
      </c>
      <c r="S225" s="231">
        <v>203198</v>
      </c>
      <c r="T225" s="231">
        <v>7955</v>
      </c>
      <c r="U225" s="231">
        <v>1251393</v>
      </c>
      <c r="V225" s="231">
        <v>125721</v>
      </c>
      <c r="W225" s="230">
        <v>3147466</v>
      </c>
    </row>
    <row r="226" spans="1:23" ht="21" customHeight="1" thickBot="1">
      <c r="A226" s="247" t="s">
        <v>136</v>
      </c>
      <c r="B226" s="229">
        <v>360451.87572228117</v>
      </c>
      <c r="C226" s="231">
        <v>52000</v>
      </c>
      <c r="D226" s="229">
        <v>93145.490174748717</v>
      </c>
      <c r="E226" s="231">
        <v>20500</v>
      </c>
      <c r="F226" s="231">
        <v>414390</v>
      </c>
      <c r="G226" s="229">
        <v>39059.435092816355</v>
      </c>
      <c r="H226" s="230">
        <v>895980</v>
      </c>
      <c r="P226" s="247" t="s">
        <v>136</v>
      </c>
      <c r="Q226" s="231">
        <v>306551</v>
      </c>
      <c r="R226" s="231">
        <v>52000</v>
      </c>
      <c r="S226" s="231">
        <v>67078</v>
      </c>
      <c r="T226" s="231">
        <v>20500</v>
      </c>
      <c r="U226" s="231">
        <v>414390</v>
      </c>
      <c r="V226" s="231">
        <v>35461</v>
      </c>
      <c r="W226" s="230">
        <v>895980</v>
      </c>
    </row>
    <row r="227" spans="1:23" ht="21" customHeight="1" thickBot="1">
      <c r="A227" s="247" t="s">
        <v>137</v>
      </c>
      <c r="B227" s="229">
        <v>6296527.3124161987</v>
      </c>
      <c r="C227" s="233">
        <v>1000000</v>
      </c>
      <c r="D227" s="229">
        <v>1507722.716544101</v>
      </c>
      <c r="E227" s="233">
        <v>200000</v>
      </c>
      <c r="F227" s="233">
        <v>4384074</v>
      </c>
      <c r="G227" s="229">
        <v>548474.59426024347</v>
      </c>
      <c r="H227" s="230">
        <v>11859099</v>
      </c>
      <c r="P227" s="247" t="s">
        <v>137</v>
      </c>
      <c r="Q227" s="233">
        <v>4784373</v>
      </c>
      <c r="R227" s="233">
        <v>1000000</v>
      </c>
      <c r="S227" s="233">
        <v>1031648</v>
      </c>
      <c r="T227" s="233">
        <v>200000</v>
      </c>
      <c r="U227" s="233">
        <v>4384074</v>
      </c>
      <c r="V227" s="233">
        <v>459004</v>
      </c>
      <c r="W227" s="230">
        <v>11859099</v>
      </c>
    </row>
    <row r="228" spans="1:23" ht="21" customHeight="1" thickBot="1">
      <c r="A228" s="247" t="s">
        <v>138</v>
      </c>
      <c r="B228" s="229">
        <v>856435.31206344534</v>
      </c>
      <c r="C228" s="231">
        <v>0</v>
      </c>
      <c r="D228" s="229">
        <v>129041.35406442772</v>
      </c>
      <c r="E228" s="231">
        <v>0</v>
      </c>
      <c r="F228" s="231">
        <v>685873</v>
      </c>
      <c r="G228" s="229">
        <v>75210.732779394282</v>
      </c>
      <c r="H228" s="230">
        <v>1537274</v>
      </c>
      <c r="P228" s="247" t="s">
        <v>138</v>
      </c>
      <c r="Q228" s="231">
        <v>691202</v>
      </c>
      <c r="R228" s="231">
        <v>0</v>
      </c>
      <c r="S228" s="231">
        <v>94001</v>
      </c>
      <c r="T228" s="231">
        <v>0</v>
      </c>
      <c r="U228" s="231">
        <v>685873</v>
      </c>
      <c r="V228" s="231">
        <v>66198</v>
      </c>
      <c r="W228" s="230">
        <v>1537274</v>
      </c>
    </row>
    <row r="229" spans="1:23" ht="21" customHeight="1" thickBot="1">
      <c r="A229" s="247" t="s">
        <v>139</v>
      </c>
      <c r="B229" s="229">
        <v>5313044.0946733728</v>
      </c>
      <c r="C229" s="233">
        <v>600000</v>
      </c>
      <c r="D229" s="229">
        <v>1326595.8724683416</v>
      </c>
      <c r="E229" s="233">
        <v>0</v>
      </c>
      <c r="F229" s="233">
        <v>8295113</v>
      </c>
      <c r="G229" s="229">
        <v>672063.88050079718</v>
      </c>
      <c r="H229" s="230">
        <v>14902916</v>
      </c>
      <c r="P229" s="247" t="s">
        <v>139</v>
      </c>
      <c r="Q229" s="233">
        <v>4463774</v>
      </c>
      <c r="R229" s="233">
        <v>600000</v>
      </c>
      <c r="S229" s="233">
        <v>928114</v>
      </c>
      <c r="T229" s="233">
        <v>0</v>
      </c>
      <c r="U229" s="233">
        <v>8295113</v>
      </c>
      <c r="V229" s="233">
        <v>615915</v>
      </c>
      <c r="W229" s="230">
        <v>14902916</v>
      </c>
    </row>
    <row r="230" spans="1:23" ht="21" customHeight="1" thickBot="1">
      <c r="A230" s="247" t="s">
        <v>140</v>
      </c>
      <c r="B230" s="229">
        <v>330655.62422744284</v>
      </c>
      <c r="C230" s="231">
        <v>0</v>
      </c>
      <c r="D230" s="229">
        <v>82445.08071076544</v>
      </c>
      <c r="E230" s="231">
        <v>0</v>
      </c>
      <c r="F230" s="231">
        <v>593328</v>
      </c>
      <c r="G230" s="229">
        <v>45289.310463459369</v>
      </c>
      <c r="H230" s="230">
        <v>968563</v>
      </c>
      <c r="P230" s="247" t="s">
        <v>140</v>
      </c>
      <c r="Q230" s="231">
        <v>276324</v>
      </c>
      <c r="R230" s="231">
        <v>0</v>
      </c>
      <c r="S230" s="231">
        <v>57203</v>
      </c>
      <c r="T230" s="231">
        <v>0</v>
      </c>
      <c r="U230" s="231">
        <v>593328</v>
      </c>
      <c r="V230" s="231">
        <v>41708</v>
      </c>
      <c r="W230" s="230">
        <v>968563</v>
      </c>
    </row>
    <row r="231" spans="1:23" ht="21" customHeight="1" thickBot="1">
      <c r="A231" s="247" t="s">
        <v>141</v>
      </c>
      <c r="B231" s="229">
        <v>69938.423647606804</v>
      </c>
      <c r="C231" s="231">
        <v>0</v>
      </c>
      <c r="D231" s="229">
        <v>22274.54576141476</v>
      </c>
      <c r="E231" s="231">
        <v>0</v>
      </c>
      <c r="F231" s="231">
        <v>107076</v>
      </c>
      <c r="G231" s="229">
        <v>8968.0236995259693</v>
      </c>
      <c r="H231" s="230">
        <v>190177</v>
      </c>
      <c r="P231" s="247" t="s">
        <v>141</v>
      </c>
      <c r="Q231" s="231">
        <v>61412</v>
      </c>
      <c r="R231" s="231">
        <v>0</v>
      </c>
      <c r="S231" s="231">
        <v>13500</v>
      </c>
      <c r="T231" s="231">
        <v>0</v>
      </c>
      <c r="U231" s="231">
        <v>107076</v>
      </c>
      <c r="V231" s="231">
        <v>8189</v>
      </c>
      <c r="W231" s="230">
        <v>190177</v>
      </c>
    </row>
    <row r="232" spans="1:23" ht="21" customHeight="1" thickBot="1">
      <c r="A232" s="247" t="s">
        <v>142</v>
      </c>
      <c r="B232" s="229">
        <v>3302831.7108375733</v>
      </c>
      <c r="C232" s="233">
        <v>0</v>
      </c>
      <c r="D232" s="229">
        <v>848210.03895671945</v>
      </c>
      <c r="E232" s="233">
        <v>0</v>
      </c>
      <c r="F232" s="233">
        <v>4482898</v>
      </c>
      <c r="G232" s="229">
        <v>388527.29280460317</v>
      </c>
      <c r="H232" s="230">
        <v>8293119</v>
      </c>
      <c r="P232" s="247" t="s">
        <v>142</v>
      </c>
      <c r="Q232" s="233">
        <v>2850579</v>
      </c>
      <c r="R232" s="233">
        <v>0</v>
      </c>
      <c r="S232" s="233">
        <v>602522</v>
      </c>
      <c r="T232" s="233">
        <v>0</v>
      </c>
      <c r="U232" s="233">
        <v>4482898</v>
      </c>
      <c r="V232" s="233">
        <v>357120</v>
      </c>
      <c r="W232" s="230">
        <v>8293119</v>
      </c>
    </row>
    <row r="233" spans="1:23" ht="21" customHeight="1" thickBot="1">
      <c r="A233" s="247" t="s">
        <v>143</v>
      </c>
      <c r="B233" s="229">
        <v>19116778.354896735</v>
      </c>
      <c r="C233" s="234">
        <v>2916777.6153120385</v>
      </c>
      <c r="D233" s="229">
        <v>3529812.6657836288</v>
      </c>
      <c r="E233" s="234">
        <v>290779.50842432189</v>
      </c>
      <c r="F233" s="234">
        <v>23669330.831388</v>
      </c>
      <c r="G233" s="229">
        <v>1912014.7295731464</v>
      </c>
      <c r="H233" s="230">
        <v>43356920.799392886</v>
      </c>
      <c r="P233" s="247" t="s">
        <v>143</v>
      </c>
      <c r="Q233" s="234">
        <v>13056677.643067531</v>
      </c>
      <c r="R233" s="234">
        <v>2916777.6153120385</v>
      </c>
      <c r="S233" s="234">
        <v>1702985.7967009917</v>
      </c>
      <c r="T233" s="234">
        <v>290779.50842432189</v>
      </c>
      <c r="U233" s="234">
        <v>23669330.831388</v>
      </c>
      <c r="V233" s="234">
        <v>1720369.4044999999</v>
      </c>
      <c r="W233" s="230">
        <v>43356920.799392886</v>
      </c>
    </row>
    <row r="234" spans="1:23" ht="21" customHeight="1" thickBot="1">
      <c r="A234" s="247" t="s">
        <v>144</v>
      </c>
      <c r="B234" s="229">
        <v>469911.71628318058</v>
      </c>
      <c r="C234" s="231">
        <v>53060</v>
      </c>
      <c r="D234" s="229">
        <v>79574.041631767584</v>
      </c>
      <c r="E234" s="231">
        <v>7758</v>
      </c>
      <c r="F234" s="231">
        <v>519542</v>
      </c>
      <c r="G234" s="229">
        <v>48106.262427072666</v>
      </c>
      <c r="H234" s="230">
        <v>1067730</v>
      </c>
      <c r="P234" s="247" t="s">
        <v>144</v>
      </c>
      <c r="Q234" s="231">
        <v>386427</v>
      </c>
      <c r="R234" s="231">
        <v>53060</v>
      </c>
      <c r="S234" s="231">
        <v>57583</v>
      </c>
      <c r="T234" s="231">
        <v>7758</v>
      </c>
      <c r="U234" s="231">
        <v>519542</v>
      </c>
      <c r="V234" s="231">
        <v>43360</v>
      </c>
      <c r="W234" s="230">
        <v>1067730</v>
      </c>
    </row>
    <row r="235" spans="1:23" ht="21" customHeight="1" thickBot="1">
      <c r="A235" s="247" t="s">
        <v>145</v>
      </c>
      <c r="B235" s="229">
        <v>245612.15641925824</v>
      </c>
      <c r="C235" s="231">
        <v>17006</v>
      </c>
      <c r="D235" s="229">
        <v>94102.946143046574</v>
      </c>
      <c r="E235" s="231">
        <v>5391</v>
      </c>
      <c r="F235" s="231">
        <v>385988</v>
      </c>
      <c r="G235" s="229">
        <v>32656.631975563709</v>
      </c>
      <c r="H235" s="230">
        <v>695143</v>
      </c>
      <c r="P235" s="247" t="s">
        <v>145</v>
      </c>
      <c r="Q235" s="231">
        <v>196278</v>
      </c>
      <c r="R235" s="231">
        <v>17006</v>
      </c>
      <c r="S235" s="231">
        <v>61510</v>
      </c>
      <c r="T235" s="231">
        <v>5391</v>
      </c>
      <c r="U235" s="231">
        <v>385988</v>
      </c>
      <c r="V235" s="231">
        <v>28970</v>
      </c>
      <c r="W235" s="230">
        <v>695143</v>
      </c>
    </row>
    <row r="236" spans="1:23" ht="21" customHeight="1" thickBot="1">
      <c r="A236" s="247" t="s">
        <v>226</v>
      </c>
      <c r="B236" s="231">
        <v>14940220.712096153</v>
      </c>
      <c r="C236" s="231">
        <v>1752413.3741660863</v>
      </c>
      <c r="D236" s="231">
        <v>3228872.8372767307</v>
      </c>
      <c r="E236" s="231">
        <v>243994.75</v>
      </c>
      <c r="F236" s="231">
        <v>16988581.439348515</v>
      </c>
      <c r="G236" s="231">
        <v>1530428.3250105774</v>
      </c>
      <c r="H236" s="230">
        <v>33924145.095848955</v>
      </c>
      <c r="P236" s="247" t="s">
        <v>226</v>
      </c>
      <c r="Q236" s="231">
        <v>11569170.450476624</v>
      </c>
      <c r="R236" s="231">
        <v>1752413.3741660863</v>
      </c>
      <c r="S236" s="231">
        <v>2037792.8715281086</v>
      </c>
      <c r="T236" s="231">
        <v>243994.75</v>
      </c>
      <c r="U236" s="231">
        <v>16988581.439348515</v>
      </c>
      <c r="V236" s="231">
        <v>1332192.2103296244</v>
      </c>
      <c r="W236" s="230">
        <v>33924145.095848955</v>
      </c>
    </row>
    <row r="237" spans="1:23" ht="16.5" customHeight="1">
      <c r="B237" s="94">
        <f>SUM(B209:B236)</f>
        <v>74701103.560480759</v>
      </c>
      <c r="D237" s="94">
        <f>SUM(D209:D236)</f>
        <v>16144364.186383652</v>
      </c>
      <c r="G237" s="94">
        <f>SUM(G209:G236)</f>
        <v>7652141.6250528879</v>
      </c>
    </row>
    <row r="240" spans="1:23">
      <c r="A240" s="240" t="s">
        <v>227</v>
      </c>
      <c r="B240" s="240" t="s">
        <v>148</v>
      </c>
      <c r="C240" s="240" t="s">
        <v>149</v>
      </c>
      <c r="D240" s="240" t="s">
        <v>150</v>
      </c>
      <c r="E240" s="240" t="s">
        <v>151</v>
      </c>
      <c r="F240" s="240" t="s">
        <v>152</v>
      </c>
      <c r="G240" s="240" t="s">
        <v>153</v>
      </c>
      <c r="H240" s="240" t="s">
        <v>154</v>
      </c>
      <c r="I240" s="240" t="s">
        <v>155</v>
      </c>
      <c r="J240" s="240" t="s">
        <v>156</v>
      </c>
      <c r="K240" s="240" t="s">
        <v>157</v>
      </c>
      <c r="L240" s="240" t="s">
        <v>158</v>
      </c>
      <c r="M240" s="240" t="s">
        <v>159</v>
      </c>
      <c r="N240" s="240" t="s">
        <v>401</v>
      </c>
      <c r="O240" s="241" t="s">
        <v>402</v>
      </c>
    </row>
    <row r="241" spans="1:15">
      <c r="A241" s="242" t="s">
        <v>119</v>
      </c>
      <c r="B241" s="235">
        <f>AF5</f>
        <v>19383.816000000003</v>
      </c>
      <c r="C241" s="235">
        <f t="shared" ref="C241:L241" si="78">AG5</f>
        <v>36502.608000000007</v>
      </c>
      <c r="D241" s="235">
        <f t="shared" si="78"/>
        <v>47791.744000000006</v>
      </c>
      <c r="E241" s="235">
        <f t="shared" si="78"/>
        <v>62046.576000000008</v>
      </c>
      <c r="F241" s="235">
        <f t="shared" si="78"/>
        <v>0</v>
      </c>
      <c r="G241" s="235">
        <f t="shared" si="78"/>
        <v>0</v>
      </c>
      <c r="H241" s="235">
        <f t="shared" si="78"/>
        <v>0</v>
      </c>
      <c r="I241" s="235">
        <f t="shared" si="78"/>
        <v>0</v>
      </c>
      <c r="J241" s="235">
        <f t="shared" si="78"/>
        <v>0</v>
      </c>
      <c r="K241" s="235">
        <f t="shared" si="78"/>
        <v>0</v>
      </c>
      <c r="L241" s="235">
        <f t="shared" si="78"/>
        <v>0</v>
      </c>
      <c r="M241" s="235">
        <f>AQ5</f>
        <v>0</v>
      </c>
      <c r="N241" s="235" t="s">
        <v>210</v>
      </c>
      <c r="O241" s="100" t="s">
        <v>284</v>
      </c>
    </row>
    <row r="242" spans="1:15">
      <c r="A242" s="242" t="s">
        <v>120</v>
      </c>
      <c r="B242" s="235">
        <f t="shared" ref="B242:B267" si="79">AF6</f>
        <v>77172.271999999997</v>
      </c>
      <c r="C242" s="235">
        <f t="shared" ref="C242:C267" si="80">AG6</f>
        <v>171296.44</v>
      </c>
      <c r="D242" s="235">
        <f t="shared" ref="D242:D267" si="81">AH6</f>
        <v>204189.736</v>
      </c>
      <c r="E242" s="235">
        <f t="shared" ref="E242:E267" si="82">AI6</f>
        <v>243955.48800000001</v>
      </c>
      <c r="F242" s="235">
        <f t="shared" ref="F242:F267" si="83">AJ6</f>
        <v>0</v>
      </c>
      <c r="G242" s="235">
        <f t="shared" ref="G242:G267" si="84">AK6</f>
        <v>0</v>
      </c>
      <c r="H242" s="235">
        <f t="shared" ref="H242:H267" si="85">AL6</f>
        <v>0</v>
      </c>
      <c r="I242" s="235">
        <f t="shared" ref="I242:I267" si="86">AM6</f>
        <v>0</v>
      </c>
      <c r="J242" s="235">
        <f t="shared" ref="J242:J267" si="87">AN6</f>
        <v>0</v>
      </c>
      <c r="K242" s="235">
        <f t="shared" ref="K242:K267" si="88">AO6</f>
        <v>0</v>
      </c>
      <c r="L242" s="235">
        <f t="shared" ref="L242:M257" si="89">AP6</f>
        <v>0</v>
      </c>
      <c r="M242" s="235">
        <f t="shared" si="89"/>
        <v>0</v>
      </c>
      <c r="N242" s="235" t="s">
        <v>210</v>
      </c>
      <c r="O242" s="100" t="s">
        <v>284</v>
      </c>
    </row>
    <row r="243" spans="1:15">
      <c r="A243" s="242" t="s">
        <v>121</v>
      </c>
      <c r="B243" s="235">
        <f t="shared" si="79"/>
        <v>15131.472000000002</v>
      </c>
      <c r="C243" s="235">
        <f t="shared" si="80"/>
        <v>34378.784</v>
      </c>
      <c r="D243" s="235">
        <f t="shared" si="81"/>
        <v>46574.376000000004</v>
      </c>
      <c r="E243" s="235">
        <f t="shared" si="82"/>
        <v>58709.056000000004</v>
      </c>
      <c r="F243" s="235">
        <f t="shared" si="83"/>
        <v>0</v>
      </c>
      <c r="G243" s="235">
        <f t="shared" si="84"/>
        <v>0</v>
      </c>
      <c r="H243" s="235">
        <f t="shared" si="85"/>
        <v>0</v>
      </c>
      <c r="I243" s="235">
        <f t="shared" si="86"/>
        <v>0</v>
      </c>
      <c r="J243" s="235">
        <f t="shared" si="87"/>
        <v>0</v>
      </c>
      <c r="K243" s="235">
        <f t="shared" si="88"/>
        <v>0</v>
      </c>
      <c r="L243" s="235">
        <f t="shared" si="89"/>
        <v>0</v>
      </c>
      <c r="M243" s="235">
        <f t="shared" ref="M243:M267" si="90">AQ7</f>
        <v>0</v>
      </c>
      <c r="N243" s="235" t="s">
        <v>210</v>
      </c>
      <c r="O243" s="100" t="s">
        <v>284</v>
      </c>
    </row>
    <row r="244" spans="1:15">
      <c r="A244" s="242" t="s">
        <v>122</v>
      </c>
      <c r="B244" s="235">
        <f t="shared" si="79"/>
        <v>51521.832000000002</v>
      </c>
      <c r="C244" s="235">
        <f t="shared" si="80"/>
        <v>109544.736</v>
      </c>
      <c r="D244" s="235">
        <f t="shared" si="81"/>
        <v>152062.76800000001</v>
      </c>
      <c r="E244" s="235">
        <f t="shared" si="82"/>
        <v>200498.22400000002</v>
      </c>
      <c r="F244" s="235">
        <f t="shared" si="83"/>
        <v>0</v>
      </c>
      <c r="G244" s="235">
        <f t="shared" si="84"/>
        <v>0</v>
      </c>
      <c r="H244" s="235">
        <f t="shared" si="85"/>
        <v>0</v>
      </c>
      <c r="I244" s="235">
        <f t="shared" si="86"/>
        <v>0</v>
      </c>
      <c r="J244" s="235">
        <f t="shared" si="87"/>
        <v>0</v>
      </c>
      <c r="K244" s="235">
        <f t="shared" si="88"/>
        <v>0</v>
      </c>
      <c r="L244" s="235">
        <f t="shared" si="89"/>
        <v>0</v>
      </c>
      <c r="M244" s="235">
        <f t="shared" si="90"/>
        <v>0</v>
      </c>
      <c r="N244" s="235" t="s">
        <v>210</v>
      </c>
      <c r="O244" s="100" t="s">
        <v>284</v>
      </c>
    </row>
    <row r="245" spans="1:15">
      <c r="A245" s="242" t="s">
        <v>123</v>
      </c>
      <c r="B245" s="235">
        <f t="shared" si="79"/>
        <v>190410.25600000002</v>
      </c>
      <c r="C245" s="235">
        <f t="shared" si="80"/>
        <v>488379.97600000002</v>
      </c>
      <c r="D245" s="235">
        <f t="shared" si="81"/>
        <v>588877.08799999999</v>
      </c>
      <c r="E245" s="235">
        <f t="shared" si="82"/>
        <v>699548.81599999999</v>
      </c>
      <c r="F245" s="235">
        <f t="shared" si="83"/>
        <v>0</v>
      </c>
      <c r="G245" s="235">
        <f t="shared" si="84"/>
        <v>0</v>
      </c>
      <c r="H245" s="235">
        <f t="shared" si="85"/>
        <v>0</v>
      </c>
      <c r="I245" s="235">
        <f t="shared" si="86"/>
        <v>0</v>
      </c>
      <c r="J245" s="235">
        <f t="shared" si="87"/>
        <v>0</v>
      </c>
      <c r="K245" s="235">
        <f t="shared" si="88"/>
        <v>0</v>
      </c>
      <c r="L245" s="235">
        <f t="shared" si="89"/>
        <v>0</v>
      </c>
      <c r="M245" s="235">
        <f t="shared" si="90"/>
        <v>0</v>
      </c>
      <c r="N245" s="235" t="s">
        <v>210</v>
      </c>
      <c r="O245" s="100" t="s">
        <v>284</v>
      </c>
    </row>
    <row r="246" spans="1:15">
      <c r="A246" s="242" t="s">
        <v>124</v>
      </c>
      <c r="B246" s="235">
        <f t="shared" si="79"/>
        <v>127077.12800000001</v>
      </c>
      <c r="C246" s="235">
        <f t="shared" si="80"/>
        <v>271001.96799999999</v>
      </c>
      <c r="D246" s="235">
        <f t="shared" si="81"/>
        <v>331939.63199999998</v>
      </c>
      <c r="E246" s="235">
        <f t="shared" si="82"/>
        <v>393609.39199999999</v>
      </c>
      <c r="F246" s="235">
        <f t="shared" si="83"/>
        <v>0</v>
      </c>
      <c r="G246" s="235">
        <f t="shared" si="84"/>
        <v>0</v>
      </c>
      <c r="H246" s="235">
        <f t="shared" si="85"/>
        <v>0</v>
      </c>
      <c r="I246" s="235">
        <f t="shared" si="86"/>
        <v>0</v>
      </c>
      <c r="J246" s="235">
        <f t="shared" si="87"/>
        <v>0</v>
      </c>
      <c r="K246" s="235">
        <f t="shared" si="88"/>
        <v>0</v>
      </c>
      <c r="L246" s="235">
        <f t="shared" si="89"/>
        <v>0</v>
      </c>
      <c r="M246" s="235">
        <f t="shared" si="90"/>
        <v>0</v>
      </c>
      <c r="N246" s="235" t="s">
        <v>210</v>
      </c>
      <c r="O246" s="100" t="s">
        <v>284</v>
      </c>
    </row>
    <row r="247" spans="1:15">
      <c r="A247" s="242" t="s">
        <v>125</v>
      </c>
      <c r="B247" s="235">
        <f t="shared" si="79"/>
        <v>226747.55200000003</v>
      </c>
      <c r="C247" s="235">
        <f t="shared" si="80"/>
        <v>548285.99200000009</v>
      </c>
      <c r="D247" s="235">
        <f t="shared" si="81"/>
        <v>673134.42400000012</v>
      </c>
      <c r="E247" s="235">
        <f t="shared" si="82"/>
        <v>796306.70400000014</v>
      </c>
      <c r="F247" s="235">
        <f t="shared" si="83"/>
        <v>0</v>
      </c>
      <c r="G247" s="235">
        <f t="shared" si="84"/>
        <v>0</v>
      </c>
      <c r="H247" s="235">
        <f t="shared" si="85"/>
        <v>0</v>
      </c>
      <c r="I247" s="235">
        <f t="shared" si="86"/>
        <v>0</v>
      </c>
      <c r="J247" s="235">
        <f t="shared" si="87"/>
        <v>0</v>
      </c>
      <c r="K247" s="235">
        <f t="shared" si="88"/>
        <v>0</v>
      </c>
      <c r="L247" s="235">
        <f t="shared" si="89"/>
        <v>0</v>
      </c>
      <c r="M247" s="235">
        <f t="shared" si="90"/>
        <v>0</v>
      </c>
      <c r="N247" s="235" t="s">
        <v>210</v>
      </c>
      <c r="O247" s="100" t="s">
        <v>284</v>
      </c>
    </row>
    <row r="248" spans="1:15">
      <c r="A248" s="242" t="s">
        <v>126</v>
      </c>
      <c r="B248" s="235">
        <f t="shared" si="79"/>
        <v>153224.20800000001</v>
      </c>
      <c r="C248" s="235">
        <f t="shared" si="80"/>
        <v>410054.70400000003</v>
      </c>
      <c r="D248" s="235">
        <f t="shared" si="81"/>
        <v>499322.55200000003</v>
      </c>
      <c r="E248" s="235">
        <f t="shared" si="82"/>
        <v>583863.72</v>
      </c>
      <c r="F248" s="235">
        <f t="shared" si="83"/>
        <v>0</v>
      </c>
      <c r="G248" s="235">
        <f t="shared" si="84"/>
        <v>0</v>
      </c>
      <c r="H248" s="235">
        <f t="shared" si="85"/>
        <v>0</v>
      </c>
      <c r="I248" s="235">
        <f t="shared" si="86"/>
        <v>0</v>
      </c>
      <c r="J248" s="235">
        <f t="shared" si="87"/>
        <v>0</v>
      </c>
      <c r="K248" s="235">
        <f t="shared" si="88"/>
        <v>0</v>
      </c>
      <c r="L248" s="235">
        <f t="shared" si="89"/>
        <v>0</v>
      </c>
      <c r="M248" s="235">
        <f t="shared" si="90"/>
        <v>0</v>
      </c>
      <c r="N248" s="235" t="s">
        <v>210</v>
      </c>
      <c r="O248" s="100" t="s">
        <v>284</v>
      </c>
    </row>
    <row r="249" spans="1:15">
      <c r="A249" s="242" t="s">
        <v>127</v>
      </c>
      <c r="B249" s="235">
        <f t="shared" si="79"/>
        <v>142923.17600000001</v>
      </c>
      <c r="C249" s="235">
        <f t="shared" si="80"/>
        <v>343011.64800000004</v>
      </c>
      <c r="D249" s="235">
        <f t="shared" si="81"/>
        <v>432961.79200000002</v>
      </c>
      <c r="E249" s="235">
        <f t="shared" si="82"/>
        <v>534076.53600000008</v>
      </c>
      <c r="F249" s="235">
        <f t="shared" si="83"/>
        <v>0</v>
      </c>
      <c r="G249" s="235">
        <f t="shared" si="84"/>
        <v>0</v>
      </c>
      <c r="H249" s="235">
        <f t="shared" si="85"/>
        <v>0</v>
      </c>
      <c r="I249" s="235">
        <f t="shared" si="86"/>
        <v>0</v>
      </c>
      <c r="J249" s="235">
        <f t="shared" si="87"/>
        <v>0</v>
      </c>
      <c r="K249" s="235">
        <f t="shared" si="88"/>
        <v>0</v>
      </c>
      <c r="L249" s="235">
        <f t="shared" si="89"/>
        <v>0</v>
      </c>
      <c r="M249" s="235">
        <f t="shared" si="90"/>
        <v>0</v>
      </c>
      <c r="N249" s="235" t="s">
        <v>210</v>
      </c>
      <c r="O249" s="100" t="s">
        <v>284</v>
      </c>
    </row>
    <row r="250" spans="1:15">
      <c r="A250" s="242" t="s">
        <v>128</v>
      </c>
      <c r="B250" s="235">
        <f t="shared" si="79"/>
        <v>46236.048000000003</v>
      </c>
      <c r="C250" s="235">
        <f t="shared" si="80"/>
        <v>107895.19200000001</v>
      </c>
      <c r="D250" s="235">
        <f t="shared" si="81"/>
        <v>136654.08000000002</v>
      </c>
      <c r="E250" s="235">
        <f t="shared" si="82"/>
        <v>168910.94400000002</v>
      </c>
      <c r="F250" s="235">
        <f t="shared" si="83"/>
        <v>0</v>
      </c>
      <c r="G250" s="235">
        <f t="shared" si="84"/>
        <v>0</v>
      </c>
      <c r="H250" s="235">
        <f t="shared" si="85"/>
        <v>0</v>
      </c>
      <c r="I250" s="235">
        <f t="shared" si="86"/>
        <v>0</v>
      </c>
      <c r="J250" s="235">
        <f t="shared" si="87"/>
        <v>0</v>
      </c>
      <c r="K250" s="235">
        <f t="shared" si="88"/>
        <v>0</v>
      </c>
      <c r="L250" s="235">
        <f t="shared" si="89"/>
        <v>0</v>
      </c>
      <c r="M250" s="235">
        <f t="shared" si="90"/>
        <v>0</v>
      </c>
      <c r="N250" s="235" t="s">
        <v>210</v>
      </c>
      <c r="O250" s="100" t="s">
        <v>284</v>
      </c>
    </row>
    <row r="251" spans="1:15">
      <c r="A251" s="242" t="s">
        <v>129</v>
      </c>
      <c r="B251" s="235">
        <f t="shared" si="79"/>
        <v>96164.423999999999</v>
      </c>
      <c r="C251" s="235">
        <f t="shared" si="80"/>
        <v>225395.80800000002</v>
      </c>
      <c r="D251" s="235">
        <f t="shared" si="81"/>
        <v>294061.95200000005</v>
      </c>
      <c r="E251" s="235">
        <f t="shared" si="82"/>
        <v>368076.12800000003</v>
      </c>
      <c r="F251" s="235">
        <f t="shared" si="83"/>
        <v>0</v>
      </c>
      <c r="G251" s="235">
        <f t="shared" si="84"/>
        <v>0</v>
      </c>
      <c r="H251" s="235">
        <f t="shared" si="85"/>
        <v>0</v>
      </c>
      <c r="I251" s="235">
        <f t="shared" si="86"/>
        <v>0</v>
      </c>
      <c r="J251" s="235">
        <f t="shared" si="87"/>
        <v>0</v>
      </c>
      <c r="K251" s="235">
        <f t="shared" si="88"/>
        <v>0</v>
      </c>
      <c r="L251" s="235">
        <f t="shared" si="89"/>
        <v>0</v>
      </c>
      <c r="M251" s="235">
        <f t="shared" si="90"/>
        <v>0</v>
      </c>
      <c r="N251" s="235" t="s">
        <v>210</v>
      </c>
      <c r="O251" s="100" t="s">
        <v>284</v>
      </c>
    </row>
    <row r="252" spans="1:15">
      <c r="A252" s="242" t="s">
        <v>130</v>
      </c>
      <c r="B252" s="235">
        <f t="shared" si="79"/>
        <v>137175.81599999999</v>
      </c>
      <c r="C252" s="235">
        <f t="shared" si="80"/>
        <v>263160.03999999998</v>
      </c>
      <c r="D252" s="235">
        <f t="shared" si="81"/>
        <v>310728.07199999999</v>
      </c>
      <c r="E252" s="235">
        <f t="shared" si="82"/>
        <v>373195.21600000001</v>
      </c>
      <c r="F252" s="235">
        <f t="shared" si="83"/>
        <v>0</v>
      </c>
      <c r="G252" s="235">
        <f t="shared" si="84"/>
        <v>0</v>
      </c>
      <c r="H252" s="235">
        <f t="shared" si="85"/>
        <v>0</v>
      </c>
      <c r="I252" s="235">
        <f t="shared" si="86"/>
        <v>0</v>
      </c>
      <c r="J252" s="235">
        <f t="shared" si="87"/>
        <v>0</v>
      </c>
      <c r="K252" s="235">
        <f t="shared" si="88"/>
        <v>0</v>
      </c>
      <c r="L252" s="235">
        <f t="shared" si="89"/>
        <v>0</v>
      </c>
      <c r="M252" s="235">
        <f t="shared" si="90"/>
        <v>0</v>
      </c>
      <c r="N252" s="235" t="s">
        <v>210</v>
      </c>
      <c r="O252" s="100" t="s">
        <v>284</v>
      </c>
    </row>
    <row r="253" spans="1:15">
      <c r="A253" s="242" t="s">
        <v>131</v>
      </c>
      <c r="B253" s="235">
        <f t="shared" si="79"/>
        <v>763502.576</v>
      </c>
      <c r="C253" s="235">
        <f t="shared" si="80"/>
        <v>1439008.328</v>
      </c>
      <c r="D253" s="235">
        <f t="shared" si="81"/>
        <v>1703145.68</v>
      </c>
      <c r="E253" s="235">
        <f t="shared" si="82"/>
        <v>2007039.7119999998</v>
      </c>
      <c r="F253" s="235">
        <f t="shared" si="83"/>
        <v>0</v>
      </c>
      <c r="G253" s="235">
        <f t="shared" si="84"/>
        <v>0</v>
      </c>
      <c r="H253" s="235">
        <f t="shared" si="85"/>
        <v>0</v>
      </c>
      <c r="I253" s="235">
        <f t="shared" si="86"/>
        <v>0</v>
      </c>
      <c r="J253" s="235">
        <f t="shared" si="87"/>
        <v>0</v>
      </c>
      <c r="K253" s="235">
        <f t="shared" si="88"/>
        <v>0</v>
      </c>
      <c r="L253" s="235">
        <f t="shared" si="89"/>
        <v>0</v>
      </c>
      <c r="M253" s="235">
        <f t="shared" si="90"/>
        <v>0</v>
      </c>
      <c r="N253" s="235" t="s">
        <v>210</v>
      </c>
      <c r="O253" s="100" t="s">
        <v>284</v>
      </c>
    </row>
    <row r="254" spans="1:15">
      <c r="A254" s="242" t="s">
        <v>132</v>
      </c>
      <c r="B254" s="235">
        <f t="shared" si="79"/>
        <v>81777.952000000005</v>
      </c>
      <c r="C254" s="235">
        <f t="shared" si="80"/>
        <v>183327.83199999999</v>
      </c>
      <c r="D254" s="235">
        <f t="shared" si="81"/>
        <v>229739.72</v>
      </c>
      <c r="E254" s="235">
        <f t="shared" si="82"/>
        <v>280469.84000000003</v>
      </c>
      <c r="F254" s="235">
        <f t="shared" si="83"/>
        <v>0</v>
      </c>
      <c r="G254" s="235">
        <f t="shared" si="84"/>
        <v>0</v>
      </c>
      <c r="H254" s="235">
        <f t="shared" si="85"/>
        <v>0</v>
      </c>
      <c r="I254" s="235">
        <f t="shared" si="86"/>
        <v>0</v>
      </c>
      <c r="J254" s="235">
        <f t="shared" si="87"/>
        <v>0</v>
      </c>
      <c r="K254" s="235">
        <f t="shared" si="88"/>
        <v>0</v>
      </c>
      <c r="L254" s="235">
        <f t="shared" si="89"/>
        <v>0</v>
      </c>
      <c r="M254" s="235">
        <f t="shared" si="90"/>
        <v>0</v>
      </c>
      <c r="N254" s="235" t="s">
        <v>210</v>
      </c>
      <c r="O254" s="100" t="s">
        <v>284</v>
      </c>
    </row>
    <row r="255" spans="1:15">
      <c r="A255" s="242" t="s">
        <v>133</v>
      </c>
      <c r="B255" s="235">
        <f t="shared" si="79"/>
        <v>87059.088000000003</v>
      </c>
      <c r="C255" s="235">
        <f t="shared" si="80"/>
        <v>194128</v>
      </c>
      <c r="D255" s="235">
        <f t="shared" si="81"/>
        <v>238285.18400000001</v>
      </c>
      <c r="E255" s="235">
        <f t="shared" si="82"/>
        <v>288798.68</v>
      </c>
      <c r="F255" s="235">
        <f t="shared" si="83"/>
        <v>0</v>
      </c>
      <c r="G255" s="235">
        <f t="shared" si="84"/>
        <v>0</v>
      </c>
      <c r="H255" s="235">
        <f t="shared" si="85"/>
        <v>0</v>
      </c>
      <c r="I255" s="235">
        <f t="shared" si="86"/>
        <v>0</v>
      </c>
      <c r="J255" s="235">
        <f t="shared" si="87"/>
        <v>0</v>
      </c>
      <c r="K255" s="235">
        <f t="shared" si="88"/>
        <v>0</v>
      </c>
      <c r="L255" s="235">
        <f t="shared" si="89"/>
        <v>0</v>
      </c>
      <c r="M255" s="235">
        <f t="shared" si="90"/>
        <v>0</v>
      </c>
      <c r="N255" s="235" t="s">
        <v>210</v>
      </c>
      <c r="O255" s="100" t="s">
        <v>284</v>
      </c>
    </row>
    <row r="256" spans="1:15">
      <c r="A256" s="242" t="s">
        <v>134</v>
      </c>
      <c r="B256" s="235">
        <f t="shared" si="79"/>
        <v>639004.70400000003</v>
      </c>
      <c r="C256" s="235">
        <f t="shared" si="80"/>
        <v>1239356.496</v>
      </c>
      <c r="D256" s="235">
        <f t="shared" si="81"/>
        <v>1488718.7120000001</v>
      </c>
      <c r="E256" s="235">
        <f t="shared" si="82"/>
        <v>1786485.4080000001</v>
      </c>
      <c r="F256" s="235">
        <f t="shared" si="83"/>
        <v>0</v>
      </c>
      <c r="G256" s="235">
        <f t="shared" si="84"/>
        <v>0</v>
      </c>
      <c r="H256" s="235">
        <f t="shared" si="85"/>
        <v>0</v>
      </c>
      <c r="I256" s="235">
        <f t="shared" si="86"/>
        <v>0</v>
      </c>
      <c r="J256" s="235">
        <f t="shared" si="87"/>
        <v>0</v>
      </c>
      <c r="K256" s="235">
        <f t="shared" si="88"/>
        <v>0</v>
      </c>
      <c r="L256" s="235">
        <f t="shared" si="89"/>
        <v>0</v>
      </c>
      <c r="M256" s="235">
        <f t="shared" si="90"/>
        <v>0</v>
      </c>
      <c r="N256" s="235" t="s">
        <v>210</v>
      </c>
      <c r="O256" s="100" t="s">
        <v>284</v>
      </c>
    </row>
    <row r="257" spans="1:15">
      <c r="A257" s="242" t="s">
        <v>135</v>
      </c>
      <c r="B257" s="235">
        <f t="shared" si="79"/>
        <v>187568.74400000001</v>
      </c>
      <c r="C257" s="235">
        <f t="shared" si="80"/>
        <v>427938.18400000001</v>
      </c>
      <c r="D257" s="235">
        <f t="shared" si="81"/>
        <v>536777.49600000004</v>
      </c>
      <c r="E257" s="235">
        <f t="shared" si="82"/>
        <v>648099.57600000012</v>
      </c>
      <c r="F257" s="235">
        <f t="shared" si="83"/>
        <v>0</v>
      </c>
      <c r="G257" s="235">
        <f t="shared" si="84"/>
        <v>0</v>
      </c>
      <c r="H257" s="235">
        <f t="shared" si="85"/>
        <v>0</v>
      </c>
      <c r="I257" s="235">
        <f t="shared" si="86"/>
        <v>0</v>
      </c>
      <c r="J257" s="235">
        <f t="shared" si="87"/>
        <v>0</v>
      </c>
      <c r="K257" s="235">
        <f t="shared" si="88"/>
        <v>0</v>
      </c>
      <c r="L257" s="235">
        <f t="shared" si="89"/>
        <v>0</v>
      </c>
      <c r="M257" s="235">
        <f t="shared" si="90"/>
        <v>0</v>
      </c>
      <c r="N257" s="235" t="s">
        <v>210</v>
      </c>
      <c r="O257" s="100" t="s">
        <v>284</v>
      </c>
    </row>
    <row r="258" spans="1:15">
      <c r="A258" s="242" t="s">
        <v>136</v>
      </c>
      <c r="B258" s="235">
        <f t="shared" si="79"/>
        <v>46910.080000000002</v>
      </c>
      <c r="C258" s="235">
        <f t="shared" si="80"/>
        <v>104282.48000000001</v>
      </c>
      <c r="D258" s="235">
        <f t="shared" si="81"/>
        <v>124467.57600000002</v>
      </c>
      <c r="E258" s="235">
        <f t="shared" si="82"/>
        <v>148691.54400000002</v>
      </c>
      <c r="F258" s="235">
        <f t="shared" si="83"/>
        <v>0</v>
      </c>
      <c r="G258" s="235">
        <f t="shared" si="84"/>
        <v>0</v>
      </c>
      <c r="H258" s="235">
        <f t="shared" si="85"/>
        <v>0</v>
      </c>
      <c r="I258" s="235">
        <f t="shared" si="86"/>
        <v>0</v>
      </c>
      <c r="J258" s="235">
        <f t="shared" si="87"/>
        <v>0</v>
      </c>
      <c r="K258" s="235">
        <f t="shared" si="88"/>
        <v>0</v>
      </c>
      <c r="L258" s="235">
        <f t="shared" ref="L258:L267" si="91">AP22</f>
        <v>0</v>
      </c>
      <c r="M258" s="235">
        <f t="shared" si="90"/>
        <v>0</v>
      </c>
      <c r="N258" s="235" t="s">
        <v>210</v>
      </c>
      <c r="O258" s="100" t="s">
        <v>284</v>
      </c>
    </row>
    <row r="259" spans="1:15">
      <c r="A259" s="242" t="s">
        <v>137</v>
      </c>
      <c r="B259" s="235">
        <f t="shared" si="79"/>
        <v>968442.56</v>
      </c>
      <c r="C259" s="235">
        <f t="shared" si="80"/>
        <v>1867364.0080000001</v>
      </c>
      <c r="D259" s="235">
        <f t="shared" si="81"/>
        <v>2176875.44</v>
      </c>
      <c r="E259" s="235">
        <f t="shared" si="82"/>
        <v>2530541.3199999998</v>
      </c>
      <c r="F259" s="235">
        <f t="shared" si="83"/>
        <v>0</v>
      </c>
      <c r="G259" s="235">
        <f t="shared" si="84"/>
        <v>0</v>
      </c>
      <c r="H259" s="235">
        <f t="shared" si="85"/>
        <v>0</v>
      </c>
      <c r="I259" s="235">
        <f t="shared" si="86"/>
        <v>0</v>
      </c>
      <c r="J259" s="235">
        <f t="shared" si="87"/>
        <v>0</v>
      </c>
      <c r="K259" s="235">
        <f t="shared" si="88"/>
        <v>0</v>
      </c>
      <c r="L259" s="235">
        <f t="shared" si="91"/>
        <v>0</v>
      </c>
      <c r="M259" s="235">
        <f t="shared" si="90"/>
        <v>0</v>
      </c>
      <c r="N259" s="235" t="s">
        <v>210</v>
      </c>
      <c r="O259" s="100" t="s">
        <v>284</v>
      </c>
    </row>
    <row r="260" spans="1:15">
      <c r="A260" s="242" t="s">
        <v>138</v>
      </c>
      <c r="B260" s="235">
        <f t="shared" si="79"/>
        <v>76553.728000000003</v>
      </c>
      <c r="C260" s="235">
        <f t="shared" si="80"/>
        <v>193226.77600000001</v>
      </c>
      <c r="D260" s="235">
        <f t="shared" si="81"/>
        <v>240201.424</v>
      </c>
      <c r="E260" s="235">
        <f t="shared" si="82"/>
        <v>293633.62400000001</v>
      </c>
      <c r="F260" s="235">
        <f t="shared" si="83"/>
        <v>0</v>
      </c>
      <c r="G260" s="235">
        <f t="shared" si="84"/>
        <v>0</v>
      </c>
      <c r="H260" s="235">
        <f t="shared" si="85"/>
        <v>0</v>
      </c>
      <c r="I260" s="235">
        <f t="shared" si="86"/>
        <v>0</v>
      </c>
      <c r="J260" s="235">
        <f t="shared" si="87"/>
        <v>0</v>
      </c>
      <c r="K260" s="235">
        <f t="shared" si="88"/>
        <v>0</v>
      </c>
      <c r="L260" s="235">
        <f t="shared" si="91"/>
        <v>0</v>
      </c>
      <c r="M260" s="235">
        <f t="shared" si="90"/>
        <v>0</v>
      </c>
      <c r="N260" s="235" t="s">
        <v>210</v>
      </c>
      <c r="O260" s="100" t="s">
        <v>284</v>
      </c>
    </row>
    <row r="261" spans="1:15">
      <c r="A261" s="242" t="s">
        <v>139</v>
      </c>
      <c r="B261" s="235">
        <f t="shared" si="79"/>
        <v>830891.91200000001</v>
      </c>
      <c r="C261" s="235">
        <f t="shared" si="80"/>
        <v>1721764.0080000001</v>
      </c>
      <c r="D261" s="235">
        <f t="shared" si="81"/>
        <v>2045309.5920000002</v>
      </c>
      <c r="E261" s="235">
        <f t="shared" si="82"/>
        <v>2434621.4160000002</v>
      </c>
      <c r="F261" s="235">
        <f t="shared" si="83"/>
        <v>0</v>
      </c>
      <c r="G261" s="235">
        <f t="shared" si="84"/>
        <v>0</v>
      </c>
      <c r="H261" s="235">
        <f t="shared" si="85"/>
        <v>0</v>
      </c>
      <c r="I261" s="235">
        <f t="shared" si="86"/>
        <v>0</v>
      </c>
      <c r="J261" s="235">
        <f t="shared" si="87"/>
        <v>0</v>
      </c>
      <c r="K261" s="235">
        <f t="shared" si="88"/>
        <v>0</v>
      </c>
      <c r="L261" s="235">
        <f t="shared" si="91"/>
        <v>0</v>
      </c>
      <c r="M261" s="235">
        <f t="shared" si="90"/>
        <v>0</v>
      </c>
      <c r="N261" s="235" t="s">
        <v>210</v>
      </c>
      <c r="O261" s="100" t="s">
        <v>284</v>
      </c>
    </row>
    <row r="262" spans="1:15">
      <c r="A262" s="242" t="s">
        <v>140</v>
      </c>
      <c r="B262" s="235">
        <f t="shared" si="79"/>
        <v>31013.360000000001</v>
      </c>
      <c r="C262" s="235">
        <f t="shared" si="80"/>
        <v>69754.775999999998</v>
      </c>
      <c r="D262" s="235">
        <f t="shared" si="81"/>
        <v>90743.312000000005</v>
      </c>
      <c r="E262" s="235">
        <f t="shared" si="82"/>
        <v>113993.09600000001</v>
      </c>
      <c r="F262" s="235">
        <f t="shared" si="83"/>
        <v>0</v>
      </c>
      <c r="G262" s="235">
        <f t="shared" si="84"/>
        <v>0</v>
      </c>
      <c r="H262" s="235">
        <f t="shared" si="85"/>
        <v>0</v>
      </c>
      <c r="I262" s="235">
        <f t="shared" si="86"/>
        <v>0</v>
      </c>
      <c r="J262" s="235">
        <f t="shared" si="87"/>
        <v>0</v>
      </c>
      <c r="K262" s="235">
        <f t="shared" si="88"/>
        <v>0</v>
      </c>
      <c r="L262" s="235">
        <f t="shared" si="91"/>
        <v>0</v>
      </c>
      <c r="M262" s="235">
        <f t="shared" si="90"/>
        <v>0</v>
      </c>
      <c r="N262" s="235" t="s">
        <v>210</v>
      </c>
      <c r="O262" s="100" t="s">
        <v>284</v>
      </c>
    </row>
    <row r="263" spans="1:15">
      <c r="A263" s="242" t="s">
        <v>141</v>
      </c>
      <c r="B263" s="235">
        <f t="shared" si="79"/>
        <v>11221.416000000001</v>
      </c>
      <c r="C263" s="235">
        <f t="shared" si="80"/>
        <v>20040.175999999999</v>
      </c>
      <c r="D263" s="235">
        <f t="shared" si="81"/>
        <v>22390.471999999998</v>
      </c>
      <c r="E263" s="235">
        <f t="shared" si="82"/>
        <v>26127.167999999998</v>
      </c>
      <c r="F263" s="235">
        <f t="shared" si="83"/>
        <v>0</v>
      </c>
      <c r="G263" s="235">
        <f t="shared" si="84"/>
        <v>0</v>
      </c>
      <c r="H263" s="235">
        <f t="shared" si="85"/>
        <v>0</v>
      </c>
      <c r="I263" s="235">
        <f t="shared" si="86"/>
        <v>0</v>
      </c>
      <c r="J263" s="235">
        <f t="shared" si="87"/>
        <v>0</v>
      </c>
      <c r="K263" s="235">
        <f t="shared" si="88"/>
        <v>0</v>
      </c>
      <c r="L263" s="235">
        <f t="shared" si="91"/>
        <v>0</v>
      </c>
      <c r="M263" s="235">
        <f t="shared" si="90"/>
        <v>0</v>
      </c>
      <c r="N263" s="235" t="s">
        <v>210</v>
      </c>
      <c r="O263" s="100" t="s">
        <v>284</v>
      </c>
    </row>
    <row r="264" spans="1:15">
      <c r="A264" s="242" t="s">
        <v>142</v>
      </c>
      <c r="B264" s="235">
        <f t="shared" si="79"/>
        <v>456624.64000000007</v>
      </c>
      <c r="C264" s="235">
        <f t="shared" si="80"/>
        <v>1064889.304</v>
      </c>
      <c r="D264" s="235">
        <f t="shared" si="81"/>
        <v>1300706.8640000001</v>
      </c>
      <c r="E264" s="235">
        <f t="shared" si="82"/>
        <v>1550006.76</v>
      </c>
      <c r="F264" s="235">
        <f t="shared" si="83"/>
        <v>0</v>
      </c>
      <c r="G264" s="235">
        <f t="shared" si="84"/>
        <v>0</v>
      </c>
      <c r="H264" s="235">
        <f t="shared" si="85"/>
        <v>0</v>
      </c>
      <c r="I264" s="235">
        <f t="shared" si="86"/>
        <v>0</v>
      </c>
      <c r="J264" s="235">
        <f t="shared" si="87"/>
        <v>0</v>
      </c>
      <c r="K264" s="235">
        <f t="shared" si="88"/>
        <v>0</v>
      </c>
      <c r="L264" s="235">
        <f t="shared" si="91"/>
        <v>0</v>
      </c>
      <c r="M264" s="235">
        <f t="shared" si="90"/>
        <v>0</v>
      </c>
      <c r="N264" s="235" t="s">
        <v>210</v>
      </c>
      <c r="O264" s="100" t="s">
        <v>284</v>
      </c>
    </row>
    <row r="265" spans="1:15">
      <c r="A265" s="242" t="s">
        <v>143</v>
      </c>
      <c r="B265" s="235">
        <f t="shared" si="79"/>
        <v>3077291.2719999999</v>
      </c>
      <c r="C265" s="235">
        <f t="shared" si="80"/>
        <v>6024799.9440000001</v>
      </c>
      <c r="D265" s="235">
        <f t="shared" si="81"/>
        <v>7192054.7360000005</v>
      </c>
      <c r="E265" s="235">
        <f t="shared" si="82"/>
        <v>8507058.2400000002</v>
      </c>
      <c r="F265" s="235">
        <f t="shared" si="83"/>
        <v>0</v>
      </c>
      <c r="G265" s="235">
        <f t="shared" si="84"/>
        <v>0</v>
      </c>
      <c r="H265" s="235">
        <f t="shared" si="85"/>
        <v>0</v>
      </c>
      <c r="I265" s="235">
        <f t="shared" si="86"/>
        <v>0</v>
      </c>
      <c r="J265" s="235">
        <f t="shared" si="87"/>
        <v>0</v>
      </c>
      <c r="K265" s="235">
        <f t="shared" si="88"/>
        <v>0</v>
      </c>
      <c r="L265" s="235">
        <f t="shared" si="91"/>
        <v>0</v>
      </c>
      <c r="M265" s="235">
        <f t="shared" si="90"/>
        <v>0</v>
      </c>
      <c r="N265" s="235" t="s">
        <v>210</v>
      </c>
      <c r="O265" s="100" t="s">
        <v>284</v>
      </c>
    </row>
    <row r="266" spans="1:15">
      <c r="A266" s="242" t="s">
        <v>144</v>
      </c>
      <c r="B266" s="235">
        <f t="shared" si="79"/>
        <v>44751.808000000005</v>
      </c>
      <c r="C266" s="235">
        <f t="shared" si="80"/>
        <v>113321.36000000002</v>
      </c>
      <c r="D266" s="235">
        <f t="shared" si="81"/>
        <v>140855.12000000002</v>
      </c>
      <c r="E266" s="235">
        <f t="shared" si="82"/>
        <v>170012.89600000004</v>
      </c>
      <c r="F266" s="235">
        <f t="shared" si="83"/>
        <v>0</v>
      </c>
      <c r="G266" s="235">
        <f t="shared" si="84"/>
        <v>0</v>
      </c>
      <c r="H266" s="235">
        <f t="shared" si="85"/>
        <v>0</v>
      </c>
      <c r="I266" s="235">
        <f t="shared" si="86"/>
        <v>0</v>
      </c>
      <c r="J266" s="235">
        <f t="shared" si="87"/>
        <v>0</v>
      </c>
      <c r="K266" s="235">
        <f t="shared" si="88"/>
        <v>0</v>
      </c>
      <c r="L266" s="235">
        <f t="shared" si="91"/>
        <v>0</v>
      </c>
      <c r="M266" s="235">
        <f t="shared" si="90"/>
        <v>0</v>
      </c>
      <c r="N266" s="235" t="s">
        <v>210</v>
      </c>
      <c r="O266" s="100" t="s">
        <v>284</v>
      </c>
    </row>
    <row r="267" spans="1:15">
      <c r="A267" s="242" t="s">
        <v>145</v>
      </c>
      <c r="B267" s="235">
        <f t="shared" si="79"/>
        <v>18112.760000000002</v>
      </c>
      <c r="C267" s="235">
        <f t="shared" si="80"/>
        <v>46821.528000000006</v>
      </c>
      <c r="D267" s="235">
        <f t="shared" si="81"/>
        <v>62633.400000000009</v>
      </c>
      <c r="E267" s="235">
        <f t="shared" si="82"/>
        <v>81492.112000000008</v>
      </c>
      <c r="F267" s="235">
        <f t="shared" si="83"/>
        <v>0</v>
      </c>
      <c r="G267" s="235">
        <f t="shared" si="84"/>
        <v>0</v>
      </c>
      <c r="H267" s="235">
        <f t="shared" si="85"/>
        <v>0</v>
      </c>
      <c r="I267" s="235">
        <f t="shared" si="86"/>
        <v>0</v>
      </c>
      <c r="J267" s="235">
        <f t="shared" si="87"/>
        <v>0</v>
      </c>
      <c r="K267" s="235">
        <f t="shared" si="88"/>
        <v>0</v>
      </c>
      <c r="L267" s="235">
        <f t="shared" si="91"/>
        <v>0</v>
      </c>
      <c r="M267" s="235">
        <f t="shared" si="90"/>
        <v>0</v>
      </c>
      <c r="N267" s="235" t="s">
        <v>210</v>
      </c>
      <c r="O267" s="100" t="s">
        <v>284</v>
      </c>
    </row>
    <row r="268" spans="1:15">
      <c r="A268" s="242" t="s">
        <v>119</v>
      </c>
      <c r="B268" s="235">
        <f>Q5</f>
        <v>22345.834080031909</v>
      </c>
      <c r="C268" s="235">
        <f t="shared" ref="C268:M268" si="92">R5</f>
        <v>52009.850326670639</v>
      </c>
      <c r="D268" s="235">
        <f>S5</f>
        <v>69415.314965289173</v>
      </c>
      <c r="E268" s="235">
        <f t="shared" si="92"/>
        <v>86038.803936377037</v>
      </c>
      <c r="F268" s="235">
        <f t="shared" si="92"/>
        <v>105212.92363353066</v>
      </c>
      <c r="G268" s="235">
        <f t="shared" si="92"/>
        <v>119295.41611378557</v>
      </c>
      <c r="H268" s="235">
        <f t="shared" si="92"/>
        <v>126315.19396547569</v>
      </c>
      <c r="I268" s="235">
        <f t="shared" si="92"/>
        <v>134793.46641161284</v>
      </c>
      <c r="J268" s="235">
        <f t="shared" si="92"/>
        <v>141673.88745396261</v>
      </c>
      <c r="K268" s="235">
        <f t="shared" si="92"/>
        <v>147595.39368602663</v>
      </c>
      <c r="L268" s="235">
        <f t="shared" si="92"/>
        <v>151452.39096286686</v>
      </c>
      <c r="M268" s="235">
        <f t="shared" si="92"/>
        <v>155680</v>
      </c>
      <c r="N268" s="235" t="s">
        <v>209</v>
      </c>
      <c r="O268" s="100" t="s">
        <v>284</v>
      </c>
    </row>
    <row r="269" spans="1:15">
      <c r="A269" s="242" t="s">
        <v>120</v>
      </c>
      <c r="B269" s="235">
        <f t="shared" ref="B269:B294" si="93">Q6</f>
        <v>86924.550367066331</v>
      </c>
      <c r="C269" s="235">
        <f t="shared" ref="C269:C294" si="94">R6</f>
        <v>198604.6038720386</v>
      </c>
      <c r="D269" s="235">
        <f>S6</f>
        <v>260100.57669926021</v>
      </c>
      <c r="E269" s="235">
        <f t="shared" ref="E269:E294" si="95">T6</f>
        <v>306311.09494992899</v>
      </c>
      <c r="F269" s="235">
        <f t="shared" ref="F269:F294" si="96">U6</f>
        <v>370374.18723345647</v>
      </c>
      <c r="G269" s="235">
        <f t="shared" ref="G269:G294" si="97">V6</f>
        <v>425980.56571494258</v>
      </c>
      <c r="H269" s="235">
        <f t="shared" ref="H269:H294" si="98">W6</f>
        <v>441749.28600330814</v>
      </c>
      <c r="I269" s="235">
        <f t="shared" ref="I269:I294" si="99">X6</f>
        <v>458454.93965931388</v>
      </c>
      <c r="J269" s="235">
        <f t="shared" ref="J269:J294" si="100">Y6</f>
        <v>472208.20646836708</v>
      </c>
      <c r="K269" s="235">
        <f t="shared" ref="K269:K294" si="101">Z6</f>
        <v>484947.82741304662</v>
      </c>
      <c r="L269" s="235">
        <f t="shared" ref="L269:L294" si="102">AA6</f>
        <v>498999.72544982389</v>
      </c>
      <c r="M269" s="235">
        <f t="shared" ref="M269:M294" si="103">AB6</f>
        <v>509812</v>
      </c>
      <c r="N269" s="235" t="s">
        <v>209</v>
      </c>
      <c r="O269" s="100" t="s">
        <v>284</v>
      </c>
    </row>
    <row r="270" spans="1:15">
      <c r="A270" s="242" t="s">
        <v>121</v>
      </c>
      <c r="B270" s="235">
        <f t="shared" si="93"/>
        <v>22756.225911032128</v>
      </c>
      <c r="C270" s="235">
        <f t="shared" si="94"/>
        <v>50916.806973405866</v>
      </c>
      <c r="D270" s="235">
        <f t="shared" ref="D270:D294" si="104">S7</f>
        <v>73263.868707316229</v>
      </c>
      <c r="E270" s="235">
        <f t="shared" si="95"/>
        <v>91220.536708415748</v>
      </c>
      <c r="F270" s="235">
        <f t="shared" si="96"/>
        <v>109713.17239647423</v>
      </c>
      <c r="G270" s="235">
        <f t="shared" si="97"/>
        <v>137448.23821155762</v>
      </c>
      <c r="H270" s="235">
        <f t="shared" si="98"/>
        <v>147079.98993883349</v>
      </c>
      <c r="I270" s="235">
        <f t="shared" si="99"/>
        <v>156000.06486617302</v>
      </c>
      <c r="J270" s="235">
        <f t="shared" si="100"/>
        <v>165049.47185932173</v>
      </c>
      <c r="K270" s="235">
        <f t="shared" si="101"/>
        <v>172751.15944791061</v>
      </c>
      <c r="L270" s="235">
        <f t="shared" si="102"/>
        <v>177546.52372025035</v>
      </c>
      <c r="M270" s="235">
        <f t="shared" si="103"/>
        <v>184183</v>
      </c>
      <c r="N270" s="235" t="s">
        <v>209</v>
      </c>
      <c r="O270" s="100" t="s">
        <v>284</v>
      </c>
    </row>
    <row r="271" spans="1:15">
      <c r="A271" s="242" t="s">
        <v>122</v>
      </c>
      <c r="B271" s="235">
        <f t="shared" si="93"/>
        <v>62310.788703053171</v>
      </c>
      <c r="C271" s="235">
        <f t="shared" si="94"/>
        <v>155774.24158980759</v>
      </c>
      <c r="D271" s="235">
        <f t="shared" si="104"/>
        <v>222674.85192893908</v>
      </c>
      <c r="E271" s="235">
        <f t="shared" si="95"/>
        <v>276955.85249476496</v>
      </c>
      <c r="F271" s="235">
        <f t="shared" si="96"/>
        <v>345463.27434471727</v>
      </c>
      <c r="G271" s="235">
        <f t="shared" si="97"/>
        <v>397826.8205600814</v>
      </c>
      <c r="H271" s="235">
        <f t="shared" si="98"/>
        <v>426186.94140091701</v>
      </c>
      <c r="I271" s="235">
        <f t="shared" si="99"/>
        <v>457761.90191233275</v>
      </c>
      <c r="J271" s="235">
        <f t="shared" si="100"/>
        <v>483237.37938073277</v>
      </c>
      <c r="K271" s="235">
        <f t="shared" si="101"/>
        <v>512982.00671641884</v>
      </c>
      <c r="L271" s="235">
        <f t="shared" si="102"/>
        <v>532783.55418277369</v>
      </c>
      <c r="M271" s="235">
        <f t="shared" si="103"/>
        <v>551189</v>
      </c>
      <c r="N271" s="235" t="s">
        <v>209</v>
      </c>
      <c r="O271" s="100" t="s">
        <v>284</v>
      </c>
    </row>
    <row r="272" spans="1:15">
      <c r="A272" s="242" t="s">
        <v>123</v>
      </c>
      <c r="B272" s="235">
        <f t="shared" si="93"/>
        <v>200634.49566813285</v>
      </c>
      <c r="C272" s="235">
        <f t="shared" si="94"/>
        <v>515905.31776538113</v>
      </c>
      <c r="D272" s="235">
        <f t="shared" si="104"/>
        <v>663008.12312059477</v>
      </c>
      <c r="E272" s="235">
        <f t="shared" si="95"/>
        <v>759707.18766389054</v>
      </c>
      <c r="F272" s="235">
        <f t="shared" si="96"/>
        <v>884385.6469758139</v>
      </c>
      <c r="G272" s="235">
        <f t="shared" si="97"/>
        <v>1023067.2370613358</v>
      </c>
      <c r="H272" s="235">
        <f t="shared" si="98"/>
        <v>1060074.565211463</v>
      </c>
      <c r="I272" s="235">
        <f t="shared" si="99"/>
        <v>1104984.5119291826</v>
      </c>
      <c r="J272" s="235">
        <f t="shared" si="100"/>
        <v>1138780.1283989812</v>
      </c>
      <c r="K272" s="235">
        <f t="shared" si="101"/>
        <v>1169403.9462195355</v>
      </c>
      <c r="L272" s="235">
        <f t="shared" si="102"/>
        <v>1199674.6507169004</v>
      </c>
      <c r="M272" s="235">
        <f t="shared" si="103"/>
        <v>1227854</v>
      </c>
      <c r="N272" s="235" t="s">
        <v>209</v>
      </c>
      <c r="O272" s="100" t="s">
        <v>284</v>
      </c>
    </row>
    <row r="273" spans="1:15">
      <c r="A273" s="242" t="s">
        <v>124</v>
      </c>
      <c r="B273" s="235">
        <f t="shared" si="93"/>
        <v>161887.95052842426</v>
      </c>
      <c r="C273" s="235">
        <f t="shared" si="94"/>
        <v>347464.3232361711</v>
      </c>
      <c r="D273" s="235">
        <f t="shared" si="104"/>
        <v>445471.89619800623</v>
      </c>
      <c r="E273" s="235">
        <f t="shared" si="95"/>
        <v>501992.06537512614</v>
      </c>
      <c r="F273" s="235">
        <f t="shared" si="96"/>
        <v>580320.5180858341</v>
      </c>
      <c r="G273" s="235">
        <f t="shared" si="97"/>
        <v>662627.84138380038</v>
      </c>
      <c r="H273" s="235">
        <f t="shared" si="98"/>
        <v>686315.50219942094</v>
      </c>
      <c r="I273" s="235">
        <f t="shared" si="99"/>
        <v>710151.97934650804</v>
      </c>
      <c r="J273" s="235">
        <f t="shared" si="100"/>
        <v>729589.587099139</v>
      </c>
      <c r="K273" s="235">
        <f t="shared" si="101"/>
        <v>752447.72564780118</v>
      </c>
      <c r="L273" s="235">
        <f t="shared" si="102"/>
        <v>772873.20445471164</v>
      </c>
      <c r="M273" s="235">
        <f t="shared" si="103"/>
        <v>792662</v>
      </c>
      <c r="N273" s="235" t="s">
        <v>209</v>
      </c>
      <c r="O273" s="100" t="s">
        <v>284</v>
      </c>
    </row>
    <row r="274" spans="1:15">
      <c r="A274" s="242" t="s">
        <v>125</v>
      </c>
      <c r="B274" s="235">
        <f t="shared" si="93"/>
        <v>264898.85229753284</v>
      </c>
      <c r="C274" s="235">
        <f t="shared" si="94"/>
        <v>689488.66291829688</v>
      </c>
      <c r="D274" s="235">
        <f t="shared" si="104"/>
        <v>870963.88268607191</v>
      </c>
      <c r="E274" s="235">
        <f t="shared" si="95"/>
        <v>989419.62428332516</v>
      </c>
      <c r="F274" s="235">
        <f t="shared" si="96"/>
        <v>1143659.463793844</v>
      </c>
      <c r="G274" s="235">
        <f t="shared" si="97"/>
        <v>1298426.5999876752</v>
      </c>
      <c r="H274" s="235">
        <f t="shared" si="98"/>
        <v>1345439.1332036722</v>
      </c>
      <c r="I274" s="235">
        <f t="shared" si="99"/>
        <v>1391669.6194601634</v>
      </c>
      <c r="J274" s="235">
        <f t="shared" si="100"/>
        <v>1427522.6377616315</v>
      </c>
      <c r="K274" s="235">
        <f t="shared" si="101"/>
        <v>1458048.9022819048</v>
      </c>
      <c r="L274" s="235">
        <f t="shared" si="102"/>
        <v>1505095.2444166979</v>
      </c>
      <c r="M274" s="235">
        <f t="shared" si="103"/>
        <v>1544907</v>
      </c>
      <c r="N274" s="235" t="s">
        <v>209</v>
      </c>
      <c r="O274" s="100" t="s">
        <v>284</v>
      </c>
    </row>
    <row r="275" spans="1:15">
      <c r="A275" s="242" t="s">
        <v>126</v>
      </c>
      <c r="B275" s="235">
        <f t="shared" si="93"/>
        <v>146378.75145492816</v>
      </c>
      <c r="C275" s="235">
        <f t="shared" si="94"/>
        <v>415024.48586026108</v>
      </c>
      <c r="D275" s="235">
        <f t="shared" si="104"/>
        <v>545405.68694095197</v>
      </c>
      <c r="E275" s="235">
        <f t="shared" si="95"/>
        <v>623888.48652859638</v>
      </c>
      <c r="F275" s="235">
        <f t="shared" si="96"/>
        <v>733506.46639589884</v>
      </c>
      <c r="G275" s="235">
        <f t="shared" si="97"/>
        <v>845213.20440949081</v>
      </c>
      <c r="H275" s="235">
        <f t="shared" si="98"/>
        <v>876763.84547295549</v>
      </c>
      <c r="I275" s="235">
        <f t="shared" si="99"/>
        <v>911868.22551326314</v>
      </c>
      <c r="J275" s="235">
        <f t="shared" si="100"/>
        <v>938774.84993438015</v>
      </c>
      <c r="K275" s="235">
        <f t="shared" si="101"/>
        <v>965107.33590806054</v>
      </c>
      <c r="L275" s="235">
        <f t="shared" si="102"/>
        <v>991318.54866769956</v>
      </c>
      <c r="M275" s="235">
        <f t="shared" si="103"/>
        <v>1016106</v>
      </c>
      <c r="N275" s="235" t="s">
        <v>209</v>
      </c>
      <c r="O275" s="100" t="s">
        <v>284</v>
      </c>
    </row>
    <row r="276" spans="1:15">
      <c r="A276" s="242" t="s">
        <v>127</v>
      </c>
      <c r="B276" s="235">
        <f t="shared" si="93"/>
        <v>160220.94457071868</v>
      </c>
      <c r="C276" s="235">
        <f t="shared" si="94"/>
        <v>423222.1248269651</v>
      </c>
      <c r="D276" s="235">
        <f t="shared" si="104"/>
        <v>564100.65652869118</v>
      </c>
      <c r="E276" s="235">
        <f t="shared" si="95"/>
        <v>664168.76267616695</v>
      </c>
      <c r="F276" s="235">
        <f t="shared" si="96"/>
        <v>789930.20782493788</v>
      </c>
      <c r="G276" s="235">
        <f t="shared" si="97"/>
        <v>924713.57034931437</v>
      </c>
      <c r="H276" s="235">
        <f t="shared" si="98"/>
        <v>961833.54512425442</v>
      </c>
      <c r="I276" s="235">
        <f t="shared" si="99"/>
        <v>1000449.9441659458</v>
      </c>
      <c r="J276" s="235">
        <f t="shared" si="100"/>
        <v>1029663.639272065</v>
      </c>
      <c r="K276" s="235">
        <f t="shared" si="101"/>
        <v>1057516.9791024309</v>
      </c>
      <c r="L276" s="235">
        <f t="shared" si="102"/>
        <v>1084031.3355734048</v>
      </c>
      <c r="M276" s="235">
        <f t="shared" si="103"/>
        <v>1108317</v>
      </c>
      <c r="N276" s="235" t="s">
        <v>209</v>
      </c>
      <c r="O276" s="100" t="s">
        <v>284</v>
      </c>
    </row>
    <row r="277" spans="1:15">
      <c r="A277" s="242" t="s">
        <v>128</v>
      </c>
      <c r="B277" s="235">
        <f t="shared" si="93"/>
        <v>65812.343058451966</v>
      </c>
      <c r="C277" s="235">
        <f t="shared" si="94"/>
        <v>152429.70636501035</v>
      </c>
      <c r="D277" s="235">
        <f t="shared" si="104"/>
        <v>207153.61755294111</v>
      </c>
      <c r="E277" s="235">
        <f t="shared" si="95"/>
        <v>247854.80149127857</v>
      </c>
      <c r="F277" s="235">
        <f t="shared" si="96"/>
        <v>294861.68748989224</v>
      </c>
      <c r="G277" s="235">
        <f t="shared" si="97"/>
        <v>337607.76399221428</v>
      </c>
      <c r="H277" s="235">
        <f t="shared" si="98"/>
        <v>354585.14481060772</v>
      </c>
      <c r="I277" s="235">
        <f t="shared" si="99"/>
        <v>373432.41151902679</v>
      </c>
      <c r="J277" s="235">
        <f t="shared" si="100"/>
        <v>386900.9710732309</v>
      </c>
      <c r="K277" s="235">
        <f t="shared" si="101"/>
        <v>398134.42191917024</v>
      </c>
      <c r="L277" s="235">
        <f t="shared" si="102"/>
        <v>412971.29946997686</v>
      </c>
      <c r="M277" s="235">
        <f t="shared" si="103"/>
        <v>423059</v>
      </c>
      <c r="N277" s="235" t="s">
        <v>209</v>
      </c>
      <c r="O277" s="100" t="s">
        <v>284</v>
      </c>
    </row>
    <row r="278" spans="1:15">
      <c r="A278" s="242" t="s">
        <v>129</v>
      </c>
      <c r="B278" s="235">
        <f t="shared" si="93"/>
        <v>115866.17567677284</v>
      </c>
      <c r="C278" s="235">
        <f t="shared" si="94"/>
        <v>282646.83363466366</v>
      </c>
      <c r="D278" s="235">
        <f t="shared" si="104"/>
        <v>390741.071220788</v>
      </c>
      <c r="E278" s="235">
        <f t="shared" si="95"/>
        <v>466525.74586213246</v>
      </c>
      <c r="F278" s="235">
        <f t="shared" si="96"/>
        <v>572859.19215226232</v>
      </c>
      <c r="G278" s="235">
        <f t="shared" si="97"/>
        <v>664576.13646856125</v>
      </c>
      <c r="H278" s="235">
        <f t="shared" si="98"/>
        <v>693818.45671621431</v>
      </c>
      <c r="I278" s="235">
        <f t="shared" si="99"/>
        <v>719990.52809681045</v>
      </c>
      <c r="J278" s="235">
        <f t="shared" si="100"/>
        <v>737829.25815551425</v>
      </c>
      <c r="K278" s="235">
        <f t="shared" si="101"/>
        <v>761323.87132227386</v>
      </c>
      <c r="L278" s="235">
        <f t="shared" si="102"/>
        <v>788910.4644024577</v>
      </c>
      <c r="M278" s="235">
        <f t="shared" si="103"/>
        <v>807120</v>
      </c>
      <c r="N278" s="235" t="s">
        <v>209</v>
      </c>
      <c r="O278" s="100" t="s">
        <v>284</v>
      </c>
    </row>
    <row r="279" spans="1:15">
      <c r="A279" s="242" t="s">
        <v>130</v>
      </c>
      <c r="B279" s="235">
        <f t="shared" si="93"/>
        <v>178010.62226192627</v>
      </c>
      <c r="C279" s="235">
        <f t="shared" si="94"/>
        <v>358543.01794444543</v>
      </c>
      <c r="D279" s="235">
        <f t="shared" si="104"/>
        <v>450347.57018643257</v>
      </c>
      <c r="E279" s="235">
        <f t="shared" si="95"/>
        <v>522046.83939665498</v>
      </c>
      <c r="F279" s="235">
        <f t="shared" si="96"/>
        <v>616454.80994041497</v>
      </c>
      <c r="G279" s="235">
        <f t="shared" si="97"/>
        <v>702704.76740848285</v>
      </c>
      <c r="H279" s="235">
        <f t="shared" si="98"/>
        <v>730773.19504242472</v>
      </c>
      <c r="I279" s="235">
        <f t="shared" si="99"/>
        <v>760652.10402912914</v>
      </c>
      <c r="J279" s="235">
        <f t="shared" si="100"/>
        <v>785410.01678097493</v>
      </c>
      <c r="K279" s="235">
        <f t="shared" si="101"/>
        <v>809578.05705271719</v>
      </c>
      <c r="L279" s="235">
        <f t="shared" si="102"/>
        <v>829149.92242242792</v>
      </c>
      <c r="M279" s="235">
        <f t="shared" si="103"/>
        <v>850069</v>
      </c>
      <c r="N279" s="235" t="s">
        <v>209</v>
      </c>
      <c r="O279" s="100" t="s">
        <v>284</v>
      </c>
    </row>
    <row r="280" spans="1:15">
      <c r="A280" s="242" t="s">
        <v>131</v>
      </c>
      <c r="B280" s="235">
        <f t="shared" si="93"/>
        <v>1274585.785739918</v>
      </c>
      <c r="C280" s="235">
        <f t="shared" si="94"/>
        <v>1856600.2663373188</v>
      </c>
      <c r="D280" s="235">
        <f t="shared" si="104"/>
        <v>2341198.6131124715</v>
      </c>
      <c r="E280" s="235">
        <f t="shared" si="95"/>
        <v>2577879.5318852323</v>
      </c>
      <c r="F280" s="235">
        <f t="shared" si="96"/>
        <v>3055331.9773812732</v>
      </c>
      <c r="G280" s="235">
        <f t="shared" si="97"/>
        <v>3322320.7611106639</v>
      </c>
      <c r="H280" s="235">
        <f t="shared" si="98"/>
        <v>3416698.3135158257</v>
      </c>
      <c r="I280" s="235">
        <f t="shared" si="99"/>
        <v>3522665.8070884543</v>
      </c>
      <c r="J280" s="235">
        <f t="shared" si="100"/>
        <v>3606329.6112914318</v>
      </c>
      <c r="K280" s="235">
        <f t="shared" si="101"/>
        <v>3693889.7933927258</v>
      </c>
      <c r="L280" s="235">
        <f t="shared" si="102"/>
        <v>3778788.2586924033</v>
      </c>
      <c r="M280" s="235">
        <f t="shared" si="103"/>
        <v>3848080.8000000003</v>
      </c>
      <c r="N280" s="235" t="s">
        <v>209</v>
      </c>
      <c r="O280" s="100" t="s">
        <v>284</v>
      </c>
    </row>
    <row r="281" spans="1:15">
      <c r="A281" s="242" t="s">
        <v>132</v>
      </c>
      <c r="B281" s="235">
        <f t="shared" si="93"/>
        <v>119065.83507736932</v>
      </c>
      <c r="C281" s="235">
        <f t="shared" si="94"/>
        <v>266931.98330867907</v>
      </c>
      <c r="D281" s="235">
        <f t="shared" si="104"/>
        <v>362734.35460109008</v>
      </c>
      <c r="E281" s="235">
        <f t="shared" si="95"/>
        <v>423373.30477606429</v>
      </c>
      <c r="F281" s="235">
        <f t="shared" si="96"/>
        <v>518563.79750038392</v>
      </c>
      <c r="G281" s="235">
        <f t="shared" si="97"/>
        <v>576276.13167524943</v>
      </c>
      <c r="H281" s="235">
        <f t="shared" si="98"/>
        <v>599524.16313068743</v>
      </c>
      <c r="I281" s="235">
        <f t="shared" si="99"/>
        <v>623024.53431506047</v>
      </c>
      <c r="J281" s="235">
        <f t="shared" si="100"/>
        <v>643764.03500511067</v>
      </c>
      <c r="K281" s="235">
        <f t="shared" si="101"/>
        <v>664448.13776560186</v>
      </c>
      <c r="L281" s="235">
        <f t="shared" si="102"/>
        <v>685556.93569089088</v>
      </c>
      <c r="M281" s="235">
        <f t="shared" si="103"/>
        <v>700579</v>
      </c>
      <c r="N281" s="235" t="s">
        <v>209</v>
      </c>
      <c r="O281" s="100" t="s">
        <v>284</v>
      </c>
    </row>
    <row r="282" spans="1:15">
      <c r="A282" s="242" t="s">
        <v>133</v>
      </c>
      <c r="B282" s="235">
        <f t="shared" si="93"/>
        <v>113080.28399157006</v>
      </c>
      <c r="C282" s="235">
        <f t="shared" si="94"/>
        <v>255471.26964741747</v>
      </c>
      <c r="D282" s="235">
        <f t="shared" si="104"/>
        <v>328753.28900614654</v>
      </c>
      <c r="E282" s="235">
        <f t="shared" si="95"/>
        <v>378907.29802968231</v>
      </c>
      <c r="F282" s="235">
        <f t="shared" si="96"/>
        <v>438095.45938192069</v>
      </c>
      <c r="G282" s="235">
        <f t="shared" si="97"/>
        <v>503609.18392596091</v>
      </c>
      <c r="H282" s="235">
        <f t="shared" si="98"/>
        <v>520972.56080614385</v>
      </c>
      <c r="I282" s="235">
        <f t="shared" si="99"/>
        <v>540701.84809958702</v>
      </c>
      <c r="J282" s="235">
        <f t="shared" si="100"/>
        <v>556958.98235678172</v>
      </c>
      <c r="K282" s="235">
        <f t="shared" si="101"/>
        <v>573871.75835672882</v>
      </c>
      <c r="L282" s="235">
        <f t="shared" si="102"/>
        <v>586775.72955683852</v>
      </c>
      <c r="M282" s="235">
        <f t="shared" si="103"/>
        <v>599743</v>
      </c>
      <c r="N282" s="235" t="s">
        <v>209</v>
      </c>
      <c r="O282" s="100" t="s">
        <v>284</v>
      </c>
    </row>
    <row r="283" spans="1:15">
      <c r="A283" s="242" t="s">
        <v>134</v>
      </c>
      <c r="B283" s="235">
        <f t="shared" si="93"/>
        <v>714279.82919278869</v>
      </c>
      <c r="C283" s="235">
        <f t="shared" si="94"/>
        <v>1446594.1195495343</v>
      </c>
      <c r="D283" s="235">
        <f t="shared" si="104"/>
        <v>1829961.7585618575</v>
      </c>
      <c r="E283" s="235">
        <f t="shared" si="95"/>
        <v>2093405.871528466</v>
      </c>
      <c r="F283" s="235">
        <f t="shared" si="96"/>
        <v>2466416.9650152689</v>
      </c>
      <c r="G283" s="235">
        <f t="shared" si="97"/>
        <v>2798907.3298050174</v>
      </c>
      <c r="H283" s="235">
        <f t="shared" si="98"/>
        <v>2897736.1843712144</v>
      </c>
      <c r="I283" s="235">
        <f t="shared" si="99"/>
        <v>2986982.5413523838</v>
      </c>
      <c r="J283" s="235">
        <f t="shared" si="100"/>
        <v>3047179.4649750534</v>
      </c>
      <c r="K283" s="235">
        <f t="shared" si="101"/>
        <v>3121768.1427323809</v>
      </c>
      <c r="L283" s="235">
        <f t="shared" si="102"/>
        <v>3194150.8957083295</v>
      </c>
      <c r="M283" s="235">
        <f t="shared" si="103"/>
        <v>3259270</v>
      </c>
      <c r="N283" s="235" t="s">
        <v>209</v>
      </c>
      <c r="O283" s="100" t="s">
        <v>284</v>
      </c>
    </row>
    <row r="284" spans="1:15">
      <c r="A284" s="242" t="s">
        <v>135</v>
      </c>
      <c r="B284" s="235">
        <f t="shared" si="93"/>
        <v>230099.30617307549</v>
      </c>
      <c r="C284" s="235">
        <f t="shared" si="94"/>
        <v>563976.90026653628</v>
      </c>
      <c r="D284" s="235">
        <f t="shared" si="104"/>
        <v>729855.13467124978</v>
      </c>
      <c r="E284" s="235">
        <f t="shared" si="95"/>
        <v>846069.86857102846</v>
      </c>
      <c r="F284" s="235">
        <f t="shared" si="96"/>
        <v>981714.16702702676</v>
      </c>
      <c r="G284" s="235">
        <f t="shared" si="97"/>
        <v>1121258.6447085121</v>
      </c>
      <c r="H284" s="235">
        <f t="shared" si="98"/>
        <v>1165985.7987490331</v>
      </c>
      <c r="I284" s="235">
        <f t="shared" si="99"/>
        <v>1211467.5837815602</v>
      </c>
      <c r="J284" s="235">
        <f t="shared" si="100"/>
        <v>1243539.5779413325</v>
      </c>
      <c r="K284" s="235">
        <f t="shared" si="101"/>
        <v>1279174.6362971931</v>
      </c>
      <c r="L284" s="235">
        <f t="shared" si="102"/>
        <v>1314519.3965615584</v>
      </c>
      <c r="M284" s="235">
        <f t="shared" si="103"/>
        <v>1339206</v>
      </c>
      <c r="N284" s="235" t="s">
        <v>209</v>
      </c>
      <c r="O284" s="100" t="s">
        <v>284</v>
      </c>
    </row>
    <row r="285" spans="1:15">
      <c r="A285" s="242" t="s">
        <v>136</v>
      </c>
      <c r="B285" s="235">
        <f t="shared" si="93"/>
        <v>62110.426119328622</v>
      </c>
      <c r="C285" s="235">
        <f t="shared" si="94"/>
        <v>134796.38000894236</v>
      </c>
      <c r="D285" s="235">
        <f t="shared" si="104"/>
        <v>171707.96990029974</v>
      </c>
      <c r="E285" s="235">
        <f t="shared" si="95"/>
        <v>197970.84884742595</v>
      </c>
      <c r="F285" s="235">
        <f t="shared" si="96"/>
        <v>228663.47338901498</v>
      </c>
      <c r="G285" s="235">
        <f t="shared" si="97"/>
        <v>257397.81071902404</v>
      </c>
      <c r="H285" s="235">
        <f t="shared" si="98"/>
        <v>266451.48738003365</v>
      </c>
      <c r="I285" s="235">
        <f t="shared" si="99"/>
        <v>276887.03345083271</v>
      </c>
      <c r="J285" s="235">
        <f t="shared" si="100"/>
        <v>287154.3990596676</v>
      </c>
      <c r="K285" s="235">
        <f t="shared" si="101"/>
        <v>293741.82464212168</v>
      </c>
      <c r="L285" s="235">
        <f t="shared" si="102"/>
        <v>302283.03292336309</v>
      </c>
      <c r="M285" s="235">
        <f t="shared" si="103"/>
        <v>306551</v>
      </c>
      <c r="N285" s="235" t="s">
        <v>209</v>
      </c>
      <c r="O285" s="100" t="s">
        <v>284</v>
      </c>
    </row>
    <row r="286" spans="1:15">
      <c r="A286" s="242" t="s">
        <v>137</v>
      </c>
      <c r="B286" s="235">
        <f t="shared" si="93"/>
        <v>1106276.0254284991</v>
      </c>
      <c r="C286" s="235">
        <f t="shared" si="94"/>
        <v>2170137.0112355631</v>
      </c>
      <c r="D286" s="235">
        <f t="shared" si="104"/>
        <v>2695572.1169754853</v>
      </c>
      <c r="E286" s="235">
        <f t="shared" si="95"/>
        <v>3024112.1571913767</v>
      </c>
      <c r="F286" s="235">
        <f t="shared" si="96"/>
        <v>3472661.2147768545</v>
      </c>
      <c r="G286" s="235">
        <f t="shared" si="97"/>
        <v>3914589.1522357748</v>
      </c>
      <c r="H286" s="235">
        <f t="shared" si="98"/>
        <v>4081463.9880225137</v>
      </c>
      <c r="I286" s="235">
        <f t="shared" si="99"/>
        <v>4286724.445467338</v>
      </c>
      <c r="J286" s="235">
        <f t="shared" si="100"/>
        <v>4425200.1153480886</v>
      </c>
      <c r="K286" s="235">
        <f t="shared" si="101"/>
        <v>4569336.431245517</v>
      </c>
      <c r="L286" s="235">
        <f t="shared" si="102"/>
        <v>4677072.2628852231</v>
      </c>
      <c r="M286" s="235">
        <f t="shared" si="103"/>
        <v>4784373</v>
      </c>
      <c r="N286" s="235" t="s">
        <v>209</v>
      </c>
      <c r="O286" s="100" t="s">
        <v>284</v>
      </c>
    </row>
    <row r="287" spans="1:15">
      <c r="A287" s="242" t="s">
        <v>138</v>
      </c>
      <c r="B287" s="235">
        <f t="shared" si="93"/>
        <v>102906.12937171409</v>
      </c>
      <c r="C287" s="235">
        <f t="shared" si="94"/>
        <v>272700.60700623796</v>
      </c>
      <c r="D287" s="235">
        <f t="shared" si="104"/>
        <v>361084.62389096583</v>
      </c>
      <c r="E287" s="235">
        <f t="shared" si="95"/>
        <v>421585.01317118813</v>
      </c>
      <c r="F287" s="235">
        <f t="shared" si="96"/>
        <v>500956.91362437914</v>
      </c>
      <c r="G287" s="235">
        <f t="shared" si="97"/>
        <v>582804.71460082615</v>
      </c>
      <c r="H287" s="235">
        <f t="shared" si="98"/>
        <v>606627.26574653166</v>
      </c>
      <c r="I287" s="235">
        <f t="shared" si="99"/>
        <v>626771.10801621911</v>
      </c>
      <c r="J287" s="235">
        <f t="shared" si="100"/>
        <v>645211.85766373319</v>
      </c>
      <c r="K287" s="235">
        <f t="shared" si="101"/>
        <v>661303.03703114425</v>
      </c>
      <c r="L287" s="235">
        <f t="shared" si="102"/>
        <v>678862.15191248548</v>
      </c>
      <c r="M287" s="235">
        <f t="shared" si="103"/>
        <v>691202</v>
      </c>
      <c r="N287" s="235" t="s">
        <v>209</v>
      </c>
      <c r="O287" s="100" t="s">
        <v>284</v>
      </c>
    </row>
    <row r="288" spans="1:15">
      <c r="A288" s="242" t="s">
        <v>139</v>
      </c>
      <c r="B288" s="235">
        <f t="shared" si="93"/>
        <v>1001384.5518972606</v>
      </c>
      <c r="C288" s="235">
        <f t="shared" si="94"/>
        <v>2077772.5119492637</v>
      </c>
      <c r="D288" s="235">
        <f t="shared" si="104"/>
        <v>2568913.1828870252</v>
      </c>
      <c r="E288" s="235">
        <f t="shared" si="95"/>
        <v>2930032.625520525</v>
      </c>
      <c r="F288" s="235">
        <f t="shared" si="96"/>
        <v>3419518.3430021252</v>
      </c>
      <c r="G288" s="235">
        <f t="shared" si="97"/>
        <v>3878924.8280528528</v>
      </c>
      <c r="H288" s="235">
        <f t="shared" si="98"/>
        <v>3990784.2802453721</v>
      </c>
      <c r="I288" s="235">
        <f t="shared" si="99"/>
        <v>4092271.1750891819</v>
      </c>
      <c r="J288" s="235">
        <f t="shared" si="100"/>
        <v>4174663.7471127957</v>
      </c>
      <c r="K288" s="235">
        <f t="shared" si="101"/>
        <v>4278045.9925617278</v>
      </c>
      <c r="L288" s="235">
        <f t="shared" si="102"/>
        <v>4373403.6602055244</v>
      </c>
      <c r="M288" s="235">
        <f t="shared" si="103"/>
        <v>4463774</v>
      </c>
      <c r="N288" s="235" t="s">
        <v>209</v>
      </c>
      <c r="O288" s="100" t="s">
        <v>284</v>
      </c>
    </row>
    <row r="289" spans="1:15">
      <c r="A289" s="242" t="s">
        <v>140</v>
      </c>
      <c r="B289" s="235">
        <f t="shared" si="93"/>
        <v>39161.446125365779</v>
      </c>
      <c r="C289" s="235">
        <f t="shared" si="94"/>
        <v>93870.924715815316</v>
      </c>
      <c r="D289" s="235">
        <f t="shared" si="104"/>
        <v>128227.35769594627</v>
      </c>
      <c r="E289" s="235">
        <f t="shared" si="95"/>
        <v>153383.71066228038</v>
      </c>
      <c r="F289" s="235">
        <f t="shared" si="96"/>
        <v>188615.42550162339</v>
      </c>
      <c r="G289" s="235">
        <f t="shared" si="97"/>
        <v>226100.21847611613</v>
      </c>
      <c r="H289" s="235">
        <f t="shared" si="98"/>
        <v>236135.44303827826</v>
      </c>
      <c r="I289" s="235">
        <f t="shared" si="99"/>
        <v>245563.36799280948</v>
      </c>
      <c r="J289" s="235">
        <f t="shared" si="100"/>
        <v>255200.10167242147</v>
      </c>
      <c r="K289" s="235">
        <f t="shared" si="101"/>
        <v>261704.92617867413</v>
      </c>
      <c r="L289" s="235">
        <f t="shared" si="102"/>
        <v>268000.49016278255</v>
      </c>
      <c r="M289" s="235">
        <f t="shared" si="103"/>
        <v>276324</v>
      </c>
      <c r="N289" s="235" t="s">
        <v>209</v>
      </c>
      <c r="O289" s="100" t="s">
        <v>284</v>
      </c>
    </row>
    <row r="290" spans="1:15">
      <c r="A290" s="242" t="s">
        <v>141</v>
      </c>
      <c r="B290" s="235">
        <f t="shared" si="93"/>
        <v>12156.224809062283</v>
      </c>
      <c r="C290" s="235">
        <f t="shared" si="94"/>
        <v>22943.646488612772</v>
      </c>
      <c r="D290" s="235">
        <f t="shared" si="104"/>
        <v>32259.121942160269</v>
      </c>
      <c r="E290" s="235">
        <f t="shared" si="95"/>
        <v>38727.341927499881</v>
      </c>
      <c r="F290" s="235">
        <f t="shared" si="96"/>
        <v>44681.499692996164</v>
      </c>
      <c r="G290" s="235">
        <f t="shared" si="97"/>
        <v>50611.9761971806</v>
      </c>
      <c r="H290" s="235">
        <f t="shared" si="98"/>
        <v>53759.674494354367</v>
      </c>
      <c r="I290" s="235">
        <f t="shared" si="99"/>
        <v>55361.973714767373</v>
      </c>
      <c r="J290" s="235">
        <f t="shared" si="100"/>
        <v>56481.129931259333</v>
      </c>
      <c r="K290" s="235">
        <f t="shared" si="101"/>
        <v>58498.507921962468</v>
      </c>
      <c r="L290" s="235">
        <f t="shared" si="102"/>
        <v>60292.038831337377</v>
      </c>
      <c r="M290" s="235">
        <f t="shared" si="103"/>
        <v>61412</v>
      </c>
      <c r="N290" s="235" t="s">
        <v>209</v>
      </c>
      <c r="O290" s="100" t="s">
        <v>284</v>
      </c>
    </row>
    <row r="291" spans="1:15">
      <c r="A291" s="242" t="s">
        <v>142</v>
      </c>
      <c r="B291" s="235">
        <f t="shared" si="93"/>
        <v>520615.49965123291</v>
      </c>
      <c r="C291" s="235">
        <f t="shared" si="94"/>
        <v>1284494.6048344602</v>
      </c>
      <c r="D291" s="235">
        <f t="shared" si="104"/>
        <v>1634653.1235286284</v>
      </c>
      <c r="E291" s="235">
        <f t="shared" si="95"/>
        <v>1885320.7415140367</v>
      </c>
      <c r="F291" s="235">
        <f t="shared" si="96"/>
        <v>2188796.1892953287</v>
      </c>
      <c r="G291" s="235">
        <f t="shared" si="97"/>
        <v>2508132.4935289877</v>
      </c>
      <c r="H291" s="235">
        <f t="shared" si="98"/>
        <v>2578591.3508224897</v>
      </c>
      <c r="I291" s="235">
        <f t="shared" si="99"/>
        <v>2641358.3030239884</v>
      </c>
      <c r="J291" s="235">
        <f t="shared" si="100"/>
        <v>2693199.6834428143</v>
      </c>
      <c r="K291" s="235">
        <f t="shared" si="101"/>
        <v>2748363.591565277</v>
      </c>
      <c r="L291" s="235">
        <f t="shared" si="102"/>
        <v>2804591.548654987</v>
      </c>
      <c r="M291" s="235">
        <f t="shared" si="103"/>
        <v>2850579</v>
      </c>
      <c r="N291" s="235" t="s">
        <v>209</v>
      </c>
      <c r="O291" s="100" t="s">
        <v>284</v>
      </c>
    </row>
    <row r="292" spans="1:15">
      <c r="A292" s="242" t="s">
        <v>143</v>
      </c>
      <c r="B292" s="235">
        <f t="shared" si="93"/>
        <v>4910931.8597120158</v>
      </c>
      <c r="C292" s="235">
        <f t="shared" si="94"/>
        <v>6866509.4451513933</v>
      </c>
      <c r="D292" s="235">
        <f t="shared" si="104"/>
        <v>7922193.0893830592</v>
      </c>
      <c r="E292" s="235">
        <f t="shared" si="95"/>
        <v>9022378.6349869855</v>
      </c>
      <c r="F292" s="235">
        <f t="shared" si="96"/>
        <v>10633834.097730147</v>
      </c>
      <c r="G292" s="235">
        <f t="shared" si="97"/>
        <v>11373672.03378932</v>
      </c>
      <c r="H292" s="235">
        <f t="shared" si="98"/>
        <v>11712444.298073621</v>
      </c>
      <c r="I292" s="235">
        <f t="shared" si="99"/>
        <v>12046147.976431554</v>
      </c>
      <c r="J292" s="235">
        <f t="shared" si="100"/>
        <v>12248736.469207034</v>
      </c>
      <c r="K292" s="235">
        <f t="shared" si="101"/>
        <v>12605990.787574595</v>
      </c>
      <c r="L292" s="235">
        <f t="shared" si="102"/>
        <v>12860060.214346774</v>
      </c>
      <c r="M292" s="235">
        <f t="shared" si="103"/>
        <v>13056677.643067531</v>
      </c>
      <c r="N292" s="235" t="s">
        <v>209</v>
      </c>
      <c r="O292" s="100" t="s">
        <v>284</v>
      </c>
    </row>
    <row r="293" spans="1:15">
      <c r="A293" s="242" t="s">
        <v>144</v>
      </c>
      <c r="B293" s="235">
        <f t="shared" si="93"/>
        <v>70685.179182065258</v>
      </c>
      <c r="C293" s="235">
        <f t="shared" si="94"/>
        <v>159555.17631437731</v>
      </c>
      <c r="D293" s="235">
        <f t="shared" si="104"/>
        <v>208071.54328660958</v>
      </c>
      <c r="E293" s="235">
        <f t="shared" si="95"/>
        <v>239186.80793723246</v>
      </c>
      <c r="F293" s="235">
        <f t="shared" si="96"/>
        <v>278777.24647898594</v>
      </c>
      <c r="G293" s="235">
        <f t="shared" si="97"/>
        <v>320559.10419378115</v>
      </c>
      <c r="H293" s="235">
        <f t="shared" si="98"/>
        <v>333146.02000363864</v>
      </c>
      <c r="I293" s="235">
        <f t="shared" si="99"/>
        <v>347364.4951318503</v>
      </c>
      <c r="J293" s="235">
        <f t="shared" si="100"/>
        <v>359128.39488351438</v>
      </c>
      <c r="K293" s="235">
        <f t="shared" si="101"/>
        <v>369646.84985038044</v>
      </c>
      <c r="L293" s="235">
        <f t="shared" si="102"/>
        <v>377371.64738447568</v>
      </c>
      <c r="M293" s="235">
        <f t="shared" si="103"/>
        <v>386427</v>
      </c>
      <c r="N293" s="235" t="s">
        <v>209</v>
      </c>
      <c r="O293" s="100" t="s">
        <v>284</v>
      </c>
    </row>
    <row r="294" spans="1:15">
      <c r="A294" s="242" t="s">
        <v>145</v>
      </c>
      <c r="B294" s="235">
        <f t="shared" si="93"/>
        <v>21807.742805119909</v>
      </c>
      <c r="C294" s="235">
        <f t="shared" si="94"/>
        <v>62657.736089583166</v>
      </c>
      <c r="D294" s="235">
        <f t="shared" si="104"/>
        <v>90770.708736473403</v>
      </c>
      <c r="E294" s="235">
        <f t="shared" si="95"/>
        <v>108880.68396063044</v>
      </c>
      <c r="F294" s="235">
        <f t="shared" si="96"/>
        <v>128603.62651065295</v>
      </c>
      <c r="G294" s="235">
        <f t="shared" si="97"/>
        <v>148088.14152570441</v>
      </c>
      <c r="H294" s="235">
        <f t="shared" si="98"/>
        <v>156205.45118496096</v>
      </c>
      <c r="I294" s="235">
        <f t="shared" si="99"/>
        <v>164716.36838755908</v>
      </c>
      <c r="J294" s="235">
        <f t="shared" si="100"/>
        <v>172926.71387024611</v>
      </c>
      <c r="K294" s="235">
        <f t="shared" si="101"/>
        <v>183281.62830686575</v>
      </c>
      <c r="L294" s="235">
        <f t="shared" si="102"/>
        <v>190249.6932465233</v>
      </c>
      <c r="M294" s="235">
        <f t="shared" si="103"/>
        <v>196278</v>
      </c>
      <c r="N294" s="235" t="s">
        <v>209</v>
      </c>
      <c r="O294" s="100" t="s">
        <v>284</v>
      </c>
    </row>
    <row r="295" spans="1:15">
      <c r="A295" s="242" t="s">
        <v>119</v>
      </c>
      <c r="B295" s="235">
        <f>B5</f>
        <v>26641.29484908385</v>
      </c>
      <c r="C295" s="235">
        <f t="shared" ref="C295:M295" si="105">C5</f>
        <v>62007.520177898587</v>
      </c>
      <c r="D295" s="235">
        <f t="shared" si="105"/>
        <v>82758.775815167537</v>
      </c>
      <c r="E295" s="235">
        <f t="shared" si="105"/>
        <v>102577.73936394785</v>
      </c>
      <c r="F295" s="235">
        <f t="shared" si="105"/>
        <v>125437.63237550318</v>
      </c>
      <c r="G295" s="235">
        <f t="shared" si="105"/>
        <v>142227.15265175601</v>
      </c>
      <c r="H295" s="235">
        <f t="shared" si="105"/>
        <v>150596.31760895316</v>
      </c>
      <c r="I295" s="235">
        <f t="shared" si="105"/>
        <v>160704.33842569415</v>
      </c>
      <c r="J295" s="235">
        <f t="shared" si="105"/>
        <v>168907.35850624152</v>
      </c>
      <c r="K295" s="235">
        <f t="shared" si="105"/>
        <v>175967.13496900848</v>
      </c>
      <c r="L295" s="235">
        <f t="shared" si="105"/>
        <v>180565.5492110723</v>
      </c>
      <c r="M295" s="235">
        <f t="shared" si="105"/>
        <v>185605.81660326422</v>
      </c>
      <c r="N295" s="235" t="s">
        <v>315</v>
      </c>
      <c r="O295" s="100" t="s">
        <v>284</v>
      </c>
    </row>
    <row r="296" spans="1:15">
      <c r="A296" s="242" t="s">
        <v>120</v>
      </c>
      <c r="B296" s="235">
        <f t="shared" ref="B296:M296" si="106">B6</f>
        <v>108802.4980329167</v>
      </c>
      <c r="C296" s="235">
        <f t="shared" si="106"/>
        <v>248591.18546907898</v>
      </c>
      <c r="D296" s="235">
        <f t="shared" si="106"/>
        <v>325565.01431618346</v>
      </c>
      <c r="E296" s="235">
        <f t="shared" si="106"/>
        <v>383406.20877548063</v>
      </c>
      <c r="F296" s="235">
        <f t="shared" si="106"/>
        <v>463593.27264555061</v>
      </c>
      <c r="G296" s="235">
        <f t="shared" si="106"/>
        <v>533195.16140771273</v>
      </c>
      <c r="H296" s="235">
        <f t="shared" si="106"/>
        <v>552932.69414054288</v>
      </c>
      <c r="I296" s="235">
        <f t="shared" si="106"/>
        <v>573842.97600418993</v>
      </c>
      <c r="J296" s="235">
        <f t="shared" si="106"/>
        <v>591057.78791427996</v>
      </c>
      <c r="K296" s="235">
        <f t="shared" si="106"/>
        <v>607003.83051007532</v>
      </c>
      <c r="L296" s="235">
        <f t="shared" si="106"/>
        <v>624592.43582409795</v>
      </c>
      <c r="M296" s="235">
        <f t="shared" si="106"/>
        <v>638126.04026046442</v>
      </c>
      <c r="N296" s="235" t="s">
        <v>315</v>
      </c>
      <c r="O296" s="100" t="s">
        <v>284</v>
      </c>
    </row>
    <row r="297" spans="1:15">
      <c r="A297" s="242" t="s">
        <v>121</v>
      </c>
      <c r="B297" s="235">
        <f t="shared" ref="B297:M297" si="107">B7</f>
        <v>28863.153238806051</v>
      </c>
      <c r="C297" s="235">
        <f t="shared" si="107"/>
        <v>64580.990180434812</v>
      </c>
      <c r="D297" s="235">
        <f t="shared" si="107"/>
        <v>92925.174747095181</v>
      </c>
      <c r="E297" s="235">
        <f t="shared" si="107"/>
        <v>115700.74668070117</v>
      </c>
      <c r="F297" s="235">
        <f t="shared" si="107"/>
        <v>139156.12015698059</v>
      </c>
      <c r="G297" s="235">
        <f t="shared" si="107"/>
        <v>174334.24933529188</v>
      </c>
      <c r="H297" s="235">
        <f t="shared" si="107"/>
        <v>186550.80612064723</v>
      </c>
      <c r="I297" s="235">
        <f t="shared" si="107"/>
        <v>197864.69843899587</v>
      </c>
      <c r="J297" s="235">
        <f t="shared" si="107"/>
        <v>209342.6307545187</v>
      </c>
      <c r="K297" s="235">
        <f t="shared" si="107"/>
        <v>219111.16574515984</v>
      </c>
      <c r="L297" s="235">
        <f t="shared" si="107"/>
        <v>225193.42799591983</v>
      </c>
      <c r="M297" s="235">
        <f t="shared" si="107"/>
        <v>233610.88845605939</v>
      </c>
      <c r="N297" s="235" t="s">
        <v>315</v>
      </c>
      <c r="O297" s="100" t="s">
        <v>284</v>
      </c>
    </row>
    <row r="298" spans="1:15">
      <c r="A298" s="242" t="s">
        <v>122</v>
      </c>
      <c r="B298" s="235">
        <f t="shared" ref="B298:M298" si="108">B8</f>
        <v>81096.695987564599</v>
      </c>
      <c r="C298" s="235">
        <f t="shared" si="108"/>
        <v>202738.18669034232</v>
      </c>
      <c r="D298" s="235">
        <f t="shared" si="108"/>
        <v>289808.47693992197</v>
      </c>
      <c r="E298" s="235">
        <f t="shared" si="108"/>
        <v>360454.50618159497</v>
      </c>
      <c r="F298" s="235">
        <f t="shared" si="108"/>
        <v>449616.04109866457</v>
      </c>
      <c r="G298" s="235">
        <f t="shared" si="108"/>
        <v>517766.52798297035</v>
      </c>
      <c r="H298" s="235">
        <f t="shared" si="108"/>
        <v>554676.86318928993</v>
      </c>
      <c r="I298" s="235">
        <f t="shared" si="108"/>
        <v>595771.27118365013</v>
      </c>
      <c r="J298" s="235">
        <f t="shared" si="108"/>
        <v>628927.27986841358</v>
      </c>
      <c r="K298" s="235">
        <f t="shared" si="108"/>
        <v>667639.53260206163</v>
      </c>
      <c r="L298" s="235">
        <f t="shared" si="108"/>
        <v>693410.99382710026</v>
      </c>
      <c r="M298" s="235">
        <f t="shared" si="108"/>
        <v>717365.44657955039</v>
      </c>
      <c r="N298" s="235" t="s">
        <v>315</v>
      </c>
      <c r="O298" s="100" t="s">
        <v>284</v>
      </c>
    </row>
    <row r="299" spans="1:15">
      <c r="A299" s="242" t="s">
        <v>123</v>
      </c>
      <c r="B299" s="235">
        <f t="shared" ref="B299:M299" si="109">B9</f>
        <v>296725.33510318387</v>
      </c>
      <c r="C299" s="235">
        <f t="shared" si="109"/>
        <v>762990.3212090641</v>
      </c>
      <c r="D299" s="235">
        <f t="shared" si="109"/>
        <v>980545.77730492759</v>
      </c>
      <c r="E299" s="235">
        <f t="shared" si="109"/>
        <v>1123557.3877222843</v>
      </c>
      <c r="F299" s="235">
        <f t="shared" si="109"/>
        <v>1307948.6983804102</v>
      </c>
      <c r="G299" s="235">
        <f t="shared" si="109"/>
        <v>1513049.7262656407</v>
      </c>
      <c r="H299" s="235">
        <f t="shared" si="109"/>
        <v>1567781.1512384608</v>
      </c>
      <c r="I299" s="235">
        <f t="shared" si="109"/>
        <v>1634200.0337187881</v>
      </c>
      <c r="J299" s="235">
        <f t="shared" si="109"/>
        <v>1684181.5465619578</v>
      </c>
      <c r="K299" s="235">
        <f t="shared" si="109"/>
        <v>1729472.1760456001</v>
      </c>
      <c r="L299" s="235">
        <f t="shared" si="109"/>
        <v>1774240.5739518465</v>
      </c>
      <c r="M299" s="235">
        <f t="shared" si="109"/>
        <v>1815915.9938798738</v>
      </c>
      <c r="N299" s="235" t="s">
        <v>315</v>
      </c>
      <c r="O299" s="100" t="s">
        <v>284</v>
      </c>
    </row>
    <row r="300" spans="1:15">
      <c r="A300" s="242" t="s">
        <v>124</v>
      </c>
      <c r="B300" s="235">
        <f t="shared" ref="B300:M300" si="110">B10</f>
        <v>195662.05768164343</v>
      </c>
      <c r="C300" s="235">
        <f t="shared" si="110"/>
        <v>419954.56878312887</v>
      </c>
      <c r="D300" s="235">
        <f t="shared" si="110"/>
        <v>538409.11300030013</v>
      </c>
      <c r="E300" s="235">
        <f t="shared" si="110"/>
        <v>606720.88398518367</v>
      </c>
      <c r="F300" s="235">
        <f t="shared" si="110"/>
        <v>701390.72310767905</v>
      </c>
      <c r="G300" s="235">
        <f t="shared" si="110"/>
        <v>800869.53043201263</v>
      </c>
      <c r="H300" s="235">
        <f t="shared" si="110"/>
        <v>829499.06364755216</v>
      </c>
      <c r="I300" s="235">
        <f t="shared" si="110"/>
        <v>858308.46021633293</v>
      </c>
      <c r="J300" s="235">
        <f t="shared" si="110"/>
        <v>881801.26691920531</v>
      </c>
      <c r="K300" s="235">
        <f t="shared" si="110"/>
        <v>909428.21758850827</v>
      </c>
      <c r="L300" s="235">
        <f t="shared" si="110"/>
        <v>934114.99136906338</v>
      </c>
      <c r="M300" s="235">
        <f t="shared" si="110"/>
        <v>958032.25292431808</v>
      </c>
      <c r="N300" s="235" t="s">
        <v>315</v>
      </c>
      <c r="O300" s="100" t="s">
        <v>284</v>
      </c>
    </row>
    <row r="301" spans="1:15">
      <c r="A301" s="242" t="s">
        <v>125</v>
      </c>
      <c r="B301" s="235">
        <f t="shared" ref="B301:M301" si="111">B11</f>
        <v>319776.27995510597</v>
      </c>
      <c r="C301" s="235">
        <f t="shared" si="111"/>
        <v>832325.68879380706</v>
      </c>
      <c r="D301" s="235">
        <f t="shared" si="111"/>
        <v>1051395.9874306386</v>
      </c>
      <c r="E301" s="235">
        <f t="shared" si="111"/>
        <v>1194391.459320215</v>
      </c>
      <c r="F301" s="235">
        <f t="shared" si="111"/>
        <v>1380584.1954221737</v>
      </c>
      <c r="G301" s="235">
        <f t="shared" si="111"/>
        <v>1567413.4649419251</v>
      </c>
      <c r="H301" s="235">
        <f t="shared" si="111"/>
        <v>1624165.2887142375</v>
      </c>
      <c r="I301" s="235">
        <f t="shared" si="111"/>
        <v>1679973.0537815311</v>
      </c>
      <c r="J301" s="235">
        <f t="shared" si="111"/>
        <v>1723253.5161850767</v>
      </c>
      <c r="K301" s="235">
        <f t="shared" si="111"/>
        <v>1760103.7147591892</v>
      </c>
      <c r="L301" s="235">
        <f t="shared" si="111"/>
        <v>1816896.351431173</v>
      </c>
      <c r="M301" s="235">
        <f t="shared" si="111"/>
        <v>1864955.6577984616</v>
      </c>
      <c r="N301" s="235" t="s">
        <v>315</v>
      </c>
      <c r="O301" s="100" t="s">
        <v>284</v>
      </c>
    </row>
    <row r="302" spans="1:15">
      <c r="A302" s="242" t="s">
        <v>126</v>
      </c>
      <c r="B302" s="235">
        <f t="shared" ref="B302:M302" si="112">B12</f>
        <v>169707.96694506364</v>
      </c>
      <c r="C302" s="235">
        <f t="shared" si="112"/>
        <v>481169.30242742505</v>
      </c>
      <c r="D302" s="235">
        <f t="shared" si="112"/>
        <v>632330.09826241806</v>
      </c>
      <c r="E302" s="235">
        <f t="shared" si="112"/>
        <v>723321.14871059149</v>
      </c>
      <c r="F302" s="235">
        <f t="shared" si="112"/>
        <v>850409.57048629539</v>
      </c>
      <c r="G302" s="235">
        <f t="shared" si="112"/>
        <v>979919.64769301889</v>
      </c>
      <c r="H302" s="235">
        <f t="shared" si="112"/>
        <v>1016498.694156212</v>
      </c>
      <c r="I302" s="235">
        <f t="shared" si="112"/>
        <v>1057197.8592214496</v>
      </c>
      <c r="J302" s="235">
        <f t="shared" si="112"/>
        <v>1088392.7456545953</v>
      </c>
      <c r="K302" s="235">
        <f t="shared" si="112"/>
        <v>1118921.9899252621</v>
      </c>
      <c r="L302" s="235">
        <f t="shared" si="112"/>
        <v>1149310.6329789127</v>
      </c>
      <c r="M302" s="235">
        <f t="shared" si="112"/>
        <v>1178048.6016358573</v>
      </c>
      <c r="N302" s="235" t="s">
        <v>315</v>
      </c>
      <c r="O302" s="100" t="s">
        <v>284</v>
      </c>
    </row>
    <row r="303" spans="1:15">
      <c r="A303" s="242" t="s">
        <v>127</v>
      </c>
      <c r="B303" s="235">
        <f t="shared" ref="B303:M303" si="113">B13</f>
        <v>160220.95850673591</v>
      </c>
      <c r="C303" s="235">
        <f t="shared" si="113"/>
        <v>423222.16163882415</v>
      </c>
      <c r="D303" s="235">
        <f t="shared" si="113"/>
        <v>564100.70559416444</v>
      </c>
      <c r="E303" s="235">
        <f t="shared" si="113"/>
        <v>664168.82044556376</v>
      </c>
      <c r="F303" s="235">
        <f t="shared" si="113"/>
        <v>789930.27653306478</v>
      </c>
      <c r="G303" s="235">
        <f t="shared" si="113"/>
        <v>924713.65078089759</v>
      </c>
      <c r="H303" s="235">
        <f t="shared" si="113"/>
        <v>961833.62878453301</v>
      </c>
      <c r="I303" s="235">
        <f t="shared" si="113"/>
        <v>1000450.0311850786</v>
      </c>
      <c r="J303" s="235">
        <f t="shared" si="113"/>
        <v>1029663.7288322049</v>
      </c>
      <c r="K303" s="235">
        <f t="shared" si="113"/>
        <v>1057517.0710852542</v>
      </c>
      <c r="L303" s="235">
        <f t="shared" si="113"/>
        <v>1084031.4298624469</v>
      </c>
      <c r="M303" s="235">
        <f t="shared" si="113"/>
        <v>1108317.096401409</v>
      </c>
      <c r="N303" s="235" t="s">
        <v>315</v>
      </c>
      <c r="O303" s="100" t="s">
        <v>284</v>
      </c>
    </row>
    <row r="304" spans="1:15">
      <c r="A304" s="242" t="s">
        <v>128</v>
      </c>
      <c r="B304" s="235">
        <f t="shared" ref="B304:M304" si="114">B14</f>
        <v>83665.27673557974</v>
      </c>
      <c r="C304" s="235">
        <f t="shared" si="114"/>
        <v>193779.35768712815</v>
      </c>
      <c r="D304" s="235">
        <f t="shared" si="114"/>
        <v>263348.24037415051</v>
      </c>
      <c r="E304" s="235">
        <f t="shared" si="114"/>
        <v>315090.44646218338</v>
      </c>
      <c r="F304" s="235">
        <f t="shared" si="114"/>
        <v>374848.90426483081</v>
      </c>
      <c r="G304" s="235">
        <f t="shared" si="114"/>
        <v>429190.72152471245</v>
      </c>
      <c r="H304" s="235">
        <f t="shared" si="114"/>
        <v>450773.56143598334</v>
      </c>
      <c r="I304" s="235">
        <f t="shared" si="114"/>
        <v>474733.53173317597</v>
      </c>
      <c r="J304" s="235">
        <f t="shared" si="114"/>
        <v>491855.71140289685</v>
      </c>
      <c r="K304" s="235">
        <f t="shared" si="114"/>
        <v>506136.46376702876</v>
      </c>
      <c r="L304" s="235">
        <f t="shared" si="114"/>
        <v>524998.1454591339</v>
      </c>
      <c r="M304" s="235">
        <f t="shared" si="114"/>
        <v>537822.33948183327</v>
      </c>
      <c r="N304" s="235" t="s">
        <v>315</v>
      </c>
      <c r="O304" s="100" t="s">
        <v>284</v>
      </c>
    </row>
    <row r="305" spans="1:15">
      <c r="A305" s="242" t="s">
        <v>129</v>
      </c>
      <c r="B305" s="235">
        <f t="shared" ref="B305:M305" si="115">B15</f>
        <v>137618.02348437949</v>
      </c>
      <c r="C305" s="235">
        <f t="shared" si="115"/>
        <v>335708.83272639348</v>
      </c>
      <c r="D305" s="235">
        <f t="shared" si="115"/>
        <v>464095.87268662773</v>
      </c>
      <c r="E305" s="235">
        <f t="shared" si="115"/>
        <v>554107.79440261587</v>
      </c>
      <c r="F305" s="235">
        <f t="shared" si="115"/>
        <v>680403.48529995151</v>
      </c>
      <c r="G305" s="235">
        <f t="shared" si="115"/>
        <v>789338.68164272874</v>
      </c>
      <c r="H305" s="235">
        <f t="shared" si="115"/>
        <v>824070.73602420418</v>
      </c>
      <c r="I305" s="235">
        <f t="shared" si="115"/>
        <v>855156.1560171569</v>
      </c>
      <c r="J305" s="235">
        <f t="shared" si="115"/>
        <v>876343.79561785131</v>
      </c>
      <c r="K305" s="235">
        <f t="shared" si="115"/>
        <v>904249.1114501378</v>
      </c>
      <c r="L305" s="235">
        <f t="shared" si="115"/>
        <v>937014.60484963912</v>
      </c>
      <c r="M305" s="235">
        <f t="shared" si="115"/>
        <v>958642.66224313586</v>
      </c>
      <c r="N305" s="235" t="s">
        <v>315</v>
      </c>
      <c r="O305" s="100" t="s">
        <v>284</v>
      </c>
    </row>
    <row r="306" spans="1:15">
      <c r="A306" s="242" t="s">
        <v>130</v>
      </c>
      <c r="B306" s="235">
        <f t="shared" ref="B306:M306" si="116">B16</f>
        <v>218947.59392438235</v>
      </c>
      <c r="C306" s="235">
        <f t="shared" si="116"/>
        <v>440996.89164511935</v>
      </c>
      <c r="D306" s="235">
        <f t="shared" si="116"/>
        <v>553913.66913445632</v>
      </c>
      <c r="E306" s="235">
        <f t="shared" si="116"/>
        <v>642101.56646462809</v>
      </c>
      <c r="F306" s="235">
        <f t="shared" si="116"/>
        <v>758220.46844467754</v>
      </c>
      <c r="G306" s="235">
        <f t="shared" si="116"/>
        <v>864305.26509196626</v>
      </c>
      <c r="H306" s="235">
        <f t="shared" si="116"/>
        <v>898828.56835108111</v>
      </c>
      <c r="I306" s="235">
        <f t="shared" si="116"/>
        <v>935578.70802588493</v>
      </c>
      <c r="J306" s="235">
        <f t="shared" si="116"/>
        <v>966030.17973430001</v>
      </c>
      <c r="K306" s="235">
        <f t="shared" si="116"/>
        <v>995756.12642291689</v>
      </c>
      <c r="L306" s="235">
        <f t="shared" si="116"/>
        <v>1019828.9192532505</v>
      </c>
      <c r="M306" s="235">
        <f t="shared" si="116"/>
        <v>1045558.7416904059</v>
      </c>
      <c r="N306" s="235" t="s">
        <v>315</v>
      </c>
      <c r="O306" s="100" t="s">
        <v>284</v>
      </c>
    </row>
    <row r="307" spans="1:15">
      <c r="A307" s="242" t="s">
        <v>131</v>
      </c>
      <c r="B307" s="235">
        <f t="shared" ref="B307:M307" si="117">B17</f>
        <v>1641909.4751427071</v>
      </c>
      <c r="C307" s="235">
        <f t="shared" si="117"/>
        <v>2391655.0796006946</v>
      </c>
      <c r="D307" s="235">
        <f t="shared" si="117"/>
        <v>3015910.1325838226</v>
      </c>
      <c r="E307" s="235">
        <f t="shared" si="117"/>
        <v>3320800.2760847434</v>
      </c>
      <c r="F307" s="235">
        <f t="shared" si="117"/>
        <v>3935850.045947758</v>
      </c>
      <c r="G307" s="235">
        <f t="shared" si="117"/>
        <v>4279782.4973108741</v>
      </c>
      <c r="H307" s="235">
        <f t="shared" si="117"/>
        <v>4401358.7766547212</v>
      </c>
      <c r="I307" s="235">
        <f t="shared" si="117"/>
        <v>4537865.1096929628</v>
      </c>
      <c r="J307" s="235">
        <f t="shared" si="117"/>
        <v>4645640.0389164276</v>
      </c>
      <c r="K307" s="235">
        <f t="shared" si="117"/>
        <v>4758434.2456664089</v>
      </c>
      <c r="L307" s="235">
        <f t="shared" si="117"/>
        <v>4867799.6537544122</v>
      </c>
      <c r="M307" s="235">
        <f t="shared" si="117"/>
        <v>4957061.6566753173</v>
      </c>
      <c r="N307" s="235" t="s">
        <v>315</v>
      </c>
      <c r="O307" s="100" t="s">
        <v>284</v>
      </c>
    </row>
    <row r="308" spans="1:15">
      <c r="A308" s="242" t="s">
        <v>132</v>
      </c>
      <c r="B308" s="235">
        <f t="shared" ref="B308:M308" si="118">B18</f>
        <v>155762.99268862745</v>
      </c>
      <c r="C308" s="235">
        <f t="shared" si="118"/>
        <v>349202.81319534715</v>
      </c>
      <c r="D308" s="235">
        <f t="shared" si="118"/>
        <v>474532.33403964579</v>
      </c>
      <c r="E308" s="235">
        <f t="shared" si="118"/>
        <v>553860.75219261937</v>
      </c>
      <c r="F308" s="235">
        <f t="shared" si="118"/>
        <v>678389.80800959934</v>
      </c>
      <c r="G308" s="235">
        <f t="shared" si="118"/>
        <v>753889.60087866057</v>
      </c>
      <c r="H308" s="235">
        <f t="shared" si="118"/>
        <v>784302.8840111841</v>
      </c>
      <c r="I308" s="235">
        <f t="shared" si="118"/>
        <v>815046.28023893433</v>
      </c>
      <c r="J308" s="235">
        <f t="shared" si="118"/>
        <v>842177.88093909249</v>
      </c>
      <c r="K308" s="235">
        <f t="shared" si="118"/>
        <v>869237.00957124506</v>
      </c>
      <c r="L308" s="235">
        <f t="shared" si="118"/>
        <v>896851.72822471929</v>
      </c>
      <c r="M308" s="235">
        <f t="shared" si="118"/>
        <v>916503.72740338708</v>
      </c>
      <c r="N308" s="235" t="s">
        <v>315</v>
      </c>
      <c r="O308" s="100" t="s">
        <v>284</v>
      </c>
    </row>
    <row r="309" spans="1:15">
      <c r="A309" s="242" t="s">
        <v>133</v>
      </c>
      <c r="B309" s="235">
        <f t="shared" ref="B309:M309" si="119">B19</f>
        <v>143415.58365027484</v>
      </c>
      <c r="C309" s="235">
        <f t="shared" si="119"/>
        <v>324004.85698366712</v>
      </c>
      <c r="D309" s="235">
        <f t="shared" si="119"/>
        <v>416945.75884933944</v>
      </c>
      <c r="E309" s="235">
        <f t="shared" si="119"/>
        <v>480554.25205977168</v>
      </c>
      <c r="F309" s="235">
        <f t="shared" si="119"/>
        <v>555620.42987509014</v>
      </c>
      <c r="G309" s="235">
        <f t="shared" si="119"/>
        <v>638709.08787038922</v>
      </c>
      <c r="H309" s="235">
        <f t="shared" si="119"/>
        <v>660730.42299187486</v>
      </c>
      <c r="I309" s="235">
        <f t="shared" si="119"/>
        <v>685752.35566056217</v>
      </c>
      <c r="J309" s="235">
        <f t="shared" si="119"/>
        <v>706370.68376937974</v>
      </c>
      <c r="K309" s="235">
        <f t="shared" si="119"/>
        <v>727820.53829361836</v>
      </c>
      <c r="L309" s="235">
        <f t="shared" si="119"/>
        <v>744186.17247621412</v>
      </c>
      <c r="M309" s="235">
        <f t="shared" si="119"/>
        <v>760632.08677101368</v>
      </c>
      <c r="N309" s="235" t="s">
        <v>315</v>
      </c>
      <c r="O309" s="100" t="s">
        <v>284</v>
      </c>
    </row>
    <row r="310" spans="1:15">
      <c r="A310" s="242" t="s">
        <v>134</v>
      </c>
      <c r="B310" s="235">
        <f t="shared" ref="B310:M310" si="120">B20</f>
        <v>854844.92757195036</v>
      </c>
      <c r="C310" s="235">
        <f t="shared" si="120"/>
        <v>1731273.367679771</v>
      </c>
      <c r="D310" s="235">
        <f t="shared" si="120"/>
        <v>2190084.9821352386</v>
      </c>
      <c r="E310" s="235">
        <f t="shared" si="120"/>
        <v>2505372.9889696208</v>
      </c>
      <c r="F310" s="235">
        <f t="shared" si="120"/>
        <v>2951789.9647305249</v>
      </c>
      <c r="G310" s="235">
        <f t="shared" si="120"/>
        <v>3349712.0257920432</v>
      </c>
      <c r="H310" s="235">
        <f t="shared" si="120"/>
        <v>3467989.683330175</v>
      </c>
      <c r="I310" s="235">
        <f t="shared" si="120"/>
        <v>3574799.0771441455</v>
      </c>
      <c r="J310" s="235">
        <f t="shared" si="120"/>
        <v>3646842.3194577764</v>
      </c>
      <c r="K310" s="235">
        <f t="shared" si="120"/>
        <v>3736109.508910974</v>
      </c>
      <c r="L310" s="235">
        <f t="shared" si="120"/>
        <v>3822736.6635586275</v>
      </c>
      <c r="M310" s="235">
        <f t="shared" si="120"/>
        <v>3900670.7360560582</v>
      </c>
      <c r="N310" s="235" t="s">
        <v>315</v>
      </c>
      <c r="O310" s="100" t="s">
        <v>284</v>
      </c>
    </row>
    <row r="311" spans="1:15">
      <c r="A311" s="242" t="s">
        <v>135</v>
      </c>
      <c r="B311" s="235">
        <f t="shared" ref="B311:M311" si="121">B21</f>
        <v>278658.51670531661</v>
      </c>
      <c r="C311" s="235">
        <f t="shared" si="121"/>
        <v>682996.26408314914</v>
      </c>
      <c r="D311" s="235">
        <f t="shared" si="121"/>
        <v>883880.75835514022</v>
      </c>
      <c r="E311" s="235">
        <f t="shared" si="121"/>
        <v>1024620.9713806272</v>
      </c>
      <c r="F311" s="235">
        <f t="shared" si="121"/>
        <v>1188891.0842980936</v>
      </c>
      <c r="G311" s="235">
        <f t="shared" si="121"/>
        <v>1357884.4542124392</v>
      </c>
      <c r="H311" s="235">
        <f t="shared" si="121"/>
        <v>1412050.64275369</v>
      </c>
      <c r="I311" s="235">
        <f t="shared" si="121"/>
        <v>1467130.7165055904</v>
      </c>
      <c r="J311" s="235">
        <f t="shared" si="121"/>
        <v>1505971.0523109552</v>
      </c>
      <c r="K311" s="235">
        <f t="shared" si="121"/>
        <v>1549126.3867154946</v>
      </c>
      <c r="L311" s="235">
        <f t="shared" si="121"/>
        <v>1591930.1597141176</v>
      </c>
      <c r="M311" s="235">
        <f t="shared" si="121"/>
        <v>1621826.522337107</v>
      </c>
      <c r="N311" s="235" t="s">
        <v>315</v>
      </c>
      <c r="O311" s="100" t="s">
        <v>284</v>
      </c>
    </row>
    <row r="312" spans="1:15">
      <c r="A312" s="242" t="s">
        <v>136</v>
      </c>
      <c r="B312" s="235">
        <f t="shared" ref="B312:M312" si="122">B22</f>
        <v>73031.305057305857</v>
      </c>
      <c r="C312" s="235">
        <f t="shared" si="122"/>
        <v>158497.63339475871</v>
      </c>
      <c r="D312" s="235">
        <f t="shared" si="122"/>
        <v>201899.38974926859</v>
      </c>
      <c r="E312" s="235">
        <f t="shared" si="122"/>
        <v>232780.07184901336</v>
      </c>
      <c r="F312" s="235">
        <f t="shared" si="122"/>
        <v>268869.38190461742</v>
      </c>
      <c r="G312" s="235">
        <f t="shared" si="122"/>
        <v>302656.07902267779</v>
      </c>
      <c r="H312" s="235">
        <f t="shared" si="122"/>
        <v>313301.66404652037</v>
      </c>
      <c r="I312" s="235">
        <f t="shared" si="122"/>
        <v>325572.09263884532</v>
      </c>
      <c r="J312" s="235">
        <f t="shared" si="122"/>
        <v>337644.7695912316</v>
      </c>
      <c r="K312" s="235">
        <f t="shared" si="122"/>
        <v>345390.46250163321</v>
      </c>
      <c r="L312" s="235">
        <f t="shared" si="122"/>
        <v>355433.47180810466</v>
      </c>
      <c r="M312" s="235">
        <f t="shared" si="122"/>
        <v>360451.87572228117</v>
      </c>
      <c r="N312" s="235" t="s">
        <v>315</v>
      </c>
      <c r="O312" s="100" t="s">
        <v>284</v>
      </c>
    </row>
    <row r="313" spans="1:15">
      <c r="A313" s="242" t="s">
        <v>137</v>
      </c>
      <c r="B313" s="235">
        <f t="shared" ref="B313:M313" si="123">B23</f>
        <v>1455926.8704973005</v>
      </c>
      <c r="C313" s="235">
        <f t="shared" si="123"/>
        <v>2856032.9562368952</v>
      </c>
      <c r="D313" s="235">
        <f t="shared" si="123"/>
        <v>3547537.672569362</v>
      </c>
      <c r="E313" s="235">
        <f t="shared" si="123"/>
        <v>3979916.4474771032</v>
      </c>
      <c r="F313" s="235">
        <f t="shared" si="123"/>
        <v>4570234.4247847898</v>
      </c>
      <c r="G313" s="235">
        <f t="shared" si="123"/>
        <v>5151838.6032904899</v>
      </c>
      <c r="H313" s="235">
        <f t="shared" si="123"/>
        <v>5371456.0873968014</v>
      </c>
      <c r="I313" s="235">
        <f t="shared" si="123"/>
        <v>5641591.3959232019</v>
      </c>
      <c r="J313" s="235">
        <f t="shared" si="123"/>
        <v>5823833.8418004941</v>
      </c>
      <c r="K313" s="235">
        <f t="shared" si="123"/>
        <v>6013526.0438422672</v>
      </c>
      <c r="L313" s="235">
        <f t="shared" si="123"/>
        <v>6155312.9836241957</v>
      </c>
      <c r="M313" s="235">
        <f t="shared" si="123"/>
        <v>6296527.3124161987</v>
      </c>
      <c r="N313" s="235" t="s">
        <v>315</v>
      </c>
      <c r="O313" s="100" t="s">
        <v>284</v>
      </c>
    </row>
    <row r="314" spans="1:15">
      <c r="A314" s="242" t="s">
        <v>138</v>
      </c>
      <c r="B314" s="235">
        <f t="shared" ref="B314:M314" si="124">B24</f>
        <v>127506.05904164808</v>
      </c>
      <c r="C314" s="235">
        <f t="shared" si="124"/>
        <v>337890.26863533148</v>
      </c>
      <c r="D314" s="235">
        <f t="shared" si="124"/>
        <v>447402.67323209584</v>
      </c>
      <c r="E314" s="235">
        <f t="shared" si="124"/>
        <v>522365.80958466302</v>
      </c>
      <c r="F314" s="235">
        <f t="shared" si="124"/>
        <v>620711.73209891701</v>
      </c>
      <c r="G314" s="235">
        <f t="shared" si="124"/>
        <v>722125.42443628015</v>
      </c>
      <c r="H314" s="235">
        <f t="shared" si="124"/>
        <v>751642.80723410146</v>
      </c>
      <c r="I314" s="235">
        <f t="shared" si="124"/>
        <v>776602.0779543781</v>
      </c>
      <c r="J314" s="235">
        <f t="shared" si="124"/>
        <v>799451.12812936679</v>
      </c>
      <c r="K314" s="235">
        <f t="shared" si="124"/>
        <v>819388.93823841971</v>
      </c>
      <c r="L314" s="235">
        <f t="shared" si="124"/>
        <v>841145.59697632759</v>
      </c>
      <c r="M314" s="235">
        <f t="shared" si="124"/>
        <v>856435.31206344534</v>
      </c>
      <c r="N314" s="235" t="s">
        <v>315</v>
      </c>
      <c r="O314" s="100" t="s">
        <v>284</v>
      </c>
    </row>
    <row r="315" spans="1:15">
      <c r="A315" s="242" t="s">
        <v>139</v>
      </c>
      <c r="B315" s="235">
        <f t="shared" ref="B315:M315" si="125">B25</f>
        <v>1191906.283775765</v>
      </c>
      <c r="C315" s="235">
        <f t="shared" si="125"/>
        <v>2473085.9973391788</v>
      </c>
      <c r="D315" s="235">
        <f t="shared" si="125"/>
        <v>3057670.261995004</v>
      </c>
      <c r="E315" s="235">
        <f t="shared" si="125"/>
        <v>3487495.6792665003</v>
      </c>
      <c r="F315" s="235">
        <f t="shared" si="125"/>
        <v>4070110.1218195003</v>
      </c>
      <c r="G315" s="235">
        <f t="shared" si="125"/>
        <v>4616922.5080320239</v>
      </c>
      <c r="H315" s="235">
        <f t="shared" si="125"/>
        <v>4750064.150486337</v>
      </c>
      <c r="I315" s="235">
        <f t="shared" si="125"/>
        <v>4870859.7703668782</v>
      </c>
      <c r="J315" s="235">
        <f t="shared" si="125"/>
        <v>4968928.2138487864</v>
      </c>
      <c r="K315" s="235">
        <f t="shared" si="125"/>
        <v>5091979.7905362537</v>
      </c>
      <c r="L315" s="235">
        <f t="shared" si="125"/>
        <v>5205480.0468119299</v>
      </c>
      <c r="M315" s="235">
        <f t="shared" si="125"/>
        <v>5313044.0946733728</v>
      </c>
      <c r="N315" s="235" t="s">
        <v>315</v>
      </c>
      <c r="O315" s="100" t="s">
        <v>284</v>
      </c>
    </row>
    <row r="316" spans="1:15">
      <c r="A316" s="242" t="s">
        <v>140</v>
      </c>
      <c r="B316" s="235">
        <f t="shared" ref="B316:M316" si="126">B26</f>
        <v>46861.482948394616</v>
      </c>
      <c r="C316" s="235">
        <f t="shared" si="126"/>
        <v>112328.0974823584</v>
      </c>
      <c r="D316" s="235">
        <f t="shared" si="126"/>
        <v>153439.79170100574</v>
      </c>
      <c r="E316" s="235">
        <f t="shared" si="126"/>
        <v>183542.45955963939</v>
      </c>
      <c r="F316" s="235">
        <f t="shared" si="126"/>
        <v>225701.53608866411</v>
      </c>
      <c r="G316" s="235">
        <f t="shared" si="126"/>
        <v>270556.69749345473</v>
      </c>
      <c r="H316" s="235">
        <f t="shared" si="126"/>
        <v>282565.07693883148</v>
      </c>
      <c r="I316" s="235">
        <f t="shared" si="126"/>
        <v>293846.74777093437</v>
      </c>
      <c r="J316" s="235">
        <f t="shared" si="126"/>
        <v>305378.28390368336</v>
      </c>
      <c r="K316" s="235">
        <f t="shared" si="126"/>
        <v>313162.10582144995</v>
      </c>
      <c r="L316" s="235">
        <f t="shared" si="126"/>
        <v>320695.52180786146</v>
      </c>
      <c r="M316" s="235">
        <f t="shared" si="126"/>
        <v>330655.62422744284</v>
      </c>
      <c r="N316" s="235" t="s">
        <v>315</v>
      </c>
      <c r="O316" s="100" t="s">
        <v>284</v>
      </c>
    </row>
    <row r="317" spans="1:15">
      <c r="A317" s="242" t="s">
        <v>141</v>
      </c>
      <c r="B317" s="235">
        <f t="shared" ref="B317:M317" si="127">B27</f>
        <v>13843.991412944475</v>
      </c>
      <c r="C317" s="235">
        <f t="shared" si="127"/>
        <v>26129.135480712666</v>
      </c>
      <c r="D317" s="235">
        <f t="shared" si="127"/>
        <v>36737.968750254237</v>
      </c>
      <c r="E317" s="235">
        <f t="shared" si="127"/>
        <v>44104.23445696626</v>
      </c>
      <c r="F317" s="235">
        <f t="shared" si="127"/>
        <v>50885.065699524181</v>
      </c>
      <c r="G317" s="235">
        <f t="shared" si="127"/>
        <v>57638.927781557482</v>
      </c>
      <c r="H317" s="235">
        <f t="shared" si="127"/>
        <v>61223.651565550674</v>
      </c>
      <c r="I317" s="235">
        <f t="shared" si="127"/>
        <v>63048.413528806632</v>
      </c>
      <c r="J317" s="235">
        <f t="shared" si="127"/>
        <v>64322.953058489227</v>
      </c>
      <c r="K317" s="235">
        <f t="shared" si="127"/>
        <v>66620.42320391933</v>
      </c>
      <c r="L317" s="235">
        <f t="shared" si="127"/>
        <v>68662.967406435768</v>
      </c>
      <c r="M317" s="235">
        <f t="shared" si="127"/>
        <v>69938.423647606804</v>
      </c>
      <c r="N317" s="235" t="s">
        <v>315</v>
      </c>
      <c r="O317" s="100" t="s">
        <v>284</v>
      </c>
    </row>
    <row r="318" spans="1:15">
      <c r="A318" s="242" t="s">
        <v>142</v>
      </c>
      <c r="B318" s="235">
        <f t="shared" ref="B318:M318" si="128">B28</f>
        <v>603212.6741274806</v>
      </c>
      <c r="C318" s="235">
        <f t="shared" si="128"/>
        <v>1488283.437591813</v>
      </c>
      <c r="D318" s="235">
        <f t="shared" si="128"/>
        <v>1893995.6312770294</v>
      </c>
      <c r="E318" s="235">
        <f t="shared" si="128"/>
        <v>2184432.4013375416</v>
      </c>
      <c r="F318" s="235">
        <f t="shared" si="128"/>
        <v>2536055.1181233888</v>
      </c>
      <c r="G318" s="235">
        <f t="shared" si="128"/>
        <v>2906055.0627116999</v>
      </c>
      <c r="H318" s="235">
        <f t="shared" si="128"/>
        <v>2987692.4241664633</v>
      </c>
      <c r="I318" s="235">
        <f t="shared" si="128"/>
        <v>3060417.5372483097</v>
      </c>
      <c r="J318" s="235">
        <f t="shared" si="128"/>
        <v>3120483.7045711209</v>
      </c>
      <c r="K318" s="235">
        <f t="shared" si="128"/>
        <v>3184399.5283530965</v>
      </c>
      <c r="L318" s="235">
        <f t="shared" si="128"/>
        <v>3249548.2155887452</v>
      </c>
      <c r="M318" s="235">
        <f t="shared" si="128"/>
        <v>3302831.7108375733</v>
      </c>
      <c r="N318" s="235" t="s">
        <v>315</v>
      </c>
      <c r="O318" s="100" t="s">
        <v>284</v>
      </c>
    </row>
    <row r="319" spans="1:15">
      <c r="A319" s="242" t="s">
        <v>143</v>
      </c>
      <c r="B319" s="235">
        <f t="shared" ref="B319:M319" si="129">B29</f>
        <v>7190282.1257107351</v>
      </c>
      <c r="C319" s="235">
        <f t="shared" si="129"/>
        <v>10053517.649986545</v>
      </c>
      <c r="D319" s="235">
        <f t="shared" si="129"/>
        <v>11599184.226995261</v>
      </c>
      <c r="E319" s="235">
        <f t="shared" si="129"/>
        <v>13210007.730456602</v>
      </c>
      <c r="F319" s="235">
        <f t="shared" si="129"/>
        <v>15569400.966024837</v>
      </c>
      <c r="G319" s="235">
        <f t="shared" si="129"/>
        <v>16652625.828338638</v>
      </c>
      <c r="H319" s="235">
        <f t="shared" si="129"/>
        <v>17148635.185860615</v>
      </c>
      <c r="I319" s="235">
        <f t="shared" si="129"/>
        <v>17637223.433941431</v>
      </c>
      <c r="J319" s="235">
        <f t="shared" si="129"/>
        <v>17933840.95177513</v>
      </c>
      <c r="K319" s="235">
        <f t="shared" si="129"/>
        <v>18456910.587655168</v>
      </c>
      <c r="L319" s="235">
        <f t="shared" si="129"/>
        <v>18828903.299058154</v>
      </c>
      <c r="M319" s="235">
        <f t="shared" si="129"/>
        <v>19116778.354896735</v>
      </c>
      <c r="N319" s="235" t="s">
        <v>315</v>
      </c>
      <c r="O319" s="100" t="s">
        <v>284</v>
      </c>
    </row>
    <row r="320" spans="1:15">
      <c r="A320" s="242" t="s">
        <v>144</v>
      </c>
      <c r="B320" s="235">
        <f t="shared" ref="B320:M320" si="130">B30</f>
        <v>85956.193188437755</v>
      </c>
      <c r="C320" s="235">
        <f t="shared" si="130"/>
        <v>194025.9007361145</v>
      </c>
      <c r="D320" s="235">
        <f t="shared" si="130"/>
        <v>253023.8725956023</v>
      </c>
      <c r="E320" s="235">
        <f t="shared" si="130"/>
        <v>290861.36173217808</v>
      </c>
      <c r="F320" s="235">
        <f t="shared" si="130"/>
        <v>339005.0238560958</v>
      </c>
      <c r="G320" s="235">
        <f t="shared" si="130"/>
        <v>389813.54517644626</v>
      </c>
      <c r="H320" s="235">
        <f t="shared" si="130"/>
        <v>405119.77173650038</v>
      </c>
      <c r="I320" s="235">
        <f t="shared" si="130"/>
        <v>422410.04402706929</v>
      </c>
      <c r="J320" s="235">
        <f t="shared" si="130"/>
        <v>436715.44795197033</v>
      </c>
      <c r="K320" s="235">
        <f t="shared" si="130"/>
        <v>449506.33789011493</v>
      </c>
      <c r="L320" s="235">
        <f t="shared" si="130"/>
        <v>458900.02121759142</v>
      </c>
      <c r="M320" s="235">
        <f t="shared" si="130"/>
        <v>469911.71628318058</v>
      </c>
      <c r="N320" s="235" t="s">
        <v>315</v>
      </c>
      <c r="O320" s="100" t="s">
        <v>284</v>
      </c>
    </row>
    <row r="321" spans="1:15">
      <c r="A321" s="242" t="s">
        <v>145</v>
      </c>
      <c r="B321" s="235">
        <f t="shared" ref="B321:M321" si="131">B31</f>
        <v>27289.083529494212</v>
      </c>
      <c r="C321" s="235">
        <f t="shared" si="131"/>
        <v>78406.656259546682</v>
      </c>
      <c r="D321" s="235">
        <f t="shared" si="131"/>
        <v>113585.77890782277</v>
      </c>
      <c r="E321" s="235">
        <f t="shared" si="131"/>
        <v>136247.66698241365</v>
      </c>
      <c r="F321" s="235">
        <f t="shared" si="131"/>
        <v>160927.93909973791</v>
      </c>
      <c r="G321" s="235">
        <f t="shared" si="131"/>
        <v>185309.85530853466</v>
      </c>
      <c r="H321" s="235">
        <f t="shared" si="131"/>
        <v>195467.43756295377</v>
      </c>
      <c r="I321" s="235">
        <f t="shared" si="131"/>
        <v>206117.5599772635</v>
      </c>
      <c r="J321" s="235">
        <f t="shared" si="131"/>
        <v>216391.5624581828</v>
      </c>
      <c r="K321" s="235">
        <f t="shared" si="131"/>
        <v>229349.16781545698</v>
      </c>
      <c r="L321" s="235">
        <f t="shared" si="131"/>
        <v>238068.64455711277</v>
      </c>
      <c r="M321" s="235">
        <f t="shared" si="131"/>
        <v>245612.15641925824</v>
      </c>
      <c r="N321" s="235" t="s">
        <v>315</v>
      </c>
      <c r="O321" s="100" t="s">
        <v>284</v>
      </c>
    </row>
    <row r="322" spans="1:15">
      <c r="A322" s="242" t="s">
        <v>119</v>
      </c>
      <c r="B322" s="235">
        <f>AF39</f>
        <v>2543.8880000000004</v>
      </c>
      <c r="C322" s="235">
        <f t="shared" ref="C322:M337" si="132">AG39</f>
        <v>4448.5920000000006</v>
      </c>
      <c r="D322" s="235">
        <f t="shared" si="132"/>
        <v>5044.4640000000009</v>
      </c>
      <c r="E322" s="235">
        <f t="shared" si="132"/>
        <v>6688.7520000000013</v>
      </c>
      <c r="F322" s="235">
        <f t="shared" si="132"/>
        <v>0</v>
      </c>
      <c r="G322" s="235">
        <f t="shared" si="132"/>
        <v>0</v>
      </c>
      <c r="H322" s="235">
        <f t="shared" si="132"/>
        <v>0</v>
      </c>
      <c r="I322" s="235">
        <f t="shared" si="132"/>
        <v>0</v>
      </c>
      <c r="J322" s="235">
        <f t="shared" si="132"/>
        <v>0</v>
      </c>
      <c r="K322" s="235">
        <f t="shared" si="132"/>
        <v>0</v>
      </c>
      <c r="L322" s="235">
        <f t="shared" si="132"/>
        <v>0</v>
      </c>
      <c r="M322" s="235">
        <f t="shared" si="132"/>
        <v>0</v>
      </c>
      <c r="N322" s="235" t="s">
        <v>210</v>
      </c>
      <c r="O322" s="100" t="s">
        <v>286</v>
      </c>
    </row>
    <row r="323" spans="1:15">
      <c r="A323" s="242" t="s">
        <v>120</v>
      </c>
      <c r="B323" s="235">
        <f t="shared" ref="B323:B348" si="133">AF40</f>
        <v>9894.4800000000014</v>
      </c>
      <c r="C323" s="235">
        <f t="shared" si="132"/>
        <v>23580.464</v>
      </c>
      <c r="D323" s="235">
        <f t="shared" si="132"/>
        <v>31922.584000000003</v>
      </c>
      <c r="E323" s="235">
        <f t="shared" si="132"/>
        <v>38132.104000000007</v>
      </c>
      <c r="F323" s="235">
        <f t="shared" si="132"/>
        <v>0</v>
      </c>
      <c r="G323" s="235">
        <f t="shared" si="132"/>
        <v>0</v>
      </c>
      <c r="H323" s="235">
        <f t="shared" si="132"/>
        <v>0</v>
      </c>
      <c r="I323" s="235">
        <f t="shared" si="132"/>
        <v>0</v>
      </c>
      <c r="J323" s="235">
        <f t="shared" si="132"/>
        <v>0</v>
      </c>
      <c r="K323" s="235">
        <f t="shared" si="132"/>
        <v>0</v>
      </c>
      <c r="L323" s="235">
        <f t="shared" si="132"/>
        <v>0</v>
      </c>
      <c r="M323" s="235">
        <f t="shared" si="132"/>
        <v>0</v>
      </c>
      <c r="N323" s="235" t="s">
        <v>210</v>
      </c>
      <c r="O323" s="100" t="s">
        <v>286</v>
      </c>
    </row>
    <row r="324" spans="1:15">
      <c r="A324" s="242" t="s">
        <v>121</v>
      </c>
      <c r="B324" s="235">
        <f t="shared" si="133"/>
        <v>8753.6479999999992</v>
      </c>
      <c r="C324" s="235">
        <f t="shared" si="132"/>
        <v>13793.376</v>
      </c>
      <c r="D324" s="235">
        <f t="shared" si="132"/>
        <v>18409.599999999999</v>
      </c>
      <c r="E324" s="235">
        <f t="shared" si="132"/>
        <v>23777.103999999999</v>
      </c>
      <c r="F324" s="235">
        <f t="shared" si="132"/>
        <v>0</v>
      </c>
      <c r="G324" s="235">
        <f t="shared" si="132"/>
        <v>0</v>
      </c>
      <c r="H324" s="235">
        <f t="shared" si="132"/>
        <v>0</v>
      </c>
      <c r="I324" s="235">
        <f t="shared" si="132"/>
        <v>0</v>
      </c>
      <c r="J324" s="235">
        <f t="shared" si="132"/>
        <v>0</v>
      </c>
      <c r="K324" s="235">
        <f t="shared" si="132"/>
        <v>0</v>
      </c>
      <c r="L324" s="235">
        <f t="shared" si="132"/>
        <v>0</v>
      </c>
      <c r="M324" s="235">
        <f t="shared" si="132"/>
        <v>0</v>
      </c>
      <c r="N324" s="235" t="s">
        <v>210</v>
      </c>
      <c r="O324" s="100" t="s">
        <v>286</v>
      </c>
    </row>
    <row r="325" spans="1:15">
      <c r="A325" s="242" t="s">
        <v>122</v>
      </c>
      <c r="B325" s="235">
        <f t="shared" si="133"/>
        <v>13938.920000000002</v>
      </c>
      <c r="C325" s="235">
        <f t="shared" si="132"/>
        <v>38148.168000000005</v>
      </c>
      <c r="D325" s="235">
        <f t="shared" si="132"/>
        <v>57225.04800000001</v>
      </c>
      <c r="E325" s="235">
        <f t="shared" si="132"/>
        <v>74752.216000000015</v>
      </c>
      <c r="F325" s="235">
        <f t="shared" si="132"/>
        <v>0</v>
      </c>
      <c r="G325" s="235">
        <f t="shared" si="132"/>
        <v>0</v>
      </c>
      <c r="H325" s="235">
        <f t="shared" si="132"/>
        <v>0</v>
      </c>
      <c r="I325" s="235">
        <f t="shared" si="132"/>
        <v>0</v>
      </c>
      <c r="J325" s="235">
        <f t="shared" si="132"/>
        <v>0</v>
      </c>
      <c r="K325" s="235">
        <f t="shared" si="132"/>
        <v>0</v>
      </c>
      <c r="L325" s="235">
        <f t="shared" si="132"/>
        <v>0</v>
      </c>
      <c r="M325" s="235">
        <f t="shared" si="132"/>
        <v>0</v>
      </c>
      <c r="N325" s="235" t="s">
        <v>210</v>
      </c>
      <c r="O325" s="100" t="s">
        <v>286</v>
      </c>
    </row>
    <row r="326" spans="1:15">
      <c r="A326" s="242" t="s">
        <v>123</v>
      </c>
      <c r="B326" s="235">
        <f t="shared" si="133"/>
        <v>36033.384000000005</v>
      </c>
      <c r="C326" s="235">
        <f t="shared" si="132"/>
        <v>65526.032000000007</v>
      </c>
      <c r="D326" s="235">
        <f t="shared" si="132"/>
        <v>84240.688000000009</v>
      </c>
      <c r="E326" s="235">
        <f t="shared" si="132"/>
        <v>107484.21600000001</v>
      </c>
      <c r="F326" s="235">
        <f t="shared" si="132"/>
        <v>0</v>
      </c>
      <c r="G326" s="235">
        <f t="shared" si="132"/>
        <v>0</v>
      </c>
      <c r="H326" s="235">
        <f t="shared" si="132"/>
        <v>0</v>
      </c>
      <c r="I326" s="235">
        <f t="shared" si="132"/>
        <v>0</v>
      </c>
      <c r="J326" s="235">
        <f t="shared" si="132"/>
        <v>0</v>
      </c>
      <c r="K326" s="235">
        <f t="shared" si="132"/>
        <v>0</v>
      </c>
      <c r="L326" s="235">
        <f t="shared" si="132"/>
        <v>0</v>
      </c>
      <c r="M326" s="235">
        <f t="shared" si="132"/>
        <v>0</v>
      </c>
      <c r="N326" s="235" t="s">
        <v>210</v>
      </c>
      <c r="O326" s="100" t="s">
        <v>286</v>
      </c>
    </row>
    <row r="327" spans="1:15">
      <c r="A327" s="242" t="s">
        <v>124</v>
      </c>
      <c r="B327" s="235">
        <f t="shared" si="133"/>
        <v>20244.376000000004</v>
      </c>
      <c r="C327" s="235">
        <f t="shared" si="132"/>
        <v>33938.224000000002</v>
      </c>
      <c r="D327" s="235">
        <f t="shared" si="132"/>
        <v>47483.016000000003</v>
      </c>
      <c r="E327" s="235">
        <f t="shared" si="132"/>
        <v>61676.376000000004</v>
      </c>
      <c r="F327" s="235">
        <f t="shared" si="132"/>
        <v>0</v>
      </c>
      <c r="G327" s="235">
        <f t="shared" si="132"/>
        <v>0</v>
      </c>
      <c r="H327" s="235">
        <f t="shared" si="132"/>
        <v>0</v>
      </c>
      <c r="I327" s="235">
        <f t="shared" si="132"/>
        <v>0</v>
      </c>
      <c r="J327" s="235">
        <f t="shared" si="132"/>
        <v>0</v>
      </c>
      <c r="K327" s="235">
        <f t="shared" si="132"/>
        <v>0</v>
      </c>
      <c r="L327" s="235">
        <f t="shared" si="132"/>
        <v>0</v>
      </c>
      <c r="M327" s="235">
        <f t="shared" si="132"/>
        <v>0</v>
      </c>
      <c r="N327" s="235" t="s">
        <v>210</v>
      </c>
      <c r="O327" s="100" t="s">
        <v>286</v>
      </c>
    </row>
    <row r="328" spans="1:15">
      <c r="A328" s="242" t="s">
        <v>125</v>
      </c>
      <c r="B328" s="235">
        <f t="shared" si="133"/>
        <v>38673.656000000003</v>
      </c>
      <c r="C328" s="235">
        <f t="shared" si="132"/>
        <v>73149.936000000016</v>
      </c>
      <c r="D328" s="235">
        <f t="shared" si="132"/>
        <v>97693.670000000013</v>
      </c>
      <c r="E328" s="235">
        <f t="shared" si="132"/>
        <v>124401.07200000001</v>
      </c>
      <c r="F328" s="235">
        <f t="shared" si="132"/>
        <v>0</v>
      </c>
      <c r="G328" s="235">
        <f t="shared" si="132"/>
        <v>0</v>
      </c>
      <c r="H328" s="235">
        <f t="shared" si="132"/>
        <v>0</v>
      </c>
      <c r="I328" s="235">
        <f t="shared" si="132"/>
        <v>0</v>
      </c>
      <c r="J328" s="235">
        <f t="shared" si="132"/>
        <v>0</v>
      </c>
      <c r="K328" s="235">
        <f t="shared" si="132"/>
        <v>0</v>
      </c>
      <c r="L328" s="235">
        <f t="shared" si="132"/>
        <v>0</v>
      </c>
      <c r="M328" s="235">
        <f t="shared" si="132"/>
        <v>0</v>
      </c>
      <c r="N328" s="235" t="s">
        <v>210</v>
      </c>
      <c r="O328" s="100" t="s">
        <v>286</v>
      </c>
    </row>
    <row r="329" spans="1:15">
      <c r="A329" s="242" t="s">
        <v>126</v>
      </c>
      <c r="B329" s="235">
        <f t="shared" si="133"/>
        <v>24987.440000000002</v>
      </c>
      <c r="C329" s="235">
        <f t="shared" si="132"/>
        <v>52805.104000000007</v>
      </c>
      <c r="D329" s="235">
        <f t="shared" si="132"/>
        <v>71941.392000000007</v>
      </c>
      <c r="E329" s="235">
        <f t="shared" si="132"/>
        <v>86065.864000000001</v>
      </c>
      <c r="F329" s="235">
        <f t="shared" si="132"/>
        <v>0</v>
      </c>
      <c r="G329" s="235">
        <f t="shared" si="132"/>
        <v>0</v>
      </c>
      <c r="H329" s="235">
        <f t="shared" si="132"/>
        <v>0</v>
      </c>
      <c r="I329" s="235">
        <f t="shared" si="132"/>
        <v>0</v>
      </c>
      <c r="J329" s="235">
        <f t="shared" si="132"/>
        <v>0</v>
      </c>
      <c r="K329" s="235">
        <f t="shared" si="132"/>
        <v>0</v>
      </c>
      <c r="L329" s="235">
        <f t="shared" si="132"/>
        <v>0</v>
      </c>
      <c r="M329" s="235">
        <f t="shared" si="132"/>
        <v>0</v>
      </c>
      <c r="N329" s="235" t="s">
        <v>210</v>
      </c>
      <c r="O329" s="100" t="s">
        <v>286</v>
      </c>
    </row>
    <row r="330" spans="1:15">
      <c r="A330" s="242" t="s">
        <v>127</v>
      </c>
      <c r="B330" s="235">
        <f t="shared" si="133"/>
        <v>28439.920000000002</v>
      </c>
      <c r="C330" s="235">
        <f t="shared" si="132"/>
        <v>56968.560000000005</v>
      </c>
      <c r="D330" s="235">
        <f t="shared" si="132"/>
        <v>78447.744000000006</v>
      </c>
      <c r="E330" s="235">
        <f t="shared" si="132"/>
        <v>98818.312000000005</v>
      </c>
      <c r="F330" s="235">
        <f t="shared" si="132"/>
        <v>0</v>
      </c>
      <c r="G330" s="235">
        <f t="shared" si="132"/>
        <v>0</v>
      </c>
      <c r="H330" s="235">
        <f t="shared" si="132"/>
        <v>0</v>
      </c>
      <c r="I330" s="235">
        <f t="shared" si="132"/>
        <v>0</v>
      </c>
      <c r="J330" s="235">
        <f t="shared" si="132"/>
        <v>0</v>
      </c>
      <c r="K330" s="235">
        <f t="shared" si="132"/>
        <v>0</v>
      </c>
      <c r="L330" s="235">
        <f t="shared" si="132"/>
        <v>0</v>
      </c>
      <c r="M330" s="235">
        <f t="shared" si="132"/>
        <v>0</v>
      </c>
      <c r="N330" s="235" t="s">
        <v>210</v>
      </c>
      <c r="O330" s="100" t="s">
        <v>286</v>
      </c>
    </row>
    <row r="331" spans="1:15">
      <c r="A331" s="242" t="s">
        <v>128</v>
      </c>
      <c r="B331" s="235">
        <f t="shared" si="133"/>
        <v>13048.512000000001</v>
      </c>
      <c r="C331" s="235">
        <f t="shared" si="132"/>
        <v>22485.815999999999</v>
      </c>
      <c r="D331" s="235">
        <f t="shared" si="132"/>
        <v>33521.824000000001</v>
      </c>
      <c r="E331" s="235">
        <f t="shared" si="132"/>
        <v>43300.28</v>
      </c>
      <c r="F331" s="235">
        <f t="shared" si="132"/>
        <v>0</v>
      </c>
      <c r="G331" s="235">
        <f t="shared" si="132"/>
        <v>0</v>
      </c>
      <c r="H331" s="235">
        <f t="shared" si="132"/>
        <v>0</v>
      </c>
      <c r="I331" s="235">
        <f t="shared" si="132"/>
        <v>0</v>
      </c>
      <c r="J331" s="235">
        <f t="shared" si="132"/>
        <v>0</v>
      </c>
      <c r="K331" s="235">
        <f t="shared" si="132"/>
        <v>0</v>
      </c>
      <c r="L331" s="235">
        <f t="shared" si="132"/>
        <v>0</v>
      </c>
      <c r="M331" s="235">
        <f t="shared" si="132"/>
        <v>0</v>
      </c>
      <c r="N331" s="235" t="s">
        <v>210</v>
      </c>
      <c r="O331" s="100" t="s">
        <v>286</v>
      </c>
    </row>
    <row r="332" spans="1:15">
      <c r="A332" s="242" t="s">
        <v>129</v>
      </c>
      <c r="B332" s="235">
        <f t="shared" si="133"/>
        <v>13720.488000000001</v>
      </c>
      <c r="C332" s="235">
        <f t="shared" si="132"/>
        <v>32128.191999999999</v>
      </c>
      <c r="D332" s="235">
        <f t="shared" si="132"/>
        <v>48195.81</v>
      </c>
      <c r="E332" s="235">
        <f t="shared" si="132"/>
        <v>60100.625999999997</v>
      </c>
      <c r="F332" s="235">
        <f t="shared" si="132"/>
        <v>0</v>
      </c>
      <c r="G332" s="235">
        <f t="shared" si="132"/>
        <v>0</v>
      </c>
      <c r="H332" s="235">
        <f t="shared" si="132"/>
        <v>0</v>
      </c>
      <c r="I332" s="235">
        <f t="shared" si="132"/>
        <v>0</v>
      </c>
      <c r="J332" s="235">
        <f t="shared" si="132"/>
        <v>0</v>
      </c>
      <c r="K332" s="235">
        <f t="shared" si="132"/>
        <v>0</v>
      </c>
      <c r="L332" s="235">
        <f t="shared" si="132"/>
        <v>0</v>
      </c>
      <c r="M332" s="235">
        <f t="shared" si="132"/>
        <v>0</v>
      </c>
      <c r="N332" s="235" t="s">
        <v>210</v>
      </c>
      <c r="O332" s="100" t="s">
        <v>286</v>
      </c>
    </row>
    <row r="333" spans="1:15">
      <c r="A333" s="242" t="s">
        <v>130</v>
      </c>
      <c r="B333" s="235">
        <f t="shared" si="133"/>
        <v>18643.216</v>
      </c>
      <c r="C333" s="235">
        <f t="shared" si="132"/>
        <v>36664.840000000004</v>
      </c>
      <c r="D333" s="235">
        <f t="shared" si="132"/>
        <v>48401.416000000005</v>
      </c>
      <c r="E333" s="235">
        <f t="shared" si="132"/>
        <v>60863.672000000006</v>
      </c>
      <c r="F333" s="235">
        <f t="shared" si="132"/>
        <v>0</v>
      </c>
      <c r="G333" s="235">
        <f t="shared" si="132"/>
        <v>0</v>
      </c>
      <c r="H333" s="235">
        <f t="shared" si="132"/>
        <v>0</v>
      </c>
      <c r="I333" s="235">
        <f t="shared" si="132"/>
        <v>0</v>
      </c>
      <c r="J333" s="235">
        <f t="shared" si="132"/>
        <v>0</v>
      </c>
      <c r="K333" s="235">
        <f t="shared" si="132"/>
        <v>0</v>
      </c>
      <c r="L333" s="235">
        <f t="shared" si="132"/>
        <v>0</v>
      </c>
      <c r="M333" s="235">
        <f t="shared" si="132"/>
        <v>0</v>
      </c>
      <c r="N333" s="235" t="s">
        <v>210</v>
      </c>
      <c r="O333" s="100" t="s">
        <v>286</v>
      </c>
    </row>
    <row r="334" spans="1:15">
      <c r="A334" s="242" t="s">
        <v>131</v>
      </c>
      <c r="B334" s="235">
        <f t="shared" si="133"/>
        <v>121946.04600000002</v>
      </c>
      <c r="C334" s="235">
        <f t="shared" si="132"/>
        <v>220124.24200000003</v>
      </c>
      <c r="D334" s="235">
        <f t="shared" si="132"/>
        <v>287679.37800000003</v>
      </c>
      <c r="E334" s="235">
        <f t="shared" si="132"/>
        <v>369531.72800000006</v>
      </c>
      <c r="F334" s="235">
        <f t="shared" si="132"/>
        <v>0</v>
      </c>
      <c r="G334" s="235">
        <f t="shared" si="132"/>
        <v>0</v>
      </c>
      <c r="H334" s="235">
        <f t="shared" si="132"/>
        <v>0</v>
      </c>
      <c r="I334" s="235">
        <f t="shared" si="132"/>
        <v>0</v>
      </c>
      <c r="J334" s="235">
        <f t="shared" si="132"/>
        <v>0</v>
      </c>
      <c r="K334" s="235">
        <f t="shared" si="132"/>
        <v>0</v>
      </c>
      <c r="L334" s="235">
        <f t="shared" si="132"/>
        <v>0</v>
      </c>
      <c r="M334" s="235">
        <f t="shared" si="132"/>
        <v>0</v>
      </c>
      <c r="N334" s="235" t="s">
        <v>210</v>
      </c>
      <c r="O334" s="100" t="s">
        <v>286</v>
      </c>
    </row>
    <row r="335" spans="1:15">
      <c r="A335" s="242" t="s">
        <v>132</v>
      </c>
      <c r="B335" s="235">
        <f t="shared" si="133"/>
        <v>18520.456000000002</v>
      </c>
      <c r="C335" s="235">
        <f t="shared" si="132"/>
        <v>37515.207999999999</v>
      </c>
      <c r="D335" s="235">
        <f t="shared" si="132"/>
        <v>54187.263999999996</v>
      </c>
      <c r="E335" s="235">
        <f t="shared" si="132"/>
        <v>70447.831999999995</v>
      </c>
      <c r="F335" s="235">
        <f t="shared" si="132"/>
        <v>0</v>
      </c>
      <c r="G335" s="235">
        <f t="shared" si="132"/>
        <v>0</v>
      </c>
      <c r="H335" s="235">
        <f t="shared" si="132"/>
        <v>0</v>
      </c>
      <c r="I335" s="235">
        <f t="shared" si="132"/>
        <v>0</v>
      </c>
      <c r="J335" s="235">
        <f t="shared" si="132"/>
        <v>0</v>
      </c>
      <c r="K335" s="235">
        <f t="shared" si="132"/>
        <v>0</v>
      </c>
      <c r="L335" s="235">
        <f t="shared" si="132"/>
        <v>0</v>
      </c>
      <c r="M335" s="235">
        <f t="shared" si="132"/>
        <v>0</v>
      </c>
      <c r="N335" s="235" t="s">
        <v>210</v>
      </c>
      <c r="O335" s="100" t="s">
        <v>286</v>
      </c>
    </row>
    <row r="336" spans="1:15">
      <c r="A336" s="242" t="s">
        <v>133</v>
      </c>
      <c r="B336" s="235">
        <f t="shared" si="133"/>
        <v>20980.008000000002</v>
      </c>
      <c r="C336" s="235">
        <f t="shared" si="132"/>
        <v>35512.824000000008</v>
      </c>
      <c r="D336" s="235">
        <f t="shared" si="132"/>
        <v>47183.936000000009</v>
      </c>
      <c r="E336" s="235">
        <f t="shared" si="132"/>
        <v>56843.208000000013</v>
      </c>
      <c r="F336" s="235">
        <f t="shared" si="132"/>
        <v>0</v>
      </c>
      <c r="G336" s="235">
        <f t="shared" si="132"/>
        <v>0</v>
      </c>
      <c r="H336" s="235">
        <f t="shared" si="132"/>
        <v>0</v>
      </c>
      <c r="I336" s="235">
        <f t="shared" si="132"/>
        <v>0</v>
      </c>
      <c r="J336" s="235">
        <f t="shared" si="132"/>
        <v>0</v>
      </c>
      <c r="K336" s="235">
        <f t="shared" si="132"/>
        <v>0</v>
      </c>
      <c r="L336" s="235">
        <f t="shared" si="132"/>
        <v>0</v>
      </c>
      <c r="M336" s="235">
        <f t="shared" si="132"/>
        <v>0</v>
      </c>
      <c r="N336" s="235" t="s">
        <v>210</v>
      </c>
      <c r="O336" s="100" t="s">
        <v>286</v>
      </c>
    </row>
    <row r="337" spans="1:15">
      <c r="A337" s="242" t="s">
        <v>134</v>
      </c>
      <c r="B337" s="235">
        <f t="shared" si="133"/>
        <v>68552.12</v>
      </c>
      <c r="C337" s="235">
        <f t="shared" si="132"/>
        <v>127093.848</v>
      </c>
      <c r="D337" s="235">
        <f t="shared" si="132"/>
        <v>172639.03200000001</v>
      </c>
      <c r="E337" s="235">
        <f t="shared" si="132"/>
        <v>215979.24000000002</v>
      </c>
      <c r="F337" s="235">
        <f t="shared" si="132"/>
        <v>0</v>
      </c>
      <c r="G337" s="235">
        <f t="shared" si="132"/>
        <v>0</v>
      </c>
      <c r="H337" s="235">
        <f t="shared" si="132"/>
        <v>0</v>
      </c>
      <c r="I337" s="235">
        <f t="shared" si="132"/>
        <v>0</v>
      </c>
      <c r="J337" s="235">
        <f t="shared" si="132"/>
        <v>0</v>
      </c>
      <c r="K337" s="235">
        <f t="shared" si="132"/>
        <v>0</v>
      </c>
      <c r="L337" s="235">
        <f t="shared" si="132"/>
        <v>0</v>
      </c>
      <c r="M337" s="235">
        <f t="shared" si="132"/>
        <v>0</v>
      </c>
      <c r="N337" s="235" t="s">
        <v>210</v>
      </c>
      <c r="O337" s="100" t="s">
        <v>286</v>
      </c>
    </row>
    <row r="338" spans="1:15">
      <c r="A338" s="242" t="s">
        <v>135</v>
      </c>
      <c r="B338" s="235">
        <f t="shared" si="133"/>
        <v>25726.184000000001</v>
      </c>
      <c r="C338" s="235">
        <f t="shared" ref="C338:C348" si="134">AG55</f>
        <v>64433.656000000003</v>
      </c>
      <c r="D338" s="235">
        <f t="shared" ref="D338:D348" si="135">AH55</f>
        <v>99034.872000000003</v>
      </c>
      <c r="E338" s="235">
        <f t="shared" ref="E338:E348" si="136">AI55</f>
        <v>133308</v>
      </c>
      <c r="F338" s="235">
        <f t="shared" ref="F338:F348" si="137">AJ55</f>
        <v>0</v>
      </c>
      <c r="G338" s="235">
        <f t="shared" ref="G338:G348" si="138">AK55</f>
        <v>0</v>
      </c>
      <c r="H338" s="235">
        <f t="shared" ref="H338:H348" si="139">AL55</f>
        <v>0</v>
      </c>
      <c r="I338" s="235">
        <f t="shared" ref="I338:I348" si="140">AM55</f>
        <v>0</v>
      </c>
      <c r="J338" s="235">
        <f t="shared" ref="J338:J348" si="141">AN55</f>
        <v>0</v>
      </c>
      <c r="K338" s="235">
        <f t="shared" ref="K338:K348" si="142">AO55</f>
        <v>0</v>
      </c>
      <c r="L338" s="235">
        <f t="shared" ref="L338:L348" si="143">AP55</f>
        <v>0</v>
      </c>
      <c r="M338" s="235">
        <f t="shared" ref="M338:M348" si="144">AQ55</f>
        <v>0</v>
      </c>
      <c r="N338" s="235" t="s">
        <v>210</v>
      </c>
      <c r="O338" s="100" t="s">
        <v>286</v>
      </c>
    </row>
    <row r="339" spans="1:15">
      <c r="A339" s="242" t="s">
        <v>136</v>
      </c>
      <c r="B339" s="235">
        <f t="shared" si="133"/>
        <v>6157.0080000000007</v>
      </c>
      <c r="C339" s="235">
        <f t="shared" si="134"/>
        <v>10241.712000000001</v>
      </c>
      <c r="D339" s="235">
        <f t="shared" si="135"/>
        <v>13347.056</v>
      </c>
      <c r="E339" s="235">
        <f t="shared" si="136"/>
        <v>16559.36</v>
      </c>
      <c r="F339" s="235">
        <f t="shared" si="137"/>
        <v>0</v>
      </c>
      <c r="G339" s="235">
        <f t="shared" si="138"/>
        <v>0</v>
      </c>
      <c r="H339" s="235">
        <f t="shared" si="139"/>
        <v>0</v>
      </c>
      <c r="I339" s="235">
        <f t="shared" si="140"/>
        <v>0</v>
      </c>
      <c r="J339" s="235">
        <f t="shared" si="141"/>
        <v>0</v>
      </c>
      <c r="K339" s="235">
        <f t="shared" si="142"/>
        <v>0</v>
      </c>
      <c r="L339" s="235">
        <f t="shared" si="143"/>
        <v>0</v>
      </c>
      <c r="M339" s="235">
        <f t="shared" si="144"/>
        <v>0</v>
      </c>
      <c r="N339" s="235" t="s">
        <v>210</v>
      </c>
      <c r="O339" s="100" t="s">
        <v>286</v>
      </c>
    </row>
    <row r="340" spans="1:15">
      <c r="A340" s="242" t="s">
        <v>137</v>
      </c>
      <c r="B340" s="235">
        <f t="shared" si="133"/>
        <v>104725.06600000002</v>
      </c>
      <c r="C340" s="235">
        <f t="shared" si="134"/>
        <v>194580.76</v>
      </c>
      <c r="D340" s="235">
        <f t="shared" si="135"/>
        <v>257642.05800000002</v>
      </c>
      <c r="E340" s="235">
        <f t="shared" si="136"/>
        <v>322863.57800000004</v>
      </c>
      <c r="F340" s="235">
        <f t="shared" si="137"/>
        <v>0</v>
      </c>
      <c r="G340" s="235">
        <f t="shared" si="138"/>
        <v>0</v>
      </c>
      <c r="H340" s="235">
        <f t="shared" si="139"/>
        <v>0</v>
      </c>
      <c r="I340" s="235">
        <f t="shared" si="140"/>
        <v>0</v>
      </c>
      <c r="J340" s="235">
        <f t="shared" si="141"/>
        <v>0</v>
      </c>
      <c r="K340" s="235">
        <f t="shared" si="142"/>
        <v>0</v>
      </c>
      <c r="L340" s="235">
        <f t="shared" si="143"/>
        <v>0</v>
      </c>
      <c r="M340" s="235">
        <f t="shared" si="144"/>
        <v>0</v>
      </c>
      <c r="N340" s="235" t="s">
        <v>210</v>
      </c>
      <c r="O340" s="100" t="s">
        <v>286</v>
      </c>
    </row>
    <row r="341" spans="1:15">
      <c r="A341" s="242" t="s">
        <v>138</v>
      </c>
      <c r="B341" s="235">
        <f t="shared" si="133"/>
        <v>15691.586000000001</v>
      </c>
      <c r="C341" s="235">
        <f t="shared" si="134"/>
        <v>36380.952000000005</v>
      </c>
      <c r="D341" s="235">
        <f t="shared" si="135"/>
        <v>47786.974000000002</v>
      </c>
      <c r="E341" s="235">
        <f t="shared" si="136"/>
        <v>61394.414000000004</v>
      </c>
      <c r="F341" s="235">
        <f t="shared" si="137"/>
        <v>0</v>
      </c>
      <c r="G341" s="235">
        <f t="shared" si="138"/>
        <v>0</v>
      </c>
      <c r="H341" s="235">
        <f t="shared" si="139"/>
        <v>0</v>
      </c>
      <c r="I341" s="235">
        <f t="shared" si="140"/>
        <v>0</v>
      </c>
      <c r="J341" s="235">
        <f t="shared" si="141"/>
        <v>0</v>
      </c>
      <c r="K341" s="235">
        <f t="shared" si="142"/>
        <v>0</v>
      </c>
      <c r="L341" s="235">
        <f t="shared" si="143"/>
        <v>0</v>
      </c>
      <c r="M341" s="235">
        <f t="shared" si="144"/>
        <v>0</v>
      </c>
      <c r="N341" s="235" t="s">
        <v>210</v>
      </c>
      <c r="O341" s="100" t="s">
        <v>286</v>
      </c>
    </row>
    <row r="342" spans="1:15">
      <c r="A342" s="242" t="s">
        <v>139</v>
      </c>
      <c r="B342" s="235">
        <f t="shared" si="133"/>
        <v>112808.55600000001</v>
      </c>
      <c r="C342" s="235">
        <f t="shared" si="134"/>
        <v>214114.57199999999</v>
      </c>
      <c r="D342" s="235">
        <f t="shared" si="135"/>
        <v>283621.96799999999</v>
      </c>
      <c r="E342" s="235">
        <f t="shared" si="136"/>
        <v>370682.07</v>
      </c>
      <c r="F342" s="235">
        <f t="shared" si="137"/>
        <v>0</v>
      </c>
      <c r="G342" s="235">
        <f t="shared" si="138"/>
        <v>0</v>
      </c>
      <c r="H342" s="235">
        <f t="shared" si="139"/>
        <v>0</v>
      </c>
      <c r="I342" s="235">
        <f t="shared" si="140"/>
        <v>0</v>
      </c>
      <c r="J342" s="235">
        <f t="shared" si="141"/>
        <v>0</v>
      </c>
      <c r="K342" s="235">
        <f t="shared" si="142"/>
        <v>0</v>
      </c>
      <c r="L342" s="235">
        <f t="shared" si="143"/>
        <v>0</v>
      </c>
      <c r="M342" s="235">
        <f t="shared" si="144"/>
        <v>0</v>
      </c>
      <c r="N342" s="235" t="s">
        <v>210</v>
      </c>
      <c r="O342" s="100" t="s">
        <v>286</v>
      </c>
    </row>
    <row r="343" spans="1:15">
      <c r="A343" s="242" t="s">
        <v>140</v>
      </c>
      <c r="B343" s="235">
        <f t="shared" si="133"/>
        <v>5550.344000000001</v>
      </c>
      <c r="C343" s="235">
        <f t="shared" si="134"/>
        <v>9891.1040000000012</v>
      </c>
      <c r="D343" s="235">
        <f t="shared" si="135"/>
        <v>13108.480000000001</v>
      </c>
      <c r="E343" s="235">
        <f t="shared" si="136"/>
        <v>16284.136000000002</v>
      </c>
      <c r="F343" s="235">
        <f t="shared" si="137"/>
        <v>0</v>
      </c>
      <c r="G343" s="235">
        <f t="shared" si="138"/>
        <v>0</v>
      </c>
      <c r="H343" s="235">
        <f t="shared" si="139"/>
        <v>0</v>
      </c>
      <c r="I343" s="235">
        <f t="shared" si="140"/>
        <v>0</v>
      </c>
      <c r="J343" s="235">
        <f t="shared" si="141"/>
        <v>0</v>
      </c>
      <c r="K343" s="235">
        <f t="shared" si="142"/>
        <v>0</v>
      </c>
      <c r="L343" s="235">
        <f t="shared" si="143"/>
        <v>0</v>
      </c>
      <c r="M343" s="235">
        <f t="shared" si="144"/>
        <v>0</v>
      </c>
      <c r="N343" s="235" t="s">
        <v>210</v>
      </c>
      <c r="O343" s="100" t="s">
        <v>286</v>
      </c>
    </row>
    <row r="344" spans="1:15">
      <c r="A344" s="242" t="s">
        <v>141</v>
      </c>
      <c r="B344" s="235">
        <f t="shared" si="133"/>
        <v>1554.04</v>
      </c>
      <c r="C344" s="235">
        <f t="shared" si="134"/>
        <v>1836.56</v>
      </c>
      <c r="D344" s="235">
        <f t="shared" si="135"/>
        <v>2245.7600000000002</v>
      </c>
      <c r="E344" s="235">
        <f t="shared" si="136"/>
        <v>2883.5840000000003</v>
      </c>
      <c r="F344" s="235">
        <f t="shared" si="137"/>
        <v>0</v>
      </c>
      <c r="G344" s="235">
        <f t="shared" si="138"/>
        <v>0</v>
      </c>
      <c r="H344" s="235">
        <f t="shared" si="139"/>
        <v>0</v>
      </c>
      <c r="I344" s="235">
        <f t="shared" si="140"/>
        <v>0</v>
      </c>
      <c r="J344" s="235">
        <f t="shared" si="141"/>
        <v>0</v>
      </c>
      <c r="K344" s="235">
        <f t="shared" si="142"/>
        <v>0</v>
      </c>
      <c r="L344" s="235">
        <f t="shared" si="143"/>
        <v>0</v>
      </c>
      <c r="M344" s="235">
        <f t="shared" si="144"/>
        <v>0</v>
      </c>
      <c r="N344" s="235" t="s">
        <v>210</v>
      </c>
      <c r="O344" s="100" t="s">
        <v>286</v>
      </c>
    </row>
    <row r="345" spans="1:15">
      <c r="A345" s="242" t="s">
        <v>142</v>
      </c>
      <c r="B345" s="235">
        <f t="shared" si="133"/>
        <v>53957.936000000002</v>
      </c>
      <c r="C345" s="235">
        <f t="shared" si="134"/>
        <v>98857.224000000002</v>
      </c>
      <c r="D345" s="235">
        <f t="shared" si="135"/>
        <v>135337.09599999999</v>
      </c>
      <c r="E345" s="235">
        <f t="shared" si="136"/>
        <v>163490.72</v>
      </c>
      <c r="F345" s="235">
        <f t="shared" si="137"/>
        <v>0</v>
      </c>
      <c r="G345" s="235">
        <f t="shared" si="138"/>
        <v>0</v>
      </c>
      <c r="H345" s="235">
        <f t="shared" si="139"/>
        <v>0</v>
      </c>
      <c r="I345" s="235">
        <f t="shared" si="140"/>
        <v>0</v>
      </c>
      <c r="J345" s="235">
        <f t="shared" si="141"/>
        <v>0</v>
      </c>
      <c r="K345" s="235">
        <f t="shared" si="142"/>
        <v>0</v>
      </c>
      <c r="L345" s="235">
        <f t="shared" si="143"/>
        <v>0</v>
      </c>
      <c r="M345" s="235">
        <f t="shared" si="144"/>
        <v>0</v>
      </c>
      <c r="N345" s="235" t="s">
        <v>210</v>
      </c>
      <c r="O345" s="100" t="s">
        <v>286</v>
      </c>
    </row>
    <row r="346" spans="1:15">
      <c r="A346" s="242" t="s">
        <v>143</v>
      </c>
      <c r="B346" s="235">
        <f t="shared" si="133"/>
        <v>357750.58</v>
      </c>
      <c r="C346" s="235">
        <f t="shared" si="134"/>
        <v>678990.00399999996</v>
      </c>
      <c r="D346" s="235">
        <f t="shared" si="135"/>
        <v>905580.42799999996</v>
      </c>
      <c r="E346" s="235">
        <f t="shared" si="136"/>
        <v>1153900.5959999999</v>
      </c>
      <c r="F346" s="235">
        <f t="shared" si="137"/>
        <v>0</v>
      </c>
      <c r="G346" s="235">
        <f t="shared" si="138"/>
        <v>0</v>
      </c>
      <c r="H346" s="235">
        <f t="shared" si="139"/>
        <v>0</v>
      </c>
      <c r="I346" s="235">
        <f t="shared" si="140"/>
        <v>0</v>
      </c>
      <c r="J346" s="235">
        <f t="shared" si="141"/>
        <v>0</v>
      </c>
      <c r="K346" s="235">
        <f t="shared" si="142"/>
        <v>0</v>
      </c>
      <c r="L346" s="235">
        <f t="shared" si="143"/>
        <v>0</v>
      </c>
      <c r="M346" s="235">
        <f t="shared" si="144"/>
        <v>0</v>
      </c>
      <c r="N346" s="235" t="s">
        <v>210</v>
      </c>
      <c r="O346" s="100" t="s">
        <v>286</v>
      </c>
    </row>
    <row r="347" spans="1:15">
      <c r="A347" s="242" t="s">
        <v>144</v>
      </c>
      <c r="B347" s="235">
        <f t="shared" si="133"/>
        <v>7233.0560000000005</v>
      </c>
      <c r="C347" s="235">
        <f t="shared" si="134"/>
        <v>20696.920000000002</v>
      </c>
      <c r="D347" s="235">
        <f t="shared" si="135"/>
        <v>31922.808000000005</v>
      </c>
      <c r="E347" s="235">
        <f t="shared" si="136"/>
        <v>41925.928000000007</v>
      </c>
      <c r="F347" s="235">
        <f t="shared" si="137"/>
        <v>0</v>
      </c>
      <c r="G347" s="235">
        <f t="shared" si="138"/>
        <v>0</v>
      </c>
      <c r="H347" s="235">
        <f t="shared" si="139"/>
        <v>0</v>
      </c>
      <c r="I347" s="235">
        <f t="shared" si="140"/>
        <v>0</v>
      </c>
      <c r="J347" s="235">
        <f t="shared" si="141"/>
        <v>0</v>
      </c>
      <c r="K347" s="235">
        <f t="shared" si="142"/>
        <v>0</v>
      </c>
      <c r="L347" s="235">
        <f t="shared" si="143"/>
        <v>0</v>
      </c>
      <c r="M347" s="235">
        <f t="shared" si="144"/>
        <v>0</v>
      </c>
      <c r="N347" s="235" t="s">
        <v>210</v>
      </c>
      <c r="O347" s="100" t="s">
        <v>286</v>
      </c>
    </row>
    <row r="348" spans="1:15">
      <c r="A348" s="242" t="s">
        <v>145</v>
      </c>
      <c r="B348" s="235">
        <f t="shared" si="133"/>
        <v>7008.9039999999995</v>
      </c>
      <c r="C348" s="235">
        <f t="shared" si="134"/>
        <v>12464.2</v>
      </c>
      <c r="D348" s="235">
        <f t="shared" si="135"/>
        <v>15407.568000000001</v>
      </c>
      <c r="E348" s="235">
        <f t="shared" si="136"/>
        <v>20319.464</v>
      </c>
      <c r="F348" s="235">
        <f t="shared" si="137"/>
        <v>0</v>
      </c>
      <c r="G348" s="235">
        <f t="shared" si="138"/>
        <v>0</v>
      </c>
      <c r="H348" s="235">
        <f t="shared" si="139"/>
        <v>0</v>
      </c>
      <c r="I348" s="235">
        <f t="shared" si="140"/>
        <v>0</v>
      </c>
      <c r="J348" s="235">
        <f t="shared" si="141"/>
        <v>0</v>
      </c>
      <c r="K348" s="235">
        <f t="shared" si="142"/>
        <v>0</v>
      </c>
      <c r="L348" s="235">
        <f t="shared" si="143"/>
        <v>0</v>
      </c>
      <c r="M348" s="235">
        <f t="shared" si="144"/>
        <v>0</v>
      </c>
      <c r="N348" s="235" t="s">
        <v>210</v>
      </c>
      <c r="O348" s="100" t="s">
        <v>286</v>
      </c>
    </row>
    <row r="349" spans="1:15">
      <c r="A349" s="242" t="s">
        <v>119</v>
      </c>
      <c r="B349" s="235">
        <f>Q39</f>
        <v>1139.0847192379565</v>
      </c>
      <c r="C349" s="235">
        <f t="shared" ref="C349:M364" si="145">R39</f>
        <v>1735.3126370487191</v>
      </c>
      <c r="D349" s="235">
        <f t="shared" si="145"/>
        <v>2254.2103627985921</v>
      </c>
      <c r="E349" s="235">
        <f t="shared" si="145"/>
        <v>2656.6393582070864</v>
      </c>
      <c r="F349" s="235">
        <f t="shared" si="145"/>
        <v>3373.6192563893042</v>
      </c>
      <c r="G349" s="235">
        <f t="shared" si="145"/>
        <v>3573.5279991701841</v>
      </c>
      <c r="H349" s="235">
        <f t="shared" si="145"/>
        <v>4189.8622620381038</v>
      </c>
      <c r="I349" s="235">
        <f t="shared" si="145"/>
        <v>5215.952084506006</v>
      </c>
      <c r="J349" s="235">
        <f t="shared" si="145"/>
        <v>5561.5786408325694</v>
      </c>
      <c r="K349" s="235">
        <f t="shared" si="145"/>
        <v>6117.1286239142555</v>
      </c>
      <c r="L349" s="235">
        <f t="shared" si="145"/>
        <v>6738.010243192286</v>
      </c>
      <c r="M349" s="235">
        <f t="shared" si="145"/>
        <v>7000</v>
      </c>
      <c r="N349" s="235" t="s">
        <v>209</v>
      </c>
      <c r="O349" s="100" t="s">
        <v>286</v>
      </c>
    </row>
    <row r="350" spans="1:15">
      <c r="A350" s="242" t="s">
        <v>120</v>
      </c>
      <c r="B350" s="235">
        <f t="shared" ref="B350:B375" si="146">Q40</f>
        <v>4638.4203532002521</v>
      </c>
      <c r="C350" s="235">
        <f t="shared" si="145"/>
        <v>8758.7929751492084</v>
      </c>
      <c r="D350" s="235">
        <f t="shared" si="145"/>
        <v>11548.156056363172</v>
      </c>
      <c r="E350" s="235">
        <f t="shared" si="145"/>
        <v>13984.328207868881</v>
      </c>
      <c r="F350" s="235">
        <f t="shared" si="145"/>
        <v>17244.066062957725</v>
      </c>
      <c r="G350" s="235">
        <f t="shared" si="145"/>
        <v>19436.614709178131</v>
      </c>
      <c r="H350" s="235">
        <f t="shared" si="145"/>
        <v>21063.412193555232</v>
      </c>
      <c r="I350" s="235">
        <f t="shared" si="145"/>
        <v>23210.573469560048</v>
      </c>
      <c r="J350" s="235">
        <f t="shared" si="145"/>
        <v>24859.764234121314</v>
      </c>
      <c r="K350" s="235">
        <f t="shared" si="145"/>
        <v>26286.968249612019</v>
      </c>
      <c r="L350" s="235">
        <f t="shared" si="145"/>
        <v>28152.51927839372</v>
      </c>
      <c r="M350" s="235">
        <f t="shared" si="145"/>
        <v>30000</v>
      </c>
      <c r="N350" s="235" t="s">
        <v>209</v>
      </c>
      <c r="O350" s="100" t="s">
        <v>286</v>
      </c>
    </row>
    <row r="351" spans="1:15">
      <c r="A351" s="242" t="s">
        <v>121</v>
      </c>
      <c r="B351" s="235">
        <f t="shared" si="146"/>
        <v>1024.1631691279385</v>
      </c>
      <c r="C351" s="235">
        <f t="shared" si="145"/>
        <v>1900.8284839503694</v>
      </c>
      <c r="D351" s="235">
        <f t="shared" si="145"/>
        <v>3062.8996069898244</v>
      </c>
      <c r="E351" s="235">
        <f t="shared" si="145"/>
        <v>3777.6997022369328</v>
      </c>
      <c r="F351" s="235">
        <f t="shared" si="145"/>
        <v>4468.1571371702721</v>
      </c>
      <c r="G351" s="235">
        <f t="shared" si="145"/>
        <v>5138.3679344450366</v>
      </c>
      <c r="H351" s="235">
        <f t="shared" si="145"/>
        <v>5882.7574484180741</v>
      </c>
      <c r="I351" s="235">
        <f t="shared" si="145"/>
        <v>6538.1681723892234</v>
      </c>
      <c r="J351" s="235">
        <f t="shared" si="145"/>
        <v>7374.4314408271402</v>
      </c>
      <c r="K351" s="235">
        <f t="shared" si="145"/>
        <v>8230.0356224888728</v>
      </c>
      <c r="L351" s="235">
        <f t="shared" si="145"/>
        <v>9211.2177425176233</v>
      </c>
      <c r="M351" s="235">
        <f t="shared" si="145"/>
        <v>9748</v>
      </c>
      <c r="N351" s="235" t="s">
        <v>209</v>
      </c>
      <c r="O351" s="100" t="s">
        <v>286</v>
      </c>
    </row>
    <row r="352" spans="1:15">
      <c r="A352" s="242" t="s">
        <v>122</v>
      </c>
      <c r="B352" s="235">
        <f t="shared" si="146"/>
        <v>4490.0239214703133</v>
      </c>
      <c r="C352" s="235">
        <f t="shared" si="145"/>
        <v>7901.3077453415754</v>
      </c>
      <c r="D352" s="235">
        <f t="shared" si="145"/>
        <v>10649.511118808778</v>
      </c>
      <c r="E352" s="235">
        <f t="shared" si="145"/>
        <v>12872.93900145625</v>
      </c>
      <c r="F352" s="235">
        <f t="shared" si="145"/>
        <v>15045.225102730219</v>
      </c>
      <c r="G352" s="235">
        <f t="shared" si="145"/>
        <v>17264.320474071064</v>
      </c>
      <c r="H352" s="235">
        <f t="shared" si="145"/>
        <v>19703.60716087517</v>
      </c>
      <c r="I352" s="235">
        <f t="shared" si="145"/>
        <v>22401.001825128329</v>
      </c>
      <c r="J352" s="235">
        <f t="shared" si="145"/>
        <v>24742.765229979024</v>
      </c>
      <c r="K352" s="235">
        <f t="shared" si="145"/>
        <v>27037.506326662944</v>
      </c>
      <c r="L352" s="235">
        <f t="shared" si="145"/>
        <v>28977.486607479794</v>
      </c>
      <c r="M352" s="235">
        <f t="shared" si="145"/>
        <v>30791.06</v>
      </c>
      <c r="N352" s="235" t="s">
        <v>209</v>
      </c>
      <c r="O352" s="100" t="s">
        <v>286</v>
      </c>
    </row>
    <row r="353" spans="1:15">
      <c r="A353" s="242" t="s">
        <v>123</v>
      </c>
      <c r="B353" s="235">
        <f t="shared" si="146"/>
        <v>26689.704835546414</v>
      </c>
      <c r="C353" s="235">
        <f t="shared" si="145"/>
        <v>49113.672900155696</v>
      </c>
      <c r="D353" s="235">
        <f t="shared" si="145"/>
        <v>64011.73216777073</v>
      </c>
      <c r="E353" s="235">
        <f t="shared" si="145"/>
        <v>81257.673720975421</v>
      </c>
      <c r="F353" s="235">
        <f t="shared" si="145"/>
        <v>93858.117745124851</v>
      </c>
      <c r="G353" s="235">
        <f t="shared" si="145"/>
        <v>105663.93730177205</v>
      </c>
      <c r="H353" s="235">
        <f t="shared" si="145"/>
        <v>119360.55981256804</v>
      </c>
      <c r="I353" s="235">
        <f t="shared" si="145"/>
        <v>133647.52217958958</v>
      </c>
      <c r="J353" s="235">
        <f t="shared" si="145"/>
        <v>144057.93487863918</v>
      </c>
      <c r="K353" s="235">
        <f t="shared" si="145"/>
        <v>156151.54986923985</v>
      </c>
      <c r="L353" s="235">
        <f t="shared" si="145"/>
        <v>165564.0341418653</v>
      </c>
      <c r="M353" s="235">
        <f t="shared" si="145"/>
        <v>180000</v>
      </c>
      <c r="N353" s="235" t="s">
        <v>209</v>
      </c>
      <c r="O353" s="100" t="s">
        <v>286</v>
      </c>
    </row>
    <row r="354" spans="1:15">
      <c r="A354" s="242" t="s">
        <v>124</v>
      </c>
      <c r="B354" s="235">
        <f t="shared" si="146"/>
        <v>6882.2677666535074</v>
      </c>
      <c r="C354" s="235">
        <f t="shared" si="145"/>
        <v>15120.705235453641</v>
      </c>
      <c r="D354" s="235">
        <f t="shared" si="145"/>
        <v>23310.666023097652</v>
      </c>
      <c r="E354" s="235">
        <f t="shared" si="145"/>
        <v>29134.977032147497</v>
      </c>
      <c r="F354" s="235">
        <f t="shared" si="145"/>
        <v>33829.570383286067</v>
      </c>
      <c r="G354" s="235">
        <f t="shared" si="145"/>
        <v>39028.339004483612</v>
      </c>
      <c r="H354" s="235">
        <f t="shared" si="145"/>
        <v>44447.040806787401</v>
      </c>
      <c r="I354" s="235">
        <f t="shared" si="145"/>
        <v>49683.047857870071</v>
      </c>
      <c r="J354" s="235">
        <f t="shared" si="145"/>
        <v>52934.916534355885</v>
      </c>
      <c r="K354" s="235">
        <f t="shared" si="145"/>
        <v>56865.102411087501</v>
      </c>
      <c r="L354" s="235">
        <f t="shared" si="145"/>
        <v>60836.551004865549</v>
      </c>
      <c r="M354" s="235">
        <f t="shared" si="145"/>
        <v>64988</v>
      </c>
      <c r="N354" s="235" t="s">
        <v>209</v>
      </c>
      <c r="O354" s="100" t="s">
        <v>286</v>
      </c>
    </row>
    <row r="355" spans="1:15">
      <c r="A355" s="242" t="s">
        <v>125</v>
      </c>
      <c r="B355" s="235">
        <f t="shared" si="146"/>
        <v>25899.761353978556</v>
      </c>
      <c r="C355" s="235">
        <f t="shared" si="145"/>
        <v>51133.202718563916</v>
      </c>
      <c r="D355" s="235">
        <f t="shared" si="145"/>
        <v>73465.615892798785</v>
      </c>
      <c r="E355" s="235">
        <f t="shared" si="145"/>
        <v>87139.30485726062</v>
      </c>
      <c r="F355" s="235">
        <f t="shared" si="145"/>
        <v>103652.06035684416</v>
      </c>
      <c r="G355" s="235">
        <f t="shared" si="145"/>
        <v>118347.19043435014</v>
      </c>
      <c r="H355" s="235">
        <f t="shared" si="145"/>
        <v>131187.93268091392</v>
      </c>
      <c r="I355" s="235">
        <f t="shared" si="145"/>
        <v>146307.90512989188</v>
      </c>
      <c r="J355" s="235">
        <f t="shared" si="145"/>
        <v>157666.98258734687</v>
      </c>
      <c r="K355" s="235">
        <f t="shared" si="145"/>
        <v>171115.61762739712</v>
      </c>
      <c r="L355" s="235">
        <f t="shared" si="145"/>
        <v>184557.94453814422</v>
      </c>
      <c r="M355" s="235">
        <f t="shared" si="145"/>
        <v>200000</v>
      </c>
      <c r="N355" s="235" t="s">
        <v>209</v>
      </c>
      <c r="O355" s="100" t="s">
        <v>286</v>
      </c>
    </row>
    <row r="356" spans="1:15">
      <c r="A356" s="242" t="s">
        <v>126</v>
      </c>
      <c r="B356" s="235">
        <f t="shared" si="146"/>
        <v>8165.8600481031317</v>
      </c>
      <c r="C356" s="235">
        <f t="shared" si="145"/>
        <v>14547.922883271525</v>
      </c>
      <c r="D356" s="235">
        <f t="shared" si="145"/>
        <v>22017.948482679407</v>
      </c>
      <c r="E356" s="235">
        <f t="shared" si="145"/>
        <v>26469.038343235112</v>
      </c>
      <c r="F356" s="235">
        <f t="shared" si="145"/>
        <v>31185.872427169481</v>
      </c>
      <c r="G356" s="235">
        <f t="shared" si="145"/>
        <v>35259.809276784406</v>
      </c>
      <c r="H356" s="235">
        <f t="shared" si="145"/>
        <v>40672.443153871471</v>
      </c>
      <c r="I356" s="235">
        <f t="shared" si="145"/>
        <v>46548.88227243795</v>
      </c>
      <c r="J356" s="235">
        <f t="shared" si="145"/>
        <v>51697.725836742597</v>
      </c>
      <c r="K356" s="235">
        <f t="shared" si="145"/>
        <v>56188.931208333823</v>
      </c>
      <c r="L356" s="235">
        <f t="shared" si="145"/>
        <v>61045.260431874514</v>
      </c>
      <c r="M356" s="235">
        <f t="shared" si="145"/>
        <v>68000</v>
      </c>
      <c r="N356" s="235" t="s">
        <v>209</v>
      </c>
      <c r="O356" s="100" t="s">
        <v>286</v>
      </c>
    </row>
    <row r="357" spans="1:15">
      <c r="A357" s="242" t="s">
        <v>127</v>
      </c>
      <c r="B357" s="235">
        <f t="shared" si="146"/>
        <v>21518.153306737033</v>
      </c>
      <c r="C357" s="235">
        <f t="shared" si="145"/>
        <v>39169.688550331477</v>
      </c>
      <c r="D357" s="235">
        <f t="shared" si="145"/>
        <v>52029.525328082469</v>
      </c>
      <c r="E357" s="235">
        <f t="shared" si="145"/>
        <v>65057.156024946496</v>
      </c>
      <c r="F357" s="235">
        <f t="shared" si="145"/>
        <v>74497.403449721358</v>
      </c>
      <c r="G357" s="235">
        <f t="shared" si="145"/>
        <v>83390.701051973476</v>
      </c>
      <c r="H357" s="235">
        <f t="shared" si="145"/>
        <v>93269.747378822634</v>
      </c>
      <c r="I357" s="235">
        <f t="shared" si="145"/>
        <v>104372.19312020637</v>
      </c>
      <c r="J357" s="235">
        <f t="shared" si="145"/>
        <v>112725.05036851364</v>
      </c>
      <c r="K357" s="235">
        <f t="shared" si="145"/>
        <v>122125.28240163164</v>
      </c>
      <c r="L357" s="235">
        <f t="shared" si="145"/>
        <v>129909.75983221811</v>
      </c>
      <c r="M357" s="235">
        <f t="shared" si="145"/>
        <v>140000</v>
      </c>
      <c r="N357" s="235" t="s">
        <v>209</v>
      </c>
      <c r="O357" s="100" t="s">
        <v>286</v>
      </c>
    </row>
    <row r="358" spans="1:15">
      <c r="A358" s="242" t="s">
        <v>128</v>
      </c>
      <c r="B358" s="235">
        <f t="shared" si="146"/>
        <v>6770.0063528446681</v>
      </c>
      <c r="C358" s="235">
        <f t="shared" si="145"/>
        <v>10472.558793299786</v>
      </c>
      <c r="D358" s="235">
        <f t="shared" si="145"/>
        <v>14741.807577163518</v>
      </c>
      <c r="E358" s="235">
        <f t="shared" si="145"/>
        <v>19049.533300725947</v>
      </c>
      <c r="F358" s="235">
        <f t="shared" si="145"/>
        <v>22383.658436241862</v>
      </c>
      <c r="G358" s="235">
        <f t="shared" si="145"/>
        <v>25801.697733194927</v>
      </c>
      <c r="H358" s="235">
        <f t="shared" si="145"/>
        <v>31346.562434546897</v>
      </c>
      <c r="I358" s="235">
        <f t="shared" si="145"/>
        <v>35621.810828987633</v>
      </c>
      <c r="J358" s="235">
        <f t="shared" si="145"/>
        <v>39179.414329985542</v>
      </c>
      <c r="K358" s="235">
        <f t="shared" si="145"/>
        <v>42375.58602503076</v>
      </c>
      <c r="L358" s="235">
        <f t="shared" si="145"/>
        <v>47000.091203872485</v>
      </c>
      <c r="M358" s="235">
        <f t="shared" si="145"/>
        <v>50000</v>
      </c>
      <c r="N358" s="235" t="s">
        <v>209</v>
      </c>
      <c r="O358" s="100" t="s">
        <v>286</v>
      </c>
    </row>
    <row r="359" spans="1:15">
      <c r="A359" s="242" t="s">
        <v>129</v>
      </c>
      <c r="B359" s="235">
        <f t="shared" si="146"/>
        <v>0</v>
      </c>
      <c r="C359" s="235">
        <f t="shared" si="145"/>
        <v>0</v>
      </c>
      <c r="D359" s="235">
        <f t="shared" si="145"/>
        <v>0</v>
      </c>
      <c r="E359" s="235">
        <f t="shared" si="145"/>
        <v>0</v>
      </c>
      <c r="F359" s="235">
        <f t="shared" si="145"/>
        <v>0</v>
      </c>
      <c r="G359" s="235">
        <f t="shared" si="145"/>
        <v>0</v>
      </c>
      <c r="H359" s="235">
        <f t="shared" si="145"/>
        <v>0</v>
      </c>
      <c r="I359" s="235">
        <f t="shared" si="145"/>
        <v>0</v>
      </c>
      <c r="J359" s="235">
        <f t="shared" si="145"/>
        <v>0</v>
      </c>
      <c r="K359" s="235">
        <f t="shared" si="145"/>
        <v>0</v>
      </c>
      <c r="L359" s="235">
        <f t="shared" si="145"/>
        <v>0</v>
      </c>
      <c r="M359" s="235">
        <f t="shared" si="145"/>
        <v>0</v>
      </c>
      <c r="N359" s="235" t="s">
        <v>209</v>
      </c>
      <c r="O359" s="100" t="s">
        <v>286</v>
      </c>
    </row>
    <row r="360" spans="1:15">
      <c r="A360" s="242" t="s">
        <v>130</v>
      </c>
      <c r="B360" s="235">
        <f t="shared" si="146"/>
        <v>8053.4648625411619</v>
      </c>
      <c r="C360" s="235">
        <f t="shared" si="145"/>
        <v>16330.396029765952</v>
      </c>
      <c r="D360" s="235">
        <f t="shared" si="145"/>
        <v>22058.112851884405</v>
      </c>
      <c r="E360" s="235">
        <f t="shared" si="145"/>
        <v>27196.535910726241</v>
      </c>
      <c r="F360" s="235">
        <f t="shared" si="145"/>
        <v>34303.411927792316</v>
      </c>
      <c r="G360" s="235">
        <f t="shared" si="145"/>
        <v>41645.789454944141</v>
      </c>
      <c r="H360" s="235">
        <f t="shared" si="145"/>
        <v>46242.297962621284</v>
      </c>
      <c r="I360" s="235">
        <f t="shared" si="145"/>
        <v>51363.020294908827</v>
      </c>
      <c r="J360" s="235">
        <f t="shared" si="145"/>
        <v>54739.074105311818</v>
      </c>
      <c r="K360" s="235">
        <f t="shared" si="145"/>
        <v>60609.541823626823</v>
      </c>
      <c r="L360" s="235">
        <f t="shared" si="145"/>
        <v>64444.105792655493</v>
      </c>
      <c r="M360" s="235">
        <f t="shared" si="145"/>
        <v>70000</v>
      </c>
      <c r="N360" s="235" t="s">
        <v>209</v>
      </c>
      <c r="O360" s="100" t="s">
        <v>286</v>
      </c>
    </row>
    <row r="361" spans="1:15">
      <c r="A361" s="242" t="s">
        <v>131</v>
      </c>
      <c r="B361" s="235">
        <f t="shared" si="146"/>
        <v>94128.664496286568</v>
      </c>
      <c r="C361" s="235">
        <f t="shared" si="145"/>
        <v>148205.62917550444</v>
      </c>
      <c r="D361" s="235">
        <f t="shared" si="145"/>
        <v>217177.39943368471</v>
      </c>
      <c r="E361" s="235">
        <f t="shared" si="145"/>
        <v>258121.7982007573</v>
      </c>
      <c r="F361" s="235">
        <f t="shared" si="145"/>
        <v>313975.58751376875</v>
      </c>
      <c r="G361" s="235">
        <f t="shared" si="145"/>
        <v>355960.50930022716</v>
      </c>
      <c r="H361" s="235">
        <f t="shared" si="145"/>
        <v>394113.91265406937</v>
      </c>
      <c r="I361" s="235">
        <f t="shared" si="145"/>
        <v>434567.09767788753</v>
      </c>
      <c r="J361" s="235">
        <f t="shared" si="145"/>
        <v>475697.73054151097</v>
      </c>
      <c r="K361" s="235">
        <f t="shared" si="145"/>
        <v>516990.05657109042</v>
      </c>
      <c r="L361" s="235">
        <f t="shared" si="145"/>
        <v>560696.29767102608</v>
      </c>
      <c r="M361" s="235">
        <f t="shared" si="145"/>
        <v>600000</v>
      </c>
      <c r="N361" s="235" t="s">
        <v>209</v>
      </c>
      <c r="O361" s="100" t="s">
        <v>286</v>
      </c>
    </row>
    <row r="362" spans="1:15">
      <c r="A362" s="242" t="s">
        <v>132</v>
      </c>
      <c r="B362" s="235">
        <f t="shared" si="146"/>
        <v>0</v>
      </c>
      <c r="C362" s="235">
        <f t="shared" si="145"/>
        <v>0</v>
      </c>
      <c r="D362" s="235">
        <f t="shared" si="145"/>
        <v>0</v>
      </c>
      <c r="E362" s="235">
        <f t="shared" si="145"/>
        <v>0</v>
      </c>
      <c r="F362" s="235">
        <f t="shared" si="145"/>
        <v>0</v>
      </c>
      <c r="G362" s="235">
        <f t="shared" si="145"/>
        <v>0</v>
      </c>
      <c r="H362" s="235">
        <f t="shared" si="145"/>
        <v>0</v>
      </c>
      <c r="I362" s="235">
        <f t="shared" si="145"/>
        <v>0</v>
      </c>
      <c r="J362" s="235">
        <f t="shared" si="145"/>
        <v>0</v>
      </c>
      <c r="K362" s="235">
        <f t="shared" si="145"/>
        <v>0</v>
      </c>
      <c r="L362" s="235">
        <f t="shared" si="145"/>
        <v>0</v>
      </c>
      <c r="M362" s="235">
        <f t="shared" si="145"/>
        <v>0</v>
      </c>
      <c r="N362" s="235" t="s">
        <v>209</v>
      </c>
      <c r="O362" s="100" t="s">
        <v>286</v>
      </c>
    </row>
    <row r="363" spans="1:15">
      <c r="A363" s="242" t="s">
        <v>133</v>
      </c>
      <c r="B363" s="235">
        <f t="shared" si="146"/>
        <v>11052.834646808138</v>
      </c>
      <c r="C363" s="235">
        <f t="shared" si="145"/>
        <v>20898.249813241688</v>
      </c>
      <c r="D363" s="235">
        <f t="shared" si="145"/>
        <v>28015.599584137864</v>
      </c>
      <c r="E363" s="235">
        <f t="shared" si="145"/>
        <v>36132.894884152673</v>
      </c>
      <c r="F363" s="235">
        <f t="shared" si="145"/>
        <v>42709.66025211697</v>
      </c>
      <c r="G363" s="235">
        <f t="shared" si="145"/>
        <v>51210.311033217753</v>
      </c>
      <c r="H363" s="235">
        <f t="shared" si="145"/>
        <v>55954.009838829879</v>
      </c>
      <c r="I363" s="235">
        <f t="shared" si="145"/>
        <v>61526.208664542974</v>
      </c>
      <c r="J363" s="235">
        <f t="shared" si="145"/>
        <v>67751.453191918074</v>
      </c>
      <c r="K363" s="235">
        <f t="shared" si="145"/>
        <v>73045.067029177328</v>
      </c>
      <c r="L363" s="235">
        <f t="shared" si="145"/>
        <v>77818.013499170222</v>
      </c>
      <c r="M363" s="235">
        <f t="shared" si="145"/>
        <v>83964</v>
      </c>
      <c r="N363" s="235" t="s">
        <v>209</v>
      </c>
      <c r="O363" s="100" t="s">
        <v>286</v>
      </c>
    </row>
    <row r="364" spans="1:15">
      <c r="A364" s="242" t="s">
        <v>134</v>
      </c>
      <c r="B364" s="235">
        <f t="shared" si="146"/>
        <v>0</v>
      </c>
      <c r="C364" s="235">
        <f t="shared" si="145"/>
        <v>0</v>
      </c>
      <c r="D364" s="235">
        <f t="shared" si="145"/>
        <v>0</v>
      </c>
      <c r="E364" s="235">
        <f t="shared" si="145"/>
        <v>0</v>
      </c>
      <c r="F364" s="235">
        <f t="shared" si="145"/>
        <v>0</v>
      </c>
      <c r="G364" s="235">
        <f t="shared" si="145"/>
        <v>0</v>
      </c>
      <c r="H364" s="235">
        <f t="shared" si="145"/>
        <v>0</v>
      </c>
      <c r="I364" s="235">
        <f t="shared" si="145"/>
        <v>0</v>
      </c>
      <c r="J364" s="235">
        <f t="shared" si="145"/>
        <v>0</v>
      </c>
      <c r="K364" s="235">
        <f t="shared" si="145"/>
        <v>0</v>
      </c>
      <c r="L364" s="235">
        <f t="shared" si="145"/>
        <v>0</v>
      </c>
      <c r="M364" s="235">
        <f t="shared" si="145"/>
        <v>0</v>
      </c>
      <c r="N364" s="235" t="s">
        <v>209</v>
      </c>
      <c r="O364" s="100" t="s">
        <v>286</v>
      </c>
    </row>
    <row r="365" spans="1:15">
      <c r="A365" s="242" t="s">
        <v>135</v>
      </c>
      <c r="B365" s="235">
        <f t="shared" si="146"/>
        <v>40446.605996122504</v>
      </c>
      <c r="C365" s="235">
        <f t="shared" ref="C365:C375" si="147">R55</f>
        <v>72234.679056576118</v>
      </c>
      <c r="D365" s="235">
        <f t="shared" ref="D365:D375" si="148">S55</f>
        <v>99907.282580985266</v>
      </c>
      <c r="E365" s="235">
        <f t="shared" ref="E365:E375" si="149">T55</f>
        <v>120367.02598259361</v>
      </c>
      <c r="F365" s="235">
        <f t="shared" ref="F365:F375" si="150">U55</f>
        <v>138015.95420251714</v>
      </c>
      <c r="G365" s="235">
        <f t="shared" ref="G365:G375" si="151">V55</f>
        <v>154769.36380706783</v>
      </c>
      <c r="H365" s="235">
        <f t="shared" ref="H365:H375" si="152">W55</f>
        <v>171669.87373906845</v>
      </c>
      <c r="I365" s="235">
        <f t="shared" ref="I365:I375" si="153">X55</f>
        <v>184626.60987574226</v>
      </c>
      <c r="J365" s="235">
        <f t="shared" ref="J365:J375" si="154">Y55</f>
        <v>193780.62163090729</v>
      </c>
      <c r="K365" s="235">
        <f t="shared" ref="K365:K375" si="155">Z55</f>
        <v>201543.4051227661</v>
      </c>
      <c r="L365" s="235">
        <f t="shared" ref="L365:L375" si="156">AA55</f>
        <v>209800.45820735334</v>
      </c>
      <c r="M365" s="235">
        <f t="shared" ref="M365:M375" si="157">AB55</f>
        <v>219993</v>
      </c>
      <c r="N365" s="235" t="s">
        <v>209</v>
      </c>
      <c r="O365" s="100" t="s">
        <v>286</v>
      </c>
    </row>
    <row r="366" spans="1:15">
      <c r="A366" s="242" t="s">
        <v>136</v>
      </c>
      <c r="B366" s="235">
        <f t="shared" si="146"/>
        <v>8763.4337220321504</v>
      </c>
      <c r="C366" s="235">
        <f t="shared" si="147"/>
        <v>14963.962009163992</v>
      </c>
      <c r="D366" s="235">
        <f t="shared" si="148"/>
        <v>21388.677591946744</v>
      </c>
      <c r="E366" s="235">
        <f t="shared" si="149"/>
        <v>25821.404701566491</v>
      </c>
      <c r="F366" s="235">
        <f t="shared" si="150"/>
        <v>31500.253487638849</v>
      </c>
      <c r="G366" s="235">
        <f t="shared" si="151"/>
        <v>35533.937243914042</v>
      </c>
      <c r="H366" s="235">
        <f t="shared" si="152"/>
        <v>38791.549739855604</v>
      </c>
      <c r="I366" s="235">
        <f t="shared" si="153"/>
        <v>42397.001636975612</v>
      </c>
      <c r="J366" s="235">
        <f t="shared" si="154"/>
        <v>44606.098727932687</v>
      </c>
      <c r="K366" s="235">
        <f t="shared" si="155"/>
        <v>46176.87072883232</v>
      </c>
      <c r="L366" s="235">
        <f t="shared" si="156"/>
        <v>49658.577801884167</v>
      </c>
      <c r="M366" s="235">
        <f t="shared" si="157"/>
        <v>52000</v>
      </c>
      <c r="N366" s="235" t="s">
        <v>209</v>
      </c>
      <c r="O366" s="100" t="s">
        <v>286</v>
      </c>
    </row>
    <row r="367" spans="1:15">
      <c r="A367" s="242" t="s">
        <v>137</v>
      </c>
      <c r="B367" s="235">
        <f t="shared" si="146"/>
        <v>125300.92734583394</v>
      </c>
      <c r="C367" s="235">
        <f t="shared" si="147"/>
        <v>220451.48580045693</v>
      </c>
      <c r="D367" s="235">
        <f t="shared" si="148"/>
        <v>289977.40514994215</v>
      </c>
      <c r="E367" s="235">
        <f t="shared" si="149"/>
        <v>371231.17927722534</v>
      </c>
      <c r="F367" s="235">
        <f t="shared" si="150"/>
        <v>458947.45766689582</v>
      </c>
      <c r="G367" s="235">
        <f t="shared" si="151"/>
        <v>540500.17611379374</v>
      </c>
      <c r="H367" s="235">
        <f t="shared" si="152"/>
        <v>620128.64950546715</v>
      </c>
      <c r="I367" s="235">
        <f t="shared" si="153"/>
        <v>717986.15005084802</v>
      </c>
      <c r="J367" s="235">
        <f t="shared" si="154"/>
        <v>789224.83985712403</v>
      </c>
      <c r="K367" s="235">
        <f t="shared" si="155"/>
        <v>868968.37263685931</v>
      </c>
      <c r="L367" s="235">
        <f t="shared" si="156"/>
        <v>929320.61139734823</v>
      </c>
      <c r="M367" s="235">
        <f t="shared" si="157"/>
        <v>1000000</v>
      </c>
      <c r="N367" s="235" t="s">
        <v>209</v>
      </c>
      <c r="O367" s="100" t="s">
        <v>286</v>
      </c>
    </row>
    <row r="368" spans="1:15">
      <c r="A368" s="242" t="s">
        <v>138</v>
      </c>
      <c r="B368" s="235">
        <f t="shared" si="146"/>
        <v>0</v>
      </c>
      <c r="C368" s="235">
        <f t="shared" si="147"/>
        <v>0</v>
      </c>
      <c r="D368" s="235">
        <f t="shared" si="148"/>
        <v>0</v>
      </c>
      <c r="E368" s="235">
        <f t="shared" si="149"/>
        <v>0</v>
      </c>
      <c r="F368" s="235">
        <f t="shared" si="150"/>
        <v>0</v>
      </c>
      <c r="G368" s="235">
        <f t="shared" si="151"/>
        <v>0</v>
      </c>
      <c r="H368" s="235">
        <f t="shared" si="152"/>
        <v>0</v>
      </c>
      <c r="I368" s="235">
        <f t="shared" si="153"/>
        <v>0</v>
      </c>
      <c r="J368" s="235">
        <f t="shared" si="154"/>
        <v>0</v>
      </c>
      <c r="K368" s="235">
        <f t="shared" si="155"/>
        <v>0</v>
      </c>
      <c r="L368" s="235">
        <f t="shared" si="156"/>
        <v>0</v>
      </c>
      <c r="M368" s="235">
        <f t="shared" si="157"/>
        <v>0</v>
      </c>
      <c r="N368" s="235" t="s">
        <v>209</v>
      </c>
      <c r="O368" s="100" t="s">
        <v>286</v>
      </c>
    </row>
    <row r="369" spans="1:15">
      <c r="A369" s="242" t="s">
        <v>139</v>
      </c>
      <c r="B369" s="235">
        <f t="shared" si="146"/>
        <v>79018.785044988515</v>
      </c>
      <c r="C369" s="235">
        <f t="shared" si="147"/>
        <v>137887.28740256527</v>
      </c>
      <c r="D369" s="235">
        <f t="shared" si="148"/>
        <v>186180.58138198536</v>
      </c>
      <c r="E369" s="235">
        <f t="shared" si="149"/>
        <v>233422.71054316001</v>
      </c>
      <c r="F369" s="235">
        <f t="shared" si="150"/>
        <v>283063.62927829794</v>
      </c>
      <c r="G369" s="235">
        <f t="shared" si="151"/>
        <v>327752.48943311756</v>
      </c>
      <c r="H369" s="235">
        <f t="shared" si="152"/>
        <v>380074.33618273586</v>
      </c>
      <c r="I369" s="235">
        <f t="shared" si="153"/>
        <v>426145.0867790078</v>
      </c>
      <c r="J369" s="235">
        <f t="shared" si="154"/>
        <v>463411.39617183915</v>
      </c>
      <c r="K369" s="235">
        <f t="shared" si="155"/>
        <v>509119.01589506009</v>
      </c>
      <c r="L369" s="235">
        <f t="shared" si="156"/>
        <v>555036.61968916235</v>
      </c>
      <c r="M369" s="235">
        <f t="shared" si="157"/>
        <v>600000</v>
      </c>
      <c r="N369" s="235" t="s">
        <v>209</v>
      </c>
      <c r="O369" s="100" t="s">
        <v>286</v>
      </c>
    </row>
    <row r="370" spans="1:15">
      <c r="A370" s="242" t="s">
        <v>140</v>
      </c>
      <c r="B370" s="235">
        <f t="shared" si="146"/>
        <v>0</v>
      </c>
      <c r="C370" s="235">
        <f t="shared" si="147"/>
        <v>0</v>
      </c>
      <c r="D370" s="235">
        <f t="shared" si="148"/>
        <v>0</v>
      </c>
      <c r="E370" s="235">
        <f t="shared" si="149"/>
        <v>0</v>
      </c>
      <c r="F370" s="235">
        <f t="shared" si="150"/>
        <v>0</v>
      </c>
      <c r="G370" s="235">
        <f t="shared" si="151"/>
        <v>0</v>
      </c>
      <c r="H370" s="235">
        <f t="shared" si="152"/>
        <v>0</v>
      </c>
      <c r="I370" s="235">
        <f t="shared" si="153"/>
        <v>0</v>
      </c>
      <c r="J370" s="235">
        <f t="shared" si="154"/>
        <v>0</v>
      </c>
      <c r="K370" s="235">
        <f t="shared" si="155"/>
        <v>0</v>
      </c>
      <c r="L370" s="235">
        <f t="shared" si="156"/>
        <v>0</v>
      </c>
      <c r="M370" s="235">
        <f t="shared" si="157"/>
        <v>0</v>
      </c>
      <c r="N370" s="235" t="s">
        <v>209</v>
      </c>
      <c r="O370" s="100" t="s">
        <v>286</v>
      </c>
    </row>
    <row r="371" spans="1:15">
      <c r="A371" s="242" t="s">
        <v>141</v>
      </c>
      <c r="B371" s="235">
        <f t="shared" si="146"/>
        <v>0</v>
      </c>
      <c r="C371" s="235">
        <f t="shared" si="147"/>
        <v>0</v>
      </c>
      <c r="D371" s="235">
        <f t="shared" si="148"/>
        <v>0</v>
      </c>
      <c r="E371" s="235">
        <f t="shared" si="149"/>
        <v>0</v>
      </c>
      <c r="F371" s="235">
        <f t="shared" si="150"/>
        <v>0</v>
      </c>
      <c r="G371" s="235">
        <f t="shared" si="151"/>
        <v>0</v>
      </c>
      <c r="H371" s="235">
        <f t="shared" si="152"/>
        <v>0</v>
      </c>
      <c r="I371" s="235">
        <f t="shared" si="153"/>
        <v>0</v>
      </c>
      <c r="J371" s="235">
        <f t="shared" si="154"/>
        <v>0</v>
      </c>
      <c r="K371" s="235">
        <f t="shared" si="155"/>
        <v>0</v>
      </c>
      <c r="L371" s="235">
        <f t="shared" si="156"/>
        <v>0</v>
      </c>
      <c r="M371" s="235">
        <f t="shared" si="157"/>
        <v>0</v>
      </c>
      <c r="N371" s="235" t="s">
        <v>209</v>
      </c>
      <c r="O371" s="100" t="s">
        <v>286</v>
      </c>
    </row>
    <row r="372" spans="1:15">
      <c r="A372" s="242" t="s">
        <v>142</v>
      </c>
      <c r="B372" s="235">
        <f t="shared" si="146"/>
        <v>0</v>
      </c>
      <c r="C372" s="235">
        <f t="shared" si="147"/>
        <v>0</v>
      </c>
      <c r="D372" s="235">
        <f t="shared" si="148"/>
        <v>0</v>
      </c>
      <c r="E372" s="235">
        <f t="shared" si="149"/>
        <v>0</v>
      </c>
      <c r="F372" s="235">
        <f t="shared" si="150"/>
        <v>0</v>
      </c>
      <c r="G372" s="235">
        <f t="shared" si="151"/>
        <v>0</v>
      </c>
      <c r="H372" s="235">
        <f t="shared" si="152"/>
        <v>0</v>
      </c>
      <c r="I372" s="235">
        <f t="shared" si="153"/>
        <v>0</v>
      </c>
      <c r="J372" s="235">
        <f t="shared" si="154"/>
        <v>0</v>
      </c>
      <c r="K372" s="235">
        <f t="shared" si="155"/>
        <v>0</v>
      </c>
      <c r="L372" s="235">
        <f t="shared" si="156"/>
        <v>0</v>
      </c>
      <c r="M372" s="235">
        <f t="shared" si="157"/>
        <v>0</v>
      </c>
      <c r="N372" s="235" t="s">
        <v>209</v>
      </c>
      <c r="O372" s="100" t="s">
        <v>286</v>
      </c>
    </row>
    <row r="373" spans="1:15">
      <c r="A373" s="242" t="s">
        <v>143</v>
      </c>
      <c r="B373" s="235">
        <f t="shared" si="146"/>
        <v>585149.90804259444</v>
      </c>
      <c r="C373" s="235">
        <f t="shared" si="147"/>
        <v>846775.48647282843</v>
      </c>
      <c r="D373" s="235">
        <f t="shared" si="148"/>
        <v>1089743.2057669228</v>
      </c>
      <c r="E373" s="235">
        <f t="shared" si="149"/>
        <v>1310687.3903177702</v>
      </c>
      <c r="F373" s="235">
        <f t="shared" si="150"/>
        <v>1553563.6893369951</v>
      </c>
      <c r="G373" s="235">
        <f t="shared" si="151"/>
        <v>1752508.4116952603</v>
      </c>
      <c r="H373" s="235">
        <f t="shared" si="152"/>
        <v>1947845.1967427402</v>
      </c>
      <c r="I373" s="235">
        <f t="shared" si="153"/>
        <v>2150121.8334847298</v>
      </c>
      <c r="J373" s="235">
        <f t="shared" si="154"/>
        <v>2284795.0607509767</v>
      </c>
      <c r="K373" s="235">
        <f t="shared" si="155"/>
        <v>2550370.1615817533</v>
      </c>
      <c r="L373" s="235">
        <f t="shared" si="156"/>
        <v>2740574.245192715</v>
      </c>
      <c r="M373" s="235">
        <f t="shared" si="157"/>
        <v>2916777.6153120385</v>
      </c>
      <c r="N373" s="235" t="s">
        <v>209</v>
      </c>
      <c r="O373" s="100" t="s">
        <v>286</v>
      </c>
    </row>
    <row r="374" spans="1:15">
      <c r="A374" s="242" t="s">
        <v>144</v>
      </c>
      <c r="B374" s="235">
        <f t="shared" si="146"/>
        <v>10208.897023637235</v>
      </c>
      <c r="C374" s="235">
        <f t="shared" si="147"/>
        <v>16230.537844074508</v>
      </c>
      <c r="D374" s="235">
        <f t="shared" si="148"/>
        <v>22012.127107060209</v>
      </c>
      <c r="E374" s="235">
        <f t="shared" si="149"/>
        <v>25279.111377045025</v>
      </c>
      <c r="F374" s="235">
        <f t="shared" si="150"/>
        <v>30320.743945677343</v>
      </c>
      <c r="G374" s="235">
        <f t="shared" si="151"/>
        <v>34233.006472079564</v>
      </c>
      <c r="H374" s="235">
        <f t="shared" si="152"/>
        <v>38901.987200847034</v>
      </c>
      <c r="I374" s="235">
        <f t="shared" si="153"/>
        <v>41693.02192767935</v>
      </c>
      <c r="J374" s="235">
        <f t="shared" si="154"/>
        <v>44967.888823132642</v>
      </c>
      <c r="K374" s="235">
        <f t="shared" si="155"/>
        <v>47852.249448700699</v>
      </c>
      <c r="L374" s="235">
        <f t="shared" si="156"/>
        <v>49783.160810810747</v>
      </c>
      <c r="M374" s="235">
        <f t="shared" si="157"/>
        <v>53060</v>
      </c>
      <c r="N374" s="235" t="s">
        <v>209</v>
      </c>
      <c r="O374" s="100" t="s">
        <v>286</v>
      </c>
    </row>
    <row r="375" spans="1:15">
      <c r="A375" s="242" t="s">
        <v>145</v>
      </c>
      <c r="B375" s="235">
        <f t="shared" si="146"/>
        <v>2166.5441462849217</v>
      </c>
      <c r="C375" s="235">
        <f t="shared" si="147"/>
        <v>3768.0343439060448</v>
      </c>
      <c r="D375" s="235">
        <f t="shared" si="148"/>
        <v>5071.5883881624959</v>
      </c>
      <c r="E375" s="235">
        <f t="shared" si="149"/>
        <v>6245.3940633080192</v>
      </c>
      <c r="F375" s="235">
        <f t="shared" si="150"/>
        <v>7239.494564826382</v>
      </c>
      <c r="G375" s="235">
        <f t="shared" si="151"/>
        <v>8784.0508750730587</v>
      </c>
      <c r="H375" s="235">
        <f t="shared" si="152"/>
        <v>10161.766547739424</v>
      </c>
      <c r="I375" s="235">
        <f t="shared" si="153"/>
        <v>11916.617719278307</v>
      </c>
      <c r="J375" s="235">
        <f t="shared" si="154"/>
        <v>12769.324046541678</v>
      </c>
      <c r="K375" s="235">
        <f t="shared" si="155"/>
        <v>14253.898759772334</v>
      </c>
      <c r="L375" s="235">
        <f t="shared" si="156"/>
        <v>15803.583837349302</v>
      </c>
      <c r="M375" s="235">
        <f t="shared" si="157"/>
        <v>17006</v>
      </c>
      <c r="N375" s="235" t="s">
        <v>209</v>
      </c>
      <c r="O375" s="100" t="s">
        <v>286</v>
      </c>
    </row>
    <row r="376" spans="1:15">
      <c r="A376" s="242" t="s">
        <v>119</v>
      </c>
      <c r="B376" s="235">
        <f>B39</f>
        <v>1139.0847192379565</v>
      </c>
      <c r="C376" s="235">
        <f t="shared" ref="C376:M376" si="158">C39</f>
        <v>1735.3126370487191</v>
      </c>
      <c r="D376" s="235">
        <f t="shared" si="158"/>
        <v>2254.2103627985921</v>
      </c>
      <c r="E376" s="235">
        <f t="shared" si="158"/>
        <v>2656.6393582070864</v>
      </c>
      <c r="F376" s="235">
        <f t="shared" si="158"/>
        <v>3373.6192563893042</v>
      </c>
      <c r="G376" s="235">
        <f t="shared" si="158"/>
        <v>3573.5279991701841</v>
      </c>
      <c r="H376" s="235">
        <f t="shared" si="158"/>
        <v>4189.8622620381038</v>
      </c>
      <c r="I376" s="235">
        <f t="shared" si="158"/>
        <v>5215.952084506006</v>
      </c>
      <c r="J376" s="235">
        <f t="shared" si="158"/>
        <v>5561.5786408325694</v>
      </c>
      <c r="K376" s="235">
        <f t="shared" si="158"/>
        <v>6117.1286239142555</v>
      </c>
      <c r="L376" s="235">
        <f t="shared" si="158"/>
        <v>6738.010243192286</v>
      </c>
      <c r="M376" s="235">
        <f t="shared" si="158"/>
        <v>7000</v>
      </c>
      <c r="N376" s="235" t="s">
        <v>315</v>
      </c>
      <c r="O376" s="100" t="s">
        <v>286</v>
      </c>
    </row>
    <row r="377" spans="1:15">
      <c r="A377" s="242" t="s">
        <v>120</v>
      </c>
      <c r="B377" s="235">
        <f t="shared" ref="B377:M402" si="159">B40</f>
        <v>4638.4203532002521</v>
      </c>
      <c r="C377" s="235">
        <f t="shared" si="159"/>
        <v>8758.7929751492084</v>
      </c>
      <c r="D377" s="235">
        <f t="shared" si="159"/>
        <v>11548.156056363172</v>
      </c>
      <c r="E377" s="235">
        <f t="shared" si="159"/>
        <v>13984.328207868881</v>
      </c>
      <c r="F377" s="235">
        <f t="shared" si="159"/>
        <v>17244.066062957725</v>
      </c>
      <c r="G377" s="235">
        <f t="shared" si="159"/>
        <v>19436.614709178131</v>
      </c>
      <c r="H377" s="235">
        <f t="shared" si="159"/>
        <v>21063.412193555232</v>
      </c>
      <c r="I377" s="235">
        <f t="shared" si="159"/>
        <v>23210.573469560048</v>
      </c>
      <c r="J377" s="235">
        <f t="shared" si="159"/>
        <v>24859.764234121314</v>
      </c>
      <c r="K377" s="235">
        <f t="shared" si="159"/>
        <v>26286.968249612019</v>
      </c>
      <c r="L377" s="235">
        <f t="shared" si="159"/>
        <v>28152.51927839372</v>
      </c>
      <c r="M377" s="235">
        <f t="shared" si="159"/>
        <v>30000</v>
      </c>
      <c r="N377" s="235" t="s">
        <v>315</v>
      </c>
      <c r="O377" s="100" t="s">
        <v>286</v>
      </c>
    </row>
    <row r="378" spans="1:15">
      <c r="A378" s="242" t="s">
        <v>121</v>
      </c>
      <c r="B378" s="235">
        <f t="shared" si="159"/>
        <v>1024.1631691279385</v>
      </c>
      <c r="C378" s="235">
        <f t="shared" si="159"/>
        <v>1900.8284839503694</v>
      </c>
      <c r="D378" s="235">
        <f t="shared" si="159"/>
        <v>3062.8996069898244</v>
      </c>
      <c r="E378" s="235">
        <f t="shared" si="159"/>
        <v>3777.6997022369328</v>
      </c>
      <c r="F378" s="235">
        <f t="shared" si="159"/>
        <v>4468.1571371702721</v>
      </c>
      <c r="G378" s="235">
        <f t="shared" si="159"/>
        <v>5138.3679344450366</v>
      </c>
      <c r="H378" s="235">
        <f t="shared" si="159"/>
        <v>5882.7574484180741</v>
      </c>
      <c r="I378" s="235">
        <f t="shared" si="159"/>
        <v>6538.1681723892234</v>
      </c>
      <c r="J378" s="235">
        <f t="shared" si="159"/>
        <v>7374.4314408271402</v>
      </c>
      <c r="K378" s="235">
        <f t="shared" si="159"/>
        <v>8230.0356224888728</v>
      </c>
      <c r="L378" s="235">
        <f t="shared" si="159"/>
        <v>9211.2177425176233</v>
      </c>
      <c r="M378" s="235">
        <f t="shared" si="159"/>
        <v>9748</v>
      </c>
      <c r="N378" s="235" t="s">
        <v>315</v>
      </c>
      <c r="O378" s="100" t="s">
        <v>286</v>
      </c>
    </row>
    <row r="379" spans="1:15">
      <c r="A379" s="242" t="s">
        <v>122</v>
      </c>
      <c r="B379" s="235">
        <f t="shared" si="159"/>
        <v>4490.0239214703133</v>
      </c>
      <c r="C379" s="235">
        <f t="shared" si="159"/>
        <v>7901.3077453415754</v>
      </c>
      <c r="D379" s="235">
        <f t="shared" si="159"/>
        <v>10649.511118808778</v>
      </c>
      <c r="E379" s="235">
        <f t="shared" si="159"/>
        <v>12872.93900145625</v>
      </c>
      <c r="F379" s="235">
        <f t="shared" si="159"/>
        <v>15045.225102730219</v>
      </c>
      <c r="G379" s="235">
        <f t="shared" si="159"/>
        <v>17264.320474071064</v>
      </c>
      <c r="H379" s="235">
        <f t="shared" si="159"/>
        <v>19703.60716087517</v>
      </c>
      <c r="I379" s="235">
        <f t="shared" si="159"/>
        <v>22401.001825128329</v>
      </c>
      <c r="J379" s="235">
        <f t="shared" si="159"/>
        <v>24742.765229979024</v>
      </c>
      <c r="K379" s="235">
        <f t="shared" si="159"/>
        <v>27037.506326662944</v>
      </c>
      <c r="L379" s="235">
        <f t="shared" si="159"/>
        <v>28977.486607479794</v>
      </c>
      <c r="M379" s="235">
        <f t="shared" si="159"/>
        <v>30791.06</v>
      </c>
      <c r="N379" s="235" t="s">
        <v>315</v>
      </c>
      <c r="O379" s="100" t="s">
        <v>286</v>
      </c>
    </row>
    <row r="380" spans="1:15">
      <c r="A380" s="242" t="s">
        <v>123</v>
      </c>
      <c r="B380" s="235">
        <f t="shared" si="159"/>
        <v>26689.704835546414</v>
      </c>
      <c r="C380" s="235">
        <f t="shared" si="159"/>
        <v>49113.672900155696</v>
      </c>
      <c r="D380" s="235">
        <f t="shared" si="159"/>
        <v>64011.73216777073</v>
      </c>
      <c r="E380" s="235">
        <f t="shared" si="159"/>
        <v>81257.673720975421</v>
      </c>
      <c r="F380" s="235">
        <f t="shared" si="159"/>
        <v>93858.117745124851</v>
      </c>
      <c r="G380" s="235">
        <f t="shared" si="159"/>
        <v>105663.93730177205</v>
      </c>
      <c r="H380" s="235">
        <f t="shared" si="159"/>
        <v>119360.55981256804</v>
      </c>
      <c r="I380" s="235">
        <f t="shared" si="159"/>
        <v>133647.52217958958</v>
      </c>
      <c r="J380" s="235">
        <f t="shared" si="159"/>
        <v>144057.93487863918</v>
      </c>
      <c r="K380" s="235">
        <f t="shared" si="159"/>
        <v>156151.54986923985</v>
      </c>
      <c r="L380" s="235">
        <f t="shared" si="159"/>
        <v>165564.0341418653</v>
      </c>
      <c r="M380" s="235">
        <f t="shared" si="159"/>
        <v>180000</v>
      </c>
      <c r="N380" s="235" t="s">
        <v>315</v>
      </c>
      <c r="O380" s="100" t="s">
        <v>286</v>
      </c>
    </row>
    <row r="381" spans="1:15">
      <c r="A381" s="242" t="s">
        <v>124</v>
      </c>
      <c r="B381" s="235">
        <f t="shared" si="159"/>
        <v>6882.2677666535074</v>
      </c>
      <c r="C381" s="235">
        <f t="shared" si="159"/>
        <v>15120.705235453641</v>
      </c>
      <c r="D381" s="235">
        <f t="shared" si="159"/>
        <v>23310.666023097652</v>
      </c>
      <c r="E381" s="235">
        <f t="shared" si="159"/>
        <v>29134.977032147497</v>
      </c>
      <c r="F381" s="235">
        <f t="shared" si="159"/>
        <v>33829.570383286067</v>
      </c>
      <c r="G381" s="235">
        <f t="shared" si="159"/>
        <v>39028.339004483612</v>
      </c>
      <c r="H381" s="235">
        <f t="shared" si="159"/>
        <v>44447.040806787401</v>
      </c>
      <c r="I381" s="235">
        <f t="shared" si="159"/>
        <v>49683.047857870071</v>
      </c>
      <c r="J381" s="235">
        <f t="shared" si="159"/>
        <v>52934.916534355885</v>
      </c>
      <c r="K381" s="235">
        <f t="shared" si="159"/>
        <v>56865.102411087501</v>
      </c>
      <c r="L381" s="235">
        <f t="shared" si="159"/>
        <v>60836.551004865549</v>
      </c>
      <c r="M381" s="235">
        <f t="shared" si="159"/>
        <v>64988</v>
      </c>
      <c r="N381" s="235" t="s">
        <v>315</v>
      </c>
      <c r="O381" s="100" t="s">
        <v>286</v>
      </c>
    </row>
    <row r="382" spans="1:15">
      <c r="A382" s="242" t="s">
        <v>125</v>
      </c>
      <c r="B382" s="235">
        <f t="shared" si="159"/>
        <v>25899.761353978556</v>
      </c>
      <c r="C382" s="235">
        <f t="shared" si="159"/>
        <v>51133.202718563916</v>
      </c>
      <c r="D382" s="235">
        <f t="shared" si="159"/>
        <v>73465.615892798785</v>
      </c>
      <c r="E382" s="235">
        <f t="shared" si="159"/>
        <v>87139.30485726062</v>
      </c>
      <c r="F382" s="235">
        <f t="shared" si="159"/>
        <v>103652.06035684416</v>
      </c>
      <c r="G382" s="235">
        <f t="shared" si="159"/>
        <v>118347.19043435014</v>
      </c>
      <c r="H382" s="235">
        <f t="shared" si="159"/>
        <v>131187.93268091392</v>
      </c>
      <c r="I382" s="235">
        <f t="shared" si="159"/>
        <v>146307.90512989188</v>
      </c>
      <c r="J382" s="235">
        <f t="shared" si="159"/>
        <v>157666.98258734687</v>
      </c>
      <c r="K382" s="235">
        <f t="shared" si="159"/>
        <v>171115.61762739712</v>
      </c>
      <c r="L382" s="235">
        <f t="shared" si="159"/>
        <v>184557.94453814422</v>
      </c>
      <c r="M382" s="235">
        <f t="shared" si="159"/>
        <v>200000</v>
      </c>
      <c r="N382" s="235" t="s">
        <v>315</v>
      </c>
      <c r="O382" s="100" t="s">
        <v>286</v>
      </c>
    </row>
    <row r="383" spans="1:15">
      <c r="A383" s="242" t="s">
        <v>126</v>
      </c>
      <c r="B383" s="235">
        <f t="shared" si="159"/>
        <v>8165.8600481031317</v>
      </c>
      <c r="C383" s="235">
        <f t="shared" si="159"/>
        <v>14547.922883271525</v>
      </c>
      <c r="D383" s="235">
        <f t="shared" si="159"/>
        <v>22017.948482679407</v>
      </c>
      <c r="E383" s="235">
        <f t="shared" si="159"/>
        <v>26469.038343235112</v>
      </c>
      <c r="F383" s="235">
        <f t="shared" si="159"/>
        <v>31185.872427169481</v>
      </c>
      <c r="G383" s="235">
        <f t="shared" si="159"/>
        <v>35259.809276784406</v>
      </c>
      <c r="H383" s="235">
        <f t="shared" si="159"/>
        <v>40672.443153871471</v>
      </c>
      <c r="I383" s="235">
        <f t="shared" si="159"/>
        <v>46548.88227243795</v>
      </c>
      <c r="J383" s="235">
        <f t="shared" si="159"/>
        <v>51697.725836742597</v>
      </c>
      <c r="K383" s="235">
        <f t="shared" si="159"/>
        <v>56188.931208333823</v>
      </c>
      <c r="L383" s="235">
        <f t="shared" si="159"/>
        <v>61045.260431874514</v>
      </c>
      <c r="M383" s="235">
        <f t="shared" si="159"/>
        <v>68000</v>
      </c>
      <c r="N383" s="235" t="s">
        <v>315</v>
      </c>
      <c r="O383" s="100" t="s">
        <v>286</v>
      </c>
    </row>
    <row r="384" spans="1:15">
      <c r="A384" s="242" t="s">
        <v>127</v>
      </c>
      <c r="B384" s="235">
        <f t="shared" si="159"/>
        <v>21518.153306737033</v>
      </c>
      <c r="C384" s="235">
        <f t="shared" si="159"/>
        <v>39169.688550331477</v>
      </c>
      <c r="D384" s="235">
        <f t="shared" si="159"/>
        <v>52029.525328082469</v>
      </c>
      <c r="E384" s="235">
        <f t="shared" si="159"/>
        <v>65057.156024946496</v>
      </c>
      <c r="F384" s="235">
        <f t="shared" si="159"/>
        <v>74497.403449721358</v>
      </c>
      <c r="G384" s="235">
        <f t="shared" si="159"/>
        <v>83390.701051973476</v>
      </c>
      <c r="H384" s="235">
        <f t="shared" si="159"/>
        <v>93269.747378822634</v>
      </c>
      <c r="I384" s="235">
        <f t="shared" si="159"/>
        <v>104372.19312020637</v>
      </c>
      <c r="J384" s="235">
        <f t="shared" si="159"/>
        <v>112725.05036851364</v>
      </c>
      <c r="K384" s="235">
        <f t="shared" si="159"/>
        <v>122125.28240163164</v>
      </c>
      <c r="L384" s="235">
        <f t="shared" si="159"/>
        <v>129909.75983221811</v>
      </c>
      <c r="M384" s="235">
        <f t="shared" si="159"/>
        <v>140000</v>
      </c>
      <c r="N384" s="235" t="s">
        <v>315</v>
      </c>
      <c r="O384" s="100" t="s">
        <v>286</v>
      </c>
    </row>
    <row r="385" spans="1:15">
      <c r="A385" s="242" t="s">
        <v>128</v>
      </c>
      <c r="B385" s="235">
        <f t="shared" si="159"/>
        <v>6770.0063528446681</v>
      </c>
      <c r="C385" s="235">
        <f t="shared" si="159"/>
        <v>10472.558793299786</v>
      </c>
      <c r="D385" s="235">
        <f t="shared" si="159"/>
        <v>14741.807577163518</v>
      </c>
      <c r="E385" s="235">
        <f t="shared" si="159"/>
        <v>19049.533300725947</v>
      </c>
      <c r="F385" s="235">
        <f t="shared" si="159"/>
        <v>22383.658436241862</v>
      </c>
      <c r="G385" s="235">
        <f t="shared" si="159"/>
        <v>25801.697733194927</v>
      </c>
      <c r="H385" s="235">
        <f t="shared" si="159"/>
        <v>31346.562434546897</v>
      </c>
      <c r="I385" s="235">
        <f t="shared" si="159"/>
        <v>35621.810828987633</v>
      </c>
      <c r="J385" s="235">
        <f t="shared" si="159"/>
        <v>39179.414329985542</v>
      </c>
      <c r="K385" s="235">
        <f t="shared" si="159"/>
        <v>42375.58602503076</v>
      </c>
      <c r="L385" s="235">
        <f t="shared" si="159"/>
        <v>47000.091203872485</v>
      </c>
      <c r="M385" s="235">
        <f t="shared" si="159"/>
        <v>50000</v>
      </c>
      <c r="N385" s="235" t="s">
        <v>315</v>
      </c>
      <c r="O385" s="100" t="s">
        <v>286</v>
      </c>
    </row>
    <row r="386" spans="1:15">
      <c r="A386" s="242" t="s">
        <v>129</v>
      </c>
      <c r="B386" s="235">
        <f t="shared" si="159"/>
        <v>0</v>
      </c>
      <c r="C386" s="235">
        <f t="shared" si="159"/>
        <v>0</v>
      </c>
      <c r="D386" s="235">
        <f t="shared" si="159"/>
        <v>0</v>
      </c>
      <c r="E386" s="235">
        <f t="shared" si="159"/>
        <v>0</v>
      </c>
      <c r="F386" s="235">
        <f t="shared" si="159"/>
        <v>0</v>
      </c>
      <c r="G386" s="235">
        <f t="shared" si="159"/>
        <v>0</v>
      </c>
      <c r="H386" s="235">
        <f t="shared" si="159"/>
        <v>0</v>
      </c>
      <c r="I386" s="235">
        <f t="shared" si="159"/>
        <v>0</v>
      </c>
      <c r="J386" s="235">
        <f t="shared" si="159"/>
        <v>0</v>
      </c>
      <c r="K386" s="235">
        <f t="shared" si="159"/>
        <v>0</v>
      </c>
      <c r="L386" s="235">
        <f t="shared" si="159"/>
        <v>0</v>
      </c>
      <c r="M386" s="235">
        <f t="shared" si="159"/>
        <v>0</v>
      </c>
      <c r="N386" s="235" t="s">
        <v>315</v>
      </c>
      <c r="O386" s="100" t="s">
        <v>286</v>
      </c>
    </row>
    <row r="387" spans="1:15">
      <c r="A387" s="242" t="s">
        <v>130</v>
      </c>
      <c r="B387" s="235">
        <f t="shared" si="159"/>
        <v>8053.4648625411619</v>
      </c>
      <c r="C387" s="235">
        <f t="shared" si="159"/>
        <v>16330.396029765952</v>
      </c>
      <c r="D387" s="235">
        <f t="shared" si="159"/>
        <v>22058.112851884405</v>
      </c>
      <c r="E387" s="235">
        <f t="shared" si="159"/>
        <v>27196.535910726241</v>
      </c>
      <c r="F387" s="235">
        <f t="shared" si="159"/>
        <v>34303.411927792316</v>
      </c>
      <c r="G387" s="235">
        <f t="shared" si="159"/>
        <v>41645.789454944141</v>
      </c>
      <c r="H387" s="235">
        <f t="shared" si="159"/>
        <v>46242.297962621284</v>
      </c>
      <c r="I387" s="235">
        <f t="shared" si="159"/>
        <v>51363.020294908827</v>
      </c>
      <c r="J387" s="235">
        <f t="shared" si="159"/>
        <v>54739.074105311818</v>
      </c>
      <c r="K387" s="235">
        <f t="shared" si="159"/>
        <v>60609.541823626823</v>
      </c>
      <c r="L387" s="235">
        <f t="shared" si="159"/>
        <v>64444.105792655493</v>
      </c>
      <c r="M387" s="235">
        <f t="shared" si="159"/>
        <v>70000</v>
      </c>
      <c r="N387" s="235" t="s">
        <v>315</v>
      </c>
      <c r="O387" s="100" t="s">
        <v>286</v>
      </c>
    </row>
    <row r="388" spans="1:15">
      <c r="A388" s="242" t="s">
        <v>131</v>
      </c>
      <c r="B388" s="235">
        <f t="shared" si="159"/>
        <v>94128.664496286568</v>
      </c>
      <c r="C388" s="235">
        <f t="shared" si="159"/>
        <v>148205.62917550444</v>
      </c>
      <c r="D388" s="235">
        <f t="shared" si="159"/>
        <v>217177.39943368471</v>
      </c>
      <c r="E388" s="235">
        <f t="shared" si="159"/>
        <v>258121.7982007573</v>
      </c>
      <c r="F388" s="235">
        <f t="shared" si="159"/>
        <v>313975.58751376875</v>
      </c>
      <c r="G388" s="235">
        <f t="shared" si="159"/>
        <v>355960.50930022716</v>
      </c>
      <c r="H388" s="235">
        <f t="shared" si="159"/>
        <v>394113.91265406937</v>
      </c>
      <c r="I388" s="235">
        <f t="shared" si="159"/>
        <v>434567.09767788753</v>
      </c>
      <c r="J388" s="235">
        <f t="shared" si="159"/>
        <v>475697.73054151097</v>
      </c>
      <c r="K388" s="235">
        <f t="shared" si="159"/>
        <v>516990.05657109042</v>
      </c>
      <c r="L388" s="235">
        <f t="shared" si="159"/>
        <v>560696.29767102608</v>
      </c>
      <c r="M388" s="235">
        <f t="shared" si="159"/>
        <v>600000</v>
      </c>
      <c r="N388" s="235" t="s">
        <v>315</v>
      </c>
      <c r="O388" s="100" t="s">
        <v>286</v>
      </c>
    </row>
    <row r="389" spans="1:15">
      <c r="A389" s="242" t="s">
        <v>132</v>
      </c>
      <c r="B389" s="235">
        <f t="shared" si="159"/>
        <v>0</v>
      </c>
      <c r="C389" s="235">
        <f t="shared" si="159"/>
        <v>0</v>
      </c>
      <c r="D389" s="235">
        <f t="shared" si="159"/>
        <v>0</v>
      </c>
      <c r="E389" s="235">
        <f t="shared" si="159"/>
        <v>0</v>
      </c>
      <c r="F389" s="235">
        <f t="shared" si="159"/>
        <v>0</v>
      </c>
      <c r="G389" s="235">
        <f t="shared" si="159"/>
        <v>0</v>
      </c>
      <c r="H389" s="235">
        <f t="shared" si="159"/>
        <v>0</v>
      </c>
      <c r="I389" s="235">
        <f t="shared" si="159"/>
        <v>0</v>
      </c>
      <c r="J389" s="235">
        <f t="shared" si="159"/>
        <v>0</v>
      </c>
      <c r="K389" s="235">
        <f t="shared" si="159"/>
        <v>0</v>
      </c>
      <c r="L389" s="235">
        <f t="shared" si="159"/>
        <v>0</v>
      </c>
      <c r="M389" s="235">
        <f t="shared" si="159"/>
        <v>0</v>
      </c>
      <c r="N389" s="235" t="s">
        <v>315</v>
      </c>
      <c r="O389" s="100" t="s">
        <v>286</v>
      </c>
    </row>
    <row r="390" spans="1:15">
      <c r="A390" s="242" t="s">
        <v>133</v>
      </c>
      <c r="B390" s="235">
        <f t="shared" si="159"/>
        <v>11052.834646808138</v>
      </c>
      <c r="C390" s="235">
        <f t="shared" si="159"/>
        <v>20898.249813241688</v>
      </c>
      <c r="D390" s="235">
        <f t="shared" si="159"/>
        <v>28015.599584137864</v>
      </c>
      <c r="E390" s="235">
        <f t="shared" si="159"/>
        <v>36132.894884152673</v>
      </c>
      <c r="F390" s="235">
        <f t="shared" si="159"/>
        <v>42709.66025211697</v>
      </c>
      <c r="G390" s="235">
        <f t="shared" si="159"/>
        <v>51210.311033217753</v>
      </c>
      <c r="H390" s="235">
        <f t="shared" si="159"/>
        <v>55954.009838829879</v>
      </c>
      <c r="I390" s="235">
        <f t="shared" si="159"/>
        <v>61526.208664542974</v>
      </c>
      <c r="J390" s="235">
        <f t="shared" si="159"/>
        <v>67751.453191918074</v>
      </c>
      <c r="K390" s="235">
        <f t="shared" si="159"/>
        <v>73045.067029177328</v>
      </c>
      <c r="L390" s="235">
        <f t="shared" si="159"/>
        <v>77818.013499170222</v>
      </c>
      <c r="M390" s="235">
        <f t="shared" si="159"/>
        <v>83964</v>
      </c>
      <c r="N390" s="235" t="s">
        <v>315</v>
      </c>
      <c r="O390" s="100" t="s">
        <v>286</v>
      </c>
    </row>
    <row r="391" spans="1:15">
      <c r="A391" s="242" t="s">
        <v>134</v>
      </c>
      <c r="B391" s="235">
        <f t="shared" si="159"/>
        <v>0</v>
      </c>
      <c r="C391" s="235">
        <f t="shared" si="159"/>
        <v>0</v>
      </c>
      <c r="D391" s="235">
        <f t="shared" si="159"/>
        <v>0</v>
      </c>
      <c r="E391" s="235">
        <f t="shared" si="159"/>
        <v>0</v>
      </c>
      <c r="F391" s="235">
        <f t="shared" si="159"/>
        <v>0</v>
      </c>
      <c r="G391" s="235">
        <f t="shared" si="159"/>
        <v>0</v>
      </c>
      <c r="H391" s="235">
        <f t="shared" si="159"/>
        <v>0</v>
      </c>
      <c r="I391" s="235">
        <f t="shared" si="159"/>
        <v>0</v>
      </c>
      <c r="J391" s="235">
        <f t="shared" si="159"/>
        <v>0</v>
      </c>
      <c r="K391" s="235">
        <f t="shared" si="159"/>
        <v>0</v>
      </c>
      <c r="L391" s="235">
        <f t="shared" si="159"/>
        <v>0</v>
      </c>
      <c r="M391" s="235">
        <f t="shared" si="159"/>
        <v>0</v>
      </c>
      <c r="N391" s="235" t="s">
        <v>315</v>
      </c>
      <c r="O391" s="100" t="s">
        <v>286</v>
      </c>
    </row>
    <row r="392" spans="1:15">
      <c r="A392" s="242" t="s">
        <v>135</v>
      </c>
      <c r="B392" s="235">
        <f t="shared" si="159"/>
        <v>40446.605996122504</v>
      </c>
      <c r="C392" s="235">
        <f t="shared" si="159"/>
        <v>72234.679056576118</v>
      </c>
      <c r="D392" s="235">
        <f t="shared" si="159"/>
        <v>99907.282580985266</v>
      </c>
      <c r="E392" s="235">
        <f t="shared" si="159"/>
        <v>120367.02598259361</v>
      </c>
      <c r="F392" s="235">
        <f t="shared" si="159"/>
        <v>138015.95420251714</v>
      </c>
      <c r="G392" s="235">
        <f t="shared" si="159"/>
        <v>154769.36380706783</v>
      </c>
      <c r="H392" s="235">
        <f t="shared" si="159"/>
        <v>171669.87373906845</v>
      </c>
      <c r="I392" s="235">
        <f t="shared" si="159"/>
        <v>184626.60987574226</v>
      </c>
      <c r="J392" s="235">
        <f t="shared" si="159"/>
        <v>193780.62163090729</v>
      </c>
      <c r="K392" s="235">
        <f t="shared" si="159"/>
        <v>201543.4051227661</v>
      </c>
      <c r="L392" s="235">
        <f t="shared" si="159"/>
        <v>209800.45820735334</v>
      </c>
      <c r="M392" s="235">
        <f t="shared" si="159"/>
        <v>219993</v>
      </c>
      <c r="N392" s="235" t="s">
        <v>315</v>
      </c>
      <c r="O392" s="100" t="s">
        <v>286</v>
      </c>
    </row>
    <row r="393" spans="1:15">
      <c r="A393" s="242" t="s">
        <v>136</v>
      </c>
      <c r="B393" s="235">
        <f t="shared" si="159"/>
        <v>8763.4337220321504</v>
      </c>
      <c r="C393" s="235">
        <f t="shared" si="159"/>
        <v>14963.962009163992</v>
      </c>
      <c r="D393" s="235">
        <f t="shared" si="159"/>
        <v>21388.677591946744</v>
      </c>
      <c r="E393" s="235">
        <f t="shared" si="159"/>
        <v>25821.404701566491</v>
      </c>
      <c r="F393" s="235">
        <f t="shared" si="159"/>
        <v>31500.253487638849</v>
      </c>
      <c r="G393" s="235">
        <f t="shared" si="159"/>
        <v>35533.937243914042</v>
      </c>
      <c r="H393" s="235">
        <f t="shared" si="159"/>
        <v>38791.549739855604</v>
      </c>
      <c r="I393" s="235">
        <f t="shared" si="159"/>
        <v>42397.001636975612</v>
      </c>
      <c r="J393" s="235">
        <f t="shared" si="159"/>
        <v>44606.098727932687</v>
      </c>
      <c r="K393" s="235">
        <f t="shared" si="159"/>
        <v>46176.87072883232</v>
      </c>
      <c r="L393" s="235">
        <f t="shared" si="159"/>
        <v>49658.577801884167</v>
      </c>
      <c r="M393" s="235">
        <f t="shared" si="159"/>
        <v>52000</v>
      </c>
      <c r="N393" s="235" t="s">
        <v>315</v>
      </c>
      <c r="O393" s="100" t="s">
        <v>286</v>
      </c>
    </row>
    <row r="394" spans="1:15">
      <c r="A394" s="242" t="s">
        <v>137</v>
      </c>
      <c r="B394" s="235">
        <f t="shared" si="159"/>
        <v>125300.92734583394</v>
      </c>
      <c r="C394" s="235">
        <f t="shared" si="159"/>
        <v>220451.48580045693</v>
      </c>
      <c r="D394" s="235">
        <f t="shared" si="159"/>
        <v>289977.40514994215</v>
      </c>
      <c r="E394" s="235">
        <f t="shared" si="159"/>
        <v>371231.17927722534</v>
      </c>
      <c r="F394" s="235">
        <f t="shared" si="159"/>
        <v>458947.45766689582</v>
      </c>
      <c r="G394" s="235">
        <f t="shared" si="159"/>
        <v>540500.17611379374</v>
      </c>
      <c r="H394" s="235">
        <f t="shared" si="159"/>
        <v>620128.64950546715</v>
      </c>
      <c r="I394" s="235">
        <f t="shared" si="159"/>
        <v>717986.15005084802</v>
      </c>
      <c r="J394" s="235">
        <f t="shared" si="159"/>
        <v>789224.83985712403</v>
      </c>
      <c r="K394" s="235">
        <f t="shared" si="159"/>
        <v>868968.37263685931</v>
      </c>
      <c r="L394" s="235">
        <f t="shared" si="159"/>
        <v>929320.61139734823</v>
      </c>
      <c r="M394" s="235">
        <f t="shared" si="159"/>
        <v>1000000</v>
      </c>
      <c r="N394" s="235" t="s">
        <v>315</v>
      </c>
      <c r="O394" s="100" t="s">
        <v>286</v>
      </c>
    </row>
    <row r="395" spans="1:15">
      <c r="A395" s="242" t="s">
        <v>138</v>
      </c>
      <c r="B395" s="235">
        <f t="shared" si="159"/>
        <v>0</v>
      </c>
      <c r="C395" s="235">
        <f t="shared" si="159"/>
        <v>0</v>
      </c>
      <c r="D395" s="235">
        <f t="shared" si="159"/>
        <v>0</v>
      </c>
      <c r="E395" s="235">
        <f t="shared" si="159"/>
        <v>0</v>
      </c>
      <c r="F395" s="235">
        <f t="shared" si="159"/>
        <v>0</v>
      </c>
      <c r="G395" s="235">
        <f t="shared" si="159"/>
        <v>0</v>
      </c>
      <c r="H395" s="235">
        <f t="shared" si="159"/>
        <v>0</v>
      </c>
      <c r="I395" s="235">
        <f t="shared" si="159"/>
        <v>0</v>
      </c>
      <c r="J395" s="235">
        <f t="shared" si="159"/>
        <v>0</v>
      </c>
      <c r="K395" s="235">
        <f t="shared" si="159"/>
        <v>0</v>
      </c>
      <c r="L395" s="235">
        <f t="shared" si="159"/>
        <v>0</v>
      </c>
      <c r="M395" s="235">
        <f t="shared" si="159"/>
        <v>0</v>
      </c>
      <c r="N395" s="235" t="s">
        <v>315</v>
      </c>
      <c r="O395" s="100" t="s">
        <v>286</v>
      </c>
    </row>
    <row r="396" spans="1:15">
      <c r="A396" s="242" t="s">
        <v>139</v>
      </c>
      <c r="B396" s="235">
        <f t="shared" si="159"/>
        <v>79018.785044988515</v>
      </c>
      <c r="C396" s="235">
        <f t="shared" si="159"/>
        <v>137887.28740256527</v>
      </c>
      <c r="D396" s="235">
        <f t="shared" si="159"/>
        <v>186180.58138198536</v>
      </c>
      <c r="E396" s="235">
        <f t="shared" si="159"/>
        <v>233422.71054316001</v>
      </c>
      <c r="F396" s="235">
        <f t="shared" si="159"/>
        <v>283063.62927829794</v>
      </c>
      <c r="G396" s="235">
        <f t="shared" si="159"/>
        <v>327752.48943311756</v>
      </c>
      <c r="H396" s="235">
        <f t="shared" si="159"/>
        <v>380074.33618273586</v>
      </c>
      <c r="I396" s="235">
        <f t="shared" si="159"/>
        <v>426145.0867790078</v>
      </c>
      <c r="J396" s="235">
        <f t="shared" si="159"/>
        <v>463411.39617183915</v>
      </c>
      <c r="K396" s="235">
        <f t="shared" si="159"/>
        <v>509119.01589506009</v>
      </c>
      <c r="L396" s="235">
        <f t="shared" si="159"/>
        <v>555036.61968916235</v>
      </c>
      <c r="M396" s="235">
        <f t="shared" si="159"/>
        <v>600000</v>
      </c>
      <c r="N396" s="235" t="s">
        <v>315</v>
      </c>
      <c r="O396" s="100" t="s">
        <v>286</v>
      </c>
    </row>
    <row r="397" spans="1:15">
      <c r="A397" s="242" t="s">
        <v>140</v>
      </c>
      <c r="B397" s="235">
        <f t="shared" si="159"/>
        <v>0</v>
      </c>
      <c r="C397" s="235">
        <f t="shared" si="159"/>
        <v>0</v>
      </c>
      <c r="D397" s="235">
        <f t="shared" si="159"/>
        <v>0</v>
      </c>
      <c r="E397" s="235">
        <f t="shared" si="159"/>
        <v>0</v>
      </c>
      <c r="F397" s="235">
        <f t="shared" si="159"/>
        <v>0</v>
      </c>
      <c r="G397" s="235">
        <f t="shared" si="159"/>
        <v>0</v>
      </c>
      <c r="H397" s="235">
        <f t="shared" si="159"/>
        <v>0</v>
      </c>
      <c r="I397" s="235">
        <f t="shared" si="159"/>
        <v>0</v>
      </c>
      <c r="J397" s="235">
        <f t="shared" si="159"/>
        <v>0</v>
      </c>
      <c r="K397" s="235">
        <f t="shared" si="159"/>
        <v>0</v>
      </c>
      <c r="L397" s="235">
        <f t="shared" ref="C397:M402" si="160">L60</f>
        <v>0</v>
      </c>
      <c r="M397" s="235">
        <f t="shared" si="160"/>
        <v>0</v>
      </c>
      <c r="N397" s="235" t="s">
        <v>315</v>
      </c>
      <c r="O397" s="100" t="s">
        <v>286</v>
      </c>
    </row>
    <row r="398" spans="1:15">
      <c r="A398" s="242" t="s">
        <v>141</v>
      </c>
      <c r="B398" s="235">
        <f t="shared" si="159"/>
        <v>0</v>
      </c>
      <c r="C398" s="235">
        <f t="shared" si="160"/>
        <v>0</v>
      </c>
      <c r="D398" s="235">
        <f t="shared" si="160"/>
        <v>0</v>
      </c>
      <c r="E398" s="235">
        <f t="shared" si="160"/>
        <v>0</v>
      </c>
      <c r="F398" s="235">
        <f t="shared" si="160"/>
        <v>0</v>
      </c>
      <c r="G398" s="235">
        <f t="shared" si="160"/>
        <v>0</v>
      </c>
      <c r="H398" s="235">
        <f t="shared" si="160"/>
        <v>0</v>
      </c>
      <c r="I398" s="235">
        <f t="shared" si="160"/>
        <v>0</v>
      </c>
      <c r="J398" s="235">
        <f t="shared" si="160"/>
        <v>0</v>
      </c>
      <c r="K398" s="235">
        <f t="shared" si="160"/>
        <v>0</v>
      </c>
      <c r="L398" s="235">
        <f t="shared" si="160"/>
        <v>0</v>
      </c>
      <c r="M398" s="235">
        <f t="shared" si="160"/>
        <v>0</v>
      </c>
      <c r="N398" s="235" t="s">
        <v>315</v>
      </c>
      <c r="O398" s="100" t="s">
        <v>286</v>
      </c>
    </row>
    <row r="399" spans="1:15">
      <c r="A399" s="242" t="s">
        <v>142</v>
      </c>
      <c r="B399" s="235">
        <f t="shared" si="159"/>
        <v>0</v>
      </c>
      <c r="C399" s="235">
        <f t="shared" si="160"/>
        <v>0</v>
      </c>
      <c r="D399" s="235">
        <f t="shared" si="160"/>
        <v>0</v>
      </c>
      <c r="E399" s="235">
        <f t="shared" si="160"/>
        <v>0</v>
      </c>
      <c r="F399" s="235">
        <f t="shared" si="160"/>
        <v>0</v>
      </c>
      <c r="G399" s="235">
        <f t="shared" si="160"/>
        <v>0</v>
      </c>
      <c r="H399" s="235">
        <f t="shared" si="160"/>
        <v>0</v>
      </c>
      <c r="I399" s="235">
        <f t="shared" si="160"/>
        <v>0</v>
      </c>
      <c r="J399" s="235">
        <f t="shared" si="160"/>
        <v>0</v>
      </c>
      <c r="K399" s="235">
        <f t="shared" si="160"/>
        <v>0</v>
      </c>
      <c r="L399" s="235">
        <f t="shared" si="160"/>
        <v>0</v>
      </c>
      <c r="M399" s="235">
        <f t="shared" si="160"/>
        <v>0</v>
      </c>
      <c r="N399" s="235" t="s">
        <v>315</v>
      </c>
      <c r="O399" s="100" t="s">
        <v>286</v>
      </c>
    </row>
    <row r="400" spans="1:15">
      <c r="A400" s="242" t="s">
        <v>143</v>
      </c>
      <c r="B400" s="235">
        <f t="shared" si="159"/>
        <v>585149.90804259444</v>
      </c>
      <c r="C400" s="235">
        <f t="shared" si="160"/>
        <v>846775.48647282843</v>
      </c>
      <c r="D400" s="235">
        <f t="shared" si="160"/>
        <v>1089743.2057669228</v>
      </c>
      <c r="E400" s="235">
        <f t="shared" si="160"/>
        <v>1310687.3903177702</v>
      </c>
      <c r="F400" s="235">
        <f t="shared" si="160"/>
        <v>1553563.6893369951</v>
      </c>
      <c r="G400" s="235">
        <f t="shared" si="160"/>
        <v>1752508.4116952603</v>
      </c>
      <c r="H400" s="235">
        <f t="shared" si="160"/>
        <v>1947845.1967427402</v>
      </c>
      <c r="I400" s="235">
        <f t="shared" si="160"/>
        <v>2150121.8334847298</v>
      </c>
      <c r="J400" s="235">
        <f t="shared" si="160"/>
        <v>2284795.0607509767</v>
      </c>
      <c r="K400" s="235">
        <f t="shared" si="160"/>
        <v>2550370.1615817533</v>
      </c>
      <c r="L400" s="235">
        <f t="shared" si="160"/>
        <v>2740574.245192715</v>
      </c>
      <c r="M400" s="235">
        <f t="shared" si="160"/>
        <v>2916777.6153120385</v>
      </c>
      <c r="N400" s="235" t="s">
        <v>315</v>
      </c>
      <c r="O400" s="100" t="s">
        <v>286</v>
      </c>
    </row>
    <row r="401" spans="1:15">
      <c r="A401" s="242" t="s">
        <v>144</v>
      </c>
      <c r="B401" s="235">
        <f t="shared" si="159"/>
        <v>10208.897023637235</v>
      </c>
      <c r="C401" s="235">
        <f t="shared" si="160"/>
        <v>16230.537844074508</v>
      </c>
      <c r="D401" s="235">
        <f t="shared" si="160"/>
        <v>22012.127107060209</v>
      </c>
      <c r="E401" s="235">
        <f t="shared" si="160"/>
        <v>25279.111377045025</v>
      </c>
      <c r="F401" s="235">
        <f t="shared" si="160"/>
        <v>30320.743945677343</v>
      </c>
      <c r="G401" s="235">
        <f t="shared" si="160"/>
        <v>34233.006472079564</v>
      </c>
      <c r="H401" s="235">
        <f t="shared" si="160"/>
        <v>38901.987200847034</v>
      </c>
      <c r="I401" s="235">
        <f t="shared" si="160"/>
        <v>41693.02192767935</v>
      </c>
      <c r="J401" s="235">
        <f t="shared" si="160"/>
        <v>44967.888823132642</v>
      </c>
      <c r="K401" s="235">
        <f t="shared" si="160"/>
        <v>47852.249448700699</v>
      </c>
      <c r="L401" s="235">
        <f t="shared" si="160"/>
        <v>49783.160810810747</v>
      </c>
      <c r="M401" s="235">
        <f t="shared" si="160"/>
        <v>53060</v>
      </c>
      <c r="N401" s="235" t="s">
        <v>315</v>
      </c>
      <c r="O401" s="100" t="s">
        <v>286</v>
      </c>
    </row>
    <row r="402" spans="1:15">
      <c r="A402" s="242" t="s">
        <v>145</v>
      </c>
      <c r="B402" s="235">
        <f t="shared" si="159"/>
        <v>2166.5441462849217</v>
      </c>
      <c r="C402" s="235">
        <f t="shared" si="160"/>
        <v>3768.0343439060448</v>
      </c>
      <c r="D402" s="235">
        <f t="shared" si="160"/>
        <v>5071.5883881624959</v>
      </c>
      <c r="E402" s="235">
        <f t="shared" si="160"/>
        <v>6245.3940633080192</v>
      </c>
      <c r="F402" s="235">
        <f t="shared" si="160"/>
        <v>7239.494564826382</v>
      </c>
      <c r="G402" s="235">
        <f t="shared" si="160"/>
        <v>8784.0508750730587</v>
      </c>
      <c r="H402" s="235">
        <f t="shared" si="160"/>
        <v>10161.766547739424</v>
      </c>
      <c r="I402" s="235">
        <f t="shared" si="160"/>
        <v>11916.617719278307</v>
      </c>
      <c r="J402" s="235">
        <f t="shared" si="160"/>
        <v>12769.324046541678</v>
      </c>
      <c r="K402" s="235">
        <f t="shared" si="160"/>
        <v>14253.898759772334</v>
      </c>
      <c r="L402" s="235">
        <f t="shared" si="160"/>
        <v>15803.583837349302</v>
      </c>
      <c r="M402" s="235">
        <f t="shared" si="160"/>
        <v>17006</v>
      </c>
      <c r="N402" s="235" t="s">
        <v>315</v>
      </c>
      <c r="O402" s="100" t="s">
        <v>286</v>
      </c>
    </row>
    <row r="403" spans="1:15">
      <c r="A403" s="242" t="s">
        <v>119</v>
      </c>
      <c r="B403" s="235">
        <f>AF73</f>
        <v>2476.4480000000003</v>
      </c>
      <c r="C403" s="235">
        <f t="shared" ref="C403:M403" si="161">AG73</f>
        <v>4886.5760000000009</v>
      </c>
      <c r="D403" s="235">
        <f t="shared" si="161"/>
        <v>6601.4400000000005</v>
      </c>
      <c r="E403" s="235">
        <f t="shared" si="161"/>
        <v>8337.1840000000011</v>
      </c>
      <c r="F403" s="235">
        <f t="shared" si="161"/>
        <v>0</v>
      </c>
      <c r="G403" s="235">
        <f t="shared" si="161"/>
        <v>0</v>
      </c>
      <c r="H403" s="235">
        <f t="shared" si="161"/>
        <v>0</v>
      </c>
      <c r="I403" s="235">
        <f t="shared" si="161"/>
        <v>0</v>
      </c>
      <c r="J403" s="235">
        <f t="shared" si="161"/>
        <v>0</v>
      </c>
      <c r="K403" s="235">
        <f t="shared" si="161"/>
        <v>0</v>
      </c>
      <c r="L403" s="235">
        <f t="shared" si="161"/>
        <v>0</v>
      </c>
      <c r="M403" s="235">
        <f t="shared" si="161"/>
        <v>0</v>
      </c>
      <c r="N403" s="235" t="s">
        <v>210</v>
      </c>
      <c r="O403" s="100" t="s">
        <v>313</v>
      </c>
    </row>
    <row r="404" spans="1:15">
      <c r="A404" s="242" t="s">
        <v>120</v>
      </c>
      <c r="B404" s="235">
        <f t="shared" ref="B404:B429" si="162">AF74</f>
        <v>4068.4480000000003</v>
      </c>
      <c r="C404" s="235">
        <f t="shared" ref="C404:C429" si="163">AG74</f>
        <v>10287.216</v>
      </c>
      <c r="D404" s="235">
        <f t="shared" ref="D404:D429" si="164">AH74</f>
        <v>11398.32</v>
      </c>
      <c r="E404" s="235">
        <f t="shared" ref="E404:E429" si="165">AI74</f>
        <v>12341.743999999999</v>
      </c>
      <c r="F404" s="235">
        <f t="shared" ref="F404:F429" si="166">AJ74</f>
        <v>0</v>
      </c>
      <c r="G404" s="235">
        <f t="shared" ref="G404:G429" si="167">AK74</f>
        <v>0</v>
      </c>
      <c r="H404" s="235">
        <f t="shared" ref="H404:H429" si="168">AL74</f>
        <v>0</v>
      </c>
      <c r="I404" s="235">
        <f t="shared" ref="I404:I429" si="169">AM74</f>
        <v>0</v>
      </c>
      <c r="J404" s="235">
        <f t="shared" ref="J404:J429" si="170">AN74</f>
        <v>0</v>
      </c>
      <c r="K404" s="235">
        <f t="shared" ref="K404:K429" si="171">AO74</f>
        <v>0</v>
      </c>
      <c r="L404" s="235">
        <f t="shared" ref="L404:L429" si="172">AP74</f>
        <v>0</v>
      </c>
      <c r="M404" s="235">
        <f t="shared" ref="M404:M429" si="173">AQ74</f>
        <v>0</v>
      </c>
      <c r="N404" s="235" t="s">
        <v>210</v>
      </c>
      <c r="O404" s="100" t="s">
        <v>313</v>
      </c>
    </row>
    <row r="405" spans="1:15">
      <c r="A405" s="242" t="s">
        <v>121</v>
      </c>
      <c r="B405" s="235">
        <f t="shared" si="162"/>
        <v>2822.864</v>
      </c>
      <c r="C405" s="235">
        <f t="shared" si="163"/>
        <v>3906.3199999999997</v>
      </c>
      <c r="D405" s="235">
        <f t="shared" si="164"/>
        <v>5498.3440000000001</v>
      </c>
      <c r="E405" s="235">
        <f t="shared" si="165"/>
        <v>8023.424</v>
      </c>
      <c r="F405" s="235">
        <f t="shared" si="166"/>
        <v>0</v>
      </c>
      <c r="G405" s="235">
        <f t="shared" si="167"/>
        <v>0</v>
      </c>
      <c r="H405" s="235">
        <f t="shared" si="168"/>
        <v>0</v>
      </c>
      <c r="I405" s="235">
        <f t="shared" si="169"/>
        <v>0</v>
      </c>
      <c r="J405" s="235">
        <f t="shared" si="170"/>
        <v>0</v>
      </c>
      <c r="K405" s="235">
        <f t="shared" si="171"/>
        <v>0</v>
      </c>
      <c r="L405" s="235">
        <f t="shared" si="172"/>
        <v>0</v>
      </c>
      <c r="M405" s="235">
        <f t="shared" si="173"/>
        <v>0</v>
      </c>
      <c r="N405" s="235" t="s">
        <v>210</v>
      </c>
      <c r="O405" s="100" t="s">
        <v>313</v>
      </c>
    </row>
    <row r="406" spans="1:15">
      <c r="A406" s="242" t="s">
        <v>122</v>
      </c>
      <c r="B406" s="235">
        <f t="shared" si="162"/>
        <v>4245.3440000000001</v>
      </c>
      <c r="C406" s="235">
        <f t="shared" si="163"/>
        <v>12083.792000000001</v>
      </c>
      <c r="D406" s="235">
        <f t="shared" si="164"/>
        <v>17090.304000000004</v>
      </c>
      <c r="E406" s="235">
        <f t="shared" si="165"/>
        <v>21776.696000000004</v>
      </c>
      <c r="F406" s="235">
        <f t="shared" si="166"/>
        <v>0</v>
      </c>
      <c r="G406" s="235">
        <f t="shared" si="167"/>
        <v>0</v>
      </c>
      <c r="H406" s="235">
        <f t="shared" si="168"/>
        <v>0</v>
      </c>
      <c r="I406" s="235">
        <f t="shared" si="169"/>
        <v>0</v>
      </c>
      <c r="J406" s="235">
        <f t="shared" si="170"/>
        <v>0</v>
      </c>
      <c r="K406" s="235">
        <f t="shared" si="171"/>
        <v>0</v>
      </c>
      <c r="L406" s="235">
        <f t="shared" si="172"/>
        <v>0</v>
      </c>
      <c r="M406" s="235">
        <f t="shared" si="173"/>
        <v>0</v>
      </c>
      <c r="N406" s="235" t="s">
        <v>210</v>
      </c>
      <c r="O406" s="100" t="s">
        <v>313</v>
      </c>
    </row>
    <row r="407" spans="1:15">
      <c r="A407" s="242" t="s">
        <v>123</v>
      </c>
      <c r="B407" s="235">
        <f t="shared" si="162"/>
        <v>21554.696</v>
      </c>
      <c r="C407" s="235">
        <f t="shared" si="163"/>
        <v>73796.072</v>
      </c>
      <c r="D407" s="235">
        <f t="shared" si="164"/>
        <v>88569.592000000004</v>
      </c>
      <c r="E407" s="235">
        <f t="shared" si="165"/>
        <v>106447.856</v>
      </c>
      <c r="F407" s="235">
        <f t="shared" si="166"/>
        <v>0</v>
      </c>
      <c r="G407" s="235">
        <f t="shared" si="167"/>
        <v>0</v>
      </c>
      <c r="H407" s="235">
        <f t="shared" si="168"/>
        <v>0</v>
      </c>
      <c r="I407" s="235">
        <f t="shared" si="169"/>
        <v>0</v>
      </c>
      <c r="J407" s="235">
        <f t="shared" si="170"/>
        <v>0</v>
      </c>
      <c r="K407" s="235">
        <f t="shared" si="171"/>
        <v>0</v>
      </c>
      <c r="L407" s="235">
        <f t="shared" si="172"/>
        <v>0</v>
      </c>
      <c r="M407" s="235">
        <f t="shared" si="173"/>
        <v>0</v>
      </c>
      <c r="N407" s="235" t="s">
        <v>210</v>
      </c>
      <c r="O407" s="100" t="s">
        <v>313</v>
      </c>
    </row>
    <row r="408" spans="1:15">
      <c r="A408" s="242" t="s">
        <v>124</v>
      </c>
      <c r="B408" s="235">
        <f t="shared" si="162"/>
        <v>10259.576000000001</v>
      </c>
      <c r="C408" s="235">
        <f t="shared" si="163"/>
        <v>26997.792000000001</v>
      </c>
      <c r="D408" s="235">
        <f t="shared" si="164"/>
        <v>32481.488000000001</v>
      </c>
      <c r="E408" s="235">
        <f t="shared" si="165"/>
        <v>39708.328000000001</v>
      </c>
      <c r="F408" s="235">
        <f t="shared" si="166"/>
        <v>0</v>
      </c>
      <c r="G408" s="235">
        <f t="shared" si="167"/>
        <v>0</v>
      </c>
      <c r="H408" s="235">
        <f t="shared" si="168"/>
        <v>0</v>
      </c>
      <c r="I408" s="235">
        <f t="shared" si="169"/>
        <v>0</v>
      </c>
      <c r="J408" s="235">
        <f t="shared" si="170"/>
        <v>0</v>
      </c>
      <c r="K408" s="235">
        <f t="shared" si="171"/>
        <v>0</v>
      </c>
      <c r="L408" s="235">
        <f t="shared" si="172"/>
        <v>0</v>
      </c>
      <c r="M408" s="235">
        <f t="shared" si="173"/>
        <v>0</v>
      </c>
      <c r="N408" s="235" t="s">
        <v>210</v>
      </c>
      <c r="O408" s="100" t="s">
        <v>313</v>
      </c>
    </row>
    <row r="409" spans="1:15">
      <c r="A409" s="242" t="s">
        <v>125</v>
      </c>
      <c r="B409" s="235">
        <f t="shared" si="162"/>
        <v>14888.168</v>
      </c>
      <c r="C409" s="235">
        <f t="shared" si="163"/>
        <v>47310.567999999999</v>
      </c>
      <c r="D409" s="235">
        <f t="shared" si="164"/>
        <v>59126.608</v>
      </c>
      <c r="E409" s="235">
        <f t="shared" si="165"/>
        <v>72703.040000000008</v>
      </c>
      <c r="F409" s="235">
        <f t="shared" si="166"/>
        <v>0</v>
      </c>
      <c r="G409" s="235">
        <f t="shared" si="167"/>
        <v>0</v>
      </c>
      <c r="H409" s="235">
        <f t="shared" si="168"/>
        <v>0</v>
      </c>
      <c r="I409" s="235">
        <f t="shared" si="169"/>
        <v>0</v>
      </c>
      <c r="J409" s="235">
        <f t="shared" si="170"/>
        <v>0</v>
      </c>
      <c r="K409" s="235">
        <f t="shared" si="171"/>
        <v>0</v>
      </c>
      <c r="L409" s="235">
        <f t="shared" si="172"/>
        <v>0</v>
      </c>
      <c r="M409" s="235">
        <f t="shared" si="173"/>
        <v>0</v>
      </c>
      <c r="N409" s="235" t="s">
        <v>210</v>
      </c>
      <c r="O409" s="100" t="s">
        <v>313</v>
      </c>
    </row>
    <row r="410" spans="1:15">
      <c r="A410" s="242" t="s">
        <v>126</v>
      </c>
      <c r="B410" s="235">
        <f t="shared" si="162"/>
        <v>13126.648000000001</v>
      </c>
      <c r="C410" s="235">
        <f t="shared" si="163"/>
        <v>44576.160000000003</v>
      </c>
      <c r="D410" s="235">
        <f t="shared" si="164"/>
        <v>55100.088000000003</v>
      </c>
      <c r="E410" s="235">
        <f t="shared" si="165"/>
        <v>64451.424000000006</v>
      </c>
      <c r="F410" s="235">
        <f t="shared" si="166"/>
        <v>0</v>
      </c>
      <c r="G410" s="235">
        <f t="shared" si="167"/>
        <v>0</v>
      </c>
      <c r="H410" s="235">
        <f t="shared" si="168"/>
        <v>0</v>
      </c>
      <c r="I410" s="235">
        <f t="shared" si="169"/>
        <v>0</v>
      </c>
      <c r="J410" s="235">
        <f t="shared" si="170"/>
        <v>0</v>
      </c>
      <c r="K410" s="235">
        <f t="shared" si="171"/>
        <v>0</v>
      </c>
      <c r="L410" s="235">
        <f t="shared" si="172"/>
        <v>0</v>
      </c>
      <c r="M410" s="235">
        <f t="shared" si="173"/>
        <v>0</v>
      </c>
      <c r="N410" s="235" t="s">
        <v>210</v>
      </c>
      <c r="O410" s="100" t="s">
        <v>313</v>
      </c>
    </row>
    <row r="411" spans="1:15">
      <c r="A411" s="242" t="s">
        <v>127</v>
      </c>
      <c r="B411" s="235">
        <f t="shared" si="162"/>
        <v>12881.584000000001</v>
      </c>
      <c r="C411" s="235">
        <f t="shared" si="163"/>
        <v>43039.432000000001</v>
      </c>
      <c r="D411" s="235">
        <f t="shared" si="164"/>
        <v>52992.639999999999</v>
      </c>
      <c r="E411" s="235">
        <f t="shared" si="165"/>
        <v>64425.472000000002</v>
      </c>
      <c r="F411" s="235">
        <f t="shared" si="166"/>
        <v>0</v>
      </c>
      <c r="G411" s="235">
        <f t="shared" si="167"/>
        <v>0</v>
      </c>
      <c r="H411" s="235">
        <f t="shared" si="168"/>
        <v>0</v>
      </c>
      <c r="I411" s="235">
        <f t="shared" si="169"/>
        <v>0</v>
      </c>
      <c r="J411" s="235">
        <f t="shared" si="170"/>
        <v>0</v>
      </c>
      <c r="K411" s="235">
        <f t="shared" si="171"/>
        <v>0</v>
      </c>
      <c r="L411" s="235">
        <f t="shared" si="172"/>
        <v>0</v>
      </c>
      <c r="M411" s="235">
        <f t="shared" si="173"/>
        <v>0</v>
      </c>
      <c r="N411" s="235" t="s">
        <v>210</v>
      </c>
      <c r="O411" s="100" t="s">
        <v>313</v>
      </c>
    </row>
    <row r="412" spans="1:15">
      <c r="A412" s="242" t="s">
        <v>128</v>
      </c>
      <c r="B412" s="235">
        <f t="shared" si="162"/>
        <v>3991.0720000000001</v>
      </c>
      <c r="C412" s="235">
        <f t="shared" si="163"/>
        <v>13036.4</v>
      </c>
      <c r="D412" s="235">
        <f t="shared" si="164"/>
        <v>16176.24</v>
      </c>
      <c r="E412" s="235">
        <f t="shared" si="165"/>
        <v>20200.527999999998</v>
      </c>
      <c r="F412" s="235">
        <f t="shared" si="166"/>
        <v>0</v>
      </c>
      <c r="G412" s="235">
        <f t="shared" si="167"/>
        <v>0</v>
      </c>
      <c r="H412" s="235">
        <f t="shared" si="168"/>
        <v>0</v>
      </c>
      <c r="I412" s="235">
        <f t="shared" si="169"/>
        <v>0</v>
      </c>
      <c r="J412" s="235">
        <f t="shared" si="170"/>
        <v>0</v>
      </c>
      <c r="K412" s="235">
        <f t="shared" si="171"/>
        <v>0</v>
      </c>
      <c r="L412" s="235">
        <f t="shared" si="172"/>
        <v>0</v>
      </c>
      <c r="M412" s="235">
        <f t="shared" si="173"/>
        <v>0</v>
      </c>
      <c r="N412" s="235" t="s">
        <v>210</v>
      </c>
      <c r="O412" s="100" t="s">
        <v>313</v>
      </c>
    </row>
    <row r="413" spans="1:15">
      <c r="A413" s="242" t="s">
        <v>129</v>
      </c>
      <c r="B413" s="235">
        <f t="shared" si="162"/>
        <v>9891.0640000000003</v>
      </c>
      <c r="C413" s="235">
        <f t="shared" si="163"/>
        <v>25880.304</v>
      </c>
      <c r="D413" s="235">
        <f t="shared" si="164"/>
        <v>33335.832000000002</v>
      </c>
      <c r="E413" s="235">
        <f t="shared" si="165"/>
        <v>42181.792000000001</v>
      </c>
      <c r="F413" s="235">
        <f t="shared" si="166"/>
        <v>0</v>
      </c>
      <c r="G413" s="235">
        <f t="shared" si="167"/>
        <v>0</v>
      </c>
      <c r="H413" s="235">
        <f t="shared" si="168"/>
        <v>0</v>
      </c>
      <c r="I413" s="235">
        <f t="shared" si="169"/>
        <v>0</v>
      </c>
      <c r="J413" s="235">
        <f t="shared" si="170"/>
        <v>0</v>
      </c>
      <c r="K413" s="235">
        <f t="shared" si="171"/>
        <v>0</v>
      </c>
      <c r="L413" s="235">
        <f t="shared" si="172"/>
        <v>0</v>
      </c>
      <c r="M413" s="235">
        <f t="shared" si="173"/>
        <v>0</v>
      </c>
      <c r="N413" s="235" t="s">
        <v>210</v>
      </c>
      <c r="O413" s="100" t="s">
        <v>313</v>
      </c>
    </row>
    <row r="414" spans="1:15">
      <c r="A414" s="242" t="s">
        <v>130</v>
      </c>
      <c r="B414" s="235">
        <f t="shared" si="162"/>
        <v>18805.536</v>
      </c>
      <c r="C414" s="235">
        <f t="shared" si="163"/>
        <v>40065.512000000002</v>
      </c>
      <c r="D414" s="235">
        <f t="shared" si="164"/>
        <v>46629.864000000001</v>
      </c>
      <c r="E414" s="235">
        <f t="shared" si="165"/>
        <v>59265.328000000001</v>
      </c>
      <c r="F414" s="235">
        <f t="shared" si="166"/>
        <v>0</v>
      </c>
      <c r="G414" s="235">
        <f t="shared" si="167"/>
        <v>0</v>
      </c>
      <c r="H414" s="235">
        <f t="shared" si="168"/>
        <v>0</v>
      </c>
      <c r="I414" s="235">
        <f t="shared" si="169"/>
        <v>0</v>
      </c>
      <c r="J414" s="235">
        <f t="shared" si="170"/>
        <v>0</v>
      </c>
      <c r="K414" s="235">
        <f t="shared" si="171"/>
        <v>0</v>
      </c>
      <c r="L414" s="235">
        <f t="shared" si="172"/>
        <v>0</v>
      </c>
      <c r="M414" s="235">
        <f t="shared" si="173"/>
        <v>0</v>
      </c>
      <c r="N414" s="235" t="s">
        <v>210</v>
      </c>
      <c r="O414" s="100" t="s">
        <v>313</v>
      </c>
    </row>
    <row r="415" spans="1:15">
      <c r="A415" s="242" t="s">
        <v>131</v>
      </c>
      <c r="B415" s="235">
        <f t="shared" si="162"/>
        <v>68695.688000000009</v>
      </c>
      <c r="C415" s="235">
        <f t="shared" si="163"/>
        <v>163975.68800000002</v>
      </c>
      <c r="D415" s="235">
        <f t="shared" si="164"/>
        <v>200090.81600000002</v>
      </c>
      <c r="E415" s="235">
        <f t="shared" si="165"/>
        <v>232550.92</v>
      </c>
      <c r="F415" s="235">
        <f t="shared" si="166"/>
        <v>0</v>
      </c>
      <c r="G415" s="235">
        <f t="shared" si="167"/>
        <v>0</v>
      </c>
      <c r="H415" s="235">
        <f t="shared" si="168"/>
        <v>0</v>
      </c>
      <c r="I415" s="235">
        <f t="shared" si="169"/>
        <v>0</v>
      </c>
      <c r="J415" s="235">
        <f t="shared" si="170"/>
        <v>0</v>
      </c>
      <c r="K415" s="235">
        <f t="shared" si="171"/>
        <v>0</v>
      </c>
      <c r="L415" s="235">
        <f t="shared" si="172"/>
        <v>0</v>
      </c>
      <c r="M415" s="235">
        <f t="shared" si="173"/>
        <v>0</v>
      </c>
      <c r="N415" s="235" t="s">
        <v>210</v>
      </c>
      <c r="O415" s="100" t="s">
        <v>313</v>
      </c>
    </row>
    <row r="416" spans="1:15">
      <c r="A416" s="242" t="s">
        <v>132</v>
      </c>
      <c r="B416" s="235">
        <f t="shared" si="162"/>
        <v>7606.2479999999996</v>
      </c>
      <c r="C416" s="235">
        <f t="shared" si="163"/>
        <v>13777.16</v>
      </c>
      <c r="D416" s="235">
        <f t="shared" si="164"/>
        <v>18487.031999999999</v>
      </c>
      <c r="E416" s="235">
        <f t="shared" si="165"/>
        <v>24116.239999999998</v>
      </c>
      <c r="F416" s="235">
        <f t="shared" si="166"/>
        <v>0</v>
      </c>
      <c r="G416" s="235">
        <f t="shared" si="167"/>
        <v>0</v>
      </c>
      <c r="H416" s="235">
        <f t="shared" si="168"/>
        <v>0</v>
      </c>
      <c r="I416" s="235">
        <f t="shared" si="169"/>
        <v>0</v>
      </c>
      <c r="J416" s="235">
        <f t="shared" si="170"/>
        <v>0</v>
      </c>
      <c r="K416" s="235">
        <f t="shared" si="171"/>
        <v>0</v>
      </c>
      <c r="L416" s="235">
        <f t="shared" si="172"/>
        <v>0</v>
      </c>
      <c r="M416" s="235">
        <f t="shared" si="173"/>
        <v>0</v>
      </c>
      <c r="N416" s="235" t="s">
        <v>210</v>
      </c>
      <c r="O416" s="100" t="s">
        <v>313</v>
      </c>
    </row>
    <row r="417" spans="1:15">
      <c r="A417" s="242" t="s">
        <v>133</v>
      </c>
      <c r="B417" s="235">
        <f t="shared" si="162"/>
        <v>5406.192</v>
      </c>
      <c r="C417" s="235">
        <f t="shared" si="163"/>
        <v>17031.152000000002</v>
      </c>
      <c r="D417" s="235">
        <f t="shared" si="164"/>
        <v>22995.088000000003</v>
      </c>
      <c r="E417" s="235">
        <f t="shared" si="165"/>
        <v>29329.376000000004</v>
      </c>
      <c r="F417" s="235">
        <f t="shared" si="166"/>
        <v>0</v>
      </c>
      <c r="G417" s="235">
        <f t="shared" si="167"/>
        <v>0</v>
      </c>
      <c r="H417" s="235">
        <f t="shared" si="168"/>
        <v>0</v>
      </c>
      <c r="I417" s="235">
        <f t="shared" si="169"/>
        <v>0</v>
      </c>
      <c r="J417" s="235">
        <f t="shared" si="170"/>
        <v>0</v>
      </c>
      <c r="K417" s="235">
        <f t="shared" si="171"/>
        <v>0</v>
      </c>
      <c r="L417" s="235">
        <f t="shared" si="172"/>
        <v>0</v>
      </c>
      <c r="M417" s="235">
        <f t="shared" si="173"/>
        <v>0</v>
      </c>
      <c r="N417" s="235" t="s">
        <v>210</v>
      </c>
      <c r="O417" s="100" t="s">
        <v>313</v>
      </c>
    </row>
    <row r="418" spans="1:15">
      <c r="A418" s="242" t="s">
        <v>134</v>
      </c>
      <c r="B418" s="235">
        <f t="shared" si="162"/>
        <v>88214.368000000017</v>
      </c>
      <c r="C418" s="235">
        <f t="shared" si="163"/>
        <v>200862.97600000002</v>
      </c>
      <c r="D418" s="235">
        <f t="shared" si="164"/>
        <v>246292.36000000004</v>
      </c>
      <c r="E418" s="235">
        <f t="shared" si="165"/>
        <v>302427.26400000008</v>
      </c>
      <c r="F418" s="235">
        <f t="shared" si="166"/>
        <v>0</v>
      </c>
      <c r="G418" s="235">
        <f t="shared" si="167"/>
        <v>0</v>
      </c>
      <c r="H418" s="235">
        <f t="shared" si="168"/>
        <v>0</v>
      </c>
      <c r="I418" s="235">
        <f t="shared" si="169"/>
        <v>0</v>
      </c>
      <c r="J418" s="235">
        <f t="shared" si="170"/>
        <v>0</v>
      </c>
      <c r="K418" s="235">
        <f t="shared" si="171"/>
        <v>0</v>
      </c>
      <c r="L418" s="235">
        <f t="shared" si="172"/>
        <v>0</v>
      </c>
      <c r="M418" s="235">
        <f t="shared" si="173"/>
        <v>0</v>
      </c>
      <c r="N418" s="235" t="s">
        <v>210</v>
      </c>
      <c r="O418" s="100" t="s">
        <v>313</v>
      </c>
    </row>
    <row r="419" spans="1:15">
      <c r="A419" s="242" t="s">
        <v>135</v>
      </c>
      <c r="B419" s="235">
        <f t="shared" si="162"/>
        <v>23585.232000000004</v>
      </c>
      <c r="C419" s="235">
        <f t="shared" si="163"/>
        <v>53048.456000000006</v>
      </c>
      <c r="D419" s="235">
        <f t="shared" si="164"/>
        <v>65733.640000000014</v>
      </c>
      <c r="E419" s="235">
        <f t="shared" si="165"/>
        <v>79757.392000000022</v>
      </c>
      <c r="F419" s="235">
        <f t="shared" si="166"/>
        <v>0</v>
      </c>
      <c r="G419" s="235">
        <f t="shared" si="167"/>
        <v>0</v>
      </c>
      <c r="H419" s="235">
        <f t="shared" si="168"/>
        <v>0</v>
      </c>
      <c r="I419" s="235">
        <f t="shared" si="169"/>
        <v>0</v>
      </c>
      <c r="J419" s="235">
        <f t="shared" si="170"/>
        <v>0</v>
      </c>
      <c r="K419" s="235">
        <f t="shared" si="171"/>
        <v>0</v>
      </c>
      <c r="L419" s="235">
        <f t="shared" si="172"/>
        <v>0</v>
      </c>
      <c r="M419" s="235">
        <f t="shared" si="173"/>
        <v>0</v>
      </c>
      <c r="N419" s="235" t="s">
        <v>210</v>
      </c>
      <c r="O419" s="100" t="s">
        <v>313</v>
      </c>
    </row>
    <row r="420" spans="1:15">
      <c r="A420" s="242" t="s">
        <v>136</v>
      </c>
      <c r="B420" s="235">
        <f t="shared" si="162"/>
        <v>4790.76</v>
      </c>
      <c r="C420" s="235">
        <f t="shared" si="163"/>
        <v>12605.656000000001</v>
      </c>
      <c r="D420" s="235">
        <f t="shared" si="164"/>
        <v>15171.36</v>
      </c>
      <c r="E420" s="235">
        <f t="shared" si="165"/>
        <v>21149.52</v>
      </c>
      <c r="F420" s="235">
        <f t="shared" si="166"/>
        <v>0</v>
      </c>
      <c r="G420" s="235">
        <f t="shared" si="167"/>
        <v>0</v>
      </c>
      <c r="H420" s="235">
        <f t="shared" si="168"/>
        <v>0</v>
      </c>
      <c r="I420" s="235">
        <f t="shared" si="169"/>
        <v>0</v>
      </c>
      <c r="J420" s="235">
        <f t="shared" si="170"/>
        <v>0</v>
      </c>
      <c r="K420" s="235">
        <f t="shared" si="171"/>
        <v>0</v>
      </c>
      <c r="L420" s="235">
        <f t="shared" si="172"/>
        <v>0</v>
      </c>
      <c r="M420" s="235">
        <f t="shared" si="173"/>
        <v>0</v>
      </c>
      <c r="N420" s="235" t="s">
        <v>210</v>
      </c>
      <c r="O420" s="100" t="s">
        <v>313</v>
      </c>
    </row>
    <row r="421" spans="1:15">
      <c r="A421" s="242" t="s">
        <v>137</v>
      </c>
      <c r="B421" s="235">
        <f t="shared" si="162"/>
        <v>115851.40800000001</v>
      </c>
      <c r="C421" s="235">
        <f t="shared" si="163"/>
        <v>262114.51200000005</v>
      </c>
      <c r="D421" s="235">
        <f t="shared" si="164"/>
        <v>307314.76800000004</v>
      </c>
      <c r="E421" s="235">
        <f t="shared" si="165"/>
        <v>363129.60800000007</v>
      </c>
      <c r="F421" s="235">
        <f t="shared" si="166"/>
        <v>0</v>
      </c>
      <c r="G421" s="235">
        <f t="shared" si="167"/>
        <v>0</v>
      </c>
      <c r="H421" s="235">
        <f t="shared" si="168"/>
        <v>0</v>
      </c>
      <c r="I421" s="235">
        <f t="shared" si="169"/>
        <v>0</v>
      </c>
      <c r="J421" s="235">
        <f t="shared" si="170"/>
        <v>0</v>
      </c>
      <c r="K421" s="235">
        <f t="shared" si="171"/>
        <v>0</v>
      </c>
      <c r="L421" s="235">
        <f t="shared" si="172"/>
        <v>0</v>
      </c>
      <c r="M421" s="235">
        <f t="shared" si="173"/>
        <v>0</v>
      </c>
      <c r="N421" s="235" t="s">
        <v>210</v>
      </c>
      <c r="O421" s="100" t="s">
        <v>313</v>
      </c>
    </row>
    <row r="422" spans="1:15">
      <c r="A422" s="242" t="s">
        <v>138</v>
      </c>
      <c r="B422" s="235">
        <f t="shared" si="162"/>
        <v>3360.8960000000002</v>
      </c>
      <c r="C422" s="235">
        <f t="shared" si="163"/>
        <v>12784.896000000001</v>
      </c>
      <c r="D422" s="235">
        <f t="shared" si="164"/>
        <v>17435.672000000002</v>
      </c>
      <c r="E422" s="235">
        <f t="shared" si="165"/>
        <v>21537.968000000001</v>
      </c>
      <c r="F422" s="235">
        <f t="shared" si="166"/>
        <v>0</v>
      </c>
      <c r="G422" s="235">
        <f t="shared" si="167"/>
        <v>0</v>
      </c>
      <c r="H422" s="235">
        <f t="shared" si="168"/>
        <v>0</v>
      </c>
      <c r="I422" s="235">
        <f t="shared" si="169"/>
        <v>0</v>
      </c>
      <c r="J422" s="235">
        <f t="shared" si="170"/>
        <v>0</v>
      </c>
      <c r="K422" s="235">
        <f t="shared" si="171"/>
        <v>0</v>
      </c>
      <c r="L422" s="235">
        <f t="shared" si="172"/>
        <v>0</v>
      </c>
      <c r="M422" s="235">
        <f t="shared" si="173"/>
        <v>0</v>
      </c>
      <c r="N422" s="235" t="s">
        <v>210</v>
      </c>
      <c r="O422" s="100" t="s">
        <v>313</v>
      </c>
    </row>
    <row r="423" spans="1:15">
      <c r="A423" s="242" t="s">
        <v>139</v>
      </c>
      <c r="B423" s="235">
        <f t="shared" si="162"/>
        <v>87716.872000000003</v>
      </c>
      <c r="C423" s="235">
        <f t="shared" si="163"/>
        <v>211470.83200000002</v>
      </c>
      <c r="D423" s="235">
        <f t="shared" si="164"/>
        <v>254197.87200000003</v>
      </c>
      <c r="E423" s="235">
        <f t="shared" si="165"/>
        <v>319506.61600000004</v>
      </c>
      <c r="F423" s="235">
        <f t="shared" si="166"/>
        <v>0</v>
      </c>
      <c r="G423" s="235">
        <f t="shared" si="167"/>
        <v>0</v>
      </c>
      <c r="H423" s="235">
        <f t="shared" si="168"/>
        <v>0</v>
      </c>
      <c r="I423" s="235">
        <f t="shared" si="169"/>
        <v>0</v>
      </c>
      <c r="J423" s="235">
        <f t="shared" si="170"/>
        <v>0</v>
      </c>
      <c r="K423" s="235">
        <f t="shared" si="171"/>
        <v>0</v>
      </c>
      <c r="L423" s="235">
        <f t="shared" si="172"/>
        <v>0</v>
      </c>
      <c r="M423" s="235">
        <f t="shared" si="173"/>
        <v>0</v>
      </c>
      <c r="N423" s="235" t="s">
        <v>210</v>
      </c>
      <c r="O423" s="100" t="s">
        <v>313</v>
      </c>
    </row>
    <row r="424" spans="1:15">
      <c r="A424" s="242" t="s">
        <v>140</v>
      </c>
      <c r="B424" s="235">
        <f t="shared" si="162"/>
        <v>4068.4480000000003</v>
      </c>
      <c r="C424" s="235">
        <f t="shared" si="163"/>
        <v>9850.5120000000006</v>
      </c>
      <c r="D424" s="235">
        <f t="shared" si="164"/>
        <v>12442.44</v>
      </c>
      <c r="E424" s="235">
        <f t="shared" si="165"/>
        <v>16101.848000000002</v>
      </c>
      <c r="F424" s="235">
        <f t="shared" si="166"/>
        <v>0</v>
      </c>
      <c r="G424" s="235">
        <f t="shared" si="167"/>
        <v>0</v>
      </c>
      <c r="H424" s="235">
        <f t="shared" si="168"/>
        <v>0</v>
      </c>
      <c r="I424" s="235">
        <f t="shared" si="169"/>
        <v>0</v>
      </c>
      <c r="J424" s="235">
        <f t="shared" si="170"/>
        <v>0</v>
      </c>
      <c r="K424" s="235">
        <f t="shared" si="171"/>
        <v>0</v>
      </c>
      <c r="L424" s="235">
        <f t="shared" si="172"/>
        <v>0</v>
      </c>
      <c r="M424" s="235">
        <f t="shared" si="173"/>
        <v>0</v>
      </c>
      <c r="N424" s="235" t="s">
        <v>210</v>
      </c>
      <c r="O424" s="100" t="s">
        <v>313</v>
      </c>
    </row>
    <row r="425" spans="1:15">
      <c r="A425" s="242" t="s">
        <v>141</v>
      </c>
      <c r="B425" s="235">
        <f t="shared" si="162"/>
        <v>884.44799999999998</v>
      </c>
      <c r="C425" s="235">
        <f t="shared" si="163"/>
        <v>1655.5839999999998</v>
      </c>
      <c r="D425" s="235">
        <f t="shared" si="164"/>
        <v>2090.4479999999999</v>
      </c>
      <c r="E425" s="235">
        <f t="shared" si="165"/>
        <v>2500.7439999999997</v>
      </c>
      <c r="F425" s="235">
        <f t="shared" si="166"/>
        <v>0</v>
      </c>
      <c r="G425" s="235">
        <f t="shared" si="167"/>
        <v>0</v>
      </c>
      <c r="H425" s="235">
        <f t="shared" si="168"/>
        <v>0</v>
      </c>
      <c r="I425" s="235">
        <f t="shared" si="169"/>
        <v>0</v>
      </c>
      <c r="J425" s="235">
        <f t="shared" si="170"/>
        <v>0</v>
      </c>
      <c r="K425" s="235">
        <f t="shared" si="171"/>
        <v>0</v>
      </c>
      <c r="L425" s="235">
        <f t="shared" si="172"/>
        <v>0</v>
      </c>
      <c r="M425" s="235">
        <f t="shared" si="173"/>
        <v>0</v>
      </c>
      <c r="N425" s="235" t="s">
        <v>210</v>
      </c>
      <c r="O425" s="100" t="s">
        <v>313</v>
      </c>
    </row>
    <row r="426" spans="1:15">
      <c r="A426" s="242" t="s">
        <v>142</v>
      </c>
      <c r="B426" s="235">
        <f t="shared" si="162"/>
        <v>44273.928000000007</v>
      </c>
      <c r="C426" s="235">
        <f t="shared" si="163"/>
        <v>130574.024</v>
      </c>
      <c r="D426" s="235">
        <f t="shared" si="164"/>
        <v>161775</v>
      </c>
      <c r="E426" s="235">
        <f t="shared" si="165"/>
        <v>193981.09600000002</v>
      </c>
      <c r="F426" s="235">
        <f t="shared" si="166"/>
        <v>0</v>
      </c>
      <c r="G426" s="235">
        <f t="shared" si="167"/>
        <v>0</v>
      </c>
      <c r="H426" s="235">
        <f t="shared" si="168"/>
        <v>0</v>
      </c>
      <c r="I426" s="235">
        <f t="shared" si="169"/>
        <v>0</v>
      </c>
      <c r="J426" s="235">
        <f t="shared" si="170"/>
        <v>0</v>
      </c>
      <c r="K426" s="235">
        <f t="shared" si="171"/>
        <v>0</v>
      </c>
      <c r="L426" s="235">
        <f t="shared" si="172"/>
        <v>0</v>
      </c>
      <c r="M426" s="235">
        <f t="shared" si="173"/>
        <v>0</v>
      </c>
      <c r="N426" s="235" t="s">
        <v>210</v>
      </c>
      <c r="O426" s="100" t="s">
        <v>313</v>
      </c>
    </row>
    <row r="427" spans="1:15">
      <c r="A427" s="242" t="s">
        <v>143</v>
      </c>
      <c r="B427" s="235">
        <f t="shared" si="162"/>
        <v>305585.45600000001</v>
      </c>
      <c r="C427" s="235">
        <f t="shared" si="163"/>
        <v>746337.46400000004</v>
      </c>
      <c r="D427" s="235">
        <f t="shared" si="164"/>
        <v>891539.53600000008</v>
      </c>
      <c r="E427" s="235">
        <f t="shared" si="165"/>
        <v>1036639.0640000001</v>
      </c>
      <c r="F427" s="235">
        <f t="shared" si="166"/>
        <v>0</v>
      </c>
      <c r="G427" s="235">
        <f t="shared" si="167"/>
        <v>0</v>
      </c>
      <c r="H427" s="235">
        <f t="shared" si="168"/>
        <v>0</v>
      </c>
      <c r="I427" s="235">
        <f t="shared" si="169"/>
        <v>0</v>
      </c>
      <c r="J427" s="235">
        <f t="shared" si="170"/>
        <v>0</v>
      </c>
      <c r="K427" s="235">
        <f t="shared" si="171"/>
        <v>0</v>
      </c>
      <c r="L427" s="235">
        <f t="shared" si="172"/>
        <v>0</v>
      </c>
      <c r="M427" s="235">
        <f t="shared" si="173"/>
        <v>0</v>
      </c>
      <c r="N427" s="235" t="s">
        <v>210</v>
      </c>
      <c r="O427" s="100" t="s">
        <v>313</v>
      </c>
    </row>
    <row r="428" spans="1:15">
      <c r="A428" s="242" t="s">
        <v>144</v>
      </c>
      <c r="B428" s="235">
        <f t="shared" si="162"/>
        <v>6721.7920000000004</v>
      </c>
      <c r="C428" s="235">
        <f t="shared" si="163"/>
        <v>14535.352000000003</v>
      </c>
      <c r="D428" s="235">
        <f t="shared" si="164"/>
        <v>16610.768000000004</v>
      </c>
      <c r="E428" s="235">
        <f t="shared" si="165"/>
        <v>19886.888000000003</v>
      </c>
      <c r="F428" s="235">
        <f t="shared" si="166"/>
        <v>0</v>
      </c>
      <c r="G428" s="235">
        <f t="shared" si="167"/>
        <v>0</v>
      </c>
      <c r="H428" s="235">
        <f t="shared" si="168"/>
        <v>0</v>
      </c>
      <c r="I428" s="235">
        <f t="shared" si="169"/>
        <v>0</v>
      </c>
      <c r="J428" s="235">
        <f t="shared" si="170"/>
        <v>0</v>
      </c>
      <c r="K428" s="235">
        <f t="shared" si="171"/>
        <v>0</v>
      </c>
      <c r="L428" s="235">
        <f t="shared" si="172"/>
        <v>0</v>
      </c>
      <c r="M428" s="235">
        <f t="shared" si="173"/>
        <v>0</v>
      </c>
      <c r="N428" s="235" t="s">
        <v>210</v>
      </c>
      <c r="O428" s="100" t="s">
        <v>313</v>
      </c>
    </row>
    <row r="429" spans="1:15">
      <c r="A429" s="242" t="s">
        <v>145</v>
      </c>
      <c r="B429" s="235">
        <f t="shared" si="162"/>
        <v>2962.8960000000002</v>
      </c>
      <c r="C429" s="235">
        <f t="shared" si="163"/>
        <v>6585.4560000000001</v>
      </c>
      <c r="D429" s="235">
        <f t="shared" si="164"/>
        <v>8496.2479999999996</v>
      </c>
      <c r="E429" s="235">
        <f t="shared" si="165"/>
        <v>11070.392</v>
      </c>
      <c r="F429" s="235">
        <f t="shared" si="166"/>
        <v>0</v>
      </c>
      <c r="G429" s="235">
        <f t="shared" si="167"/>
        <v>0</v>
      </c>
      <c r="H429" s="235">
        <f t="shared" si="168"/>
        <v>0</v>
      </c>
      <c r="I429" s="235">
        <f t="shared" si="169"/>
        <v>0</v>
      </c>
      <c r="J429" s="235">
        <f t="shared" si="170"/>
        <v>0</v>
      </c>
      <c r="K429" s="235">
        <f t="shared" si="171"/>
        <v>0</v>
      </c>
      <c r="L429" s="235">
        <f t="shared" si="172"/>
        <v>0</v>
      </c>
      <c r="M429" s="235">
        <f t="shared" si="173"/>
        <v>0</v>
      </c>
      <c r="N429" s="235" t="s">
        <v>210</v>
      </c>
      <c r="O429" s="100" t="s">
        <v>313</v>
      </c>
    </row>
    <row r="430" spans="1:15">
      <c r="A430" s="242" t="s">
        <v>119</v>
      </c>
      <c r="B430" s="235">
        <f>Q73</f>
        <v>3807.9724232578192</v>
      </c>
      <c r="C430" s="235">
        <f t="shared" ref="C430:M430" si="174">R73</f>
        <v>9211.9716907049915</v>
      </c>
      <c r="D430" s="235">
        <f t="shared" si="174"/>
        <v>12610.113327307698</v>
      </c>
      <c r="E430" s="235">
        <f t="shared" si="174"/>
        <v>16678.819404012764</v>
      </c>
      <c r="F430" s="235">
        <f t="shared" si="174"/>
        <v>21322.860039196203</v>
      </c>
      <c r="G430" s="235">
        <f t="shared" si="174"/>
        <v>24248.93549387583</v>
      </c>
      <c r="H430" s="235">
        <f t="shared" si="174"/>
        <v>26196.804838722815</v>
      </c>
      <c r="I430" s="235">
        <f t="shared" si="174"/>
        <v>28922.293633111374</v>
      </c>
      <c r="J430" s="235">
        <f t="shared" si="174"/>
        <v>30533.009122039573</v>
      </c>
      <c r="K430" s="235">
        <f t="shared" si="174"/>
        <v>31841.55207186798</v>
      </c>
      <c r="L430" s="235">
        <f t="shared" si="174"/>
        <v>32786.979531942547</v>
      </c>
      <c r="M430" s="235">
        <f t="shared" si="174"/>
        <v>35687</v>
      </c>
      <c r="N430" s="235" t="s">
        <v>209</v>
      </c>
      <c r="O430" s="100" t="s">
        <v>313</v>
      </c>
    </row>
    <row r="431" spans="1:15">
      <c r="A431" s="242" t="s">
        <v>120</v>
      </c>
      <c r="B431" s="235">
        <f t="shared" ref="B431:B456" si="175">Q74</f>
        <v>7071.33122526447</v>
      </c>
      <c r="C431" s="235">
        <f t="shared" ref="C431:C456" si="176">R74</f>
        <v>20615.458721451992</v>
      </c>
      <c r="D431" s="235">
        <f t="shared" ref="D431:D456" si="177">S74</f>
        <v>25347.45453679212</v>
      </c>
      <c r="E431" s="235">
        <f t="shared" ref="E431:E456" si="178">T74</f>
        <v>27996.221678560578</v>
      </c>
      <c r="F431" s="235">
        <f t="shared" ref="F431:F456" si="179">U74</f>
        <v>32299.182717198189</v>
      </c>
      <c r="G431" s="235">
        <f t="shared" ref="G431:G456" si="180">V74</f>
        <v>35345.729798829736</v>
      </c>
      <c r="H431" s="235">
        <f t="shared" ref="H431:H456" si="181">W74</f>
        <v>36632.198134814505</v>
      </c>
      <c r="I431" s="235">
        <f t="shared" ref="I431:I456" si="182">X74</f>
        <v>38994.371955244635</v>
      </c>
      <c r="J431" s="235">
        <f t="shared" ref="J431:J456" si="183">Y74</f>
        <v>40040.562341439145</v>
      </c>
      <c r="K431" s="235">
        <f t="shared" ref="K431:K456" si="184">Z74</f>
        <v>40534.308450610966</v>
      </c>
      <c r="L431" s="235">
        <f t="shared" ref="L431:L456" si="185">AA74</f>
        <v>40909.117650854154</v>
      </c>
      <c r="M431" s="235">
        <f t="shared" ref="M431:M456" si="186">AB74</f>
        <v>42203</v>
      </c>
      <c r="N431" s="235" t="s">
        <v>209</v>
      </c>
      <c r="O431" s="100" t="s">
        <v>313</v>
      </c>
    </row>
    <row r="432" spans="1:15">
      <c r="A432" s="242" t="s">
        <v>121</v>
      </c>
      <c r="B432" s="235">
        <f t="shared" si="175"/>
        <v>3696.3127080568192</v>
      </c>
      <c r="C432" s="235">
        <f t="shared" si="176"/>
        <v>10080.33011682862</v>
      </c>
      <c r="D432" s="235">
        <f t="shared" si="177"/>
        <v>12239.325861588301</v>
      </c>
      <c r="E432" s="235">
        <f t="shared" si="178"/>
        <v>21260.554321380558</v>
      </c>
      <c r="F432" s="235">
        <f t="shared" si="179"/>
        <v>29034.991311648195</v>
      </c>
      <c r="G432" s="235">
        <f t="shared" si="180"/>
        <v>43858.389776600321</v>
      </c>
      <c r="H432" s="235">
        <f t="shared" si="181"/>
        <v>49416.230515150462</v>
      </c>
      <c r="I432" s="235">
        <f t="shared" si="182"/>
        <v>53527.710819872882</v>
      </c>
      <c r="J432" s="235">
        <f t="shared" si="183"/>
        <v>56935.355534173417</v>
      </c>
      <c r="K432" s="235">
        <f t="shared" si="184"/>
        <v>61866.428303995439</v>
      </c>
      <c r="L432" s="235">
        <f t="shared" si="185"/>
        <v>64905.149181759429</v>
      </c>
      <c r="M432" s="235">
        <f t="shared" si="186"/>
        <v>67315</v>
      </c>
      <c r="N432" s="235" t="s">
        <v>209</v>
      </c>
      <c r="O432" s="100" t="s">
        <v>313</v>
      </c>
    </row>
    <row r="433" spans="1:15">
      <c r="A433" s="242" t="s">
        <v>122</v>
      </c>
      <c r="B433" s="235">
        <f t="shared" si="175"/>
        <v>9224.4704689635801</v>
      </c>
      <c r="C433" s="235">
        <f t="shared" si="176"/>
        <v>23062.327448239572</v>
      </c>
      <c r="D433" s="235">
        <f t="shared" si="177"/>
        <v>40446.877800042748</v>
      </c>
      <c r="E433" s="235">
        <f t="shared" si="178"/>
        <v>49969.021661908169</v>
      </c>
      <c r="F433" s="235">
        <f t="shared" si="179"/>
        <v>58812.113935845264</v>
      </c>
      <c r="G433" s="235">
        <f t="shared" si="180"/>
        <v>69320.104298930091</v>
      </c>
      <c r="H433" s="235">
        <f t="shared" si="181"/>
        <v>75421.837772607352</v>
      </c>
      <c r="I433" s="235">
        <f t="shared" si="182"/>
        <v>79270.111109852718</v>
      </c>
      <c r="J433" s="235">
        <f t="shared" si="183"/>
        <v>82612.473581269005</v>
      </c>
      <c r="K433" s="235">
        <f t="shared" si="184"/>
        <v>85781.308565591738</v>
      </c>
      <c r="L433" s="235">
        <f t="shared" si="185"/>
        <v>86989.06025748227</v>
      </c>
      <c r="M433" s="235">
        <f t="shared" si="186"/>
        <v>90122</v>
      </c>
      <c r="N433" s="235" t="s">
        <v>209</v>
      </c>
      <c r="O433" s="100" t="s">
        <v>313</v>
      </c>
    </row>
    <row r="434" spans="1:15">
      <c r="A434" s="242" t="s">
        <v>123</v>
      </c>
      <c r="B434" s="235">
        <f t="shared" si="175"/>
        <v>25864.184048593324</v>
      </c>
      <c r="C434" s="235">
        <f t="shared" si="176"/>
        <v>77271.092791418341</v>
      </c>
      <c r="D434" s="235">
        <f t="shared" si="177"/>
        <v>97302.44613560685</v>
      </c>
      <c r="E434" s="235">
        <f t="shared" si="178"/>
        <v>114398.89208832648</v>
      </c>
      <c r="F434" s="235">
        <f t="shared" si="179"/>
        <v>138091.25656263981</v>
      </c>
      <c r="G434" s="235">
        <f t="shared" si="180"/>
        <v>167373.90314407775</v>
      </c>
      <c r="H434" s="235">
        <f t="shared" si="181"/>
        <v>175760.01005660684</v>
      </c>
      <c r="I434" s="235">
        <f t="shared" si="182"/>
        <v>185460.74373913556</v>
      </c>
      <c r="J434" s="235">
        <f t="shared" si="183"/>
        <v>192379.81205770114</v>
      </c>
      <c r="K434" s="235">
        <f t="shared" si="184"/>
        <v>198234.48263363473</v>
      </c>
      <c r="L434" s="235">
        <f t="shared" si="185"/>
        <v>200668.87190780675</v>
      </c>
      <c r="M434" s="235">
        <f t="shared" si="186"/>
        <v>203050</v>
      </c>
      <c r="N434" s="235" t="s">
        <v>209</v>
      </c>
      <c r="O434" s="100" t="s">
        <v>313</v>
      </c>
    </row>
    <row r="435" spans="1:15">
      <c r="A435" s="242" t="s">
        <v>124</v>
      </c>
      <c r="B435" s="235">
        <f t="shared" si="175"/>
        <v>23637.290009625391</v>
      </c>
      <c r="C435" s="235">
        <f t="shared" si="176"/>
        <v>52326.306803874118</v>
      </c>
      <c r="D435" s="235">
        <f t="shared" si="177"/>
        <v>68506.597980342514</v>
      </c>
      <c r="E435" s="235">
        <f t="shared" si="178"/>
        <v>79805.892182371506</v>
      </c>
      <c r="F435" s="235">
        <f t="shared" si="179"/>
        <v>92730.165958517915</v>
      </c>
      <c r="G435" s="235">
        <f t="shared" si="180"/>
        <v>106717.23250570023</v>
      </c>
      <c r="H435" s="235">
        <f t="shared" si="181"/>
        <v>109913.66053047581</v>
      </c>
      <c r="I435" s="235">
        <f t="shared" si="182"/>
        <v>112291.8464821942</v>
      </c>
      <c r="J435" s="235">
        <f t="shared" si="183"/>
        <v>115282.55717527494</v>
      </c>
      <c r="K435" s="235">
        <f t="shared" si="184"/>
        <v>118393.21399126251</v>
      </c>
      <c r="L435" s="235">
        <f t="shared" si="185"/>
        <v>120757.66704040738</v>
      </c>
      <c r="M435" s="235">
        <f t="shared" si="186"/>
        <v>123689</v>
      </c>
      <c r="N435" s="235" t="s">
        <v>209</v>
      </c>
      <c r="O435" s="100" t="s">
        <v>313</v>
      </c>
    </row>
    <row r="436" spans="1:15">
      <c r="A436" s="242" t="s">
        <v>125</v>
      </c>
      <c r="B436" s="235">
        <f t="shared" si="175"/>
        <v>18576.026425563337</v>
      </c>
      <c r="C436" s="235">
        <f t="shared" si="176"/>
        <v>83372.237778906288</v>
      </c>
      <c r="D436" s="235">
        <f t="shared" si="177"/>
        <v>109806.40073893023</v>
      </c>
      <c r="E436" s="235">
        <f t="shared" si="178"/>
        <v>137980.37861885596</v>
      </c>
      <c r="F436" s="235">
        <f t="shared" si="179"/>
        <v>160253.06583327203</v>
      </c>
      <c r="G436" s="235">
        <f t="shared" si="180"/>
        <v>191586.61812117966</v>
      </c>
      <c r="H436" s="235">
        <f t="shared" si="181"/>
        <v>205109.70518674926</v>
      </c>
      <c r="I436" s="235">
        <f t="shared" si="182"/>
        <v>214043.13061917585</v>
      </c>
      <c r="J436" s="235">
        <f t="shared" si="183"/>
        <v>222216.47741137762</v>
      </c>
      <c r="K436" s="235">
        <f t="shared" si="184"/>
        <v>228526.52459504336</v>
      </c>
      <c r="L436" s="235">
        <f t="shared" si="185"/>
        <v>232705.56229143421</v>
      </c>
      <c r="M436" s="235">
        <f t="shared" si="186"/>
        <v>239875</v>
      </c>
      <c r="N436" s="235" t="s">
        <v>209</v>
      </c>
      <c r="O436" s="100" t="s">
        <v>313</v>
      </c>
    </row>
    <row r="437" spans="1:15">
      <c r="A437" s="242" t="s">
        <v>126</v>
      </c>
      <c r="B437" s="235">
        <f t="shared" si="175"/>
        <v>12192.826205282245</v>
      </c>
      <c r="C437" s="235">
        <f t="shared" si="176"/>
        <v>40771.531645101204</v>
      </c>
      <c r="D437" s="235">
        <f t="shared" si="177"/>
        <v>55556.744537986269</v>
      </c>
      <c r="E437" s="235">
        <f t="shared" si="178"/>
        <v>66464.486524721549</v>
      </c>
      <c r="F437" s="235">
        <f t="shared" si="179"/>
        <v>79493.706827355054</v>
      </c>
      <c r="G437" s="235">
        <f t="shared" si="180"/>
        <v>96108.50621858245</v>
      </c>
      <c r="H437" s="235">
        <f t="shared" si="181"/>
        <v>101783.46907715985</v>
      </c>
      <c r="I437" s="235">
        <f t="shared" si="182"/>
        <v>111309.17039539912</v>
      </c>
      <c r="J437" s="235">
        <f t="shared" si="183"/>
        <v>124550.1639845844</v>
      </c>
      <c r="K437" s="235">
        <f t="shared" si="184"/>
        <v>133507.40260720174</v>
      </c>
      <c r="L437" s="235">
        <f t="shared" si="185"/>
        <v>142921.42410667797</v>
      </c>
      <c r="M437" s="235">
        <f t="shared" si="186"/>
        <v>148974</v>
      </c>
      <c r="N437" s="235" t="s">
        <v>209</v>
      </c>
      <c r="O437" s="100" t="s">
        <v>313</v>
      </c>
    </row>
    <row r="438" spans="1:15">
      <c r="A438" s="242" t="s">
        <v>127</v>
      </c>
      <c r="B438" s="235">
        <f t="shared" si="175"/>
        <v>15423.404295105151</v>
      </c>
      <c r="C438" s="235">
        <f t="shared" si="176"/>
        <v>61386.795072919631</v>
      </c>
      <c r="D438" s="235">
        <f t="shared" si="177"/>
        <v>81557.259986774239</v>
      </c>
      <c r="E438" s="235">
        <f t="shared" si="178"/>
        <v>96680.547578960046</v>
      </c>
      <c r="F438" s="235">
        <f t="shared" si="179"/>
        <v>117420.26663894003</v>
      </c>
      <c r="G438" s="235">
        <f t="shared" si="180"/>
        <v>141721.6659999637</v>
      </c>
      <c r="H438" s="235">
        <f t="shared" si="181"/>
        <v>151571.47112167033</v>
      </c>
      <c r="I438" s="235">
        <f t="shared" si="182"/>
        <v>157397.20198213999</v>
      </c>
      <c r="J438" s="235">
        <f t="shared" si="183"/>
        <v>161809.90360681369</v>
      </c>
      <c r="K438" s="235">
        <f t="shared" si="184"/>
        <v>166487.75820755138</v>
      </c>
      <c r="L438" s="235">
        <f t="shared" si="185"/>
        <v>171465.92789616087</v>
      </c>
      <c r="M438" s="235">
        <f t="shared" si="186"/>
        <v>176537</v>
      </c>
      <c r="N438" s="235" t="s">
        <v>209</v>
      </c>
      <c r="O438" s="100" t="s">
        <v>313</v>
      </c>
    </row>
    <row r="439" spans="1:15">
      <c r="A439" s="242" t="s">
        <v>128</v>
      </c>
      <c r="B439" s="235">
        <f t="shared" si="175"/>
        <v>12962.480224658195</v>
      </c>
      <c r="C439" s="235">
        <f t="shared" si="176"/>
        <v>28421.644272188765</v>
      </c>
      <c r="D439" s="235">
        <f t="shared" si="177"/>
        <v>39973.843537264867</v>
      </c>
      <c r="E439" s="235">
        <f t="shared" si="178"/>
        <v>46797.146770726977</v>
      </c>
      <c r="F439" s="235">
        <f t="shared" si="179"/>
        <v>56072.34679959897</v>
      </c>
      <c r="G439" s="235">
        <f t="shared" si="180"/>
        <v>64049.114488257503</v>
      </c>
      <c r="H439" s="235">
        <f t="shared" si="181"/>
        <v>67460.980270059226</v>
      </c>
      <c r="I439" s="235">
        <f t="shared" si="182"/>
        <v>70465.469209948802</v>
      </c>
      <c r="J439" s="235">
        <f t="shared" si="183"/>
        <v>74727.438752501854</v>
      </c>
      <c r="K439" s="235">
        <f t="shared" si="184"/>
        <v>77799.534504430078</v>
      </c>
      <c r="L439" s="235">
        <f t="shared" si="185"/>
        <v>79226.276527133523</v>
      </c>
      <c r="M439" s="235">
        <f t="shared" si="186"/>
        <v>80717</v>
      </c>
      <c r="N439" s="235" t="s">
        <v>209</v>
      </c>
      <c r="O439" s="100" t="s">
        <v>313</v>
      </c>
    </row>
    <row r="440" spans="1:15">
      <c r="A440" s="242" t="s">
        <v>129</v>
      </c>
      <c r="B440" s="235">
        <f t="shared" si="175"/>
        <v>17547.144250949619</v>
      </c>
      <c r="C440" s="235">
        <f t="shared" si="176"/>
        <v>48576.335440223877</v>
      </c>
      <c r="D440" s="235">
        <f t="shared" si="177"/>
        <v>74239.658482015089</v>
      </c>
      <c r="E440" s="235">
        <f t="shared" si="178"/>
        <v>89934.971813329161</v>
      </c>
      <c r="F440" s="235">
        <f t="shared" si="179"/>
        <v>111524.57922082717</v>
      </c>
      <c r="G440" s="235">
        <f t="shared" si="180"/>
        <v>133974.9400309198</v>
      </c>
      <c r="H440" s="235">
        <f t="shared" si="181"/>
        <v>141532.35915727587</v>
      </c>
      <c r="I440" s="235">
        <f t="shared" si="182"/>
        <v>148088.00381751495</v>
      </c>
      <c r="J440" s="235">
        <f t="shared" si="183"/>
        <v>156625.94218449263</v>
      </c>
      <c r="K440" s="235">
        <f t="shared" si="184"/>
        <v>162925.42370732207</v>
      </c>
      <c r="L440" s="235">
        <f t="shared" si="185"/>
        <v>165514.92816451687</v>
      </c>
      <c r="M440" s="235">
        <f t="shared" si="186"/>
        <v>168218</v>
      </c>
      <c r="N440" s="235" t="s">
        <v>209</v>
      </c>
      <c r="O440" s="100" t="s">
        <v>313</v>
      </c>
    </row>
    <row r="441" spans="1:15">
      <c r="A441" s="242" t="s">
        <v>130</v>
      </c>
      <c r="B441" s="235">
        <f t="shared" si="175"/>
        <v>27053.324995183721</v>
      </c>
      <c r="C441" s="235">
        <f t="shared" si="176"/>
        <v>72667.128369793427</v>
      </c>
      <c r="D441" s="235">
        <f t="shared" si="177"/>
        <v>99377.614163699283</v>
      </c>
      <c r="E441" s="235">
        <f t="shared" si="178"/>
        <v>118631.66532483893</v>
      </c>
      <c r="F441" s="235">
        <f t="shared" si="179"/>
        <v>144973.37597444048</v>
      </c>
      <c r="G441" s="235">
        <f t="shared" si="180"/>
        <v>170152.96712786902</v>
      </c>
      <c r="H441" s="235">
        <f t="shared" si="181"/>
        <v>178432.31832802156</v>
      </c>
      <c r="I441" s="235">
        <f t="shared" si="182"/>
        <v>188580.69021258052</v>
      </c>
      <c r="J441" s="235">
        <f t="shared" si="183"/>
        <v>193394.68098315256</v>
      </c>
      <c r="K441" s="235">
        <f t="shared" si="184"/>
        <v>199381.99951874997</v>
      </c>
      <c r="L441" s="235">
        <f t="shared" si="185"/>
        <v>205047.7213472341</v>
      </c>
      <c r="M441" s="235">
        <f t="shared" si="186"/>
        <v>210091</v>
      </c>
      <c r="N441" s="235" t="s">
        <v>209</v>
      </c>
      <c r="O441" s="100" t="s">
        <v>313</v>
      </c>
    </row>
    <row r="442" spans="1:15">
      <c r="A442" s="242" t="s">
        <v>131</v>
      </c>
      <c r="B442" s="235">
        <f t="shared" si="175"/>
        <v>170433.41575296104</v>
      </c>
      <c r="C442" s="235">
        <f t="shared" si="176"/>
        <v>273082.5234502409</v>
      </c>
      <c r="D442" s="235">
        <f t="shared" si="177"/>
        <v>346054.67683405546</v>
      </c>
      <c r="E442" s="235">
        <f t="shared" si="178"/>
        <v>378971.89329789137</v>
      </c>
      <c r="F442" s="235">
        <f t="shared" si="179"/>
        <v>458477.33987393865</v>
      </c>
      <c r="G442" s="235">
        <f t="shared" si="180"/>
        <v>519123.80744666047</v>
      </c>
      <c r="H442" s="235">
        <f t="shared" si="181"/>
        <v>536878.31546345574</v>
      </c>
      <c r="I442" s="235">
        <f t="shared" si="182"/>
        <v>553239.65893790743</v>
      </c>
      <c r="J442" s="235">
        <f t="shared" si="183"/>
        <v>564086.94951883238</v>
      </c>
      <c r="K442" s="235">
        <f t="shared" si="184"/>
        <v>584131.36397572432</v>
      </c>
      <c r="L442" s="235">
        <f t="shared" si="185"/>
        <v>597104.55986818636</v>
      </c>
      <c r="M442" s="235">
        <f t="shared" si="186"/>
        <v>607808.80000000005</v>
      </c>
      <c r="N442" s="235" t="s">
        <v>209</v>
      </c>
      <c r="O442" s="100" t="s">
        <v>313</v>
      </c>
    </row>
    <row r="443" spans="1:15">
      <c r="A443" s="242" t="s">
        <v>132</v>
      </c>
      <c r="B443" s="235">
        <f t="shared" si="175"/>
        <v>12788.865866882612</v>
      </c>
      <c r="C443" s="235">
        <f t="shared" si="176"/>
        <v>32659.41577620653</v>
      </c>
      <c r="D443" s="235">
        <f t="shared" si="177"/>
        <v>51310.1412483557</v>
      </c>
      <c r="E443" s="235">
        <f t="shared" si="178"/>
        <v>61431.074185500191</v>
      </c>
      <c r="F443" s="235">
        <f t="shared" si="179"/>
        <v>79552.908360772199</v>
      </c>
      <c r="G443" s="235">
        <f t="shared" si="180"/>
        <v>93654.554695236555</v>
      </c>
      <c r="H443" s="235">
        <f t="shared" si="181"/>
        <v>101734.17092139472</v>
      </c>
      <c r="I443" s="235">
        <f t="shared" si="182"/>
        <v>110221.70961530012</v>
      </c>
      <c r="J443" s="235">
        <f t="shared" si="183"/>
        <v>118036.96159515083</v>
      </c>
      <c r="K443" s="235">
        <f t="shared" si="184"/>
        <v>121888.56069893271</v>
      </c>
      <c r="L443" s="235">
        <f t="shared" si="185"/>
        <v>126510.82602642187</v>
      </c>
      <c r="M443" s="235">
        <f t="shared" si="186"/>
        <v>128574</v>
      </c>
      <c r="N443" s="235" t="s">
        <v>209</v>
      </c>
      <c r="O443" s="100" t="s">
        <v>313</v>
      </c>
    </row>
    <row r="444" spans="1:15">
      <c r="A444" s="242" t="s">
        <v>133</v>
      </c>
      <c r="B444" s="235">
        <f t="shared" si="175"/>
        <v>15149.84605697346</v>
      </c>
      <c r="C444" s="235">
        <f t="shared" si="176"/>
        <v>48740.878825997694</v>
      </c>
      <c r="D444" s="235">
        <f t="shared" si="177"/>
        <v>58690.395231493014</v>
      </c>
      <c r="E444" s="235">
        <f t="shared" si="178"/>
        <v>68783.035360359878</v>
      </c>
      <c r="F444" s="235">
        <f t="shared" si="179"/>
        <v>83627.208524582224</v>
      </c>
      <c r="G444" s="235">
        <f t="shared" si="180"/>
        <v>101129.93682454937</v>
      </c>
      <c r="H444" s="235">
        <f t="shared" si="181"/>
        <v>110030.43622260446</v>
      </c>
      <c r="I444" s="235">
        <f t="shared" si="182"/>
        <v>120344.61570638642</v>
      </c>
      <c r="J444" s="235">
        <f t="shared" si="183"/>
        <v>125478.38310995829</v>
      </c>
      <c r="K444" s="235">
        <f t="shared" si="184"/>
        <v>134588.49330324272</v>
      </c>
      <c r="L444" s="235">
        <f t="shared" si="185"/>
        <v>139177.09927906457</v>
      </c>
      <c r="M444" s="235">
        <f t="shared" si="186"/>
        <v>142824</v>
      </c>
      <c r="N444" s="235" t="s">
        <v>209</v>
      </c>
      <c r="O444" s="100" t="s">
        <v>313</v>
      </c>
    </row>
    <row r="445" spans="1:15">
      <c r="A445" s="242" t="s">
        <v>134</v>
      </c>
      <c r="B445" s="235">
        <f t="shared" si="175"/>
        <v>130842.60072198483</v>
      </c>
      <c r="C445" s="235">
        <f t="shared" si="176"/>
        <v>292934.16687697859</v>
      </c>
      <c r="D445" s="235">
        <f t="shared" si="177"/>
        <v>380408.93225698941</v>
      </c>
      <c r="E445" s="235">
        <f t="shared" si="178"/>
        <v>453235.85498482938</v>
      </c>
      <c r="F445" s="235">
        <f t="shared" si="179"/>
        <v>559550.68510467454</v>
      </c>
      <c r="G445" s="235">
        <f t="shared" si="180"/>
        <v>670991.98797040235</v>
      </c>
      <c r="H445" s="235">
        <f t="shared" si="181"/>
        <v>719204.21298004163</v>
      </c>
      <c r="I445" s="235">
        <f t="shared" si="182"/>
        <v>754495.84775036736</v>
      </c>
      <c r="J445" s="235">
        <f t="shared" si="183"/>
        <v>778530.96763518651</v>
      </c>
      <c r="K445" s="235">
        <f t="shared" si="184"/>
        <v>809973.03049043554</v>
      </c>
      <c r="L445" s="235">
        <f t="shared" si="185"/>
        <v>831678.05316312215</v>
      </c>
      <c r="M445" s="235">
        <f t="shared" si="186"/>
        <v>860080</v>
      </c>
      <c r="N445" s="235" t="s">
        <v>209</v>
      </c>
      <c r="O445" s="100" t="s">
        <v>313</v>
      </c>
    </row>
    <row r="446" spans="1:15">
      <c r="A446" s="242" t="s">
        <v>135</v>
      </c>
      <c r="B446" s="235">
        <f t="shared" si="175"/>
        <v>28137.333012149775</v>
      </c>
      <c r="C446" s="235">
        <f t="shared" si="176"/>
        <v>82817.179362385563</v>
      </c>
      <c r="D446" s="235">
        <f t="shared" si="177"/>
        <v>110878.19019886812</v>
      </c>
      <c r="E446" s="235">
        <f t="shared" si="178"/>
        <v>129478.53342346822</v>
      </c>
      <c r="F446" s="235">
        <f t="shared" si="179"/>
        <v>150738.72113934276</v>
      </c>
      <c r="G446" s="235">
        <f t="shared" si="180"/>
        <v>174068.36352518931</v>
      </c>
      <c r="H446" s="235">
        <f t="shared" si="181"/>
        <v>179572.12966048083</v>
      </c>
      <c r="I446" s="235">
        <f t="shared" si="182"/>
        <v>184807.78708929854</v>
      </c>
      <c r="J446" s="235">
        <f t="shared" si="183"/>
        <v>190580.55858241007</v>
      </c>
      <c r="K446" s="235">
        <f t="shared" si="184"/>
        <v>195053.26810431108</v>
      </c>
      <c r="L446" s="235">
        <f t="shared" si="185"/>
        <v>199947.80084622471</v>
      </c>
      <c r="M446" s="235">
        <f t="shared" si="186"/>
        <v>203198</v>
      </c>
      <c r="N446" s="235" t="s">
        <v>209</v>
      </c>
      <c r="O446" s="100" t="s">
        <v>313</v>
      </c>
    </row>
    <row r="447" spans="1:15">
      <c r="A447" s="242" t="s">
        <v>136</v>
      </c>
      <c r="B447" s="235">
        <f t="shared" si="175"/>
        <v>10627.442279227118</v>
      </c>
      <c r="C447" s="235">
        <f t="shared" si="176"/>
        <v>23234.034717120874</v>
      </c>
      <c r="D447" s="235">
        <f t="shared" si="177"/>
        <v>31020.511587108092</v>
      </c>
      <c r="E447" s="235">
        <f t="shared" si="178"/>
        <v>37594.684873443359</v>
      </c>
      <c r="F447" s="235">
        <f t="shared" si="179"/>
        <v>43796.271460066557</v>
      </c>
      <c r="G447" s="235">
        <f t="shared" si="180"/>
        <v>52502.136040559133</v>
      </c>
      <c r="H447" s="235">
        <f t="shared" si="181"/>
        <v>56171.965265595783</v>
      </c>
      <c r="I447" s="235">
        <f t="shared" si="182"/>
        <v>60342.451139564466</v>
      </c>
      <c r="J447" s="235">
        <f t="shared" si="183"/>
        <v>63309.68649412613</v>
      </c>
      <c r="K447" s="235">
        <f t="shared" si="184"/>
        <v>64862.998825431874</v>
      </c>
      <c r="L447" s="235">
        <f t="shared" si="185"/>
        <v>65730.786412493253</v>
      </c>
      <c r="M447" s="235">
        <f t="shared" si="186"/>
        <v>67078</v>
      </c>
      <c r="N447" s="235" t="s">
        <v>209</v>
      </c>
      <c r="O447" s="100" t="s">
        <v>313</v>
      </c>
    </row>
    <row r="448" spans="1:15">
      <c r="A448" s="242" t="s">
        <v>137</v>
      </c>
      <c r="B448" s="235">
        <f t="shared" si="175"/>
        <v>185303.62611435537</v>
      </c>
      <c r="C448" s="235">
        <f t="shared" si="176"/>
        <v>401997.90776981419</v>
      </c>
      <c r="D448" s="235">
        <f t="shared" si="177"/>
        <v>507125.55903136602</v>
      </c>
      <c r="E448" s="235">
        <f t="shared" si="178"/>
        <v>586436.87166148296</v>
      </c>
      <c r="F448" s="235">
        <f t="shared" si="179"/>
        <v>691556.76564454404</v>
      </c>
      <c r="G448" s="235">
        <f t="shared" si="180"/>
        <v>817697.87892506504</v>
      </c>
      <c r="H448" s="235">
        <f t="shared" si="181"/>
        <v>851168.91162682837</v>
      </c>
      <c r="I448" s="235">
        <f t="shared" si="182"/>
        <v>901334.91482347297</v>
      </c>
      <c r="J448" s="235">
        <f t="shared" si="183"/>
        <v>940997.33987775259</v>
      </c>
      <c r="K448" s="235">
        <f t="shared" si="184"/>
        <v>979111.80105573288</v>
      </c>
      <c r="L448" s="235">
        <f t="shared" si="185"/>
        <v>1010065.6475107849</v>
      </c>
      <c r="M448" s="235">
        <f t="shared" si="186"/>
        <v>1031648</v>
      </c>
      <c r="N448" s="235" t="s">
        <v>209</v>
      </c>
      <c r="O448" s="100" t="s">
        <v>313</v>
      </c>
    </row>
    <row r="449" spans="1:15">
      <c r="A449" s="242" t="s">
        <v>138</v>
      </c>
      <c r="B449" s="235">
        <f t="shared" si="175"/>
        <v>4417.2331526044591</v>
      </c>
      <c r="C449" s="235">
        <f t="shared" si="176"/>
        <v>21770.73348567776</v>
      </c>
      <c r="D449" s="235">
        <f t="shared" si="177"/>
        <v>36630.137904294119</v>
      </c>
      <c r="E449" s="235">
        <f t="shared" si="178"/>
        <v>46196.225820720349</v>
      </c>
      <c r="F449" s="235">
        <f t="shared" si="179"/>
        <v>56581.356907551191</v>
      </c>
      <c r="G449" s="235">
        <f t="shared" si="180"/>
        <v>70464.466334269426</v>
      </c>
      <c r="H449" s="235">
        <f t="shared" si="181"/>
        <v>75796.868209238601</v>
      </c>
      <c r="I449" s="235">
        <f t="shared" si="182"/>
        <v>83072.141797848206</v>
      </c>
      <c r="J449" s="235">
        <f t="shared" si="183"/>
        <v>87114.014571159511</v>
      </c>
      <c r="K449" s="235">
        <f t="shared" si="184"/>
        <v>90047.402879898626</v>
      </c>
      <c r="L449" s="235">
        <f t="shared" si="185"/>
        <v>92740.674201612652</v>
      </c>
      <c r="M449" s="235">
        <f t="shared" si="186"/>
        <v>94001</v>
      </c>
      <c r="N449" s="235" t="s">
        <v>209</v>
      </c>
      <c r="O449" s="100" t="s">
        <v>313</v>
      </c>
    </row>
    <row r="450" spans="1:15">
      <c r="A450" s="242" t="s">
        <v>139</v>
      </c>
      <c r="B450" s="235">
        <f t="shared" si="175"/>
        <v>126461.87564404194</v>
      </c>
      <c r="C450" s="235">
        <f t="shared" si="176"/>
        <v>334463.54080775665</v>
      </c>
      <c r="D450" s="235">
        <f t="shared" si="177"/>
        <v>437833.75812601199</v>
      </c>
      <c r="E450" s="235">
        <f t="shared" si="178"/>
        <v>511182.56554317393</v>
      </c>
      <c r="F450" s="235">
        <f t="shared" si="179"/>
        <v>621584.93948007235</v>
      </c>
      <c r="G450" s="235">
        <f t="shared" si="180"/>
        <v>746857.12186344096</v>
      </c>
      <c r="H450" s="235">
        <f t="shared" si="181"/>
        <v>793968.63624867669</v>
      </c>
      <c r="I450" s="235">
        <f t="shared" si="182"/>
        <v>831133.77356718399</v>
      </c>
      <c r="J450" s="235">
        <f t="shared" si="183"/>
        <v>857779.54670197237</v>
      </c>
      <c r="K450" s="235">
        <f t="shared" si="184"/>
        <v>886726.01035323867</v>
      </c>
      <c r="L450" s="235">
        <f t="shared" si="185"/>
        <v>905681.45939191303</v>
      </c>
      <c r="M450" s="235">
        <f t="shared" si="186"/>
        <v>928114</v>
      </c>
      <c r="N450" s="235" t="s">
        <v>209</v>
      </c>
      <c r="O450" s="100" t="s">
        <v>313</v>
      </c>
    </row>
    <row r="451" spans="1:15">
      <c r="A451" s="242" t="s">
        <v>140</v>
      </c>
      <c r="B451" s="235">
        <f t="shared" si="175"/>
        <v>6545.6454108699336</v>
      </c>
      <c r="C451" s="235">
        <f t="shared" si="176"/>
        <v>20684.627238018511</v>
      </c>
      <c r="D451" s="235">
        <f t="shared" si="177"/>
        <v>23742.735695033578</v>
      </c>
      <c r="E451" s="235">
        <f t="shared" si="178"/>
        <v>27031.683435107723</v>
      </c>
      <c r="F451" s="235">
        <f t="shared" si="179"/>
        <v>31559.74198434129</v>
      </c>
      <c r="G451" s="235">
        <f t="shared" si="180"/>
        <v>39771.812417494744</v>
      </c>
      <c r="H451" s="235">
        <f t="shared" si="181"/>
        <v>42801.661173731569</v>
      </c>
      <c r="I451" s="235">
        <f t="shared" si="182"/>
        <v>48090.205642160865</v>
      </c>
      <c r="J451" s="235">
        <f t="shared" si="183"/>
        <v>50360.955806173406</v>
      </c>
      <c r="K451" s="235">
        <f t="shared" si="184"/>
        <v>53292.658554741873</v>
      </c>
      <c r="L451" s="235">
        <f t="shared" si="185"/>
        <v>55888.627849319149</v>
      </c>
      <c r="M451" s="235">
        <f t="shared" si="186"/>
        <v>57203</v>
      </c>
      <c r="N451" s="235" t="s">
        <v>209</v>
      </c>
      <c r="O451" s="100" t="s">
        <v>313</v>
      </c>
    </row>
    <row r="452" spans="1:15">
      <c r="A452" s="242" t="s">
        <v>141</v>
      </c>
      <c r="B452" s="235">
        <f t="shared" si="175"/>
        <v>5251.4101172695418</v>
      </c>
      <c r="C452" s="235">
        <f t="shared" si="176"/>
        <v>7178.0862863821121</v>
      </c>
      <c r="D452" s="235">
        <f t="shared" si="177"/>
        <v>7881.4541032992174</v>
      </c>
      <c r="E452" s="235">
        <f t="shared" si="178"/>
        <v>8372.8562585000036</v>
      </c>
      <c r="F452" s="235">
        <f t="shared" si="179"/>
        <v>9219.5215715955273</v>
      </c>
      <c r="G452" s="235">
        <f t="shared" si="180"/>
        <v>9995.1342531121027</v>
      </c>
      <c r="H452" s="235">
        <f t="shared" si="181"/>
        <v>10675.816487769238</v>
      </c>
      <c r="I452" s="235">
        <f t="shared" si="182"/>
        <v>12422.275444237475</v>
      </c>
      <c r="J452" s="235">
        <f t="shared" si="183"/>
        <v>12705.889854043005</v>
      </c>
      <c r="K452" s="235">
        <f t="shared" si="184"/>
        <v>12705.889854043005</v>
      </c>
      <c r="L452" s="235">
        <f t="shared" si="185"/>
        <v>13159.665258607987</v>
      </c>
      <c r="M452" s="235">
        <f t="shared" si="186"/>
        <v>13500</v>
      </c>
      <c r="N452" s="235" t="s">
        <v>209</v>
      </c>
      <c r="O452" s="100" t="s">
        <v>313</v>
      </c>
    </row>
    <row r="453" spans="1:15">
      <c r="A453" s="242" t="s">
        <v>142</v>
      </c>
      <c r="B453" s="235">
        <f t="shared" si="175"/>
        <v>73752.253907873092</v>
      </c>
      <c r="C453" s="235">
        <f t="shared" si="176"/>
        <v>245668.02355007181</v>
      </c>
      <c r="D453" s="235">
        <f t="shared" si="177"/>
        <v>312034.38004623167</v>
      </c>
      <c r="E453" s="235">
        <f t="shared" si="178"/>
        <v>366679.06357148063</v>
      </c>
      <c r="F453" s="235">
        <f t="shared" si="179"/>
        <v>435165.17011811398</v>
      </c>
      <c r="G453" s="235">
        <f t="shared" si="180"/>
        <v>512583.26853286271</v>
      </c>
      <c r="H453" s="235">
        <f t="shared" si="181"/>
        <v>534828.53247345809</v>
      </c>
      <c r="I453" s="235">
        <f t="shared" si="182"/>
        <v>555542.91138551908</v>
      </c>
      <c r="J453" s="235">
        <f t="shared" si="183"/>
        <v>567986.21068455931</v>
      </c>
      <c r="K453" s="235">
        <f t="shared" si="184"/>
        <v>582745.68051384867</v>
      </c>
      <c r="L453" s="235">
        <f t="shared" si="185"/>
        <v>594344.04340282234</v>
      </c>
      <c r="M453" s="235">
        <f t="shared" si="186"/>
        <v>602522</v>
      </c>
      <c r="N453" s="235" t="s">
        <v>209</v>
      </c>
      <c r="O453" s="100" t="s">
        <v>313</v>
      </c>
    </row>
    <row r="454" spans="1:15">
      <c r="A454" s="242" t="s">
        <v>143</v>
      </c>
      <c r="B454" s="235">
        <f t="shared" si="175"/>
        <v>627517.22630762716</v>
      </c>
      <c r="C454" s="235">
        <f t="shared" si="176"/>
        <v>874740.12717443076</v>
      </c>
      <c r="D454" s="235">
        <f t="shared" si="177"/>
        <v>1017065.1765360031</v>
      </c>
      <c r="E454" s="235">
        <f t="shared" si="178"/>
        <v>1166285.0797292823</v>
      </c>
      <c r="F454" s="235">
        <f t="shared" si="179"/>
        <v>1379469.5813705414</v>
      </c>
      <c r="G454" s="235">
        <f t="shared" si="180"/>
        <v>1482307.9272613137</v>
      </c>
      <c r="H454" s="235">
        <f t="shared" si="181"/>
        <v>1535668.1195435682</v>
      </c>
      <c r="I454" s="235">
        <f t="shared" si="182"/>
        <v>1581716.7319370275</v>
      </c>
      <c r="J454" s="235">
        <f t="shared" si="183"/>
        <v>1606549.3776513941</v>
      </c>
      <c r="K454" s="235">
        <f t="shared" si="184"/>
        <v>1651156.139906704</v>
      </c>
      <c r="L454" s="235">
        <f t="shared" si="185"/>
        <v>1681332.2734487886</v>
      </c>
      <c r="M454" s="235">
        <f t="shared" si="186"/>
        <v>1702985.7967009917</v>
      </c>
      <c r="N454" s="235" t="s">
        <v>209</v>
      </c>
      <c r="O454" s="100" t="s">
        <v>313</v>
      </c>
    </row>
    <row r="455" spans="1:15">
      <c r="A455" s="242" t="s">
        <v>144</v>
      </c>
      <c r="B455" s="235">
        <f t="shared" si="175"/>
        <v>9727.1241184516639</v>
      </c>
      <c r="C455" s="235">
        <f t="shared" si="176"/>
        <v>20768.061779154046</v>
      </c>
      <c r="D455" s="235">
        <f t="shared" si="177"/>
        <v>30250.282586442641</v>
      </c>
      <c r="E455" s="235">
        <f t="shared" si="178"/>
        <v>37343.13506510124</v>
      </c>
      <c r="F455" s="235">
        <f t="shared" si="179"/>
        <v>42969.20272743854</v>
      </c>
      <c r="G455" s="235">
        <f t="shared" si="180"/>
        <v>48108.049896594544</v>
      </c>
      <c r="H455" s="235">
        <f t="shared" si="181"/>
        <v>49144.860802676412</v>
      </c>
      <c r="I455" s="235">
        <f t="shared" si="182"/>
        <v>51706.720645788235</v>
      </c>
      <c r="J455" s="235">
        <f t="shared" si="183"/>
        <v>53577.661126777712</v>
      </c>
      <c r="K455" s="235">
        <f t="shared" si="184"/>
        <v>54994.737037205239</v>
      </c>
      <c r="L455" s="235">
        <f t="shared" si="185"/>
        <v>57060.066299281614</v>
      </c>
      <c r="M455" s="235">
        <f t="shared" si="186"/>
        <v>57583</v>
      </c>
      <c r="N455" s="235" t="s">
        <v>209</v>
      </c>
      <c r="O455" s="100" t="s">
        <v>313</v>
      </c>
    </row>
    <row r="456" spans="1:15">
      <c r="A456" s="242" t="s">
        <v>145</v>
      </c>
      <c r="B456" s="235">
        <f t="shared" si="175"/>
        <v>6816.3666165156546</v>
      </c>
      <c r="C456" s="235">
        <f t="shared" si="176"/>
        <v>15950.611780020712</v>
      </c>
      <c r="D456" s="235">
        <f t="shared" si="177"/>
        <v>22074.095674035547</v>
      </c>
      <c r="E456" s="235">
        <f t="shared" si="178"/>
        <v>24953.865380924581</v>
      </c>
      <c r="F456" s="235">
        <f t="shared" si="179"/>
        <v>30402.491190657467</v>
      </c>
      <c r="G456" s="235">
        <f t="shared" si="180"/>
        <v>40942.160685536845</v>
      </c>
      <c r="H456" s="235">
        <f t="shared" si="181"/>
        <v>46702.698722429086</v>
      </c>
      <c r="I456" s="235">
        <f t="shared" si="182"/>
        <v>50066.53626300997</v>
      </c>
      <c r="J456" s="235">
        <f t="shared" si="183"/>
        <v>52910.827378080256</v>
      </c>
      <c r="K456" s="235">
        <f t="shared" si="184"/>
        <v>56225.745354197672</v>
      </c>
      <c r="L456" s="235">
        <f t="shared" si="185"/>
        <v>58769.980326215787</v>
      </c>
      <c r="M456" s="235">
        <f t="shared" si="186"/>
        <v>61510</v>
      </c>
      <c r="N456" s="235" t="s">
        <v>209</v>
      </c>
      <c r="O456" s="100" t="s">
        <v>313</v>
      </c>
    </row>
    <row r="457" spans="1:15">
      <c r="A457" s="242" t="s">
        <v>119</v>
      </c>
      <c r="B457" s="235">
        <f>B73</f>
        <v>5501.8537744437072</v>
      </c>
      <c r="C457" s="235">
        <f t="shared" ref="C457:M457" si="187">C73</f>
        <v>13309.687041591884</v>
      </c>
      <c r="D457" s="235">
        <f t="shared" si="187"/>
        <v>18219.407047768276</v>
      </c>
      <c r="E457" s="235">
        <f t="shared" si="187"/>
        <v>24097.975324287072</v>
      </c>
      <c r="F457" s="235">
        <f t="shared" si="187"/>
        <v>30807.801356980493</v>
      </c>
      <c r="G457" s="235">
        <f t="shared" si="187"/>
        <v>35035.468339627179</v>
      </c>
      <c r="H457" s="235">
        <f t="shared" si="187"/>
        <v>37849.798675008387</v>
      </c>
      <c r="I457" s="235">
        <f t="shared" si="187"/>
        <v>41787.653035251344</v>
      </c>
      <c r="J457" s="235">
        <f t="shared" si="187"/>
        <v>44114.855049160084</v>
      </c>
      <c r="K457" s="235">
        <f t="shared" si="187"/>
        <v>46005.470622834815</v>
      </c>
      <c r="L457" s="235">
        <f t="shared" si="187"/>
        <v>47371.447857308551</v>
      </c>
      <c r="M457" s="235">
        <f t="shared" si="187"/>
        <v>51561.469943785632</v>
      </c>
      <c r="N457" s="235" t="s">
        <v>315</v>
      </c>
      <c r="O457" s="100" t="s">
        <v>313</v>
      </c>
    </row>
    <row r="458" spans="1:15">
      <c r="A458" s="242" t="s">
        <v>120</v>
      </c>
      <c r="B458" s="235">
        <f t="shared" ref="B458:M483" si="188">B74</f>
        <v>10280.471864629428</v>
      </c>
      <c r="C458" s="235">
        <f t="shared" si="188"/>
        <v>29971.251043241871</v>
      </c>
      <c r="D458" s="235">
        <f t="shared" si="188"/>
        <v>36850.740674464592</v>
      </c>
      <c r="E458" s="235">
        <f t="shared" si="188"/>
        <v>40701.582221755729</v>
      </c>
      <c r="F458" s="235">
        <f t="shared" si="188"/>
        <v>46957.330748180626</v>
      </c>
      <c r="G458" s="235">
        <f t="shared" si="188"/>
        <v>51386.474364743517</v>
      </c>
      <c r="H458" s="235">
        <f t="shared" si="188"/>
        <v>53256.773055543912</v>
      </c>
      <c r="I458" s="235">
        <f t="shared" si="188"/>
        <v>56690.958320905731</v>
      </c>
      <c r="J458" s="235">
        <f t="shared" si="188"/>
        <v>58211.935133855994</v>
      </c>
      <c r="K458" s="235">
        <f t="shared" si="188"/>
        <v>58929.755134349791</v>
      </c>
      <c r="L458" s="235">
        <f t="shared" si="188"/>
        <v>59474.661788409154</v>
      </c>
      <c r="M458" s="235">
        <f t="shared" si="188"/>
        <v>61355.739150336434</v>
      </c>
      <c r="N458" s="235" t="s">
        <v>315</v>
      </c>
      <c r="O458" s="100" t="s">
        <v>313</v>
      </c>
    </row>
    <row r="459" spans="1:15">
      <c r="A459" s="242" t="s">
        <v>121</v>
      </c>
      <c r="B459" s="235">
        <f t="shared" si="188"/>
        <v>5575.2690841321564</v>
      </c>
      <c r="C459" s="235">
        <f t="shared" si="188"/>
        <v>15204.490879708597</v>
      </c>
      <c r="D459" s="235">
        <f t="shared" si="188"/>
        <v>18460.974618839929</v>
      </c>
      <c r="E459" s="235">
        <f t="shared" si="188"/>
        <v>32067.987906201593</v>
      </c>
      <c r="F459" s="235">
        <f t="shared" si="188"/>
        <v>43794.424931915033</v>
      </c>
      <c r="G459" s="235">
        <f t="shared" si="188"/>
        <v>66153.040587803756</v>
      </c>
      <c r="H459" s="235">
        <f t="shared" si="188"/>
        <v>74536.113149989294</v>
      </c>
      <c r="I459" s="235">
        <f t="shared" si="188"/>
        <v>80737.593068875212</v>
      </c>
      <c r="J459" s="235">
        <f t="shared" si="188"/>
        <v>85877.454797547456</v>
      </c>
      <c r="K459" s="235">
        <f t="shared" si="188"/>
        <v>93315.152778367759</v>
      </c>
      <c r="L459" s="235">
        <f t="shared" si="188"/>
        <v>97898.554644821561</v>
      </c>
      <c r="M459" s="235">
        <f t="shared" si="188"/>
        <v>101533.41127776331</v>
      </c>
      <c r="N459" s="235" t="s">
        <v>315</v>
      </c>
      <c r="O459" s="100" t="s">
        <v>313</v>
      </c>
    </row>
    <row r="460" spans="1:15">
      <c r="A460" s="242" t="s">
        <v>122</v>
      </c>
      <c r="B460" s="235">
        <f t="shared" si="188"/>
        <v>13517.720171982059</v>
      </c>
      <c r="C460" s="235">
        <f t="shared" si="188"/>
        <v>33795.987532165673</v>
      </c>
      <c r="D460" s="235">
        <f t="shared" si="188"/>
        <v>59271.649009112334</v>
      </c>
      <c r="E460" s="235">
        <f t="shared" si="188"/>
        <v>73225.585616653509</v>
      </c>
      <c r="F460" s="235">
        <f t="shared" si="188"/>
        <v>86184.426692278852</v>
      </c>
      <c r="G460" s="235">
        <f t="shared" si="188"/>
        <v>101583.04212239842</v>
      </c>
      <c r="H460" s="235">
        <f t="shared" si="188"/>
        <v>110524.6421783258</v>
      </c>
      <c r="I460" s="235">
        <f t="shared" si="188"/>
        <v>116163.97749770344</v>
      </c>
      <c r="J460" s="235">
        <f t="shared" si="188"/>
        <v>121061.9410994034</v>
      </c>
      <c r="K460" s="235">
        <f t="shared" si="188"/>
        <v>125705.6141138474</v>
      </c>
      <c r="L460" s="235">
        <f t="shared" si="188"/>
        <v>127475.47716052789</v>
      </c>
      <c r="M460" s="235">
        <f t="shared" si="188"/>
        <v>132066.54858273329</v>
      </c>
      <c r="N460" s="235" t="s">
        <v>315</v>
      </c>
      <c r="O460" s="100" t="s">
        <v>313</v>
      </c>
    </row>
    <row r="461" spans="1:15">
      <c r="A461" s="242" t="s">
        <v>123</v>
      </c>
      <c r="B461" s="235">
        <f t="shared" si="188"/>
        <v>54774.603557997812</v>
      </c>
      <c r="C461" s="235">
        <f t="shared" si="188"/>
        <v>163643.0310807889</v>
      </c>
      <c r="D461" s="235">
        <f t="shared" si="188"/>
        <v>206064.99328522864</v>
      </c>
      <c r="E461" s="235">
        <f t="shared" si="188"/>
        <v>242271.47277638759</v>
      </c>
      <c r="F461" s="235">
        <f t="shared" si="188"/>
        <v>292446.64431839046</v>
      </c>
      <c r="G461" s="235">
        <f t="shared" si="188"/>
        <v>354460.79309701605</v>
      </c>
      <c r="H461" s="235">
        <f t="shared" si="188"/>
        <v>372220.70698665414</v>
      </c>
      <c r="I461" s="235">
        <f t="shared" si="188"/>
        <v>392764.70871057955</v>
      </c>
      <c r="J461" s="235">
        <f t="shared" si="188"/>
        <v>407417.76033703302</v>
      </c>
      <c r="K461" s="235">
        <f t="shared" si="188"/>
        <v>419816.65369307064</v>
      </c>
      <c r="L461" s="235">
        <f t="shared" si="188"/>
        <v>424972.15007942833</v>
      </c>
      <c r="M461" s="235">
        <f t="shared" si="188"/>
        <v>430014.85109894071</v>
      </c>
      <c r="N461" s="235" t="s">
        <v>315</v>
      </c>
      <c r="O461" s="100" t="s">
        <v>313</v>
      </c>
    </row>
    <row r="462" spans="1:15">
      <c r="A462" s="242" t="s">
        <v>124</v>
      </c>
      <c r="B462" s="235">
        <f t="shared" si="188"/>
        <v>32511.453614253907</v>
      </c>
      <c r="C462" s="235">
        <f t="shared" si="188"/>
        <v>71971.207180121797</v>
      </c>
      <c r="D462" s="235">
        <f t="shared" si="188"/>
        <v>94226.075899618067</v>
      </c>
      <c r="E462" s="235">
        <f t="shared" si="188"/>
        <v>109767.47168456134</v>
      </c>
      <c r="F462" s="235">
        <f t="shared" si="188"/>
        <v>127543.91421244829</v>
      </c>
      <c r="G462" s="235">
        <f t="shared" si="188"/>
        <v>146782.15451254297</v>
      </c>
      <c r="H462" s="235">
        <f t="shared" si="188"/>
        <v>151178.61964947174</v>
      </c>
      <c r="I462" s="235">
        <f t="shared" si="188"/>
        <v>154449.64954434877</v>
      </c>
      <c r="J462" s="235">
        <f t="shared" si="188"/>
        <v>158563.16475409374</v>
      </c>
      <c r="K462" s="235">
        <f t="shared" si="188"/>
        <v>162841.65753992755</v>
      </c>
      <c r="L462" s="235">
        <f t="shared" si="188"/>
        <v>166093.79877942882</v>
      </c>
      <c r="M462" s="235">
        <f t="shared" si="188"/>
        <v>170125.64403347109</v>
      </c>
      <c r="N462" s="235" t="s">
        <v>315</v>
      </c>
      <c r="O462" s="100" t="s">
        <v>313</v>
      </c>
    </row>
    <row r="463" spans="1:15">
      <c r="A463" s="242" t="s">
        <v>125</v>
      </c>
      <c r="B463" s="235">
        <f t="shared" si="188"/>
        <v>27726.575635315548</v>
      </c>
      <c r="C463" s="235">
        <f t="shared" si="188"/>
        <v>124441.39579179432</v>
      </c>
      <c r="D463" s="235">
        <f t="shared" si="188"/>
        <v>163897.02542304544</v>
      </c>
      <c r="E463" s="235">
        <f t="shared" si="188"/>
        <v>205949.50267191857</v>
      </c>
      <c r="F463" s="235">
        <f t="shared" si="188"/>
        <v>239193.71392058473</v>
      </c>
      <c r="G463" s="235">
        <f t="shared" si="188"/>
        <v>285962.17169141496</v>
      </c>
      <c r="H463" s="235">
        <f t="shared" si="188"/>
        <v>306146.73042085819</v>
      </c>
      <c r="I463" s="235">
        <f t="shared" si="188"/>
        <v>319480.76054442464</v>
      </c>
      <c r="J463" s="235">
        <f t="shared" si="188"/>
        <v>331680.29734718159</v>
      </c>
      <c r="K463" s="235">
        <f t="shared" si="188"/>
        <v>341098.67329541739</v>
      </c>
      <c r="L463" s="235">
        <f t="shared" si="188"/>
        <v>347336.30464441032</v>
      </c>
      <c r="M463" s="235">
        <f t="shared" si="188"/>
        <v>358037.4068249971</v>
      </c>
      <c r="N463" s="235" t="s">
        <v>315</v>
      </c>
      <c r="O463" s="100" t="s">
        <v>313</v>
      </c>
    </row>
    <row r="464" spans="1:15">
      <c r="A464" s="242" t="s">
        <v>126</v>
      </c>
      <c r="B464" s="235">
        <f t="shared" si="188"/>
        <v>17092.419480781631</v>
      </c>
      <c r="C464" s="235">
        <f t="shared" si="188"/>
        <v>57155.25752758819</v>
      </c>
      <c r="D464" s="235">
        <f t="shared" si="188"/>
        <v>77881.794314307073</v>
      </c>
      <c r="E464" s="235">
        <f t="shared" si="188"/>
        <v>93172.728383771901</v>
      </c>
      <c r="F464" s="235">
        <f t="shared" si="188"/>
        <v>111437.64048623825</v>
      </c>
      <c r="G464" s="235">
        <f t="shared" si="188"/>
        <v>134728.96901028982</v>
      </c>
      <c r="H464" s="235">
        <f t="shared" si="188"/>
        <v>142684.37197294654</v>
      </c>
      <c r="I464" s="235">
        <f t="shared" si="188"/>
        <v>156037.90297869837</v>
      </c>
      <c r="J464" s="235">
        <f t="shared" si="188"/>
        <v>174599.68783138884</v>
      </c>
      <c r="K464" s="235">
        <f t="shared" si="188"/>
        <v>187156.32378679243</v>
      </c>
      <c r="L464" s="235">
        <f t="shared" si="188"/>
        <v>200353.29729900692</v>
      </c>
      <c r="M464" s="235">
        <f t="shared" si="188"/>
        <v>208838.05418524126</v>
      </c>
      <c r="N464" s="235" t="s">
        <v>315</v>
      </c>
      <c r="O464" s="100" t="s">
        <v>313</v>
      </c>
    </row>
    <row r="465" spans="1:15">
      <c r="A465" s="242" t="s">
        <v>127</v>
      </c>
      <c r="B465" s="235">
        <f t="shared" si="188"/>
        <v>15423.387074219383</v>
      </c>
      <c r="C465" s="235">
        <f t="shared" si="188"/>
        <v>61386.726531956476</v>
      </c>
      <c r="D465" s="235">
        <f t="shared" si="188"/>
        <v>81557.168924630576</v>
      </c>
      <c r="E465" s="235">
        <f t="shared" si="188"/>
        <v>96680.439631023663</v>
      </c>
      <c r="F465" s="235">
        <f t="shared" si="188"/>
        <v>117420.13553422671</v>
      </c>
      <c r="G465" s="235">
        <f t="shared" si="188"/>
        <v>141721.50776170619</v>
      </c>
      <c r="H465" s="235">
        <f t="shared" si="188"/>
        <v>151571.30188568716</v>
      </c>
      <c r="I465" s="235">
        <f t="shared" si="188"/>
        <v>157397.02624148095</v>
      </c>
      <c r="J465" s="235">
        <f t="shared" si="188"/>
        <v>161809.72293918594</v>
      </c>
      <c r="K465" s="235">
        <f t="shared" si="188"/>
        <v>166487.57231690036</v>
      </c>
      <c r="L465" s="235">
        <f t="shared" si="188"/>
        <v>171465.73644717198</v>
      </c>
      <c r="M465" s="235">
        <f t="shared" si="188"/>
        <v>176536.80288894381</v>
      </c>
      <c r="N465" s="235" t="s">
        <v>315</v>
      </c>
      <c r="O465" s="100" t="s">
        <v>313</v>
      </c>
    </row>
    <row r="466" spans="1:15">
      <c r="A466" s="242" t="s">
        <v>128</v>
      </c>
      <c r="B466" s="235">
        <f t="shared" si="188"/>
        <v>20291.383372863955</v>
      </c>
      <c r="C466" s="235">
        <f t="shared" si="188"/>
        <v>44491.059582646529</v>
      </c>
      <c r="D466" s="235">
        <f t="shared" si="188"/>
        <v>62574.798190128757</v>
      </c>
      <c r="E466" s="235">
        <f t="shared" si="188"/>
        <v>73255.953291611877</v>
      </c>
      <c r="F466" s="235">
        <f t="shared" si="188"/>
        <v>87775.291904589641</v>
      </c>
      <c r="G466" s="235">
        <f t="shared" si="188"/>
        <v>100262.07286329403</v>
      </c>
      <c r="H466" s="235">
        <f t="shared" si="188"/>
        <v>105602.98566666307</v>
      </c>
      <c r="I466" s="235">
        <f t="shared" si="188"/>
        <v>110306.193375544</v>
      </c>
      <c r="J466" s="235">
        <f t="shared" si="188"/>
        <v>116977.85315149509</v>
      </c>
      <c r="K466" s="235">
        <f t="shared" si="188"/>
        <v>121786.89213015753</v>
      </c>
      <c r="L466" s="235">
        <f t="shared" si="188"/>
        <v>124020.30493813074</v>
      </c>
      <c r="M466" s="235">
        <f t="shared" si="188"/>
        <v>126353.87389766668</v>
      </c>
      <c r="N466" s="235" t="s">
        <v>315</v>
      </c>
      <c r="O466" s="100" t="s">
        <v>313</v>
      </c>
    </row>
    <row r="467" spans="1:15">
      <c r="A467" s="242" t="s">
        <v>129</v>
      </c>
      <c r="B467" s="235">
        <f t="shared" si="188"/>
        <v>27065.304876530321</v>
      </c>
      <c r="C467" s="235">
        <f t="shared" si="188"/>
        <v>74925.771947370464</v>
      </c>
      <c r="D467" s="235">
        <f t="shared" si="188"/>
        <v>114509.74369441843</v>
      </c>
      <c r="E467" s="235">
        <f t="shared" si="188"/>
        <v>138718.72233900311</v>
      </c>
      <c r="F467" s="235">
        <f t="shared" si="188"/>
        <v>172019.25821491401</v>
      </c>
      <c r="G467" s="235">
        <f t="shared" si="188"/>
        <v>206647.44906029225</v>
      </c>
      <c r="H467" s="235">
        <f t="shared" si="188"/>
        <v>218304.26624998843</v>
      </c>
      <c r="I467" s="235">
        <f t="shared" si="188"/>
        <v>228415.91284353411</v>
      </c>
      <c r="J467" s="235">
        <f t="shared" si="188"/>
        <v>241585.11585540144</v>
      </c>
      <c r="K467" s="235">
        <f t="shared" si="188"/>
        <v>251301.64781872768</v>
      </c>
      <c r="L467" s="235">
        <f t="shared" si="188"/>
        <v>255295.78650082793</v>
      </c>
      <c r="M467" s="235">
        <f t="shared" si="188"/>
        <v>259465.09532306288</v>
      </c>
      <c r="N467" s="235" t="s">
        <v>315</v>
      </c>
      <c r="O467" s="100" t="s">
        <v>313</v>
      </c>
    </row>
    <row r="468" spans="1:15">
      <c r="A468" s="242" t="s">
        <v>130</v>
      </c>
      <c r="B468" s="235">
        <f t="shared" si="188"/>
        <v>39855.408752458534</v>
      </c>
      <c r="C468" s="235">
        <f t="shared" si="188"/>
        <v>107054.42323858886</v>
      </c>
      <c r="D468" s="235">
        <f t="shared" si="188"/>
        <v>146404.75557231781</v>
      </c>
      <c r="E468" s="235">
        <f t="shared" si="188"/>
        <v>174770.14427424577</v>
      </c>
      <c r="F468" s="235">
        <f t="shared" si="188"/>
        <v>213577.19092621055</v>
      </c>
      <c r="G468" s="235">
        <f t="shared" si="188"/>
        <v>250672.1837900579</v>
      </c>
      <c r="H468" s="235">
        <f t="shared" si="188"/>
        <v>262869.46180841548</v>
      </c>
      <c r="I468" s="235">
        <f t="shared" si="188"/>
        <v>277820.21221351583</v>
      </c>
      <c r="J468" s="235">
        <f t="shared" si="188"/>
        <v>284912.263557514</v>
      </c>
      <c r="K468" s="235">
        <f t="shared" si="188"/>
        <v>293732.88089789223</v>
      </c>
      <c r="L468" s="235">
        <f t="shared" si="188"/>
        <v>302079.71661557804</v>
      </c>
      <c r="M468" s="235">
        <f t="shared" si="188"/>
        <v>309509.55868468853</v>
      </c>
      <c r="N468" s="235" t="s">
        <v>315</v>
      </c>
      <c r="O468" s="100" t="s">
        <v>313</v>
      </c>
    </row>
    <row r="469" spans="1:15">
      <c r="A469" s="242" t="s">
        <v>131</v>
      </c>
      <c r="B469" s="235">
        <f t="shared" si="188"/>
        <v>256600.88717671184</v>
      </c>
      <c r="C469" s="235">
        <f t="shared" si="188"/>
        <v>411147.17721409985</v>
      </c>
      <c r="D469" s="235">
        <f t="shared" si="188"/>
        <v>521012.48276323534</v>
      </c>
      <c r="E469" s="235">
        <f t="shared" si="188"/>
        <v>570571.93629347067</v>
      </c>
      <c r="F469" s="235">
        <f t="shared" si="188"/>
        <v>690273.62763529876</v>
      </c>
      <c r="G469" s="235">
        <f t="shared" si="188"/>
        <v>781581.64557616285</v>
      </c>
      <c r="H469" s="235">
        <f t="shared" si="188"/>
        <v>808312.45120115392</v>
      </c>
      <c r="I469" s="235">
        <f t="shared" si="188"/>
        <v>832945.73823820194</v>
      </c>
      <c r="J469" s="235">
        <f t="shared" si="188"/>
        <v>849277.1857670329</v>
      </c>
      <c r="K469" s="235">
        <f t="shared" si="188"/>
        <v>879455.6253051539</v>
      </c>
      <c r="L469" s="235">
        <f t="shared" si="188"/>
        <v>898987.79017327016</v>
      </c>
      <c r="M469" s="235">
        <f t="shared" si="188"/>
        <v>915103.86402088497</v>
      </c>
      <c r="N469" s="235" t="s">
        <v>315</v>
      </c>
      <c r="O469" s="100" t="s">
        <v>313</v>
      </c>
    </row>
    <row r="470" spans="1:15">
      <c r="A470" s="242" t="s">
        <v>132</v>
      </c>
      <c r="B470" s="235">
        <f t="shared" si="188"/>
        <v>20242.684665457873</v>
      </c>
      <c r="C470" s="235">
        <f t="shared" si="188"/>
        <v>51694.517856178027</v>
      </c>
      <c r="D470" s="235">
        <f t="shared" si="188"/>
        <v>81215.56831088633</v>
      </c>
      <c r="E470" s="235">
        <f t="shared" si="188"/>
        <v>97235.351151630297</v>
      </c>
      <c r="F470" s="235">
        <f t="shared" si="188"/>
        <v>125919.25311667359</v>
      </c>
      <c r="G470" s="235">
        <f t="shared" si="188"/>
        <v>148239.8547230734</v>
      </c>
      <c r="H470" s="235">
        <f t="shared" si="188"/>
        <v>161028.56680954271</v>
      </c>
      <c r="I470" s="235">
        <f t="shared" si="188"/>
        <v>174462.95349831946</v>
      </c>
      <c r="J470" s="235">
        <f t="shared" si="188"/>
        <v>186833.2201862268</v>
      </c>
      <c r="K470" s="235">
        <f t="shared" si="188"/>
        <v>192929.67212552778</v>
      </c>
      <c r="L470" s="235">
        <f t="shared" si="188"/>
        <v>200245.96275194988</v>
      </c>
      <c r="M470" s="235">
        <f t="shared" si="188"/>
        <v>203511.62998091598</v>
      </c>
      <c r="N470" s="235" t="s">
        <v>315</v>
      </c>
      <c r="O470" s="100" t="s">
        <v>313</v>
      </c>
    </row>
    <row r="471" spans="1:15">
      <c r="A471" s="242" t="s">
        <v>133</v>
      </c>
      <c r="B471" s="235">
        <f t="shared" si="188"/>
        <v>21931.506157458945</v>
      </c>
      <c r="C471" s="235">
        <f t="shared" si="188"/>
        <v>70559.191167509387</v>
      </c>
      <c r="D471" s="235">
        <f t="shared" si="188"/>
        <v>84962.497939753361</v>
      </c>
      <c r="E471" s="235">
        <f t="shared" si="188"/>
        <v>99572.996178405447</v>
      </c>
      <c r="F471" s="235">
        <f t="shared" si="188"/>
        <v>121061.99837217206</v>
      </c>
      <c r="G471" s="235">
        <f t="shared" si="188"/>
        <v>146399.62834144619</v>
      </c>
      <c r="H471" s="235">
        <f t="shared" si="188"/>
        <v>159284.33730936697</v>
      </c>
      <c r="I471" s="235">
        <f t="shared" si="188"/>
        <v>174215.54453134257</v>
      </c>
      <c r="J471" s="235">
        <f t="shared" si="188"/>
        <v>181647.38581863887</v>
      </c>
      <c r="K471" s="235">
        <f t="shared" si="188"/>
        <v>194835.53552311592</v>
      </c>
      <c r="L471" s="235">
        <f t="shared" si="188"/>
        <v>201478.17993246732</v>
      </c>
      <c r="M471" s="235">
        <f t="shared" si="188"/>
        <v>206757.57520262728</v>
      </c>
      <c r="N471" s="235" t="s">
        <v>315</v>
      </c>
      <c r="O471" s="100" t="s">
        <v>313</v>
      </c>
    </row>
    <row r="472" spans="1:15">
      <c r="A472" s="242" t="s">
        <v>134</v>
      </c>
      <c r="B472" s="235">
        <f t="shared" si="188"/>
        <v>183019.17550140075</v>
      </c>
      <c r="C472" s="235">
        <f t="shared" si="188"/>
        <v>409748.57884345081</v>
      </c>
      <c r="D472" s="235">
        <f t="shared" si="188"/>
        <v>532105.97122703143</v>
      </c>
      <c r="E472" s="235">
        <f t="shared" si="188"/>
        <v>633974.34802790568</v>
      </c>
      <c r="F472" s="235">
        <f t="shared" si="188"/>
        <v>782684.72557114391</v>
      </c>
      <c r="G472" s="235">
        <f t="shared" si="188"/>
        <v>938565.87784680619</v>
      </c>
      <c r="H472" s="235">
        <f t="shared" si="188"/>
        <v>1006003.8653345433</v>
      </c>
      <c r="I472" s="235">
        <f t="shared" si="188"/>
        <v>1055368.8723133162</v>
      </c>
      <c r="J472" s="235">
        <f t="shared" si="188"/>
        <v>1088988.5634546112</v>
      </c>
      <c r="K472" s="235">
        <f t="shared" si="188"/>
        <v>1132968.890871506</v>
      </c>
      <c r="L472" s="235">
        <f t="shared" si="188"/>
        <v>1163329.3035495982</v>
      </c>
      <c r="M472" s="235">
        <f t="shared" si="188"/>
        <v>1203057.1969424004</v>
      </c>
      <c r="N472" s="235" t="s">
        <v>315</v>
      </c>
      <c r="O472" s="100" t="s">
        <v>313</v>
      </c>
    </row>
    <row r="473" spans="1:15">
      <c r="A473" s="242" t="s">
        <v>135</v>
      </c>
      <c r="B473" s="235">
        <f t="shared" si="188"/>
        <v>39982.252469503132</v>
      </c>
      <c r="C473" s="235">
        <f t="shared" si="188"/>
        <v>117680.56953547202</v>
      </c>
      <c r="D473" s="235">
        <f t="shared" si="188"/>
        <v>157554.37062846299</v>
      </c>
      <c r="E473" s="235">
        <f t="shared" si="188"/>
        <v>183984.86489400867</v>
      </c>
      <c r="F473" s="235">
        <f t="shared" si="188"/>
        <v>214194.91331750635</v>
      </c>
      <c r="G473" s="235">
        <f t="shared" si="188"/>
        <v>247345.59079967442</v>
      </c>
      <c r="H473" s="235">
        <f t="shared" si="188"/>
        <v>255166.26687651893</v>
      </c>
      <c r="I473" s="235">
        <f t="shared" si="188"/>
        <v>262605.96903565497</v>
      </c>
      <c r="J473" s="235">
        <f t="shared" si="188"/>
        <v>270808.89314316266</v>
      </c>
      <c r="K473" s="235">
        <f t="shared" si="188"/>
        <v>277164.47066894232</v>
      </c>
      <c r="L473" s="235">
        <f t="shared" si="188"/>
        <v>284119.44553180289</v>
      </c>
      <c r="M473" s="235">
        <f t="shared" si="188"/>
        <v>288737.87482950132</v>
      </c>
      <c r="N473" s="235" t="s">
        <v>315</v>
      </c>
      <c r="O473" s="100" t="s">
        <v>313</v>
      </c>
    </row>
    <row r="474" spans="1:15">
      <c r="A474" s="242" t="s">
        <v>136</v>
      </c>
      <c r="B474" s="235">
        <f t="shared" si="188"/>
        <v>14757.421515287553</v>
      </c>
      <c r="C474" s="235">
        <f t="shared" si="188"/>
        <v>32263.119837552596</v>
      </c>
      <c r="D474" s="235">
        <f t="shared" si="188"/>
        <v>43075.535305952108</v>
      </c>
      <c r="E474" s="235">
        <f t="shared" si="188"/>
        <v>52204.528317810502</v>
      </c>
      <c r="F474" s="235">
        <f t="shared" si="188"/>
        <v>60816.14199848321</v>
      </c>
      <c r="G474" s="235">
        <f t="shared" si="188"/>
        <v>72905.232665243762</v>
      </c>
      <c r="H474" s="235">
        <f t="shared" si="188"/>
        <v>78001.211108603093</v>
      </c>
      <c r="I474" s="235">
        <f t="shared" si="188"/>
        <v>83792.408684524824</v>
      </c>
      <c r="J474" s="235">
        <f t="shared" si="188"/>
        <v>87912.755021095552</v>
      </c>
      <c r="K474" s="235">
        <f t="shared" si="188"/>
        <v>90069.70720353919</v>
      </c>
      <c r="L474" s="235">
        <f t="shared" si="188"/>
        <v>91274.729717096459</v>
      </c>
      <c r="M474" s="235">
        <f t="shared" si="188"/>
        <v>93145.490174748717</v>
      </c>
      <c r="N474" s="235" t="s">
        <v>315</v>
      </c>
      <c r="O474" s="100" t="s">
        <v>313</v>
      </c>
    </row>
    <row r="475" spans="1:15">
      <c r="A475" s="242" t="s">
        <v>137</v>
      </c>
      <c r="B475" s="235">
        <f t="shared" si="188"/>
        <v>270815.710931062</v>
      </c>
      <c r="C475" s="235">
        <f t="shared" si="188"/>
        <v>587507.92668405233</v>
      </c>
      <c r="D475" s="235">
        <f t="shared" si="188"/>
        <v>741148.84678855294</v>
      </c>
      <c r="E475" s="235">
        <f t="shared" si="188"/>
        <v>857059.95962099044</v>
      </c>
      <c r="F475" s="235">
        <f t="shared" si="188"/>
        <v>1010689.5426948379</v>
      </c>
      <c r="G475" s="235">
        <f t="shared" si="188"/>
        <v>1195041.0094579242</v>
      </c>
      <c r="H475" s="235">
        <f t="shared" si="188"/>
        <v>1243957.9233186974</v>
      </c>
      <c r="I475" s="235">
        <f t="shared" si="188"/>
        <v>1317274.0375532086</v>
      </c>
      <c r="J475" s="235">
        <f t="shared" si="188"/>
        <v>1375239.4862794846</v>
      </c>
      <c r="K475" s="235">
        <f t="shared" si="188"/>
        <v>1430942.6320684352</v>
      </c>
      <c r="L475" s="235">
        <f t="shared" si="188"/>
        <v>1476180.75346711</v>
      </c>
      <c r="M475" s="235">
        <f t="shared" si="188"/>
        <v>1507722.716544101</v>
      </c>
      <c r="N475" s="235" t="s">
        <v>315</v>
      </c>
      <c r="O475" s="100" t="s">
        <v>313</v>
      </c>
    </row>
    <row r="476" spans="1:15">
      <c r="A476" s="242" t="s">
        <v>138</v>
      </c>
      <c r="B476" s="235">
        <f t="shared" si="188"/>
        <v>6063.8264191908638</v>
      </c>
      <c r="C476" s="235">
        <f t="shared" si="188"/>
        <v>29886.11746649117</v>
      </c>
      <c r="D476" s="235">
        <f t="shared" si="188"/>
        <v>50284.599044019022</v>
      </c>
      <c r="E476" s="235">
        <f t="shared" si="188"/>
        <v>63416.596978455891</v>
      </c>
      <c r="F476" s="235">
        <f t="shared" si="188"/>
        <v>77672.949331954616</v>
      </c>
      <c r="G476" s="235">
        <f t="shared" si="188"/>
        <v>96731.206574413125</v>
      </c>
      <c r="H476" s="235">
        <f t="shared" si="188"/>
        <v>104051.34527891324</v>
      </c>
      <c r="I476" s="235">
        <f t="shared" si="188"/>
        <v>114038.59174505032</v>
      </c>
      <c r="J476" s="235">
        <f t="shared" si="188"/>
        <v>119587.13628845129</v>
      </c>
      <c r="K476" s="235">
        <f t="shared" si="188"/>
        <v>123613.99131506226</v>
      </c>
      <c r="L476" s="235">
        <f t="shared" si="188"/>
        <v>127311.22196385183</v>
      </c>
      <c r="M476" s="235">
        <f t="shared" si="188"/>
        <v>129041.35406442772</v>
      </c>
      <c r="N476" s="235" t="s">
        <v>315</v>
      </c>
      <c r="O476" s="100" t="s">
        <v>313</v>
      </c>
    </row>
    <row r="477" spans="1:15">
      <c r="A477" s="242" t="s">
        <v>139</v>
      </c>
      <c r="B477" s="235">
        <f t="shared" si="188"/>
        <v>180757.75417027512</v>
      </c>
      <c r="C477" s="235">
        <f t="shared" si="188"/>
        <v>478064.06618876208</v>
      </c>
      <c r="D477" s="235">
        <f t="shared" si="188"/>
        <v>625815.85490281333</v>
      </c>
      <c r="E477" s="235">
        <f t="shared" si="188"/>
        <v>730656.66666740517</v>
      </c>
      <c r="F477" s="235">
        <f t="shared" si="188"/>
        <v>888459.83909600321</v>
      </c>
      <c r="G477" s="235">
        <f t="shared" si="188"/>
        <v>1067517.1101692528</v>
      </c>
      <c r="H477" s="235">
        <f t="shared" si="188"/>
        <v>1134855.7566385299</v>
      </c>
      <c r="I477" s="235">
        <f t="shared" si="188"/>
        <v>1187977.5905581249</v>
      </c>
      <c r="J477" s="235">
        <f t="shared" si="188"/>
        <v>1226063.6151836968</v>
      </c>
      <c r="K477" s="235">
        <f t="shared" si="188"/>
        <v>1267438.1221971938</v>
      </c>
      <c r="L477" s="235">
        <f t="shared" si="188"/>
        <v>1294532.0141711209</v>
      </c>
      <c r="M477" s="235">
        <f t="shared" si="188"/>
        <v>1326595.8724683416</v>
      </c>
      <c r="N477" s="235" t="s">
        <v>315</v>
      </c>
      <c r="O477" s="100" t="s">
        <v>313</v>
      </c>
    </row>
    <row r="478" spans="1:15">
      <c r="A478" s="242" t="s">
        <v>140</v>
      </c>
      <c r="B478" s="235">
        <f t="shared" si="188"/>
        <v>9434.0552803738101</v>
      </c>
      <c r="C478" s="235">
        <f t="shared" si="188"/>
        <v>29812.173524300008</v>
      </c>
      <c r="D478" s="235">
        <f t="shared" si="188"/>
        <v>34219.739535888242</v>
      </c>
      <c r="E478" s="235">
        <f t="shared" si="188"/>
        <v>38960.00773657531</v>
      </c>
      <c r="F478" s="235">
        <f t="shared" si="188"/>
        <v>45486.17161879535</v>
      </c>
      <c r="G478" s="235">
        <f t="shared" si="188"/>
        <v>57321.998580035623</v>
      </c>
      <c r="H478" s="235">
        <f t="shared" si="188"/>
        <v>61688.834676907412</v>
      </c>
      <c r="I478" s="235">
        <f t="shared" si="188"/>
        <v>69311.065600847156</v>
      </c>
      <c r="J478" s="235">
        <f t="shared" si="188"/>
        <v>72583.834171481532</v>
      </c>
      <c r="K478" s="235">
        <f t="shared" si="188"/>
        <v>76809.21517817174</v>
      </c>
      <c r="L478" s="235">
        <f t="shared" ref="C478:M483" si="189">L94</f>
        <v>80550.712966995619</v>
      </c>
      <c r="M478" s="235">
        <f t="shared" si="189"/>
        <v>82445.08071076544</v>
      </c>
      <c r="N478" s="235" t="s">
        <v>315</v>
      </c>
      <c r="O478" s="100" t="s">
        <v>313</v>
      </c>
    </row>
    <row r="479" spans="1:15">
      <c r="A479" s="242" t="s">
        <v>141</v>
      </c>
      <c r="B479" s="235">
        <f t="shared" si="188"/>
        <v>8664.6499977093972</v>
      </c>
      <c r="C479" s="235">
        <f t="shared" si="189"/>
        <v>11843.600849289043</v>
      </c>
      <c r="D479" s="235">
        <f t="shared" si="189"/>
        <v>13004.134080772486</v>
      </c>
      <c r="E479" s="235">
        <f t="shared" si="189"/>
        <v>13814.931102496765</v>
      </c>
      <c r="F479" s="235">
        <f t="shared" si="189"/>
        <v>15211.900381100379</v>
      </c>
      <c r="G479" s="235">
        <f t="shared" si="189"/>
        <v>16491.635208328124</v>
      </c>
      <c r="H479" s="235">
        <f t="shared" si="189"/>
        <v>17614.737992391267</v>
      </c>
      <c r="I479" s="235">
        <f t="shared" si="189"/>
        <v>20496.336506930853</v>
      </c>
      <c r="J479" s="235">
        <f t="shared" si="189"/>
        <v>20964.290740250104</v>
      </c>
      <c r="K479" s="235">
        <f t="shared" si="189"/>
        <v>20964.290740250104</v>
      </c>
      <c r="L479" s="235">
        <f t="shared" si="189"/>
        <v>21713.004889463969</v>
      </c>
      <c r="M479" s="235">
        <f t="shared" si="189"/>
        <v>22274.54576141476</v>
      </c>
      <c r="N479" s="235" t="s">
        <v>315</v>
      </c>
      <c r="O479" s="100" t="s">
        <v>313</v>
      </c>
    </row>
    <row r="480" spans="1:15">
      <c r="A480" s="242" t="s">
        <v>142</v>
      </c>
      <c r="B480" s="235">
        <f t="shared" si="188"/>
        <v>103825.92197520239</v>
      </c>
      <c r="C480" s="235">
        <f t="shared" si="189"/>
        <v>345843.11249353003</v>
      </c>
      <c r="D480" s="235">
        <f t="shared" si="189"/>
        <v>439271.41856206075</v>
      </c>
      <c r="E480" s="235">
        <f t="shared" si="189"/>
        <v>516198.35092590644</v>
      </c>
      <c r="F480" s="235">
        <f t="shared" si="189"/>
        <v>612610.76923082129</v>
      </c>
      <c r="G480" s="235">
        <f t="shared" si="189"/>
        <v>721597.34278718801</v>
      </c>
      <c r="H480" s="235">
        <f t="shared" si="189"/>
        <v>752913.47098442377</v>
      </c>
      <c r="I480" s="235">
        <f t="shared" si="189"/>
        <v>782074.47115365171</v>
      </c>
      <c r="J480" s="235">
        <f t="shared" si="189"/>
        <v>799591.72593138437</v>
      </c>
      <c r="K480" s="235">
        <f t="shared" si="189"/>
        <v>820369.60703594494</v>
      </c>
      <c r="L480" s="235">
        <f t="shared" si="189"/>
        <v>836697.38898895332</v>
      </c>
      <c r="M480" s="235">
        <f t="shared" si="189"/>
        <v>848210.03895671945</v>
      </c>
      <c r="N480" s="235" t="s">
        <v>315</v>
      </c>
      <c r="O480" s="100" t="s">
        <v>313</v>
      </c>
    </row>
    <row r="481" spans="1:15">
      <c r="A481" s="242" t="s">
        <v>143</v>
      </c>
      <c r="B481" s="235">
        <f t="shared" si="188"/>
        <v>1300667.4851363923</v>
      </c>
      <c r="C481" s="235">
        <f t="shared" si="189"/>
        <v>1813091.3282723152</v>
      </c>
      <c r="D481" s="235">
        <f t="shared" si="189"/>
        <v>2108091.3000089941</v>
      </c>
      <c r="E481" s="235">
        <f t="shared" si="189"/>
        <v>2417382.372958045</v>
      </c>
      <c r="F481" s="235">
        <f t="shared" si="189"/>
        <v>2859254.146345601</v>
      </c>
      <c r="G481" s="235">
        <f t="shared" si="189"/>
        <v>3072409.239333861</v>
      </c>
      <c r="H481" s="235">
        <f t="shared" si="189"/>
        <v>3183009.9753654972</v>
      </c>
      <c r="I481" s="235">
        <f t="shared" si="189"/>
        <v>3278455.8537651114</v>
      </c>
      <c r="J481" s="235">
        <f t="shared" si="189"/>
        <v>3329926.9743917733</v>
      </c>
      <c r="K481" s="235">
        <f t="shared" si="189"/>
        <v>3422384.3012194014</v>
      </c>
      <c r="L481" s="235">
        <f t="shared" si="189"/>
        <v>3484930.9757645275</v>
      </c>
      <c r="M481" s="235">
        <f t="shared" si="189"/>
        <v>3529812.6657836288</v>
      </c>
      <c r="N481" s="235" t="s">
        <v>315</v>
      </c>
      <c r="O481" s="100" t="s">
        <v>313</v>
      </c>
    </row>
    <row r="482" spans="1:15">
      <c r="A482" s="242" t="s">
        <v>144</v>
      </c>
      <c r="B482" s="235">
        <f t="shared" si="188"/>
        <v>13441.928686574913</v>
      </c>
      <c r="C482" s="235">
        <f t="shared" si="189"/>
        <v>28699.418450333003</v>
      </c>
      <c r="D482" s="235">
        <f t="shared" si="189"/>
        <v>41802.914851715272</v>
      </c>
      <c r="E482" s="235">
        <f t="shared" si="189"/>
        <v>51604.539262127466</v>
      </c>
      <c r="F482" s="235">
        <f t="shared" si="189"/>
        <v>59379.211342185292</v>
      </c>
      <c r="G482" s="235">
        <f t="shared" si="189"/>
        <v>66480.592627941704</v>
      </c>
      <c r="H482" s="235">
        <f t="shared" si="189"/>
        <v>67913.363310344983</v>
      </c>
      <c r="I482" s="235">
        <f t="shared" si="189"/>
        <v>71453.601606552795</v>
      </c>
      <c r="J482" s="235">
        <f t="shared" si="189"/>
        <v>74039.057309187527</v>
      </c>
      <c r="K482" s="235">
        <f t="shared" si="189"/>
        <v>75997.316821400076</v>
      </c>
      <c r="L482" s="235">
        <f t="shared" si="189"/>
        <v>78851.398697713797</v>
      </c>
      <c r="M482" s="235">
        <f t="shared" si="189"/>
        <v>79574.041631767584</v>
      </c>
      <c r="N482" s="235" t="s">
        <v>315</v>
      </c>
      <c r="O482" s="100" t="s">
        <v>313</v>
      </c>
    </row>
    <row r="483" spans="1:15">
      <c r="A483" s="242" t="s">
        <v>145</v>
      </c>
      <c r="B483" s="235">
        <f t="shared" si="188"/>
        <v>10428.225989355118</v>
      </c>
      <c r="C483" s="235">
        <f t="shared" si="189"/>
        <v>24402.529040545167</v>
      </c>
      <c r="D483" s="235">
        <f t="shared" si="189"/>
        <v>33770.727302393505</v>
      </c>
      <c r="E483" s="235">
        <f t="shared" si="189"/>
        <v>38176.430661713224</v>
      </c>
      <c r="F483" s="235">
        <f t="shared" si="189"/>
        <v>46512.176737585556</v>
      </c>
      <c r="G483" s="235">
        <f t="shared" si="189"/>
        <v>62636.610989611974</v>
      </c>
      <c r="H483" s="235">
        <f t="shared" si="189"/>
        <v>71449.545482225236</v>
      </c>
      <c r="I483" s="235">
        <f t="shared" si="189"/>
        <v>76595.814754136169</v>
      </c>
      <c r="J483" s="235">
        <f t="shared" si="189"/>
        <v>80947.240109632912</v>
      </c>
      <c r="K483" s="235">
        <f t="shared" si="189"/>
        <v>86018.668296516262</v>
      </c>
      <c r="L483" s="235">
        <f t="shared" si="189"/>
        <v>89911.043626496365</v>
      </c>
      <c r="M483" s="235">
        <f t="shared" si="189"/>
        <v>94102.946143046574</v>
      </c>
      <c r="N483" s="235" t="s">
        <v>315</v>
      </c>
      <c r="O483" s="100" t="s">
        <v>313</v>
      </c>
    </row>
    <row r="484" spans="1:15">
      <c r="A484" s="242" t="s">
        <v>119</v>
      </c>
      <c r="B484" s="235">
        <f>AF107</f>
        <v>359.55200000000002</v>
      </c>
      <c r="C484" s="235">
        <f t="shared" ref="C484:M499" si="190">AG107</f>
        <v>573.06400000000008</v>
      </c>
      <c r="D484" s="235">
        <f t="shared" si="190"/>
        <v>897.04000000000019</v>
      </c>
      <c r="E484" s="235">
        <f t="shared" si="190"/>
        <v>1292.1680000000001</v>
      </c>
      <c r="F484" s="235">
        <f t="shared" si="190"/>
        <v>0</v>
      </c>
      <c r="G484" s="235">
        <f t="shared" si="190"/>
        <v>0</v>
      </c>
      <c r="H484" s="235">
        <f t="shared" si="190"/>
        <v>0</v>
      </c>
      <c r="I484" s="235">
        <f t="shared" si="190"/>
        <v>0</v>
      </c>
      <c r="J484" s="235">
        <f t="shared" si="190"/>
        <v>0</v>
      </c>
      <c r="K484" s="235">
        <f t="shared" si="190"/>
        <v>0</v>
      </c>
      <c r="L484" s="235">
        <f t="shared" si="190"/>
        <v>0</v>
      </c>
      <c r="M484" s="235">
        <f t="shared" si="190"/>
        <v>0</v>
      </c>
      <c r="N484" s="235" t="s">
        <v>210</v>
      </c>
      <c r="O484" s="100" t="s">
        <v>285</v>
      </c>
    </row>
    <row r="485" spans="1:15">
      <c r="A485" s="242" t="s">
        <v>120</v>
      </c>
      <c r="B485" s="235">
        <f t="shared" ref="B485:B510" si="191">AF108</f>
        <v>170.81600000000003</v>
      </c>
      <c r="C485" s="235">
        <f t="shared" si="190"/>
        <v>884.7120000000001</v>
      </c>
      <c r="D485" s="235">
        <f t="shared" si="190"/>
        <v>884.7120000000001</v>
      </c>
      <c r="E485" s="235">
        <f t="shared" si="190"/>
        <v>955.87200000000007</v>
      </c>
      <c r="F485" s="235">
        <f t="shared" si="190"/>
        <v>0</v>
      </c>
      <c r="G485" s="235">
        <f t="shared" si="190"/>
        <v>0</v>
      </c>
      <c r="H485" s="235">
        <f t="shared" si="190"/>
        <v>0</v>
      </c>
      <c r="I485" s="235">
        <f t="shared" si="190"/>
        <v>0</v>
      </c>
      <c r="J485" s="235">
        <f t="shared" si="190"/>
        <v>0</v>
      </c>
      <c r="K485" s="235">
        <f t="shared" si="190"/>
        <v>0</v>
      </c>
      <c r="L485" s="235">
        <f t="shared" si="190"/>
        <v>0</v>
      </c>
      <c r="M485" s="235">
        <f t="shared" si="190"/>
        <v>0</v>
      </c>
      <c r="N485" s="235" t="s">
        <v>210</v>
      </c>
      <c r="O485" s="100" t="s">
        <v>285</v>
      </c>
    </row>
    <row r="486" spans="1:15">
      <c r="A486" s="242" t="s">
        <v>121</v>
      </c>
      <c r="B486" s="235">
        <f t="shared" si="191"/>
        <v>651.50400000000002</v>
      </c>
      <c r="C486" s="235">
        <f t="shared" si="190"/>
        <v>999.49600000000009</v>
      </c>
      <c r="D486" s="235">
        <f t="shared" si="190"/>
        <v>1965.6320000000001</v>
      </c>
      <c r="E486" s="235">
        <f t="shared" si="190"/>
        <v>2034.6320000000001</v>
      </c>
      <c r="F486" s="235">
        <f t="shared" si="190"/>
        <v>0</v>
      </c>
      <c r="G486" s="235">
        <f t="shared" si="190"/>
        <v>0</v>
      </c>
      <c r="H486" s="235">
        <f t="shared" si="190"/>
        <v>0</v>
      </c>
      <c r="I486" s="235">
        <f t="shared" si="190"/>
        <v>0</v>
      </c>
      <c r="J486" s="235">
        <f t="shared" si="190"/>
        <v>0</v>
      </c>
      <c r="K486" s="235">
        <f t="shared" si="190"/>
        <v>0</v>
      </c>
      <c r="L486" s="235">
        <f t="shared" si="190"/>
        <v>0</v>
      </c>
      <c r="M486" s="235">
        <f t="shared" si="190"/>
        <v>0</v>
      </c>
      <c r="N486" s="235" t="s">
        <v>210</v>
      </c>
      <c r="O486" s="100" t="s">
        <v>285</v>
      </c>
    </row>
    <row r="487" spans="1:15">
      <c r="A487" s="242" t="s">
        <v>122</v>
      </c>
      <c r="B487" s="235">
        <f t="shared" si="191"/>
        <v>2647.2000000000003</v>
      </c>
      <c r="C487" s="235">
        <f t="shared" si="190"/>
        <v>3558.9120000000003</v>
      </c>
      <c r="D487" s="235">
        <f t="shared" si="190"/>
        <v>4841.3760000000002</v>
      </c>
      <c r="E487" s="235">
        <f t="shared" si="190"/>
        <v>6920.6880000000001</v>
      </c>
      <c r="F487" s="235">
        <f t="shared" si="190"/>
        <v>0</v>
      </c>
      <c r="G487" s="235">
        <f t="shared" si="190"/>
        <v>0</v>
      </c>
      <c r="H487" s="235">
        <f t="shared" si="190"/>
        <v>0</v>
      </c>
      <c r="I487" s="235">
        <f t="shared" si="190"/>
        <v>0</v>
      </c>
      <c r="J487" s="235">
        <f t="shared" si="190"/>
        <v>0</v>
      </c>
      <c r="K487" s="235">
        <f t="shared" si="190"/>
        <v>0</v>
      </c>
      <c r="L487" s="235">
        <f t="shared" si="190"/>
        <v>0</v>
      </c>
      <c r="M487" s="235">
        <f t="shared" si="190"/>
        <v>0</v>
      </c>
      <c r="N487" s="235" t="s">
        <v>210</v>
      </c>
      <c r="O487" s="100" t="s">
        <v>285</v>
      </c>
    </row>
    <row r="488" spans="1:15">
      <c r="A488" s="242" t="s">
        <v>123</v>
      </c>
      <c r="B488" s="235">
        <f t="shared" si="191"/>
        <v>2252.4080000000004</v>
      </c>
      <c r="C488" s="235">
        <f t="shared" si="190"/>
        <v>5920.0640000000003</v>
      </c>
      <c r="D488" s="235">
        <f t="shared" si="190"/>
        <v>12143.632000000001</v>
      </c>
      <c r="E488" s="235">
        <f t="shared" si="190"/>
        <v>14547.712000000001</v>
      </c>
      <c r="F488" s="235">
        <f t="shared" si="190"/>
        <v>0</v>
      </c>
      <c r="G488" s="235">
        <f t="shared" si="190"/>
        <v>0</v>
      </c>
      <c r="H488" s="235">
        <f t="shared" si="190"/>
        <v>0</v>
      </c>
      <c r="I488" s="235">
        <f t="shared" si="190"/>
        <v>0</v>
      </c>
      <c r="J488" s="235">
        <f t="shared" si="190"/>
        <v>0</v>
      </c>
      <c r="K488" s="235">
        <f t="shared" si="190"/>
        <v>0</v>
      </c>
      <c r="L488" s="235">
        <f t="shared" si="190"/>
        <v>0</v>
      </c>
      <c r="M488" s="235">
        <f t="shared" si="190"/>
        <v>0</v>
      </c>
      <c r="N488" s="235" t="s">
        <v>210</v>
      </c>
      <c r="O488" s="100" t="s">
        <v>285</v>
      </c>
    </row>
    <row r="489" spans="1:15">
      <c r="A489" s="242" t="s">
        <v>124</v>
      </c>
      <c r="B489" s="235">
        <f t="shared" si="191"/>
        <v>2246.3679999999999</v>
      </c>
      <c r="C489" s="235">
        <f t="shared" si="190"/>
        <v>4687.08</v>
      </c>
      <c r="D489" s="235">
        <f t="shared" si="190"/>
        <v>5768.5439999999999</v>
      </c>
      <c r="E489" s="235">
        <f t="shared" si="190"/>
        <v>6519.12</v>
      </c>
      <c r="F489" s="235">
        <f t="shared" si="190"/>
        <v>0</v>
      </c>
      <c r="G489" s="235">
        <f t="shared" si="190"/>
        <v>0</v>
      </c>
      <c r="H489" s="235">
        <f t="shared" si="190"/>
        <v>0</v>
      </c>
      <c r="I489" s="235">
        <f t="shared" si="190"/>
        <v>0</v>
      </c>
      <c r="J489" s="235">
        <f t="shared" si="190"/>
        <v>0</v>
      </c>
      <c r="K489" s="235">
        <f t="shared" si="190"/>
        <v>0</v>
      </c>
      <c r="L489" s="235">
        <f t="shared" si="190"/>
        <v>0</v>
      </c>
      <c r="M489" s="235">
        <f t="shared" si="190"/>
        <v>0</v>
      </c>
      <c r="N489" s="235" t="s">
        <v>210</v>
      </c>
      <c r="O489" s="100" t="s">
        <v>285</v>
      </c>
    </row>
    <row r="490" spans="1:15">
      <c r="A490" s="242" t="s">
        <v>125</v>
      </c>
      <c r="B490" s="235">
        <f t="shared" si="191"/>
        <v>2993.28</v>
      </c>
      <c r="C490" s="235">
        <f t="shared" si="190"/>
        <v>8422.4480000000003</v>
      </c>
      <c r="D490" s="235">
        <f t="shared" si="190"/>
        <v>15380.432000000001</v>
      </c>
      <c r="E490" s="235">
        <f t="shared" si="190"/>
        <v>22435.864000000001</v>
      </c>
      <c r="F490" s="235">
        <f t="shared" si="190"/>
        <v>0</v>
      </c>
      <c r="G490" s="235">
        <f t="shared" si="190"/>
        <v>0</v>
      </c>
      <c r="H490" s="235">
        <f t="shared" si="190"/>
        <v>0</v>
      </c>
      <c r="I490" s="235">
        <f t="shared" si="190"/>
        <v>0</v>
      </c>
      <c r="J490" s="235">
        <f t="shared" si="190"/>
        <v>0</v>
      </c>
      <c r="K490" s="235">
        <f t="shared" si="190"/>
        <v>0</v>
      </c>
      <c r="L490" s="235">
        <f t="shared" si="190"/>
        <v>0</v>
      </c>
      <c r="M490" s="235">
        <f t="shared" si="190"/>
        <v>0</v>
      </c>
      <c r="N490" s="235" t="s">
        <v>210</v>
      </c>
      <c r="O490" s="100" t="s">
        <v>285</v>
      </c>
    </row>
    <row r="491" spans="1:15">
      <c r="A491" s="242" t="s">
        <v>126</v>
      </c>
      <c r="B491" s="235">
        <f t="shared" si="191"/>
        <v>4434.9920000000002</v>
      </c>
      <c r="C491" s="235">
        <f t="shared" si="190"/>
        <v>8013.52</v>
      </c>
      <c r="D491" s="235">
        <f t="shared" si="190"/>
        <v>10555.384</v>
      </c>
      <c r="E491" s="235">
        <f t="shared" si="190"/>
        <v>12791.136</v>
      </c>
      <c r="F491" s="235">
        <f t="shared" si="190"/>
        <v>0</v>
      </c>
      <c r="G491" s="235">
        <f t="shared" si="190"/>
        <v>0</v>
      </c>
      <c r="H491" s="235">
        <f t="shared" si="190"/>
        <v>0</v>
      </c>
      <c r="I491" s="235">
        <f t="shared" si="190"/>
        <v>0</v>
      </c>
      <c r="J491" s="235">
        <f t="shared" si="190"/>
        <v>0</v>
      </c>
      <c r="K491" s="235">
        <f t="shared" si="190"/>
        <v>0</v>
      </c>
      <c r="L491" s="235">
        <f t="shared" si="190"/>
        <v>0</v>
      </c>
      <c r="M491" s="235">
        <f t="shared" si="190"/>
        <v>0</v>
      </c>
      <c r="N491" s="235" t="s">
        <v>210</v>
      </c>
      <c r="O491" s="100" t="s">
        <v>285</v>
      </c>
    </row>
    <row r="492" spans="1:15">
      <c r="A492" s="242" t="s">
        <v>127</v>
      </c>
      <c r="B492" s="235">
        <f t="shared" si="191"/>
        <v>3329.4480000000003</v>
      </c>
      <c r="C492" s="235">
        <f t="shared" si="190"/>
        <v>9149.2000000000007</v>
      </c>
      <c r="D492" s="235">
        <f t="shared" si="190"/>
        <v>10715.368</v>
      </c>
      <c r="E492" s="235">
        <f t="shared" si="190"/>
        <v>12989.720000000001</v>
      </c>
      <c r="F492" s="235">
        <f t="shared" si="190"/>
        <v>0</v>
      </c>
      <c r="G492" s="235">
        <f t="shared" si="190"/>
        <v>0</v>
      </c>
      <c r="H492" s="235">
        <f t="shared" si="190"/>
        <v>0</v>
      </c>
      <c r="I492" s="235">
        <f t="shared" si="190"/>
        <v>0</v>
      </c>
      <c r="J492" s="235">
        <f t="shared" si="190"/>
        <v>0</v>
      </c>
      <c r="K492" s="235">
        <f t="shared" si="190"/>
        <v>0</v>
      </c>
      <c r="L492" s="235">
        <f t="shared" si="190"/>
        <v>0</v>
      </c>
      <c r="M492" s="235">
        <f t="shared" si="190"/>
        <v>0</v>
      </c>
      <c r="N492" s="235" t="s">
        <v>210</v>
      </c>
      <c r="O492" s="100" t="s">
        <v>285</v>
      </c>
    </row>
    <row r="493" spans="1:15">
      <c r="A493" s="242" t="s">
        <v>128</v>
      </c>
      <c r="B493" s="235">
        <f t="shared" si="191"/>
        <v>1783.68</v>
      </c>
      <c r="C493" s="235">
        <f t="shared" si="190"/>
        <v>2548.328</v>
      </c>
      <c r="D493" s="235">
        <f t="shared" si="190"/>
        <v>4768.5200000000004</v>
      </c>
      <c r="E493" s="235">
        <f t="shared" si="190"/>
        <v>5524.7920000000004</v>
      </c>
      <c r="F493" s="235">
        <f t="shared" si="190"/>
        <v>0</v>
      </c>
      <c r="G493" s="235">
        <f t="shared" si="190"/>
        <v>0</v>
      </c>
      <c r="H493" s="235">
        <f t="shared" si="190"/>
        <v>0</v>
      </c>
      <c r="I493" s="235">
        <f t="shared" si="190"/>
        <v>0</v>
      </c>
      <c r="J493" s="235">
        <f t="shared" si="190"/>
        <v>0</v>
      </c>
      <c r="K493" s="235">
        <f t="shared" si="190"/>
        <v>0</v>
      </c>
      <c r="L493" s="235">
        <f t="shared" si="190"/>
        <v>0</v>
      </c>
      <c r="M493" s="235">
        <f t="shared" si="190"/>
        <v>0</v>
      </c>
      <c r="N493" s="235" t="s">
        <v>210</v>
      </c>
      <c r="O493" s="100" t="s">
        <v>285</v>
      </c>
    </row>
    <row r="494" spans="1:15">
      <c r="A494" s="242" t="s">
        <v>129</v>
      </c>
      <c r="B494" s="235">
        <f t="shared" si="191"/>
        <v>1838.92</v>
      </c>
      <c r="C494" s="235">
        <f t="shared" si="190"/>
        <v>3662.1760000000004</v>
      </c>
      <c r="D494" s="235">
        <f t="shared" si="190"/>
        <v>3853.5280000000002</v>
      </c>
      <c r="E494" s="235">
        <f t="shared" si="190"/>
        <v>4750.808</v>
      </c>
      <c r="F494" s="235">
        <f t="shared" si="190"/>
        <v>0</v>
      </c>
      <c r="G494" s="235">
        <f t="shared" si="190"/>
        <v>0</v>
      </c>
      <c r="H494" s="235">
        <f t="shared" si="190"/>
        <v>0</v>
      </c>
      <c r="I494" s="235">
        <f t="shared" si="190"/>
        <v>0</v>
      </c>
      <c r="J494" s="235">
        <f t="shared" si="190"/>
        <v>0</v>
      </c>
      <c r="K494" s="235">
        <f t="shared" si="190"/>
        <v>0</v>
      </c>
      <c r="L494" s="235">
        <f t="shared" si="190"/>
        <v>0</v>
      </c>
      <c r="M494" s="235">
        <f t="shared" si="190"/>
        <v>0</v>
      </c>
      <c r="N494" s="235" t="s">
        <v>210</v>
      </c>
      <c r="O494" s="100" t="s">
        <v>285</v>
      </c>
    </row>
    <row r="495" spans="1:15">
      <c r="A495" s="242" t="s">
        <v>130</v>
      </c>
      <c r="B495" s="235">
        <f t="shared" si="191"/>
        <v>3473.9519999999998</v>
      </c>
      <c r="C495" s="235">
        <f t="shared" si="190"/>
        <v>5696.808</v>
      </c>
      <c r="D495" s="235">
        <f t="shared" si="190"/>
        <v>7430.16</v>
      </c>
      <c r="E495" s="235">
        <f t="shared" si="190"/>
        <v>9390.8320000000003</v>
      </c>
      <c r="F495" s="235">
        <f t="shared" si="190"/>
        <v>0</v>
      </c>
      <c r="G495" s="235">
        <f t="shared" si="190"/>
        <v>0</v>
      </c>
      <c r="H495" s="235">
        <f t="shared" si="190"/>
        <v>0</v>
      </c>
      <c r="I495" s="235">
        <f t="shared" si="190"/>
        <v>0</v>
      </c>
      <c r="J495" s="235">
        <f t="shared" si="190"/>
        <v>0</v>
      </c>
      <c r="K495" s="235">
        <f t="shared" si="190"/>
        <v>0</v>
      </c>
      <c r="L495" s="235">
        <f t="shared" si="190"/>
        <v>0</v>
      </c>
      <c r="M495" s="235">
        <f t="shared" si="190"/>
        <v>0</v>
      </c>
      <c r="N495" s="235" t="s">
        <v>210</v>
      </c>
      <c r="O495" s="100" t="s">
        <v>285</v>
      </c>
    </row>
    <row r="496" spans="1:15">
      <c r="A496" s="242" t="s">
        <v>131</v>
      </c>
      <c r="B496" s="235">
        <f t="shared" si="191"/>
        <v>17934.583999999999</v>
      </c>
      <c r="C496" s="235">
        <f t="shared" si="190"/>
        <v>37328.016000000003</v>
      </c>
      <c r="D496" s="235">
        <f t="shared" si="190"/>
        <v>53204.392000000007</v>
      </c>
      <c r="E496" s="235">
        <f t="shared" si="190"/>
        <v>69245.464000000007</v>
      </c>
      <c r="F496" s="235">
        <f t="shared" si="190"/>
        <v>0</v>
      </c>
      <c r="G496" s="235">
        <f t="shared" si="190"/>
        <v>0</v>
      </c>
      <c r="H496" s="235">
        <f t="shared" si="190"/>
        <v>0</v>
      </c>
      <c r="I496" s="235">
        <f t="shared" si="190"/>
        <v>0</v>
      </c>
      <c r="J496" s="235">
        <f t="shared" si="190"/>
        <v>0</v>
      </c>
      <c r="K496" s="235">
        <f t="shared" si="190"/>
        <v>0</v>
      </c>
      <c r="L496" s="235">
        <f t="shared" si="190"/>
        <v>0</v>
      </c>
      <c r="M496" s="235">
        <f t="shared" si="190"/>
        <v>0</v>
      </c>
      <c r="N496" s="235" t="s">
        <v>210</v>
      </c>
      <c r="O496" s="100" t="s">
        <v>285</v>
      </c>
    </row>
    <row r="497" spans="1:15">
      <c r="A497" s="242" t="s">
        <v>132</v>
      </c>
      <c r="B497" s="235">
        <f t="shared" si="191"/>
        <v>1931.4160000000002</v>
      </c>
      <c r="C497" s="235">
        <f t="shared" si="190"/>
        <v>5865.9600000000009</v>
      </c>
      <c r="D497" s="235">
        <f t="shared" si="190"/>
        <v>8360.728000000001</v>
      </c>
      <c r="E497" s="235">
        <f t="shared" si="190"/>
        <v>11245.432000000001</v>
      </c>
      <c r="F497" s="235">
        <f t="shared" si="190"/>
        <v>0</v>
      </c>
      <c r="G497" s="235">
        <f t="shared" si="190"/>
        <v>0</v>
      </c>
      <c r="H497" s="235">
        <f t="shared" si="190"/>
        <v>0</v>
      </c>
      <c r="I497" s="235">
        <f t="shared" si="190"/>
        <v>0</v>
      </c>
      <c r="J497" s="235">
        <f t="shared" si="190"/>
        <v>0</v>
      </c>
      <c r="K497" s="235">
        <f t="shared" si="190"/>
        <v>0</v>
      </c>
      <c r="L497" s="235">
        <f t="shared" si="190"/>
        <v>0</v>
      </c>
      <c r="M497" s="235">
        <f t="shared" si="190"/>
        <v>0</v>
      </c>
      <c r="N497" s="235" t="s">
        <v>210</v>
      </c>
      <c r="O497" s="100" t="s">
        <v>285</v>
      </c>
    </row>
    <row r="498" spans="1:15">
      <c r="A498" s="242" t="s">
        <v>133</v>
      </c>
      <c r="B498" s="235">
        <f t="shared" si="191"/>
        <v>2481.5520000000001</v>
      </c>
      <c r="C498" s="235">
        <f t="shared" si="190"/>
        <v>5794.1840000000002</v>
      </c>
      <c r="D498" s="235">
        <f t="shared" si="190"/>
        <v>7834.2880000000005</v>
      </c>
      <c r="E498" s="235">
        <f t="shared" si="190"/>
        <v>8589.4160000000011</v>
      </c>
      <c r="F498" s="235">
        <f t="shared" si="190"/>
        <v>0</v>
      </c>
      <c r="G498" s="235">
        <f t="shared" si="190"/>
        <v>0</v>
      </c>
      <c r="H498" s="235">
        <f t="shared" si="190"/>
        <v>0</v>
      </c>
      <c r="I498" s="235">
        <f t="shared" si="190"/>
        <v>0</v>
      </c>
      <c r="J498" s="235">
        <f t="shared" si="190"/>
        <v>0</v>
      </c>
      <c r="K498" s="235">
        <f t="shared" si="190"/>
        <v>0</v>
      </c>
      <c r="L498" s="235">
        <f t="shared" si="190"/>
        <v>0</v>
      </c>
      <c r="M498" s="235">
        <f t="shared" si="190"/>
        <v>0</v>
      </c>
      <c r="N498" s="235" t="s">
        <v>210</v>
      </c>
      <c r="O498" s="100" t="s">
        <v>285</v>
      </c>
    </row>
    <row r="499" spans="1:15">
      <c r="A499" s="242" t="s">
        <v>134</v>
      </c>
      <c r="B499" s="235">
        <f t="shared" si="191"/>
        <v>19684.800000000003</v>
      </c>
      <c r="C499" s="235">
        <f t="shared" si="190"/>
        <v>33688.44</v>
      </c>
      <c r="D499" s="235">
        <f t="shared" si="190"/>
        <v>44573.696000000004</v>
      </c>
      <c r="E499" s="235">
        <f t="shared" si="190"/>
        <v>62118</v>
      </c>
      <c r="F499" s="235">
        <f t="shared" si="190"/>
        <v>0</v>
      </c>
      <c r="G499" s="235">
        <f t="shared" si="190"/>
        <v>0</v>
      </c>
      <c r="H499" s="235">
        <f t="shared" si="190"/>
        <v>0</v>
      </c>
      <c r="I499" s="235">
        <f t="shared" si="190"/>
        <v>0</v>
      </c>
      <c r="J499" s="235">
        <f t="shared" si="190"/>
        <v>0</v>
      </c>
      <c r="K499" s="235">
        <f t="shared" si="190"/>
        <v>0</v>
      </c>
      <c r="L499" s="235">
        <f t="shared" si="190"/>
        <v>0</v>
      </c>
      <c r="M499" s="235">
        <f t="shared" si="190"/>
        <v>0</v>
      </c>
      <c r="N499" s="235" t="s">
        <v>210</v>
      </c>
      <c r="O499" s="100" t="s">
        <v>285</v>
      </c>
    </row>
    <row r="500" spans="1:15">
      <c r="A500" s="242" t="s">
        <v>135</v>
      </c>
      <c r="B500" s="235">
        <f t="shared" si="191"/>
        <v>4457.6480000000001</v>
      </c>
      <c r="C500" s="235">
        <f t="shared" ref="C500:C510" si="192">AG123</f>
        <v>10043.960000000001</v>
      </c>
      <c r="D500" s="235">
        <f t="shared" ref="D500:D510" si="193">AH123</f>
        <v>11964.816000000001</v>
      </c>
      <c r="E500" s="235">
        <f t="shared" ref="E500:E510" si="194">AI123</f>
        <v>16284.056</v>
      </c>
      <c r="F500" s="235">
        <f t="shared" ref="F500:F510" si="195">AJ123</f>
        <v>0</v>
      </c>
      <c r="G500" s="235">
        <f t="shared" ref="G500:G510" si="196">AK123</f>
        <v>0</v>
      </c>
      <c r="H500" s="235">
        <f t="shared" ref="H500:H510" si="197">AL123</f>
        <v>0</v>
      </c>
      <c r="I500" s="235">
        <f t="shared" ref="I500:I510" si="198">AM123</f>
        <v>0</v>
      </c>
      <c r="J500" s="235">
        <f t="shared" ref="J500:J510" si="199">AN123</f>
        <v>0</v>
      </c>
      <c r="K500" s="235">
        <f t="shared" ref="K500:K510" si="200">AO123</f>
        <v>0</v>
      </c>
      <c r="L500" s="235">
        <f t="shared" ref="L500:L510" si="201">AP123</f>
        <v>0</v>
      </c>
      <c r="M500" s="235">
        <f t="shared" ref="M500:M510" si="202">AQ123</f>
        <v>0</v>
      </c>
      <c r="N500" s="235" t="s">
        <v>210</v>
      </c>
      <c r="O500" s="100" t="s">
        <v>285</v>
      </c>
    </row>
    <row r="501" spans="1:15">
      <c r="A501" s="242" t="s">
        <v>136</v>
      </c>
      <c r="B501" s="235">
        <f t="shared" si="191"/>
        <v>936.25599999999997</v>
      </c>
      <c r="C501" s="235">
        <f t="shared" si="192"/>
        <v>1071.152</v>
      </c>
      <c r="D501" s="235">
        <f t="shared" si="193"/>
        <v>1255.8720000000001</v>
      </c>
      <c r="E501" s="235">
        <f t="shared" si="194"/>
        <v>1501.6000000000001</v>
      </c>
      <c r="F501" s="235">
        <f t="shared" si="195"/>
        <v>0</v>
      </c>
      <c r="G501" s="235">
        <f t="shared" si="196"/>
        <v>0</v>
      </c>
      <c r="H501" s="235">
        <f t="shared" si="197"/>
        <v>0</v>
      </c>
      <c r="I501" s="235">
        <f t="shared" si="198"/>
        <v>0</v>
      </c>
      <c r="J501" s="235">
        <f t="shared" si="199"/>
        <v>0</v>
      </c>
      <c r="K501" s="235">
        <f t="shared" si="200"/>
        <v>0</v>
      </c>
      <c r="L501" s="235">
        <f t="shared" si="201"/>
        <v>0</v>
      </c>
      <c r="M501" s="235">
        <f t="shared" si="202"/>
        <v>0</v>
      </c>
      <c r="N501" s="235" t="s">
        <v>210</v>
      </c>
      <c r="O501" s="100" t="s">
        <v>285</v>
      </c>
    </row>
    <row r="502" spans="1:15">
      <c r="A502" s="242" t="s">
        <v>137</v>
      </c>
      <c r="B502" s="235">
        <f t="shared" si="191"/>
        <v>18427.489999999998</v>
      </c>
      <c r="C502" s="235">
        <f t="shared" si="192"/>
        <v>36373.745999999999</v>
      </c>
      <c r="D502" s="235">
        <f t="shared" si="193"/>
        <v>44940.137999999999</v>
      </c>
      <c r="E502" s="235">
        <f t="shared" si="194"/>
        <v>56500.298000000003</v>
      </c>
      <c r="F502" s="235">
        <f t="shared" si="195"/>
        <v>0</v>
      </c>
      <c r="G502" s="235">
        <f t="shared" si="196"/>
        <v>0</v>
      </c>
      <c r="H502" s="235">
        <f t="shared" si="197"/>
        <v>0</v>
      </c>
      <c r="I502" s="235">
        <f t="shared" si="198"/>
        <v>0</v>
      </c>
      <c r="J502" s="235">
        <f t="shared" si="199"/>
        <v>0</v>
      </c>
      <c r="K502" s="235">
        <f t="shared" si="200"/>
        <v>0</v>
      </c>
      <c r="L502" s="235">
        <f t="shared" si="201"/>
        <v>0</v>
      </c>
      <c r="M502" s="235">
        <f t="shared" si="202"/>
        <v>0</v>
      </c>
      <c r="N502" s="235" t="s">
        <v>210</v>
      </c>
      <c r="O502" s="100" t="s">
        <v>285</v>
      </c>
    </row>
    <row r="503" spans="1:15">
      <c r="A503" s="242" t="s">
        <v>138</v>
      </c>
      <c r="B503" s="235">
        <f t="shared" si="191"/>
        <v>1128.3600000000001</v>
      </c>
      <c r="C503" s="235">
        <f t="shared" si="192"/>
        <v>4583.4880000000003</v>
      </c>
      <c r="D503" s="235">
        <f t="shared" si="193"/>
        <v>5566.8080000000009</v>
      </c>
      <c r="E503" s="235">
        <f t="shared" si="194"/>
        <v>7149.5760000000009</v>
      </c>
      <c r="F503" s="235">
        <f t="shared" si="195"/>
        <v>0</v>
      </c>
      <c r="G503" s="235">
        <f t="shared" si="196"/>
        <v>0</v>
      </c>
      <c r="H503" s="235">
        <f t="shared" si="197"/>
        <v>0</v>
      </c>
      <c r="I503" s="235">
        <f t="shared" si="198"/>
        <v>0</v>
      </c>
      <c r="J503" s="235">
        <f t="shared" si="199"/>
        <v>0</v>
      </c>
      <c r="K503" s="235">
        <f t="shared" si="200"/>
        <v>0</v>
      </c>
      <c r="L503" s="235">
        <f t="shared" si="201"/>
        <v>0</v>
      </c>
      <c r="M503" s="235">
        <f t="shared" si="202"/>
        <v>0</v>
      </c>
      <c r="N503" s="235" t="s">
        <v>210</v>
      </c>
      <c r="O503" s="100" t="s">
        <v>285</v>
      </c>
    </row>
    <row r="504" spans="1:15">
      <c r="A504" s="242" t="s">
        <v>139</v>
      </c>
      <c r="B504" s="235">
        <f t="shared" si="191"/>
        <v>21485.028000000002</v>
      </c>
      <c r="C504" s="235">
        <f t="shared" si="192"/>
        <v>44703.604000000007</v>
      </c>
      <c r="D504" s="235">
        <f t="shared" si="193"/>
        <v>60995.406000000003</v>
      </c>
      <c r="E504" s="235">
        <f t="shared" si="194"/>
        <v>83099.662000000011</v>
      </c>
      <c r="F504" s="235">
        <f t="shared" si="195"/>
        <v>0</v>
      </c>
      <c r="G504" s="235">
        <f t="shared" si="196"/>
        <v>0</v>
      </c>
      <c r="H504" s="235">
        <f t="shared" si="197"/>
        <v>0</v>
      </c>
      <c r="I504" s="235">
        <f t="shared" si="198"/>
        <v>0</v>
      </c>
      <c r="J504" s="235">
        <f t="shared" si="199"/>
        <v>0</v>
      </c>
      <c r="K504" s="235">
        <f t="shared" si="200"/>
        <v>0</v>
      </c>
      <c r="L504" s="235">
        <f t="shared" si="201"/>
        <v>0</v>
      </c>
      <c r="M504" s="235">
        <f t="shared" si="202"/>
        <v>0</v>
      </c>
      <c r="N504" s="235" t="s">
        <v>210</v>
      </c>
      <c r="O504" s="100" t="s">
        <v>285</v>
      </c>
    </row>
    <row r="505" spans="1:15">
      <c r="A505" s="242" t="s">
        <v>140</v>
      </c>
      <c r="B505" s="235">
        <f t="shared" si="191"/>
        <v>828.5440000000001</v>
      </c>
      <c r="C505" s="235">
        <f t="shared" si="192"/>
        <v>1752.4160000000002</v>
      </c>
      <c r="D505" s="235">
        <f t="shared" si="193"/>
        <v>2335.8720000000003</v>
      </c>
      <c r="E505" s="235">
        <f t="shared" si="194"/>
        <v>3695.0320000000002</v>
      </c>
      <c r="F505" s="235">
        <f t="shared" si="195"/>
        <v>0</v>
      </c>
      <c r="G505" s="235">
        <f t="shared" si="196"/>
        <v>0</v>
      </c>
      <c r="H505" s="235">
        <f t="shared" si="197"/>
        <v>0</v>
      </c>
      <c r="I505" s="235">
        <f t="shared" si="198"/>
        <v>0</v>
      </c>
      <c r="J505" s="235">
        <f t="shared" si="199"/>
        <v>0</v>
      </c>
      <c r="K505" s="235">
        <f t="shared" si="200"/>
        <v>0</v>
      </c>
      <c r="L505" s="235">
        <f t="shared" si="201"/>
        <v>0</v>
      </c>
      <c r="M505" s="235">
        <f t="shared" si="202"/>
        <v>0</v>
      </c>
      <c r="N505" s="235" t="s">
        <v>210</v>
      </c>
      <c r="O505" s="100" t="s">
        <v>285</v>
      </c>
    </row>
    <row r="506" spans="1:15">
      <c r="A506" s="242" t="s">
        <v>141</v>
      </c>
      <c r="B506" s="235">
        <f t="shared" si="191"/>
        <v>0</v>
      </c>
      <c r="C506" s="235">
        <f t="shared" si="192"/>
        <v>67.84</v>
      </c>
      <c r="D506" s="235">
        <f t="shared" si="193"/>
        <v>67.84</v>
      </c>
      <c r="E506" s="235">
        <f t="shared" si="194"/>
        <v>152.43200000000002</v>
      </c>
      <c r="F506" s="235">
        <f t="shared" si="195"/>
        <v>0</v>
      </c>
      <c r="G506" s="235">
        <f t="shared" si="196"/>
        <v>0</v>
      </c>
      <c r="H506" s="235">
        <f t="shared" si="197"/>
        <v>0</v>
      </c>
      <c r="I506" s="235">
        <f t="shared" si="198"/>
        <v>0</v>
      </c>
      <c r="J506" s="235">
        <f t="shared" si="199"/>
        <v>0</v>
      </c>
      <c r="K506" s="235">
        <f t="shared" si="200"/>
        <v>0</v>
      </c>
      <c r="L506" s="235">
        <f t="shared" si="201"/>
        <v>0</v>
      </c>
      <c r="M506" s="235">
        <f t="shared" si="202"/>
        <v>0</v>
      </c>
      <c r="N506" s="235" t="s">
        <v>210</v>
      </c>
      <c r="O506" s="100" t="s">
        <v>285</v>
      </c>
    </row>
    <row r="507" spans="1:15">
      <c r="A507" s="242" t="s">
        <v>142</v>
      </c>
      <c r="B507" s="235">
        <f t="shared" si="191"/>
        <v>9501.4</v>
      </c>
      <c r="C507" s="235">
        <f t="shared" si="192"/>
        <v>17673.392</v>
      </c>
      <c r="D507" s="235">
        <f t="shared" si="193"/>
        <v>26222.872000000003</v>
      </c>
      <c r="E507" s="235">
        <f t="shared" si="194"/>
        <v>33841.392000000007</v>
      </c>
      <c r="F507" s="235">
        <f t="shared" si="195"/>
        <v>0</v>
      </c>
      <c r="G507" s="235">
        <f t="shared" si="196"/>
        <v>0</v>
      </c>
      <c r="H507" s="235">
        <f t="shared" si="197"/>
        <v>0</v>
      </c>
      <c r="I507" s="235">
        <f t="shared" si="198"/>
        <v>0</v>
      </c>
      <c r="J507" s="235">
        <f t="shared" si="199"/>
        <v>0</v>
      </c>
      <c r="K507" s="235">
        <f t="shared" si="200"/>
        <v>0</v>
      </c>
      <c r="L507" s="235">
        <f t="shared" si="201"/>
        <v>0</v>
      </c>
      <c r="M507" s="235">
        <f t="shared" si="202"/>
        <v>0</v>
      </c>
      <c r="N507" s="235" t="s">
        <v>210</v>
      </c>
      <c r="O507" s="100" t="s">
        <v>285</v>
      </c>
    </row>
    <row r="508" spans="1:15">
      <c r="A508" s="242" t="s">
        <v>143</v>
      </c>
      <c r="B508" s="235">
        <f t="shared" si="191"/>
        <v>39593.741999999998</v>
      </c>
      <c r="C508" s="235">
        <f t="shared" si="192"/>
        <v>87904.55799999999</v>
      </c>
      <c r="D508" s="235">
        <f t="shared" si="193"/>
        <v>117856.454</v>
      </c>
      <c r="E508" s="235">
        <f t="shared" si="194"/>
        <v>154376.66999999998</v>
      </c>
      <c r="F508" s="235">
        <f t="shared" si="195"/>
        <v>0</v>
      </c>
      <c r="G508" s="235">
        <f t="shared" si="196"/>
        <v>0</v>
      </c>
      <c r="H508" s="235">
        <f t="shared" si="197"/>
        <v>0</v>
      </c>
      <c r="I508" s="235">
        <f t="shared" si="198"/>
        <v>0</v>
      </c>
      <c r="J508" s="235">
        <f t="shared" si="199"/>
        <v>0</v>
      </c>
      <c r="K508" s="235">
        <f t="shared" si="200"/>
        <v>0</v>
      </c>
      <c r="L508" s="235">
        <f t="shared" si="201"/>
        <v>0</v>
      </c>
      <c r="M508" s="235">
        <f t="shared" si="202"/>
        <v>0</v>
      </c>
      <c r="N508" s="235" t="s">
        <v>210</v>
      </c>
      <c r="O508" s="100" t="s">
        <v>285</v>
      </c>
    </row>
    <row r="509" spans="1:15">
      <c r="A509" s="242" t="s">
        <v>144</v>
      </c>
      <c r="B509" s="235">
        <f t="shared" si="191"/>
        <v>1622.2560000000001</v>
      </c>
      <c r="C509" s="235">
        <f t="shared" si="192"/>
        <v>2098.4480000000003</v>
      </c>
      <c r="D509" s="235">
        <f t="shared" si="193"/>
        <v>2242.4960000000001</v>
      </c>
      <c r="E509" s="235">
        <f t="shared" si="194"/>
        <v>2669.52</v>
      </c>
      <c r="F509" s="235">
        <f t="shared" si="195"/>
        <v>0</v>
      </c>
      <c r="G509" s="235">
        <f t="shared" si="196"/>
        <v>0</v>
      </c>
      <c r="H509" s="235">
        <f t="shared" si="197"/>
        <v>0</v>
      </c>
      <c r="I509" s="235">
        <f t="shared" si="198"/>
        <v>0</v>
      </c>
      <c r="J509" s="235">
        <f t="shared" si="199"/>
        <v>0</v>
      </c>
      <c r="K509" s="235">
        <f t="shared" si="200"/>
        <v>0</v>
      </c>
      <c r="L509" s="235">
        <f t="shared" si="201"/>
        <v>0</v>
      </c>
      <c r="M509" s="235">
        <f t="shared" si="202"/>
        <v>0</v>
      </c>
      <c r="N509" s="235" t="s">
        <v>210</v>
      </c>
      <c r="O509" s="100" t="s">
        <v>285</v>
      </c>
    </row>
    <row r="510" spans="1:15">
      <c r="A510" s="242" t="s">
        <v>145</v>
      </c>
      <c r="B510" s="235">
        <f t="shared" si="191"/>
        <v>2671.768</v>
      </c>
      <c r="C510" s="235">
        <f t="shared" si="192"/>
        <v>3075.4</v>
      </c>
      <c r="D510" s="235">
        <f t="shared" si="193"/>
        <v>5898.8240000000005</v>
      </c>
      <c r="E510" s="235">
        <f t="shared" si="194"/>
        <v>7135.7040000000006</v>
      </c>
      <c r="F510" s="235">
        <f t="shared" si="195"/>
        <v>0</v>
      </c>
      <c r="G510" s="235">
        <f t="shared" si="196"/>
        <v>0</v>
      </c>
      <c r="H510" s="235">
        <f t="shared" si="197"/>
        <v>0</v>
      </c>
      <c r="I510" s="235">
        <f t="shared" si="198"/>
        <v>0</v>
      </c>
      <c r="J510" s="235">
        <f t="shared" si="199"/>
        <v>0</v>
      </c>
      <c r="K510" s="235">
        <f t="shared" si="200"/>
        <v>0</v>
      </c>
      <c r="L510" s="235">
        <f t="shared" si="201"/>
        <v>0</v>
      </c>
      <c r="M510" s="235">
        <f t="shared" si="202"/>
        <v>0</v>
      </c>
      <c r="N510" s="235" t="s">
        <v>210</v>
      </c>
      <c r="O510" s="100" t="s">
        <v>285</v>
      </c>
    </row>
    <row r="511" spans="1:15">
      <c r="A511" s="242" t="s">
        <v>119</v>
      </c>
      <c r="B511" s="235">
        <f>Q107</f>
        <v>12.486708094386342</v>
      </c>
      <c r="C511" s="235">
        <f t="shared" ref="C511:M511" si="203">R107</f>
        <v>152.91014770407068</v>
      </c>
      <c r="D511" s="235">
        <f t="shared" si="203"/>
        <v>416.64931051198948</v>
      </c>
      <c r="E511" s="235">
        <f t="shared" si="203"/>
        <v>565.68325160665961</v>
      </c>
      <c r="F511" s="235">
        <f t="shared" si="203"/>
        <v>606.02636619869236</v>
      </c>
      <c r="G511" s="235">
        <f t="shared" si="203"/>
        <v>836.71040638928719</v>
      </c>
      <c r="H511" s="235">
        <f t="shared" si="203"/>
        <v>836.71040638928719</v>
      </c>
      <c r="I511" s="235">
        <f t="shared" si="203"/>
        <v>836.71040638928719</v>
      </c>
      <c r="J511" s="235">
        <f t="shared" si="203"/>
        <v>836.71040638928719</v>
      </c>
      <c r="K511" s="235">
        <f t="shared" si="203"/>
        <v>901.88613155197129</v>
      </c>
      <c r="L511" s="235">
        <f t="shared" si="203"/>
        <v>932.57546421788277</v>
      </c>
      <c r="M511" s="235">
        <f t="shared" si="203"/>
        <v>1000</v>
      </c>
      <c r="N511" s="235" t="s">
        <v>209</v>
      </c>
      <c r="O511" s="100" t="s">
        <v>285</v>
      </c>
    </row>
    <row r="512" spans="1:15">
      <c r="A512" s="242" t="s">
        <v>120</v>
      </c>
      <c r="B512" s="235">
        <f t="shared" ref="B512:B537" si="204">Q108</f>
        <v>410.97338721046304</v>
      </c>
      <c r="C512" s="235">
        <f t="shared" ref="C512:C537" si="205">R108</f>
        <v>746.1316508893193</v>
      </c>
      <c r="D512" s="235">
        <f t="shared" ref="D512:D537" si="206">S108</f>
        <v>1027.6719826086505</v>
      </c>
      <c r="E512" s="235">
        <f t="shared" ref="E512:E537" si="207">T108</f>
        <v>1399.8939718954834</v>
      </c>
      <c r="F512" s="235">
        <f t="shared" ref="F512:F537" si="208">U108</f>
        <v>1548.4265502207481</v>
      </c>
      <c r="G512" s="235">
        <f t="shared" ref="G512:G537" si="209">V108</f>
        <v>1752.2719803457173</v>
      </c>
      <c r="H512" s="235">
        <f t="shared" ref="H512:H537" si="210">W108</f>
        <v>1837.5384445684474</v>
      </c>
      <c r="I512" s="235">
        <f t="shared" ref="I512:I537" si="211">X108</f>
        <v>1837.5384445684474</v>
      </c>
      <c r="J512" s="235">
        <f t="shared" ref="J512:J537" si="212">Y108</f>
        <v>2000</v>
      </c>
      <c r="K512" s="235">
        <f t="shared" ref="K512:K537" si="213">Z108</f>
        <v>2000</v>
      </c>
      <c r="L512" s="235">
        <f t="shared" ref="L512:L537" si="214">AA108</f>
        <v>2000</v>
      </c>
      <c r="M512" s="235">
        <f t="shared" ref="M512:M537" si="215">AB108</f>
        <v>2000</v>
      </c>
      <c r="N512" s="235" t="s">
        <v>209</v>
      </c>
      <c r="O512" s="100" t="s">
        <v>285</v>
      </c>
    </row>
    <row r="513" spans="1:15">
      <c r="A513" s="242" t="s">
        <v>121</v>
      </c>
      <c r="B513" s="235">
        <f t="shared" si="204"/>
        <v>696.37975729409061</v>
      </c>
      <c r="C513" s="235">
        <f t="shared" si="205"/>
        <v>1016.8509806853443</v>
      </c>
      <c r="D513" s="235">
        <f t="shared" si="206"/>
        <v>1319.0345035329774</v>
      </c>
      <c r="E513" s="235">
        <f t="shared" si="207"/>
        <v>1788.1942962802625</v>
      </c>
      <c r="F513" s="235">
        <f t="shared" si="208"/>
        <v>2136.2244748820503</v>
      </c>
      <c r="G513" s="235">
        <f t="shared" si="209"/>
        <v>2635.3245124377418</v>
      </c>
      <c r="H513" s="235">
        <f t="shared" si="210"/>
        <v>2791.0389535772542</v>
      </c>
      <c r="I513" s="235">
        <f t="shared" si="211"/>
        <v>2891.500481516302</v>
      </c>
      <c r="J513" s="235">
        <f t="shared" si="212"/>
        <v>3188.8920703756767</v>
      </c>
      <c r="K513" s="235">
        <f t="shared" si="213"/>
        <v>3411.8504649275428</v>
      </c>
      <c r="L513" s="235">
        <f t="shared" si="214"/>
        <v>3700.8326036293743</v>
      </c>
      <c r="M513" s="235">
        <f t="shared" si="215"/>
        <v>3886</v>
      </c>
      <c r="N513" s="235" t="s">
        <v>209</v>
      </c>
      <c r="O513" s="100" t="s">
        <v>285</v>
      </c>
    </row>
    <row r="514" spans="1:15">
      <c r="A514" s="242" t="s">
        <v>122</v>
      </c>
      <c r="B514" s="235">
        <f t="shared" si="204"/>
        <v>1155.4858106408101</v>
      </c>
      <c r="C514" s="235">
        <f t="shared" si="205"/>
        <v>2089.1877525020914</v>
      </c>
      <c r="D514" s="235">
        <f t="shared" si="206"/>
        <v>3412.2285939175999</v>
      </c>
      <c r="E514" s="235">
        <f t="shared" si="207"/>
        <v>4409.0316593522193</v>
      </c>
      <c r="F514" s="235">
        <f t="shared" si="208"/>
        <v>5384.4920271400279</v>
      </c>
      <c r="G514" s="235">
        <f t="shared" si="209"/>
        <v>6506.5351119825591</v>
      </c>
      <c r="H514" s="235">
        <f t="shared" si="210"/>
        <v>6897.2922896688506</v>
      </c>
      <c r="I514" s="235">
        <f t="shared" si="211"/>
        <v>7767.0987510107025</v>
      </c>
      <c r="J514" s="235">
        <f t="shared" si="212"/>
        <v>8028.2606965479772</v>
      </c>
      <c r="K514" s="235">
        <f t="shared" si="213"/>
        <v>8239.2300422909721</v>
      </c>
      <c r="L514" s="235">
        <f t="shared" si="214"/>
        <v>8686.4402844808101</v>
      </c>
      <c r="M514" s="235">
        <f t="shared" si="215"/>
        <v>9631.6200000000008</v>
      </c>
      <c r="N514" s="235" t="s">
        <v>209</v>
      </c>
      <c r="O514" s="100" t="s">
        <v>285</v>
      </c>
    </row>
    <row r="515" spans="1:15">
      <c r="A515" s="242" t="s">
        <v>123</v>
      </c>
      <c r="B515" s="235">
        <f t="shared" si="204"/>
        <v>4035.10653919675</v>
      </c>
      <c r="C515" s="235">
        <f t="shared" si="205"/>
        <v>9066.6622295681755</v>
      </c>
      <c r="D515" s="235">
        <f t="shared" si="206"/>
        <v>11449.100474878722</v>
      </c>
      <c r="E515" s="235">
        <f t="shared" si="207"/>
        <v>12966.124038050149</v>
      </c>
      <c r="F515" s="235">
        <f t="shared" si="208"/>
        <v>16729.099506511851</v>
      </c>
      <c r="G515" s="235">
        <f t="shared" si="209"/>
        <v>19967.710259356914</v>
      </c>
      <c r="H515" s="235">
        <f t="shared" si="210"/>
        <v>22417.461340906211</v>
      </c>
      <c r="I515" s="235">
        <f t="shared" si="211"/>
        <v>24867.683854905241</v>
      </c>
      <c r="J515" s="235">
        <f t="shared" si="212"/>
        <v>26685.075456641982</v>
      </c>
      <c r="K515" s="235">
        <f t="shared" si="213"/>
        <v>28109.127022837743</v>
      </c>
      <c r="L515" s="235">
        <f t="shared" si="214"/>
        <v>29097.492981689298</v>
      </c>
      <c r="M515" s="235">
        <f t="shared" si="215"/>
        <v>30000</v>
      </c>
      <c r="N515" s="235" t="s">
        <v>209</v>
      </c>
      <c r="O515" s="100" t="s">
        <v>285</v>
      </c>
    </row>
    <row r="516" spans="1:15">
      <c r="A516" s="242" t="s">
        <v>124</v>
      </c>
      <c r="B516" s="235">
        <f t="shared" si="204"/>
        <v>431.9768907614602</v>
      </c>
      <c r="C516" s="235">
        <f t="shared" si="205"/>
        <v>1081.9926687872612</v>
      </c>
      <c r="D516" s="235">
        <f t="shared" si="206"/>
        <v>2645.0887716346601</v>
      </c>
      <c r="E516" s="235">
        <f t="shared" si="207"/>
        <v>3715.6662150084248</v>
      </c>
      <c r="F516" s="235">
        <f t="shared" si="208"/>
        <v>4441.4774995815806</v>
      </c>
      <c r="G516" s="235">
        <f t="shared" si="209"/>
        <v>5083.1883468583283</v>
      </c>
      <c r="H516" s="235">
        <f t="shared" si="210"/>
        <v>5508.7013996704909</v>
      </c>
      <c r="I516" s="235">
        <f t="shared" si="211"/>
        <v>5996.0568743827698</v>
      </c>
      <c r="J516" s="235">
        <f t="shared" si="212"/>
        <v>6385.8432143498812</v>
      </c>
      <c r="K516" s="235">
        <f t="shared" si="213"/>
        <v>6933.6403688157588</v>
      </c>
      <c r="L516" s="235">
        <f t="shared" si="214"/>
        <v>7472.6632754674238</v>
      </c>
      <c r="M516" s="235">
        <f t="shared" si="215"/>
        <v>7890</v>
      </c>
      <c r="N516" s="235" t="s">
        <v>209</v>
      </c>
      <c r="O516" s="100" t="s">
        <v>285</v>
      </c>
    </row>
    <row r="517" spans="1:15">
      <c r="A517" s="242" t="s">
        <v>125</v>
      </c>
      <c r="B517" s="235">
        <f t="shared" si="204"/>
        <v>2848.2735779282025</v>
      </c>
      <c r="C517" s="235">
        <f t="shared" si="205"/>
        <v>4118.6475196814199</v>
      </c>
      <c r="D517" s="235">
        <f t="shared" si="206"/>
        <v>5418.7719604754848</v>
      </c>
      <c r="E517" s="235">
        <f t="shared" si="207"/>
        <v>7624.1358562524201</v>
      </c>
      <c r="F517" s="235">
        <f t="shared" si="208"/>
        <v>9807.4613852709463</v>
      </c>
      <c r="G517" s="235">
        <f t="shared" si="209"/>
        <v>11424.058230448669</v>
      </c>
      <c r="H517" s="235">
        <f t="shared" si="210"/>
        <v>13385.593377579704</v>
      </c>
      <c r="I517" s="235">
        <f t="shared" si="211"/>
        <v>14458.779826801641</v>
      </c>
      <c r="J517" s="235">
        <f t="shared" si="212"/>
        <v>16118.32875591946</v>
      </c>
      <c r="K517" s="235">
        <f t="shared" si="213"/>
        <v>18078.528328429762</v>
      </c>
      <c r="L517" s="235">
        <f t="shared" si="214"/>
        <v>19110.591072524468</v>
      </c>
      <c r="M517" s="235">
        <f t="shared" si="215"/>
        <v>20000</v>
      </c>
      <c r="N517" s="235" t="s">
        <v>209</v>
      </c>
      <c r="O517" s="100" t="s">
        <v>285</v>
      </c>
    </row>
    <row r="518" spans="1:15">
      <c r="A518" s="242" t="s">
        <v>126</v>
      </c>
      <c r="B518" s="235">
        <f t="shared" si="204"/>
        <v>4077.4303597616099</v>
      </c>
      <c r="C518" s="235">
        <f t="shared" si="205"/>
        <v>5986.365338011311</v>
      </c>
      <c r="D518" s="235">
        <f t="shared" si="206"/>
        <v>7349.9721002909309</v>
      </c>
      <c r="E518" s="235">
        <f t="shared" si="207"/>
        <v>8664.8722988339105</v>
      </c>
      <c r="F518" s="235">
        <f t="shared" si="208"/>
        <v>9471.6533189428501</v>
      </c>
      <c r="G518" s="235">
        <f t="shared" si="209"/>
        <v>11230.351645055016</v>
      </c>
      <c r="H518" s="235">
        <f t="shared" si="210"/>
        <v>13503.756443162467</v>
      </c>
      <c r="I518" s="235">
        <f t="shared" si="211"/>
        <v>16672.727633081868</v>
      </c>
      <c r="J518" s="235">
        <f t="shared" si="212"/>
        <v>20894.576292881662</v>
      </c>
      <c r="K518" s="235">
        <f t="shared" si="213"/>
        <v>25220.764664869144</v>
      </c>
      <c r="L518" s="235">
        <f t="shared" si="214"/>
        <v>30294.704091014464</v>
      </c>
      <c r="M518" s="235">
        <f t="shared" si="215"/>
        <v>34694.67</v>
      </c>
      <c r="N518" s="235" t="s">
        <v>209</v>
      </c>
      <c r="O518" s="100" t="s">
        <v>285</v>
      </c>
    </row>
    <row r="519" spans="1:15">
      <c r="A519" s="242" t="s">
        <v>127</v>
      </c>
      <c r="B519" s="235">
        <f t="shared" si="204"/>
        <v>2427.0486783857009</v>
      </c>
      <c r="C519" s="235">
        <f t="shared" si="205"/>
        <v>6050.0270266156522</v>
      </c>
      <c r="D519" s="235">
        <f t="shared" si="206"/>
        <v>7889.1024518957829</v>
      </c>
      <c r="E519" s="235">
        <f t="shared" si="207"/>
        <v>9943.7998357882771</v>
      </c>
      <c r="F519" s="235">
        <f t="shared" si="208"/>
        <v>11691.560057480447</v>
      </c>
      <c r="G519" s="235">
        <f t="shared" si="209"/>
        <v>13760.846899295744</v>
      </c>
      <c r="H519" s="235">
        <f t="shared" si="210"/>
        <v>15704.760329727907</v>
      </c>
      <c r="I519" s="235">
        <f t="shared" si="211"/>
        <v>18365.478991139476</v>
      </c>
      <c r="J519" s="235">
        <f t="shared" si="212"/>
        <v>19942.8524165616</v>
      </c>
      <c r="K519" s="235">
        <f t="shared" si="213"/>
        <v>21472.557134822022</v>
      </c>
      <c r="L519" s="235">
        <f t="shared" si="214"/>
        <v>22532.279339043875</v>
      </c>
      <c r="M519" s="235">
        <f t="shared" si="215"/>
        <v>25000</v>
      </c>
      <c r="N519" s="235" t="s">
        <v>209</v>
      </c>
      <c r="O519" s="100" t="s">
        <v>285</v>
      </c>
    </row>
    <row r="520" spans="1:15">
      <c r="A520" s="242" t="s">
        <v>128</v>
      </c>
      <c r="B520" s="235">
        <f t="shared" si="204"/>
        <v>763.05101778251549</v>
      </c>
      <c r="C520" s="235">
        <f t="shared" si="205"/>
        <v>1439.7611602950408</v>
      </c>
      <c r="D520" s="235">
        <f t="shared" si="206"/>
        <v>1736.3762275128372</v>
      </c>
      <c r="E520" s="235">
        <f t="shared" si="207"/>
        <v>2162.7230171187057</v>
      </c>
      <c r="F520" s="235">
        <f t="shared" si="208"/>
        <v>2526.9813145516014</v>
      </c>
      <c r="G520" s="235">
        <f t="shared" si="209"/>
        <v>2732.8885597982139</v>
      </c>
      <c r="H520" s="235">
        <f t="shared" si="210"/>
        <v>3008.9654031116511</v>
      </c>
      <c r="I520" s="235">
        <f t="shared" si="211"/>
        <v>3185.2326206644602</v>
      </c>
      <c r="J520" s="235">
        <f t="shared" si="212"/>
        <v>3392.508911362956</v>
      </c>
      <c r="K520" s="235">
        <f t="shared" si="213"/>
        <v>3774.4535277915106</v>
      </c>
      <c r="L520" s="235">
        <f t="shared" si="214"/>
        <v>3828.0166325305458</v>
      </c>
      <c r="M520" s="235">
        <f t="shared" si="215"/>
        <v>4200</v>
      </c>
      <c r="N520" s="235" t="s">
        <v>209</v>
      </c>
      <c r="O520" s="100" t="s">
        <v>285</v>
      </c>
    </row>
    <row r="521" spans="1:15">
      <c r="A521" s="242" t="s">
        <v>129</v>
      </c>
      <c r="B521" s="235">
        <f t="shared" si="204"/>
        <v>0</v>
      </c>
      <c r="C521" s="235">
        <f t="shared" si="205"/>
        <v>0</v>
      </c>
      <c r="D521" s="235">
        <f t="shared" si="206"/>
        <v>0</v>
      </c>
      <c r="E521" s="235">
        <f t="shared" si="207"/>
        <v>0</v>
      </c>
      <c r="F521" s="235">
        <f t="shared" si="208"/>
        <v>0</v>
      </c>
      <c r="G521" s="235">
        <f t="shared" si="209"/>
        <v>0</v>
      </c>
      <c r="H521" s="235">
        <f t="shared" si="210"/>
        <v>0</v>
      </c>
      <c r="I521" s="235">
        <f t="shared" si="211"/>
        <v>0</v>
      </c>
      <c r="J521" s="235">
        <f t="shared" si="212"/>
        <v>0</v>
      </c>
      <c r="K521" s="235">
        <f t="shared" si="213"/>
        <v>0</v>
      </c>
      <c r="L521" s="235">
        <f t="shared" si="214"/>
        <v>0</v>
      </c>
      <c r="M521" s="235">
        <f t="shared" si="215"/>
        <v>0</v>
      </c>
      <c r="N521" s="235" t="s">
        <v>209</v>
      </c>
      <c r="O521" s="100" t="s">
        <v>285</v>
      </c>
    </row>
    <row r="522" spans="1:15">
      <c r="A522" s="242" t="s">
        <v>130</v>
      </c>
      <c r="B522" s="235">
        <f t="shared" si="204"/>
        <v>1108.6524886382235</v>
      </c>
      <c r="C522" s="235">
        <f t="shared" si="205"/>
        <v>2312.3793376251524</v>
      </c>
      <c r="D522" s="235">
        <f t="shared" si="206"/>
        <v>3590.5817356612829</v>
      </c>
      <c r="E522" s="235">
        <f t="shared" si="207"/>
        <v>4768.7894880499125</v>
      </c>
      <c r="F522" s="235">
        <f t="shared" si="208"/>
        <v>5452.0988089858138</v>
      </c>
      <c r="G522" s="235">
        <f t="shared" si="209"/>
        <v>5961.8133777075</v>
      </c>
      <c r="H522" s="235">
        <f t="shared" si="210"/>
        <v>6538.8642921623205</v>
      </c>
      <c r="I522" s="235">
        <f t="shared" si="211"/>
        <v>7789.7254934923758</v>
      </c>
      <c r="J522" s="235">
        <f t="shared" si="212"/>
        <v>8382.4755470778564</v>
      </c>
      <c r="K522" s="235">
        <f t="shared" si="213"/>
        <v>8912.0249251829027</v>
      </c>
      <c r="L522" s="235">
        <f t="shared" si="214"/>
        <v>9147.0189183815546</v>
      </c>
      <c r="M522" s="235">
        <f t="shared" si="215"/>
        <v>10000</v>
      </c>
      <c r="N522" s="235" t="s">
        <v>209</v>
      </c>
      <c r="O522" s="100" t="s">
        <v>285</v>
      </c>
    </row>
    <row r="523" spans="1:15">
      <c r="A523" s="242" t="s">
        <v>131</v>
      </c>
      <c r="B523" s="235">
        <f t="shared" si="204"/>
        <v>15010.849350934106</v>
      </c>
      <c r="C523" s="235">
        <f t="shared" si="205"/>
        <v>21312.406170371523</v>
      </c>
      <c r="D523" s="235">
        <f t="shared" si="206"/>
        <v>27319.783226411299</v>
      </c>
      <c r="E523" s="235">
        <f t="shared" si="207"/>
        <v>31987.547045379379</v>
      </c>
      <c r="F523" s="235">
        <f t="shared" si="208"/>
        <v>39204.589973286624</v>
      </c>
      <c r="G523" s="235">
        <f t="shared" si="209"/>
        <v>44975.649733244034</v>
      </c>
      <c r="H523" s="235">
        <f t="shared" si="210"/>
        <v>48015.121074308838</v>
      </c>
      <c r="I523" s="235">
        <f t="shared" si="211"/>
        <v>54059.860433368223</v>
      </c>
      <c r="J523" s="235">
        <f t="shared" si="212"/>
        <v>58416.514723831278</v>
      </c>
      <c r="K523" s="235">
        <f t="shared" si="213"/>
        <v>67507.648264609466</v>
      </c>
      <c r="L523" s="235">
        <f t="shared" si="214"/>
        <v>74279.215069178666</v>
      </c>
      <c r="M523" s="235">
        <f t="shared" si="215"/>
        <v>80611</v>
      </c>
      <c r="N523" s="235" t="s">
        <v>209</v>
      </c>
      <c r="O523" s="100" t="s">
        <v>285</v>
      </c>
    </row>
    <row r="524" spans="1:15">
      <c r="A524" s="242" t="s">
        <v>132</v>
      </c>
      <c r="B524" s="235">
        <f t="shared" si="204"/>
        <v>0</v>
      </c>
      <c r="C524" s="235">
        <f t="shared" si="205"/>
        <v>0</v>
      </c>
      <c r="D524" s="235">
        <f t="shared" si="206"/>
        <v>0</v>
      </c>
      <c r="E524" s="235">
        <f t="shared" si="207"/>
        <v>0</v>
      </c>
      <c r="F524" s="235">
        <f t="shared" si="208"/>
        <v>0</v>
      </c>
      <c r="G524" s="235">
        <f t="shared" si="209"/>
        <v>0</v>
      </c>
      <c r="H524" s="235">
        <f t="shared" si="210"/>
        <v>0</v>
      </c>
      <c r="I524" s="235">
        <f t="shared" si="211"/>
        <v>0</v>
      </c>
      <c r="J524" s="235">
        <f t="shared" si="212"/>
        <v>0</v>
      </c>
      <c r="K524" s="235">
        <f t="shared" si="213"/>
        <v>0</v>
      </c>
      <c r="L524" s="235">
        <f t="shared" si="214"/>
        <v>0</v>
      </c>
      <c r="M524" s="235">
        <f t="shared" si="215"/>
        <v>0</v>
      </c>
      <c r="N524" s="235" t="s">
        <v>209</v>
      </c>
      <c r="O524" s="100" t="s">
        <v>285</v>
      </c>
    </row>
    <row r="525" spans="1:15">
      <c r="A525" s="242" t="s">
        <v>133</v>
      </c>
      <c r="B525" s="235">
        <f t="shared" si="204"/>
        <v>1914.8490810079124</v>
      </c>
      <c r="C525" s="235">
        <f t="shared" si="205"/>
        <v>3122.7397572061063</v>
      </c>
      <c r="D525" s="235">
        <f t="shared" si="206"/>
        <v>6219.581272193459</v>
      </c>
      <c r="E525" s="235">
        <f t="shared" si="207"/>
        <v>6887.1013695367146</v>
      </c>
      <c r="F525" s="235">
        <f t="shared" si="208"/>
        <v>8648.3454642594952</v>
      </c>
      <c r="G525" s="235">
        <f t="shared" si="209"/>
        <v>10486.159693769792</v>
      </c>
      <c r="H525" s="235">
        <f t="shared" si="210"/>
        <v>12999.597916204224</v>
      </c>
      <c r="I525" s="235">
        <f t="shared" si="211"/>
        <v>14567.534619280514</v>
      </c>
      <c r="J525" s="235">
        <f t="shared" si="212"/>
        <v>15680.673907543711</v>
      </c>
      <c r="K525" s="235">
        <f t="shared" si="213"/>
        <v>17619.772451669945</v>
      </c>
      <c r="L525" s="235">
        <f t="shared" si="214"/>
        <v>19885.644897474285</v>
      </c>
      <c r="M525" s="235">
        <f t="shared" si="215"/>
        <v>21423</v>
      </c>
      <c r="N525" s="235" t="s">
        <v>209</v>
      </c>
      <c r="O525" s="100" t="s">
        <v>285</v>
      </c>
    </row>
    <row r="526" spans="1:15">
      <c r="A526" s="242" t="s">
        <v>134</v>
      </c>
      <c r="B526" s="235">
        <f t="shared" si="204"/>
        <v>0</v>
      </c>
      <c r="C526" s="235">
        <f t="shared" si="205"/>
        <v>0</v>
      </c>
      <c r="D526" s="235">
        <f t="shared" si="206"/>
        <v>0</v>
      </c>
      <c r="E526" s="235">
        <f t="shared" si="207"/>
        <v>0</v>
      </c>
      <c r="F526" s="235">
        <f t="shared" si="208"/>
        <v>0</v>
      </c>
      <c r="G526" s="235">
        <f t="shared" si="209"/>
        <v>0</v>
      </c>
      <c r="H526" s="235">
        <f t="shared" si="210"/>
        <v>0</v>
      </c>
      <c r="I526" s="235">
        <f t="shared" si="211"/>
        <v>0</v>
      </c>
      <c r="J526" s="235">
        <f t="shared" si="212"/>
        <v>0</v>
      </c>
      <c r="K526" s="235">
        <f t="shared" si="213"/>
        <v>0</v>
      </c>
      <c r="L526" s="235">
        <f t="shared" si="214"/>
        <v>0</v>
      </c>
      <c r="M526" s="235">
        <f t="shared" si="215"/>
        <v>0</v>
      </c>
      <c r="N526" s="235" t="s">
        <v>209</v>
      </c>
      <c r="O526" s="100" t="s">
        <v>285</v>
      </c>
    </row>
    <row r="527" spans="1:15">
      <c r="A527" s="242" t="s">
        <v>135</v>
      </c>
      <c r="B527" s="235">
        <f t="shared" si="204"/>
        <v>955.74135597268389</v>
      </c>
      <c r="C527" s="235">
        <f t="shared" si="205"/>
        <v>1652.6124396957368</v>
      </c>
      <c r="D527" s="235">
        <f t="shared" si="206"/>
        <v>2632.0437162587505</v>
      </c>
      <c r="E527" s="235">
        <f t="shared" si="207"/>
        <v>3447.273574072547</v>
      </c>
      <c r="F527" s="235">
        <f t="shared" si="208"/>
        <v>4322.133936814148</v>
      </c>
      <c r="G527" s="235">
        <f t="shared" si="209"/>
        <v>4997.0230691313891</v>
      </c>
      <c r="H527" s="235">
        <f t="shared" si="210"/>
        <v>5915.1439497584288</v>
      </c>
      <c r="I527" s="235">
        <f t="shared" si="211"/>
        <v>6446.1012466101001</v>
      </c>
      <c r="J527" s="235">
        <f t="shared" si="212"/>
        <v>6875.4758224472434</v>
      </c>
      <c r="K527" s="235">
        <f t="shared" si="213"/>
        <v>7070.4180712474954</v>
      </c>
      <c r="L527" s="235">
        <f t="shared" si="214"/>
        <v>7659.1477238376383</v>
      </c>
      <c r="M527" s="235">
        <f t="shared" si="215"/>
        <v>7955</v>
      </c>
      <c r="N527" s="235" t="s">
        <v>209</v>
      </c>
      <c r="O527" s="100" t="s">
        <v>285</v>
      </c>
    </row>
    <row r="528" spans="1:15">
      <c r="A528" s="242" t="s">
        <v>136</v>
      </c>
      <c r="B528" s="235">
        <f t="shared" si="204"/>
        <v>3866.2727670186596</v>
      </c>
      <c r="C528" s="235">
        <f t="shared" si="205"/>
        <v>6377.0154585624641</v>
      </c>
      <c r="D528" s="235">
        <f t="shared" si="206"/>
        <v>7758.5802890356636</v>
      </c>
      <c r="E528" s="235">
        <f t="shared" si="207"/>
        <v>10833.348446006243</v>
      </c>
      <c r="F528" s="235">
        <f t="shared" si="208"/>
        <v>12407.084288515824</v>
      </c>
      <c r="G528" s="235">
        <f t="shared" si="209"/>
        <v>13780.541004976132</v>
      </c>
      <c r="H528" s="235">
        <f t="shared" si="210"/>
        <v>15153.286001095161</v>
      </c>
      <c r="I528" s="235">
        <f t="shared" si="211"/>
        <v>15914.965611749332</v>
      </c>
      <c r="J528" s="235">
        <f t="shared" si="212"/>
        <v>17146.308029982232</v>
      </c>
      <c r="K528" s="235">
        <f t="shared" si="213"/>
        <v>18914.585046954671</v>
      </c>
      <c r="L528" s="235">
        <f t="shared" si="214"/>
        <v>20238.534909464866</v>
      </c>
      <c r="M528" s="235">
        <f t="shared" si="215"/>
        <v>20500</v>
      </c>
      <c r="N528" s="235" t="s">
        <v>209</v>
      </c>
      <c r="O528" s="100" t="s">
        <v>285</v>
      </c>
    </row>
    <row r="529" spans="1:15">
      <c r="A529" s="242" t="s">
        <v>137</v>
      </c>
      <c r="B529" s="235">
        <f t="shared" si="204"/>
        <v>25143.721507176571</v>
      </c>
      <c r="C529" s="235">
        <f t="shared" si="205"/>
        <v>45153.187392225816</v>
      </c>
      <c r="D529" s="235">
        <f t="shared" si="206"/>
        <v>60182.315907776814</v>
      </c>
      <c r="E529" s="235">
        <f t="shared" si="207"/>
        <v>76702.080350611301</v>
      </c>
      <c r="F529" s="235">
        <f t="shared" si="208"/>
        <v>91847.492231514421</v>
      </c>
      <c r="G529" s="235">
        <f t="shared" si="209"/>
        <v>112739.71692513279</v>
      </c>
      <c r="H529" s="235">
        <f t="shared" si="210"/>
        <v>125872.21124558468</v>
      </c>
      <c r="I529" s="235">
        <f t="shared" si="211"/>
        <v>141892.82159508707</v>
      </c>
      <c r="J529" s="235">
        <f t="shared" si="212"/>
        <v>155099.52445659213</v>
      </c>
      <c r="K529" s="235">
        <f t="shared" si="213"/>
        <v>171495.62853048267</v>
      </c>
      <c r="L529" s="235">
        <f t="shared" si="214"/>
        <v>184044.38844514402</v>
      </c>
      <c r="M529" s="235">
        <f t="shared" si="215"/>
        <v>200000</v>
      </c>
      <c r="N529" s="235" t="s">
        <v>209</v>
      </c>
      <c r="O529" s="100" t="s">
        <v>285</v>
      </c>
    </row>
    <row r="530" spans="1:15">
      <c r="A530" s="242" t="s">
        <v>138</v>
      </c>
      <c r="B530" s="235">
        <f t="shared" si="204"/>
        <v>0</v>
      </c>
      <c r="C530" s="235">
        <f t="shared" si="205"/>
        <v>0</v>
      </c>
      <c r="D530" s="235">
        <f t="shared" si="206"/>
        <v>0</v>
      </c>
      <c r="E530" s="235">
        <f t="shared" si="207"/>
        <v>0</v>
      </c>
      <c r="F530" s="235">
        <f t="shared" si="208"/>
        <v>0</v>
      </c>
      <c r="G530" s="235">
        <f t="shared" si="209"/>
        <v>0</v>
      </c>
      <c r="H530" s="235">
        <f t="shared" si="210"/>
        <v>0</v>
      </c>
      <c r="I530" s="235">
        <f t="shared" si="211"/>
        <v>0</v>
      </c>
      <c r="J530" s="235">
        <f t="shared" si="212"/>
        <v>0</v>
      </c>
      <c r="K530" s="235">
        <f t="shared" si="213"/>
        <v>0</v>
      </c>
      <c r="L530" s="235">
        <f t="shared" si="214"/>
        <v>0</v>
      </c>
      <c r="M530" s="235">
        <f t="shared" si="215"/>
        <v>0</v>
      </c>
      <c r="N530" s="235" t="s">
        <v>209</v>
      </c>
      <c r="O530" s="100" t="s">
        <v>285</v>
      </c>
    </row>
    <row r="531" spans="1:15">
      <c r="A531" s="242" t="s">
        <v>139</v>
      </c>
      <c r="B531" s="235">
        <f t="shared" si="204"/>
        <v>0</v>
      </c>
      <c r="C531" s="235">
        <f t="shared" si="205"/>
        <v>0</v>
      </c>
      <c r="D531" s="235">
        <f t="shared" si="206"/>
        <v>0</v>
      </c>
      <c r="E531" s="235">
        <f t="shared" si="207"/>
        <v>0</v>
      </c>
      <c r="F531" s="235">
        <f t="shared" si="208"/>
        <v>0</v>
      </c>
      <c r="G531" s="235">
        <f t="shared" si="209"/>
        <v>0</v>
      </c>
      <c r="H531" s="235">
        <f t="shared" si="210"/>
        <v>0</v>
      </c>
      <c r="I531" s="235">
        <f t="shared" si="211"/>
        <v>0</v>
      </c>
      <c r="J531" s="235">
        <f t="shared" si="212"/>
        <v>0</v>
      </c>
      <c r="K531" s="235">
        <f t="shared" si="213"/>
        <v>0</v>
      </c>
      <c r="L531" s="235">
        <f t="shared" si="214"/>
        <v>0</v>
      </c>
      <c r="M531" s="235">
        <f t="shared" si="215"/>
        <v>0</v>
      </c>
      <c r="N531" s="235" t="s">
        <v>209</v>
      </c>
      <c r="O531" s="100" t="s">
        <v>285</v>
      </c>
    </row>
    <row r="532" spans="1:15">
      <c r="A532" s="242" t="s">
        <v>140</v>
      </c>
      <c r="B532" s="235">
        <f t="shared" si="204"/>
        <v>0</v>
      </c>
      <c r="C532" s="235">
        <f t="shared" si="205"/>
        <v>0</v>
      </c>
      <c r="D532" s="235">
        <f t="shared" si="206"/>
        <v>0</v>
      </c>
      <c r="E532" s="235">
        <f t="shared" si="207"/>
        <v>0</v>
      </c>
      <c r="F532" s="235">
        <f t="shared" si="208"/>
        <v>0</v>
      </c>
      <c r="G532" s="235">
        <f t="shared" si="209"/>
        <v>0</v>
      </c>
      <c r="H532" s="235">
        <f t="shared" si="210"/>
        <v>0</v>
      </c>
      <c r="I532" s="235">
        <f t="shared" si="211"/>
        <v>0</v>
      </c>
      <c r="J532" s="235">
        <f t="shared" si="212"/>
        <v>0</v>
      </c>
      <c r="K532" s="235">
        <f t="shared" si="213"/>
        <v>0</v>
      </c>
      <c r="L532" s="235">
        <f t="shared" si="214"/>
        <v>0</v>
      </c>
      <c r="M532" s="235">
        <f t="shared" si="215"/>
        <v>0</v>
      </c>
      <c r="N532" s="235" t="s">
        <v>209</v>
      </c>
      <c r="O532" s="100" t="s">
        <v>285</v>
      </c>
    </row>
    <row r="533" spans="1:15">
      <c r="A533" s="242" t="s">
        <v>141</v>
      </c>
      <c r="B533" s="235">
        <f t="shared" si="204"/>
        <v>0</v>
      </c>
      <c r="C533" s="235">
        <f t="shared" si="205"/>
        <v>0</v>
      </c>
      <c r="D533" s="235">
        <f t="shared" si="206"/>
        <v>0</v>
      </c>
      <c r="E533" s="235">
        <f t="shared" si="207"/>
        <v>0</v>
      </c>
      <c r="F533" s="235">
        <f t="shared" si="208"/>
        <v>0</v>
      </c>
      <c r="G533" s="235">
        <f t="shared" si="209"/>
        <v>0</v>
      </c>
      <c r="H533" s="235">
        <f t="shared" si="210"/>
        <v>0</v>
      </c>
      <c r="I533" s="235">
        <f t="shared" si="211"/>
        <v>0</v>
      </c>
      <c r="J533" s="235">
        <f t="shared" si="212"/>
        <v>0</v>
      </c>
      <c r="K533" s="235">
        <f t="shared" si="213"/>
        <v>0</v>
      </c>
      <c r="L533" s="235">
        <f t="shared" si="214"/>
        <v>0</v>
      </c>
      <c r="M533" s="235">
        <f t="shared" si="215"/>
        <v>0</v>
      </c>
      <c r="N533" s="235" t="s">
        <v>209</v>
      </c>
      <c r="O533" s="100" t="s">
        <v>285</v>
      </c>
    </row>
    <row r="534" spans="1:15">
      <c r="A534" s="242" t="s">
        <v>142</v>
      </c>
      <c r="B534" s="235">
        <f t="shared" si="204"/>
        <v>0</v>
      </c>
      <c r="C534" s="235">
        <f t="shared" si="205"/>
        <v>0</v>
      </c>
      <c r="D534" s="235">
        <f t="shared" si="206"/>
        <v>0</v>
      </c>
      <c r="E534" s="235">
        <f t="shared" si="207"/>
        <v>0</v>
      </c>
      <c r="F534" s="235">
        <f t="shared" si="208"/>
        <v>0</v>
      </c>
      <c r="G534" s="235">
        <f t="shared" si="209"/>
        <v>0</v>
      </c>
      <c r="H534" s="235">
        <f t="shared" si="210"/>
        <v>0</v>
      </c>
      <c r="I534" s="235">
        <f t="shared" si="211"/>
        <v>0</v>
      </c>
      <c r="J534" s="235">
        <f t="shared" si="212"/>
        <v>0</v>
      </c>
      <c r="K534" s="235">
        <f t="shared" si="213"/>
        <v>0</v>
      </c>
      <c r="L534" s="235">
        <f t="shared" si="214"/>
        <v>0</v>
      </c>
      <c r="M534" s="235">
        <f t="shared" si="215"/>
        <v>0</v>
      </c>
      <c r="N534" s="235" t="s">
        <v>209</v>
      </c>
      <c r="O534" s="100" t="s">
        <v>285</v>
      </c>
    </row>
    <row r="535" spans="1:15">
      <c r="A535" s="242" t="s">
        <v>143</v>
      </c>
      <c r="B535" s="235">
        <f t="shared" si="204"/>
        <v>57228.463825798724</v>
      </c>
      <c r="C535" s="235">
        <f t="shared" si="205"/>
        <v>88879.012339513618</v>
      </c>
      <c r="D535" s="235">
        <f t="shared" si="206"/>
        <v>115556.81644434594</v>
      </c>
      <c r="E535" s="235">
        <f t="shared" si="207"/>
        <v>137321.8591556309</v>
      </c>
      <c r="F535" s="235">
        <f t="shared" si="208"/>
        <v>161949.11874717375</v>
      </c>
      <c r="G535" s="235">
        <f t="shared" si="209"/>
        <v>179948.41157574538</v>
      </c>
      <c r="H535" s="235">
        <f t="shared" si="210"/>
        <v>199522.02105604729</v>
      </c>
      <c r="I535" s="235">
        <f t="shared" si="211"/>
        <v>221406.56037951267</v>
      </c>
      <c r="J535" s="235">
        <f t="shared" si="212"/>
        <v>235464.01769601554</v>
      </c>
      <c r="K535" s="235">
        <f t="shared" si="213"/>
        <v>257308.0979772257</v>
      </c>
      <c r="L535" s="235">
        <f t="shared" si="214"/>
        <v>276313.86938771483</v>
      </c>
      <c r="M535" s="235">
        <f t="shared" si="215"/>
        <v>290779.50842432189</v>
      </c>
      <c r="N535" s="235" t="s">
        <v>209</v>
      </c>
      <c r="O535" s="100" t="s">
        <v>285</v>
      </c>
    </row>
    <row r="536" spans="1:15">
      <c r="A536" s="242" t="s">
        <v>144</v>
      </c>
      <c r="B536" s="235">
        <f t="shared" si="204"/>
        <v>1855.5802975384452</v>
      </c>
      <c r="C536" s="235">
        <f t="shared" si="205"/>
        <v>2605.7574726827497</v>
      </c>
      <c r="D536" s="235">
        <f t="shared" si="206"/>
        <v>4465.2296322901848</v>
      </c>
      <c r="E536" s="235">
        <f t="shared" si="207"/>
        <v>5403.2916434875633</v>
      </c>
      <c r="F536" s="235">
        <f t="shared" si="208"/>
        <v>5721.5225190352339</v>
      </c>
      <c r="G536" s="235">
        <f t="shared" si="209"/>
        <v>5978.1360098074019</v>
      </c>
      <c r="H536" s="235">
        <f t="shared" si="210"/>
        <v>6140.5839130098029</v>
      </c>
      <c r="I536" s="235">
        <f t="shared" si="211"/>
        <v>6277.2232803180514</v>
      </c>
      <c r="J536" s="235">
        <f t="shared" si="212"/>
        <v>6424.2075017454754</v>
      </c>
      <c r="K536" s="235">
        <f t="shared" si="213"/>
        <v>6711.0406354829147</v>
      </c>
      <c r="L536" s="235">
        <f t="shared" si="214"/>
        <v>7330.2523643557988</v>
      </c>
      <c r="M536" s="235">
        <f t="shared" si="215"/>
        <v>7758</v>
      </c>
      <c r="N536" s="235" t="s">
        <v>209</v>
      </c>
      <c r="O536" s="100" t="s">
        <v>285</v>
      </c>
    </row>
    <row r="537" spans="1:15">
      <c r="A537" s="242" t="s">
        <v>145</v>
      </c>
      <c r="B537" s="235">
        <f t="shared" si="204"/>
        <v>780.26859942222336</v>
      </c>
      <c r="C537" s="235">
        <f t="shared" si="205"/>
        <v>1309.0212389261744</v>
      </c>
      <c r="D537" s="235">
        <f t="shared" si="206"/>
        <v>1723.8697296053199</v>
      </c>
      <c r="E537" s="235">
        <f t="shared" si="207"/>
        <v>1937.2451983792168</v>
      </c>
      <c r="F537" s="235">
        <f t="shared" si="208"/>
        <v>2186.566305092811</v>
      </c>
      <c r="G537" s="235">
        <f t="shared" si="209"/>
        <v>2628.2755752601201</v>
      </c>
      <c r="H537" s="235">
        <f t="shared" si="210"/>
        <v>3384.9834126411665</v>
      </c>
      <c r="I537" s="235">
        <f t="shared" si="211"/>
        <v>4157.8007439452731</v>
      </c>
      <c r="J537" s="235">
        <f t="shared" si="212"/>
        <v>4352.066063123073</v>
      </c>
      <c r="K537" s="235">
        <f t="shared" si="213"/>
        <v>4599.8462410330158</v>
      </c>
      <c r="L537" s="235">
        <f t="shared" si="214"/>
        <v>5132.7375132958487</v>
      </c>
      <c r="M537" s="235">
        <f t="shared" si="215"/>
        <v>5391</v>
      </c>
      <c r="N537" s="235" t="s">
        <v>209</v>
      </c>
      <c r="O537" s="100" t="s">
        <v>285</v>
      </c>
    </row>
    <row r="538" spans="1:15">
      <c r="A538" s="242" t="s">
        <v>119</v>
      </c>
      <c r="B538" s="235">
        <f>B107</f>
        <v>12.486708094386342</v>
      </c>
      <c r="C538" s="235">
        <f t="shared" ref="C538:M538" si="216">C107</f>
        <v>152.91014770407068</v>
      </c>
      <c r="D538" s="235">
        <f t="shared" si="216"/>
        <v>416.64931051198948</v>
      </c>
      <c r="E538" s="235">
        <f t="shared" si="216"/>
        <v>565.68325160665961</v>
      </c>
      <c r="F538" s="235">
        <f t="shared" si="216"/>
        <v>606.02636619869236</v>
      </c>
      <c r="G538" s="235">
        <f t="shared" si="216"/>
        <v>836.71040638928719</v>
      </c>
      <c r="H538" s="235">
        <f t="shared" si="216"/>
        <v>836.71040638928719</v>
      </c>
      <c r="I538" s="235">
        <f t="shared" si="216"/>
        <v>836.71040638928719</v>
      </c>
      <c r="J538" s="235">
        <f t="shared" si="216"/>
        <v>836.71040638928719</v>
      </c>
      <c r="K538" s="235">
        <f t="shared" si="216"/>
        <v>901.88613155197129</v>
      </c>
      <c r="L538" s="235">
        <f t="shared" si="216"/>
        <v>932.57546421788277</v>
      </c>
      <c r="M538" s="235">
        <f t="shared" si="216"/>
        <v>1000</v>
      </c>
      <c r="N538" s="235" t="s">
        <v>315</v>
      </c>
      <c r="O538" s="100" t="s">
        <v>285</v>
      </c>
    </row>
    <row r="539" spans="1:15">
      <c r="A539" s="242" t="s">
        <v>120</v>
      </c>
      <c r="B539" s="235">
        <f t="shared" ref="B539:M539" si="217">B108</f>
        <v>410.97338721046304</v>
      </c>
      <c r="C539" s="235">
        <f t="shared" si="217"/>
        <v>746.1316508893193</v>
      </c>
      <c r="D539" s="235">
        <f t="shared" si="217"/>
        <v>1027.6719826086505</v>
      </c>
      <c r="E539" s="235">
        <f t="shared" si="217"/>
        <v>1399.8939718954834</v>
      </c>
      <c r="F539" s="235">
        <f t="shared" si="217"/>
        <v>1548.4265502207481</v>
      </c>
      <c r="G539" s="235">
        <f t="shared" si="217"/>
        <v>1752.2719803457173</v>
      </c>
      <c r="H539" s="235">
        <f t="shared" si="217"/>
        <v>1837.5384445684474</v>
      </c>
      <c r="I539" s="235">
        <f t="shared" si="217"/>
        <v>1837.5384445684474</v>
      </c>
      <c r="J539" s="235">
        <f t="shared" si="217"/>
        <v>2000</v>
      </c>
      <c r="K539" s="235">
        <f t="shared" si="217"/>
        <v>2000</v>
      </c>
      <c r="L539" s="235">
        <f t="shared" si="217"/>
        <v>2000</v>
      </c>
      <c r="M539" s="235">
        <f t="shared" si="217"/>
        <v>2000</v>
      </c>
      <c r="N539" s="235" t="s">
        <v>315</v>
      </c>
      <c r="O539" s="100" t="s">
        <v>285</v>
      </c>
    </row>
    <row r="540" spans="1:15">
      <c r="A540" s="242" t="s">
        <v>121</v>
      </c>
      <c r="B540" s="235">
        <f t="shared" ref="B540:M540" si="218">B109</f>
        <v>696.37975729409061</v>
      </c>
      <c r="C540" s="235">
        <f t="shared" si="218"/>
        <v>1016.8509806853443</v>
      </c>
      <c r="D540" s="235">
        <f t="shared" si="218"/>
        <v>1319.0345035329774</v>
      </c>
      <c r="E540" s="235">
        <f t="shared" si="218"/>
        <v>1788.1942962802625</v>
      </c>
      <c r="F540" s="235">
        <f t="shared" si="218"/>
        <v>2136.2244748820503</v>
      </c>
      <c r="G540" s="235">
        <f t="shared" si="218"/>
        <v>2635.3245124377418</v>
      </c>
      <c r="H540" s="235">
        <f t="shared" si="218"/>
        <v>2791.0389535772542</v>
      </c>
      <c r="I540" s="235">
        <f t="shared" si="218"/>
        <v>2891.500481516302</v>
      </c>
      <c r="J540" s="235">
        <f t="shared" si="218"/>
        <v>3188.8920703756767</v>
      </c>
      <c r="K540" s="235">
        <f t="shared" si="218"/>
        <v>3411.8504649275428</v>
      </c>
      <c r="L540" s="235">
        <f t="shared" si="218"/>
        <v>3700.8326036293743</v>
      </c>
      <c r="M540" s="235">
        <f t="shared" si="218"/>
        <v>3886</v>
      </c>
      <c r="N540" s="235" t="s">
        <v>315</v>
      </c>
      <c r="O540" s="100" t="s">
        <v>285</v>
      </c>
    </row>
    <row r="541" spans="1:15">
      <c r="A541" s="242" t="s">
        <v>122</v>
      </c>
      <c r="B541" s="235">
        <f t="shared" ref="B541:M541" si="219">B110</f>
        <v>1155.4858106408101</v>
      </c>
      <c r="C541" s="235">
        <f t="shared" si="219"/>
        <v>2089.1877525020914</v>
      </c>
      <c r="D541" s="235">
        <f t="shared" si="219"/>
        <v>3412.2285939175999</v>
      </c>
      <c r="E541" s="235">
        <f t="shared" si="219"/>
        <v>4409.0316593522193</v>
      </c>
      <c r="F541" s="235">
        <f t="shared" si="219"/>
        <v>5384.4920271400279</v>
      </c>
      <c r="G541" s="235">
        <f t="shared" si="219"/>
        <v>6506.5351119825591</v>
      </c>
      <c r="H541" s="235">
        <f t="shared" si="219"/>
        <v>6897.2922896688506</v>
      </c>
      <c r="I541" s="235">
        <f t="shared" si="219"/>
        <v>7767.0987510107025</v>
      </c>
      <c r="J541" s="235">
        <f t="shared" si="219"/>
        <v>8028.2606965479772</v>
      </c>
      <c r="K541" s="235">
        <f t="shared" si="219"/>
        <v>8239.2300422909721</v>
      </c>
      <c r="L541" s="235">
        <f t="shared" si="219"/>
        <v>8686.4402844808101</v>
      </c>
      <c r="M541" s="235">
        <f t="shared" si="219"/>
        <v>9631.6200000000008</v>
      </c>
      <c r="N541" s="235" t="s">
        <v>315</v>
      </c>
      <c r="O541" s="100" t="s">
        <v>285</v>
      </c>
    </row>
    <row r="542" spans="1:15">
      <c r="A542" s="242" t="s">
        <v>123</v>
      </c>
      <c r="B542" s="235">
        <f t="shared" ref="B542:M542" si="220">B111</f>
        <v>4035.10653919675</v>
      </c>
      <c r="C542" s="235">
        <f t="shared" si="220"/>
        <v>9066.6622295681755</v>
      </c>
      <c r="D542" s="235">
        <f t="shared" si="220"/>
        <v>11449.100474878722</v>
      </c>
      <c r="E542" s="235">
        <f t="shared" si="220"/>
        <v>12966.124038050149</v>
      </c>
      <c r="F542" s="235">
        <f t="shared" si="220"/>
        <v>16729.099506511851</v>
      </c>
      <c r="G542" s="235">
        <f t="shared" si="220"/>
        <v>19967.710259356914</v>
      </c>
      <c r="H542" s="235">
        <f t="shared" si="220"/>
        <v>22417.461340906211</v>
      </c>
      <c r="I542" s="235">
        <f t="shared" si="220"/>
        <v>24867.683854905241</v>
      </c>
      <c r="J542" s="235">
        <f t="shared" si="220"/>
        <v>26685.075456641982</v>
      </c>
      <c r="K542" s="235">
        <f t="shared" si="220"/>
        <v>28109.127022837743</v>
      </c>
      <c r="L542" s="235">
        <f t="shared" si="220"/>
        <v>29097.492981689298</v>
      </c>
      <c r="M542" s="235">
        <f t="shared" si="220"/>
        <v>30000</v>
      </c>
      <c r="N542" s="235" t="s">
        <v>315</v>
      </c>
      <c r="O542" s="100" t="s">
        <v>285</v>
      </c>
    </row>
    <row r="543" spans="1:15">
      <c r="A543" s="242" t="s">
        <v>124</v>
      </c>
      <c r="B543" s="235">
        <f t="shared" ref="B543:M543" si="221">B112</f>
        <v>431.9768907614602</v>
      </c>
      <c r="C543" s="235">
        <f t="shared" si="221"/>
        <v>1081.9926687872612</v>
      </c>
      <c r="D543" s="235">
        <f t="shared" si="221"/>
        <v>2645.0887716346601</v>
      </c>
      <c r="E543" s="235">
        <f t="shared" si="221"/>
        <v>3715.6662150084248</v>
      </c>
      <c r="F543" s="235">
        <f t="shared" si="221"/>
        <v>4441.4774995815806</v>
      </c>
      <c r="G543" s="235">
        <f t="shared" si="221"/>
        <v>5083.1883468583283</v>
      </c>
      <c r="H543" s="235">
        <f t="shared" si="221"/>
        <v>5508.7013996704909</v>
      </c>
      <c r="I543" s="235">
        <f t="shared" si="221"/>
        <v>5996.0568743827698</v>
      </c>
      <c r="J543" s="235">
        <f t="shared" si="221"/>
        <v>6385.8432143498812</v>
      </c>
      <c r="K543" s="235">
        <f t="shared" si="221"/>
        <v>6933.6403688157588</v>
      </c>
      <c r="L543" s="235">
        <f t="shared" si="221"/>
        <v>7472.6632754674238</v>
      </c>
      <c r="M543" s="235">
        <f t="shared" si="221"/>
        <v>7890</v>
      </c>
      <c r="N543" s="235" t="s">
        <v>315</v>
      </c>
      <c r="O543" s="100" t="s">
        <v>285</v>
      </c>
    </row>
    <row r="544" spans="1:15">
      <c r="A544" s="242" t="s">
        <v>125</v>
      </c>
      <c r="B544" s="235">
        <f t="shared" ref="B544:M544" si="222">B113</f>
        <v>2848.2735779282025</v>
      </c>
      <c r="C544" s="235">
        <f t="shared" si="222"/>
        <v>4118.6475196814199</v>
      </c>
      <c r="D544" s="235">
        <f t="shared" si="222"/>
        <v>5418.7719604754848</v>
      </c>
      <c r="E544" s="235">
        <f t="shared" si="222"/>
        <v>7624.1358562524201</v>
      </c>
      <c r="F544" s="235">
        <f t="shared" si="222"/>
        <v>9807.4613852709463</v>
      </c>
      <c r="G544" s="235">
        <f t="shared" si="222"/>
        <v>11424.058230448669</v>
      </c>
      <c r="H544" s="235">
        <f t="shared" si="222"/>
        <v>13385.593377579704</v>
      </c>
      <c r="I544" s="235">
        <f t="shared" si="222"/>
        <v>14458.779826801641</v>
      </c>
      <c r="J544" s="235">
        <f t="shared" si="222"/>
        <v>16118.32875591946</v>
      </c>
      <c r="K544" s="235">
        <f t="shared" si="222"/>
        <v>18078.528328429762</v>
      </c>
      <c r="L544" s="235">
        <f t="shared" si="222"/>
        <v>19110.591072524468</v>
      </c>
      <c r="M544" s="235">
        <f t="shared" si="222"/>
        <v>20000</v>
      </c>
      <c r="N544" s="235" t="s">
        <v>315</v>
      </c>
      <c r="O544" s="100" t="s">
        <v>285</v>
      </c>
    </row>
    <row r="545" spans="1:15">
      <c r="A545" s="242" t="s">
        <v>126</v>
      </c>
      <c r="B545" s="235">
        <f t="shared" ref="B545:M545" si="223">B114</f>
        <v>4077.4303597616099</v>
      </c>
      <c r="C545" s="235">
        <f t="shared" si="223"/>
        <v>5986.365338011311</v>
      </c>
      <c r="D545" s="235">
        <f t="shared" si="223"/>
        <v>7349.9721002909309</v>
      </c>
      <c r="E545" s="235">
        <f t="shared" si="223"/>
        <v>8664.8722988339105</v>
      </c>
      <c r="F545" s="235">
        <f t="shared" si="223"/>
        <v>9471.6533189428501</v>
      </c>
      <c r="G545" s="235">
        <f t="shared" si="223"/>
        <v>11230.351645055016</v>
      </c>
      <c r="H545" s="235">
        <f t="shared" si="223"/>
        <v>13503.756443162467</v>
      </c>
      <c r="I545" s="235">
        <f t="shared" si="223"/>
        <v>16672.727633081868</v>
      </c>
      <c r="J545" s="235">
        <f t="shared" si="223"/>
        <v>20894.576292881662</v>
      </c>
      <c r="K545" s="235">
        <f t="shared" si="223"/>
        <v>25220.764664869144</v>
      </c>
      <c r="L545" s="235">
        <f t="shared" si="223"/>
        <v>30294.704091014464</v>
      </c>
      <c r="M545" s="235">
        <f t="shared" si="223"/>
        <v>34694.67</v>
      </c>
      <c r="N545" s="235" t="s">
        <v>315</v>
      </c>
      <c r="O545" s="100" t="s">
        <v>285</v>
      </c>
    </row>
    <row r="546" spans="1:15">
      <c r="A546" s="242" t="s">
        <v>127</v>
      </c>
      <c r="B546" s="235">
        <f t="shared" ref="B546:M546" si="224">B115</f>
        <v>2427.0486783857009</v>
      </c>
      <c r="C546" s="235">
        <f t="shared" si="224"/>
        <v>6050.0270266156522</v>
      </c>
      <c r="D546" s="235">
        <f t="shared" si="224"/>
        <v>7889.1024518957829</v>
      </c>
      <c r="E546" s="235">
        <f t="shared" si="224"/>
        <v>9943.7998357882771</v>
      </c>
      <c r="F546" s="235">
        <f t="shared" si="224"/>
        <v>11691.560057480447</v>
      </c>
      <c r="G546" s="235">
        <f t="shared" si="224"/>
        <v>13760.846899295744</v>
      </c>
      <c r="H546" s="235">
        <f t="shared" si="224"/>
        <v>15704.760329727907</v>
      </c>
      <c r="I546" s="235">
        <f t="shared" si="224"/>
        <v>18365.478991139476</v>
      </c>
      <c r="J546" s="235">
        <f t="shared" si="224"/>
        <v>19942.8524165616</v>
      </c>
      <c r="K546" s="235">
        <f t="shared" si="224"/>
        <v>21472.557134822022</v>
      </c>
      <c r="L546" s="235">
        <f t="shared" si="224"/>
        <v>22532.279339043875</v>
      </c>
      <c r="M546" s="235">
        <f t="shared" si="224"/>
        <v>25000</v>
      </c>
      <c r="N546" s="235" t="s">
        <v>315</v>
      </c>
      <c r="O546" s="100" t="s">
        <v>285</v>
      </c>
    </row>
    <row r="547" spans="1:15">
      <c r="A547" s="242" t="s">
        <v>128</v>
      </c>
      <c r="B547" s="235">
        <f t="shared" ref="B547:M547" si="225">B116</f>
        <v>763.05101778251549</v>
      </c>
      <c r="C547" s="235">
        <f t="shared" si="225"/>
        <v>1439.7611602950408</v>
      </c>
      <c r="D547" s="235">
        <f t="shared" si="225"/>
        <v>1736.3762275128372</v>
      </c>
      <c r="E547" s="235">
        <f t="shared" si="225"/>
        <v>2162.7230171187057</v>
      </c>
      <c r="F547" s="235">
        <f t="shared" si="225"/>
        <v>2526.9813145516014</v>
      </c>
      <c r="G547" s="235">
        <f t="shared" si="225"/>
        <v>2732.8885597982139</v>
      </c>
      <c r="H547" s="235">
        <f t="shared" si="225"/>
        <v>3008.9654031116511</v>
      </c>
      <c r="I547" s="235">
        <f t="shared" si="225"/>
        <v>3185.2326206644602</v>
      </c>
      <c r="J547" s="235">
        <f t="shared" si="225"/>
        <v>3392.508911362956</v>
      </c>
      <c r="K547" s="235">
        <f t="shared" si="225"/>
        <v>3774.4535277915106</v>
      </c>
      <c r="L547" s="235">
        <f t="shared" si="225"/>
        <v>3828.0166325305458</v>
      </c>
      <c r="M547" s="235">
        <f t="shared" si="225"/>
        <v>4200</v>
      </c>
      <c r="N547" s="235" t="s">
        <v>315</v>
      </c>
      <c r="O547" s="100" t="s">
        <v>285</v>
      </c>
    </row>
    <row r="548" spans="1:15">
      <c r="A548" s="242" t="s">
        <v>129</v>
      </c>
      <c r="B548" s="235">
        <f t="shared" ref="B548:M548" si="226">B117</f>
        <v>0</v>
      </c>
      <c r="C548" s="235">
        <f t="shared" si="226"/>
        <v>0</v>
      </c>
      <c r="D548" s="235">
        <f t="shared" si="226"/>
        <v>0</v>
      </c>
      <c r="E548" s="235">
        <f t="shared" si="226"/>
        <v>0</v>
      </c>
      <c r="F548" s="235">
        <f t="shared" si="226"/>
        <v>0</v>
      </c>
      <c r="G548" s="235">
        <f t="shared" si="226"/>
        <v>0</v>
      </c>
      <c r="H548" s="235">
        <f t="shared" si="226"/>
        <v>0</v>
      </c>
      <c r="I548" s="235">
        <f t="shared" si="226"/>
        <v>0</v>
      </c>
      <c r="J548" s="235">
        <f t="shared" si="226"/>
        <v>0</v>
      </c>
      <c r="K548" s="235">
        <f t="shared" si="226"/>
        <v>0</v>
      </c>
      <c r="L548" s="235">
        <f t="shared" si="226"/>
        <v>0</v>
      </c>
      <c r="M548" s="235">
        <f t="shared" si="226"/>
        <v>0</v>
      </c>
      <c r="N548" s="235" t="s">
        <v>315</v>
      </c>
      <c r="O548" s="100" t="s">
        <v>285</v>
      </c>
    </row>
    <row r="549" spans="1:15">
      <c r="A549" s="242" t="s">
        <v>130</v>
      </c>
      <c r="B549" s="235">
        <f t="shared" ref="B549:M549" si="227">B118</f>
        <v>1108.6524886382235</v>
      </c>
      <c r="C549" s="235">
        <f t="shared" si="227"/>
        <v>2312.3793376251524</v>
      </c>
      <c r="D549" s="235">
        <f t="shared" si="227"/>
        <v>3590.5817356612829</v>
      </c>
      <c r="E549" s="235">
        <f t="shared" si="227"/>
        <v>4768.7894880499125</v>
      </c>
      <c r="F549" s="235">
        <f t="shared" si="227"/>
        <v>5452.0988089858138</v>
      </c>
      <c r="G549" s="235">
        <f t="shared" si="227"/>
        <v>5961.8133777075</v>
      </c>
      <c r="H549" s="235">
        <f t="shared" si="227"/>
        <v>6538.8642921623205</v>
      </c>
      <c r="I549" s="235">
        <f t="shared" si="227"/>
        <v>7789.7254934923758</v>
      </c>
      <c r="J549" s="235">
        <f t="shared" si="227"/>
        <v>8382.4755470778564</v>
      </c>
      <c r="K549" s="235">
        <f t="shared" si="227"/>
        <v>8912.0249251829027</v>
      </c>
      <c r="L549" s="235">
        <f t="shared" si="227"/>
        <v>9147.0189183815546</v>
      </c>
      <c r="M549" s="235">
        <f t="shared" si="227"/>
        <v>10000</v>
      </c>
      <c r="N549" s="235" t="s">
        <v>315</v>
      </c>
      <c r="O549" s="100" t="s">
        <v>285</v>
      </c>
    </row>
    <row r="550" spans="1:15">
      <c r="A550" s="242" t="s">
        <v>131</v>
      </c>
      <c r="B550" s="235">
        <f t="shared" ref="B550:M550" si="228">B119</f>
        <v>15010.849350934106</v>
      </c>
      <c r="C550" s="235">
        <f t="shared" si="228"/>
        <v>21312.406170371523</v>
      </c>
      <c r="D550" s="235">
        <f t="shared" si="228"/>
        <v>27319.783226411299</v>
      </c>
      <c r="E550" s="235">
        <f t="shared" si="228"/>
        <v>31987.547045379379</v>
      </c>
      <c r="F550" s="235">
        <f t="shared" si="228"/>
        <v>39204.589973286624</v>
      </c>
      <c r="G550" s="235">
        <f t="shared" si="228"/>
        <v>44975.649733244034</v>
      </c>
      <c r="H550" s="235">
        <f t="shared" si="228"/>
        <v>48015.121074308838</v>
      </c>
      <c r="I550" s="235">
        <f t="shared" si="228"/>
        <v>54059.860433368223</v>
      </c>
      <c r="J550" s="235">
        <f t="shared" si="228"/>
        <v>58416.514723831278</v>
      </c>
      <c r="K550" s="235">
        <f t="shared" si="228"/>
        <v>67507.648264609466</v>
      </c>
      <c r="L550" s="235">
        <f t="shared" si="228"/>
        <v>74279.215069178666</v>
      </c>
      <c r="M550" s="235">
        <f t="shared" si="228"/>
        <v>80611</v>
      </c>
      <c r="N550" s="235" t="s">
        <v>315</v>
      </c>
      <c r="O550" s="100" t="s">
        <v>285</v>
      </c>
    </row>
    <row r="551" spans="1:15">
      <c r="A551" s="242" t="s">
        <v>132</v>
      </c>
      <c r="B551" s="235">
        <f t="shared" ref="B551:M551" si="229">B120</f>
        <v>0</v>
      </c>
      <c r="C551" s="235">
        <f t="shared" si="229"/>
        <v>0</v>
      </c>
      <c r="D551" s="235">
        <f t="shared" si="229"/>
        <v>0</v>
      </c>
      <c r="E551" s="235">
        <f t="shared" si="229"/>
        <v>0</v>
      </c>
      <c r="F551" s="235">
        <f t="shared" si="229"/>
        <v>0</v>
      </c>
      <c r="G551" s="235">
        <f t="shared" si="229"/>
        <v>0</v>
      </c>
      <c r="H551" s="235">
        <f t="shared" si="229"/>
        <v>0</v>
      </c>
      <c r="I551" s="235">
        <f t="shared" si="229"/>
        <v>0</v>
      </c>
      <c r="J551" s="235">
        <f t="shared" si="229"/>
        <v>0</v>
      </c>
      <c r="K551" s="235">
        <f t="shared" si="229"/>
        <v>0</v>
      </c>
      <c r="L551" s="235">
        <f t="shared" si="229"/>
        <v>0</v>
      </c>
      <c r="M551" s="235">
        <f t="shared" si="229"/>
        <v>0</v>
      </c>
      <c r="N551" s="235" t="s">
        <v>315</v>
      </c>
      <c r="O551" s="100" t="s">
        <v>285</v>
      </c>
    </row>
    <row r="552" spans="1:15">
      <c r="A552" s="242" t="s">
        <v>133</v>
      </c>
      <c r="B552" s="235">
        <f t="shared" ref="B552:M552" si="230">B121</f>
        <v>1914.8490810079124</v>
      </c>
      <c r="C552" s="235">
        <f t="shared" si="230"/>
        <v>3122.7397572061063</v>
      </c>
      <c r="D552" s="235">
        <f t="shared" si="230"/>
        <v>6219.581272193459</v>
      </c>
      <c r="E552" s="235">
        <f t="shared" si="230"/>
        <v>6887.1013695367146</v>
      </c>
      <c r="F552" s="235">
        <f t="shared" si="230"/>
        <v>8648.3454642594952</v>
      </c>
      <c r="G552" s="235">
        <f t="shared" si="230"/>
        <v>10486.159693769792</v>
      </c>
      <c r="H552" s="235">
        <f t="shared" si="230"/>
        <v>12999.597916204224</v>
      </c>
      <c r="I552" s="235">
        <f t="shared" si="230"/>
        <v>14567.534619280514</v>
      </c>
      <c r="J552" s="235">
        <f t="shared" si="230"/>
        <v>15680.673907543711</v>
      </c>
      <c r="K552" s="235">
        <f t="shared" si="230"/>
        <v>17619.772451669945</v>
      </c>
      <c r="L552" s="235">
        <f t="shared" si="230"/>
        <v>19885.644897474285</v>
      </c>
      <c r="M552" s="235">
        <f t="shared" si="230"/>
        <v>21423</v>
      </c>
      <c r="N552" s="235" t="s">
        <v>315</v>
      </c>
      <c r="O552" s="100" t="s">
        <v>285</v>
      </c>
    </row>
    <row r="553" spans="1:15">
      <c r="A553" s="242" t="s">
        <v>134</v>
      </c>
      <c r="B553" s="235">
        <f t="shared" ref="B553:M553" si="231">B122</f>
        <v>0</v>
      </c>
      <c r="C553" s="235">
        <f t="shared" si="231"/>
        <v>0</v>
      </c>
      <c r="D553" s="235">
        <f t="shared" si="231"/>
        <v>0</v>
      </c>
      <c r="E553" s="235">
        <f t="shared" si="231"/>
        <v>0</v>
      </c>
      <c r="F553" s="235">
        <f t="shared" si="231"/>
        <v>0</v>
      </c>
      <c r="G553" s="235">
        <f t="shared" si="231"/>
        <v>0</v>
      </c>
      <c r="H553" s="235">
        <f t="shared" si="231"/>
        <v>0</v>
      </c>
      <c r="I553" s="235">
        <f t="shared" si="231"/>
        <v>0</v>
      </c>
      <c r="J553" s="235">
        <f t="shared" si="231"/>
        <v>0</v>
      </c>
      <c r="K553" s="235">
        <f t="shared" si="231"/>
        <v>0</v>
      </c>
      <c r="L553" s="235">
        <f t="shared" si="231"/>
        <v>0</v>
      </c>
      <c r="M553" s="235">
        <f t="shared" si="231"/>
        <v>0</v>
      </c>
      <c r="N553" s="235" t="s">
        <v>315</v>
      </c>
      <c r="O553" s="100" t="s">
        <v>285</v>
      </c>
    </row>
    <row r="554" spans="1:15">
      <c r="A554" s="242" t="s">
        <v>135</v>
      </c>
      <c r="B554" s="235">
        <f t="shared" ref="B554:M554" si="232">B123</f>
        <v>955.74135597268389</v>
      </c>
      <c r="C554" s="235">
        <f t="shared" si="232"/>
        <v>1652.6124396957368</v>
      </c>
      <c r="D554" s="235">
        <f t="shared" si="232"/>
        <v>2632.0437162587505</v>
      </c>
      <c r="E554" s="235">
        <f t="shared" si="232"/>
        <v>3447.273574072547</v>
      </c>
      <c r="F554" s="235">
        <f t="shared" si="232"/>
        <v>4322.133936814148</v>
      </c>
      <c r="G554" s="235">
        <f t="shared" si="232"/>
        <v>4997.0230691313891</v>
      </c>
      <c r="H554" s="235">
        <f t="shared" si="232"/>
        <v>5915.1439497584288</v>
      </c>
      <c r="I554" s="235">
        <f t="shared" si="232"/>
        <v>6446.1012466101001</v>
      </c>
      <c r="J554" s="235">
        <f t="shared" si="232"/>
        <v>6875.4758224472434</v>
      </c>
      <c r="K554" s="235">
        <f t="shared" si="232"/>
        <v>7070.4180712474954</v>
      </c>
      <c r="L554" s="235">
        <f t="shared" si="232"/>
        <v>7659.1477238376383</v>
      </c>
      <c r="M554" s="235">
        <f t="shared" si="232"/>
        <v>7955</v>
      </c>
      <c r="N554" s="235" t="s">
        <v>315</v>
      </c>
      <c r="O554" s="100" t="s">
        <v>285</v>
      </c>
    </row>
    <row r="555" spans="1:15">
      <c r="A555" s="242" t="s">
        <v>136</v>
      </c>
      <c r="B555" s="235">
        <f t="shared" ref="B555:M555" si="233">B124</f>
        <v>3866.2727670186596</v>
      </c>
      <c r="C555" s="235">
        <f t="shared" si="233"/>
        <v>6377.0154585624641</v>
      </c>
      <c r="D555" s="235">
        <f t="shared" si="233"/>
        <v>7758.5802890356636</v>
      </c>
      <c r="E555" s="235">
        <f t="shared" si="233"/>
        <v>10833.348446006243</v>
      </c>
      <c r="F555" s="235">
        <f t="shared" si="233"/>
        <v>12407.084288515824</v>
      </c>
      <c r="G555" s="235">
        <f t="shared" si="233"/>
        <v>13780.541004976132</v>
      </c>
      <c r="H555" s="235">
        <f t="shared" si="233"/>
        <v>15153.286001095161</v>
      </c>
      <c r="I555" s="235">
        <f t="shared" si="233"/>
        <v>15914.965611749332</v>
      </c>
      <c r="J555" s="235">
        <f t="shared" si="233"/>
        <v>17146.308029982232</v>
      </c>
      <c r="K555" s="235">
        <f t="shared" si="233"/>
        <v>18914.585046954671</v>
      </c>
      <c r="L555" s="235">
        <f t="shared" si="233"/>
        <v>20238.534909464866</v>
      </c>
      <c r="M555" s="235">
        <f t="shared" si="233"/>
        <v>20500</v>
      </c>
      <c r="N555" s="235" t="s">
        <v>315</v>
      </c>
      <c r="O555" s="100" t="s">
        <v>285</v>
      </c>
    </row>
    <row r="556" spans="1:15">
      <c r="A556" s="242" t="s">
        <v>137</v>
      </c>
      <c r="B556" s="235">
        <f t="shared" ref="B556:M556" si="234">B125</f>
        <v>25143.721507176571</v>
      </c>
      <c r="C556" s="235">
        <f t="shared" si="234"/>
        <v>45153.187392225816</v>
      </c>
      <c r="D556" s="235">
        <f t="shared" si="234"/>
        <v>60182.315907776814</v>
      </c>
      <c r="E556" s="235">
        <f t="shared" si="234"/>
        <v>76702.080350611301</v>
      </c>
      <c r="F556" s="235">
        <f t="shared" si="234"/>
        <v>91847.492231514421</v>
      </c>
      <c r="G556" s="235">
        <f t="shared" si="234"/>
        <v>112739.71692513279</v>
      </c>
      <c r="H556" s="235">
        <f t="shared" si="234"/>
        <v>125872.21124558468</v>
      </c>
      <c r="I556" s="235">
        <f t="shared" si="234"/>
        <v>141892.82159508707</v>
      </c>
      <c r="J556" s="235">
        <f t="shared" si="234"/>
        <v>155099.52445659213</v>
      </c>
      <c r="K556" s="235">
        <f t="shared" si="234"/>
        <v>171495.62853048267</v>
      </c>
      <c r="L556" s="235">
        <f t="shared" si="234"/>
        <v>184044.38844514402</v>
      </c>
      <c r="M556" s="235">
        <f t="shared" si="234"/>
        <v>200000</v>
      </c>
      <c r="N556" s="235" t="s">
        <v>315</v>
      </c>
      <c r="O556" s="100" t="s">
        <v>285</v>
      </c>
    </row>
    <row r="557" spans="1:15">
      <c r="A557" s="242" t="s">
        <v>138</v>
      </c>
      <c r="B557" s="235">
        <f t="shared" ref="B557:M557" si="235">B126</f>
        <v>0</v>
      </c>
      <c r="C557" s="235">
        <f t="shared" si="235"/>
        <v>0</v>
      </c>
      <c r="D557" s="235">
        <f t="shared" si="235"/>
        <v>0</v>
      </c>
      <c r="E557" s="235">
        <f t="shared" si="235"/>
        <v>0</v>
      </c>
      <c r="F557" s="235">
        <f t="shared" si="235"/>
        <v>0</v>
      </c>
      <c r="G557" s="235">
        <f t="shared" si="235"/>
        <v>0</v>
      </c>
      <c r="H557" s="235">
        <f t="shared" si="235"/>
        <v>0</v>
      </c>
      <c r="I557" s="235">
        <f t="shared" si="235"/>
        <v>0</v>
      </c>
      <c r="J557" s="235">
        <f t="shared" si="235"/>
        <v>0</v>
      </c>
      <c r="K557" s="235">
        <f t="shared" si="235"/>
        <v>0</v>
      </c>
      <c r="L557" s="235">
        <f t="shared" si="235"/>
        <v>0</v>
      </c>
      <c r="M557" s="235">
        <f t="shared" si="235"/>
        <v>0</v>
      </c>
      <c r="N557" s="235" t="s">
        <v>315</v>
      </c>
      <c r="O557" s="100" t="s">
        <v>285</v>
      </c>
    </row>
    <row r="558" spans="1:15">
      <c r="A558" s="242" t="s">
        <v>139</v>
      </c>
      <c r="B558" s="235">
        <f t="shared" ref="B558:M558" si="236">B127</f>
        <v>0</v>
      </c>
      <c r="C558" s="235">
        <f t="shared" si="236"/>
        <v>0</v>
      </c>
      <c r="D558" s="235">
        <f t="shared" si="236"/>
        <v>0</v>
      </c>
      <c r="E558" s="235">
        <f t="shared" si="236"/>
        <v>0</v>
      </c>
      <c r="F558" s="235">
        <f t="shared" si="236"/>
        <v>0</v>
      </c>
      <c r="G558" s="235">
        <f t="shared" si="236"/>
        <v>0</v>
      </c>
      <c r="H558" s="235">
        <f t="shared" si="236"/>
        <v>0</v>
      </c>
      <c r="I558" s="235">
        <f t="shared" si="236"/>
        <v>0</v>
      </c>
      <c r="J558" s="235">
        <f t="shared" si="236"/>
        <v>0</v>
      </c>
      <c r="K558" s="235">
        <f t="shared" si="236"/>
        <v>0</v>
      </c>
      <c r="L558" s="235">
        <f t="shared" si="236"/>
        <v>0</v>
      </c>
      <c r="M558" s="235">
        <f t="shared" si="236"/>
        <v>0</v>
      </c>
      <c r="N558" s="235" t="s">
        <v>315</v>
      </c>
      <c r="O558" s="100" t="s">
        <v>285</v>
      </c>
    </row>
    <row r="559" spans="1:15">
      <c r="A559" s="242" t="s">
        <v>140</v>
      </c>
      <c r="B559" s="235">
        <f t="shared" ref="B559:M559" si="237">B128</f>
        <v>0</v>
      </c>
      <c r="C559" s="235">
        <f t="shared" si="237"/>
        <v>0</v>
      </c>
      <c r="D559" s="235">
        <f t="shared" si="237"/>
        <v>0</v>
      </c>
      <c r="E559" s="235">
        <f t="shared" si="237"/>
        <v>0</v>
      </c>
      <c r="F559" s="235">
        <f t="shared" si="237"/>
        <v>0</v>
      </c>
      <c r="G559" s="235">
        <f t="shared" si="237"/>
        <v>0</v>
      </c>
      <c r="H559" s="235">
        <f t="shared" si="237"/>
        <v>0</v>
      </c>
      <c r="I559" s="235">
        <f t="shared" si="237"/>
        <v>0</v>
      </c>
      <c r="J559" s="235">
        <f t="shared" si="237"/>
        <v>0</v>
      </c>
      <c r="K559" s="235">
        <f t="shared" si="237"/>
        <v>0</v>
      </c>
      <c r="L559" s="235">
        <f t="shared" si="237"/>
        <v>0</v>
      </c>
      <c r="M559" s="235">
        <f t="shared" si="237"/>
        <v>0</v>
      </c>
      <c r="N559" s="235" t="s">
        <v>315</v>
      </c>
      <c r="O559" s="100" t="s">
        <v>285</v>
      </c>
    </row>
    <row r="560" spans="1:15">
      <c r="A560" s="242" t="s">
        <v>141</v>
      </c>
      <c r="B560" s="235">
        <f t="shared" ref="B560:M560" si="238">B129</f>
        <v>0</v>
      </c>
      <c r="C560" s="235">
        <f t="shared" si="238"/>
        <v>0</v>
      </c>
      <c r="D560" s="235">
        <f t="shared" si="238"/>
        <v>0</v>
      </c>
      <c r="E560" s="235">
        <f t="shared" si="238"/>
        <v>0</v>
      </c>
      <c r="F560" s="235">
        <f t="shared" si="238"/>
        <v>0</v>
      </c>
      <c r="G560" s="235">
        <f t="shared" si="238"/>
        <v>0</v>
      </c>
      <c r="H560" s="235">
        <f t="shared" si="238"/>
        <v>0</v>
      </c>
      <c r="I560" s="235">
        <f t="shared" si="238"/>
        <v>0</v>
      </c>
      <c r="J560" s="235">
        <f t="shared" si="238"/>
        <v>0</v>
      </c>
      <c r="K560" s="235">
        <f t="shared" si="238"/>
        <v>0</v>
      </c>
      <c r="L560" s="235">
        <f t="shared" si="238"/>
        <v>0</v>
      </c>
      <c r="M560" s="235">
        <f t="shared" si="238"/>
        <v>0</v>
      </c>
      <c r="N560" s="235" t="s">
        <v>315</v>
      </c>
      <c r="O560" s="100" t="s">
        <v>285</v>
      </c>
    </row>
    <row r="561" spans="1:15">
      <c r="A561" s="242" t="s">
        <v>142</v>
      </c>
      <c r="B561" s="235">
        <f t="shared" ref="B561:M561" si="239">B130</f>
        <v>0</v>
      </c>
      <c r="C561" s="235">
        <f t="shared" si="239"/>
        <v>0</v>
      </c>
      <c r="D561" s="235">
        <f t="shared" si="239"/>
        <v>0</v>
      </c>
      <c r="E561" s="235">
        <f t="shared" si="239"/>
        <v>0</v>
      </c>
      <c r="F561" s="235">
        <f t="shared" si="239"/>
        <v>0</v>
      </c>
      <c r="G561" s="235">
        <f t="shared" si="239"/>
        <v>0</v>
      </c>
      <c r="H561" s="235">
        <f t="shared" si="239"/>
        <v>0</v>
      </c>
      <c r="I561" s="235">
        <f t="shared" si="239"/>
        <v>0</v>
      </c>
      <c r="J561" s="235">
        <f t="shared" si="239"/>
        <v>0</v>
      </c>
      <c r="K561" s="235">
        <f t="shared" si="239"/>
        <v>0</v>
      </c>
      <c r="L561" s="235">
        <f t="shared" si="239"/>
        <v>0</v>
      </c>
      <c r="M561" s="235">
        <f t="shared" si="239"/>
        <v>0</v>
      </c>
      <c r="N561" s="235" t="s">
        <v>315</v>
      </c>
      <c r="O561" s="100" t="s">
        <v>285</v>
      </c>
    </row>
    <row r="562" spans="1:15">
      <c r="A562" s="242" t="s">
        <v>143</v>
      </c>
      <c r="B562" s="235">
        <f t="shared" ref="B562:M562" si="240">B131</f>
        <v>57228.463825798724</v>
      </c>
      <c r="C562" s="235">
        <f t="shared" si="240"/>
        <v>88879.012339513618</v>
      </c>
      <c r="D562" s="235">
        <f t="shared" si="240"/>
        <v>115556.81644434594</v>
      </c>
      <c r="E562" s="235">
        <f t="shared" si="240"/>
        <v>137321.8591556309</v>
      </c>
      <c r="F562" s="235">
        <f t="shared" si="240"/>
        <v>161949.11874717375</v>
      </c>
      <c r="G562" s="235">
        <f t="shared" si="240"/>
        <v>179948.41157574538</v>
      </c>
      <c r="H562" s="235">
        <f t="shared" si="240"/>
        <v>199522.02105604729</v>
      </c>
      <c r="I562" s="235">
        <f t="shared" si="240"/>
        <v>221406.56037951267</v>
      </c>
      <c r="J562" s="235">
        <f t="shared" si="240"/>
        <v>235464.01769601554</v>
      </c>
      <c r="K562" s="235">
        <f t="shared" si="240"/>
        <v>257308.0979772257</v>
      </c>
      <c r="L562" s="235">
        <f t="shared" si="240"/>
        <v>276313.86938771483</v>
      </c>
      <c r="M562" s="235">
        <f t="shared" si="240"/>
        <v>290779.50842432189</v>
      </c>
      <c r="N562" s="235" t="s">
        <v>315</v>
      </c>
      <c r="O562" s="100" t="s">
        <v>285</v>
      </c>
    </row>
    <row r="563" spans="1:15">
      <c r="A563" s="242" t="s">
        <v>144</v>
      </c>
      <c r="B563" s="235">
        <f t="shared" ref="B563:M563" si="241">B132</f>
        <v>1855.5802975384452</v>
      </c>
      <c r="C563" s="235">
        <f t="shared" si="241"/>
        <v>2605.7574726827497</v>
      </c>
      <c r="D563" s="235">
        <f t="shared" si="241"/>
        <v>4465.2296322901848</v>
      </c>
      <c r="E563" s="235">
        <f t="shared" si="241"/>
        <v>5403.2916434875633</v>
      </c>
      <c r="F563" s="235">
        <f t="shared" si="241"/>
        <v>5721.5225190352339</v>
      </c>
      <c r="G563" s="235">
        <f t="shared" si="241"/>
        <v>5978.1360098074019</v>
      </c>
      <c r="H563" s="235">
        <f t="shared" si="241"/>
        <v>6140.5839130098029</v>
      </c>
      <c r="I563" s="235">
        <f t="shared" si="241"/>
        <v>6277.2232803180514</v>
      </c>
      <c r="J563" s="235">
        <f t="shared" si="241"/>
        <v>6424.2075017454754</v>
      </c>
      <c r="K563" s="235">
        <f t="shared" si="241"/>
        <v>6711.0406354829147</v>
      </c>
      <c r="L563" s="235">
        <f t="shared" si="241"/>
        <v>7330.2523643557988</v>
      </c>
      <c r="M563" s="235">
        <f t="shared" si="241"/>
        <v>7758</v>
      </c>
      <c r="N563" s="235" t="s">
        <v>315</v>
      </c>
      <c r="O563" s="100" t="s">
        <v>285</v>
      </c>
    </row>
    <row r="564" spans="1:15">
      <c r="A564" s="242" t="s">
        <v>145</v>
      </c>
      <c r="B564" s="235">
        <f t="shared" ref="B564:M564" si="242">B133</f>
        <v>780.26859942222336</v>
      </c>
      <c r="C564" s="235">
        <f t="shared" si="242"/>
        <v>1309.0212389261744</v>
      </c>
      <c r="D564" s="235">
        <f t="shared" si="242"/>
        <v>1723.8697296053199</v>
      </c>
      <c r="E564" s="235">
        <f t="shared" si="242"/>
        <v>1937.2451983792168</v>
      </c>
      <c r="F564" s="235">
        <f t="shared" si="242"/>
        <v>2186.566305092811</v>
      </c>
      <c r="G564" s="235">
        <f t="shared" si="242"/>
        <v>2628.2755752601201</v>
      </c>
      <c r="H564" s="235">
        <f t="shared" si="242"/>
        <v>3384.9834126411665</v>
      </c>
      <c r="I564" s="235">
        <f t="shared" si="242"/>
        <v>4157.8007439452731</v>
      </c>
      <c r="J564" s="235">
        <f t="shared" si="242"/>
        <v>4352.066063123073</v>
      </c>
      <c r="K564" s="235">
        <f t="shared" si="242"/>
        <v>4599.8462410330158</v>
      </c>
      <c r="L564" s="235">
        <f t="shared" si="242"/>
        <v>5132.7375132958487</v>
      </c>
      <c r="M564" s="235">
        <f t="shared" si="242"/>
        <v>5391</v>
      </c>
      <c r="N564" s="235" t="s">
        <v>315</v>
      </c>
      <c r="O564" s="100" t="s">
        <v>285</v>
      </c>
    </row>
    <row r="565" spans="1:15">
      <c r="A565" s="242" t="s">
        <v>119</v>
      </c>
      <c r="B565" s="235">
        <f>AF141</f>
        <v>7413.5360000000001</v>
      </c>
      <c r="C565" s="235">
        <f t="shared" ref="C565:M565" si="243">AG141</f>
        <v>18557.311999999998</v>
      </c>
      <c r="D565" s="235">
        <f t="shared" si="243"/>
        <v>29397.856</v>
      </c>
      <c r="E565" s="235">
        <f t="shared" si="243"/>
        <v>44407.839999999997</v>
      </c>
      <c r="F565" s="235">
        <f t="shared" si="243"/>
        <v>0</v>
      </c>
      <c r="G565" s="235">
        <f t="shared" si="243"/>
        <v>0</v>
      </c>
      <c r="H565" s="235">
        <f t="shared" si="243"/>
        <v>0</v>
      </c>
      <c r="I565" s="235">
        <f t="shared" si="243"/>
        <v>0</v>
      </c>
      <c r="J565" s="235">
        <f t="shared" si="243"/>
        <v>0</v>
      </c>
      <c r="K565" s="235">
        <f t="shared" si="243"/>
        <v>0</v>
      </c>
      <c r="L565" s="235">
        <f t="shared" si="243"/>
        <v>0</v>
      </c>
      <c r="M565" s="235">
        <f t="shared" si="243"/>
        <v>0</v>
      </c>
      <c r="N565" s="235" t="s">
        <v>210</v>
      </c>
      <c r="O565" s="100" t="s">
        <v>28</v>
      </c>
    </row>
    <row r="566" spans="1:15">
      <c r="A566" s="242" t="s">
        <v>120</v>
      </c>
      <c r="B566" s="235">
        <f t="shared" ref="B566:B591" si="244">AF142</f>
        <v>30571.664000000004</v>
      </c>
      <c r="C566" s="235">
        <f t="shared" ref="C566:C591" si="245">AG142</f>
        <v>70749.90400000001</v>
      </c>
      <c r="D566" s="235">
        <f t="shared" ref="D566:D591" si="246">AH142</f>
        <v>105621.584</v>
      </c>
      <c r="E566" s="235">
        <f t="shared" ref="E566:E591" si="247">AI142</f>
        <v>157095.21600000001</v>
      </c>
      <c r="F566" s="235">
        <f t="shared" ref="F566:F591" si="248">AJ142</f>
        <v>0</v>
      </c>
      <c r="G566" s="235">
        <f t="shared" ref="G566:G591" si="249">AK142</f>
        <v>0</v>
      </c>
      <c r="H566" s="235">
        <f t="shared" ref="H566:H591" si="250">AL142</f>
        <v>0</v>
      </c>
      <c r="I566" s="235">
        <f t="shared" ref="I566:I591" si="251">AM142</f>
        <v>0</v>
      </c>
      <c r="J566" s="235">
        <f t="shared" ref="J566:J591" si="252">AN142</f>
        <v>0</v>
      </c>
      <c r="K566" s="235">
        <f t="shared" ref="K566:K591" si="253">AO142</f>
        <v>0</v>
      </c>
      <c r="L566" s="235">
        <f t="shared" ref="L566:L591" si="254">AP142</f>
        <v>0</v>
      </c>
      <c r="M566" s="235">
        <f t="shared" ref="M566:M591" si="255">AQ142</f>
        <v>0</v>
      </c>
      <c r="N566" s="235" t="s">
        <v>210</v>
      </c>
      <c r="O566" s="100" t="s">
        <v>28</v>
      </c>
    </row>
    <row r="567" spans="1:15">
      <c r="A567" s="242" t="s">
        <v>121</v>
      </c>
      <c r="B567" s="235">
        <f t="shared" si="244"/>
        <v>15049.279999999999</v>
      </c>
      <c r="C567" s="235">
        <f t="shared" si="245"/>
        <v>32788.351999999999</v>
      </c>
      <c r="D567" s="235">
        <f t="shared" si="246"/>
        <v>50375.808000000005</v>
      </c>
      <c r="E567" s="235">
        <f t="shared" si="247"/>
        <v>67511.288</v>
      </c>
      <c r="F567" s="235">
        <f t="shared" si="248"/>
        <v>0</v>
      </c>
      <c r="G567" s="235">
        <f t="shared" si="249"/>
        <v>0</v>
      </c>
      <c r="H567" s="235">
        <f t="shared" si="250"/>
        <v>0</v>
      </c>
      <c r="I567" s="235">
        <f t="shared" si="251"/>
        <v>0</v>
      </c>
      <c r="J567" s="235">
        <f t="shared" si="252"/>
        <v>0</v>
      </c>
      <c r="K567" s="235">
        <f t="shared" si="253"/>
        <v>0</v>
      </c>
      <c r="L567" s="235">
        <f t="shared" si="254"/>
        <v>0</v>
      </c>
      <c r="M567" s="235">
        <f t="shared" si="255"/>
        <v>0</v>
      </c>
      <c r="N567" s="235" t="s">
        <v>210</v>
      </c>
      <c r="O567" s="100" t="s">
        <v>28</v>
      </c>
    </row>
    <row r="568" spans="1:15">
      <c r="A568" s="242" t="s">
        <v>122</v>
      </c>
      <c r="B568" s="235">
        <f t="shared" si="244"/>
        <v>27050.592000000001</v>
      </c>
      <c r="C568" s="235">
        <f t="shared" si="245"/>
        <v>61164.191999999995</v>
      </c>
      <c r="D568" s="235">
        <f t="shared" si="246"/>
        <v>95960.063999999984</v>
      </c>
      <c r="E568" s="235">
        <f t="shared" si="247"/>
        <v>133485.02399999998</v>
      </c>
      <c r="F568" s="235">
        <f t="shared" si="248"/>
        <v>0</v>
      </c>
      <c r="G568" s="235">
        <f t="shared" si="249"/>
        <v>0</v>
      </c>
      <c r="H568" s="235">
        <f t="shared" si="250"/>
        <v>0</v>
      </c>
      <c r="I568" s="235">
        <f t="shared" si="251"/>
        <v>0</v>
      </c>
      <c r="J568" s="235">
        <f t="shared" si="252"/>
        <v>0</v>
      </c>
      <c r="K568" s="235">
        <f t="shared" si="253"/>
        <v>0</v>
      </c>
      <c r="L568" s="235">
        <f t="shared" si="254"/>
        <v>0</v>
      </c>
      <c r="M568" s="235">
        <f t="shared" si="255"/>
        <v>0</v>
      </c>
      <c r="N568" s="235" t="s">
        <v>210</v>
      </c>
      <c r="O568" s="100" t="s">
        <v>28</v>
      </c>
    </row>
    <row r="569" spans="1:15">
      <c r="A569" s="242" t="s">
        <v>123</v>
      </c>
      <c r="B569" s="235">
        <f t="shared" si="244"/>
        <v>97196.816000000006</v>
      </c>
      <c r="C569" s="235">
        <f t="shared" si="245"/>
        <v>225084.91200000001</v>
      </c>
      <c r="D569" s="235">
        <f t="shared" si="246"/>
        <v>327956.36800000002</v>
      </c>
      <c r="E569" s="235">
        <f t="shared" si="247"/>
        <v>450916.94400000002</v>
      </c>
      <c r="F569" s="235">
        <f t="shared" si="248"/>
        <v>0</v>
      </c>
      <c r="G569" s="235">
        <f t="shared" si="249"/>
        <v>0</v>
      </c>
      <c r="H569" s="235">
        <f t="shared" si="250"/>
        <v>0</v>
      </c>
      <c r="I569" s="235">
        <f t="shared" si="251"/>
        <v>0</v>
      </c>
      <c r="J569" s="235">
        <f t="shared" si="252"/>
        <v>0</v>
      </c>
      <c r="K569" s="235">
        <f t="shared" si="253"/>
        <v>0</v>
      </c>
      <c r="L569" s="235">
        <f t="shared" si="254"/>
        <v>0</v>
      </c>
      <c r="M569" s="235">
        <f t="shared" si="255"/>
        <v>0</v>
      </c>
      <c r="N569" s="235" t="s">
        <v>210</v>
      </c>
      <c r="O569" s="100" t="s">
        <v>28</v>
      </c>
    </row>
    <row r="570" spans="1:15">
      <c r="A570" s="242" t="s">
        <v>124</v>
      </c>
      <c r="B570" s="235">
        <f t="shared" si="244"/>
        <v>55199.008000000002</v>
      </c>
      <c r="C570" s="235">
        <f t="shared" si="245"/>
        <v>114026.016</v>
      </c>
      <c r="D570" s="235">
        <f t="shared" si="246"/>
        <v>164438.33600000001</v>
      </c>
      <c r="E570" s="235">
        <f t="shared" si="247"/>
        <v>238957.60000000003</v>
      </c>
      <c r="F570" s="235">
        <f t="shared" si="248"/>
        <v>0</v>
      </c>
      <c r="G570" s="235">
        <f t="shared" si="249"/>
        <v>0</v>
      </c>
      <c r="H570" s="235">
        <f t="shared" si="250"/>
        <v>0</v>
      </c>
      <c r="I570" s="235">
        <f t="shared" si="251"/>
        <v>0</v>
      </c>
      <c r="J570" s="235">
        <f t="shared" si="252"/>
        <v>0</v>
      </c>
      <c r="K570" s="235">
        <f t="shared" si="253"/>
        <v>0</v>
      </c>
      <c r="L570" s="235">
        <f t="shared" si="254"/>
        <v>0</v>
      </c>
      <c r="M570" s="235">
        <f t="shared" si="255"/>
        <v>0</v>
      </c>
      <c r="N570" s="235" t="s">
        <v>210</v>
      </c>
      <c r="O570" s="100" t="s">
        <v>28</v>
      </c>
    </row>
    <row r="571" spans="1:15">
      <c r="A571" s="242" t="s">
        <v>125</v>
      </c>
      <c r="B571" s="235">
        <f t="shared" si="244"/>
        <v>76592.688000000009</v>
      </c>
      <c r="C571" s="235">
        <f t="shared" si="245"/>
        <v>157252.40000000002</v>
      </c>
      <c r="D571" s="235">
        <f t="shared" si="246"/>
        <v>242839.63200000004</v>
      </c>
      <c r="E571" s="235">
        <f t="shared" si="247"/>
        <v>351396.68800000008</v>
      </c>
      <c r="F571" s="235">
        <f t="shared" si="248"/>
        <v>0</v>
      </c>
      <c r="G571" s="235">
        <f t="shared" si="249"/>
        <v>0</v>
      </c>
      <c r="H571" s="235">
        <f t="shared" si="250"/>
        <v>0</v>
      </c>
      <c r="I571" s="235">
        <f t="shared" si="251"/>
        <v>0</v>
      </c>
      <c r="J571" s="235">
        <f t="shared" si="252"/>
        <v>0</v>
      </c>
      <c r="K571" s="235">
        <f t="shared" si="253"/>
        <v>0</v>
      </c>
      <c r="L571" s="235">
        <f t="shared" si="254"/>
        <v>0</v>
      </c>
      <c r="M571" s="235">
        <f t="shared" si="255"/>
        <v>0</v>
      </c>
      <c r="N571" s="235" t="s">
        <v>210</v>
      </c>
      <c r="O571" s="100" t="s">
        <v>28</v>
      </c>
    </row>
    <row r="572" spans="1:15">
      <c r="A572" s="242" t="s">
        <v>126</v>
      </c>
      <c r="B572" s="235">
        <f t="shared" si="244"/>
        <v>71301.775999999998</v>
      </c>
      <c r="C572" s="235">
        <f t="shared" si="245"/>
        <v>163860.736</v>
      </c>
      <c r="D572" s="235">
        <f t="shared" si="246"/>
        <v>234817.024</v>
      </c>
      <c r="E572" s="235">
        <f t="shared" si="247"/>
        <v>328060.864</v>
      </c>
      <c r="F572" s="235">
        <f t="shared" si="248"/>
        <v>0</v>
      </c>
      <c r="G572" s="235">
        <f t="shared" si="249"/>
        <v>0</v>
      </c>
      <c r="H572" s="235">
        <f t="shared" si="250"/>
        <v>0</v>
      </c>
      <c r="I572" s="235">
        <f t="shared" si="251"/>
        <v>0</v>
      </c>
      <c r="J572" s="235">
        <f t="shared" si="252"/>
        <v>0</v>
      </c>
      <c r="K572" s="235">
        <f t="shared" si="253"/>
        <v>0</v>
      </c>
      <c r="L572" s="235">
        <f t="shared" si="254"/>
        <v>0</v>
      </c>
      <c r="M572" s="235">
        <f t="shared" si="255"/>
        <v>0</v>
      </c>
      <c r="N572" s="235" t="s">
        <v>210</v>
      </c>
      <c r="O572" s="100" t="s">
        <v>28</v>
      </c>
    </row>
    <row r="573" spans="1:15">
      <c r="A573" s="242" t="s">
        <v>127</v>
      </c>
      <c r="B573" s="235">
        <f t="shared" si="244"/>
        <v>120937.93600000002</v>
      </c>
      <c r="C573" s="235">
        <f t="shared" si="245"/>
        <v>271720.04800000007</v>
      </c>
      <c r="D573" s="235">
        <f t="shared" si="246"/>
        <v>436754.06400000007</v>
      </c>
      <c r="E573" s="235">
        <f t="shared" si="247"/>
        <v>657431.152</v>
      </c>
      <c r="F573" s="235">
        <f t="shared" si="248"/>
        <v>0</v>
      </c>
      <c r="G573" s="235">
        <f t="shared" si="249"/>
        <v>0</v>
      </c>
      <c r="H573" s="235">
        <f t="shared" si="250"/>
        <v>0</v>
      </c>
      <c r="I573" s="235">
        <f t="shared" si="251"/>
        <v>0</v>
      </c>
      <c r="J573" s="235">
        <f t="shared" si="252"/>
        <v>0</v>
      </c>
      <c r="K573" s="235">
        <f t="shared" si="253"/>
        <v>0</v>
      </c>
      <c r="L573" s="235">
        <f t="shared" si="254"/>
        <v>0</v>
      </c>
      <c r="M573" s="235">
        <f t="shared" si="255"/>
        <v>0</v>
      </c>
      <c r="N573" s="235" t="s">
        <v>210</v>
      </c>
      <c r="O573" s="100" t="s">
        <v>28</v>
      </c>
    </row>
    <row r="574" spans="1:15">
      <c r="A574" s="242" t="s">
        <v>128</v>
      </c>
      <c r="B574" s="235">
        <f t="shared" si="244"/>
        <v>23900.560000000001</v>
      </c>
      <c r="C574" s="235">
        <f t="shared" si="245"/>
        <v>52555.983999999997</v>
      </c>
      <c r="D574" s="235">
        <f t="shared" si="246"/>
        <v>76814.543999999994</v>
      </c>
      <c r="E574" s="235">
        <f t="shared" si="247"/>
        <v>107668.4</v>
      </c>
      <c r="F574" s="235">
        <f t="shared" si="248"/>
        <v>0</v>
      </c>
      <c r="G574" s="235">
        <f t="shared" si="249"/>
        <v>0</v>
      </c>
      <c r="H574" s="235">
        <f t="shared" si="250"/>
        <v>0</v>
      </c>
      <c r="I574" s="235">
        <f t="shared" si="251"/>
        <v>0</v>
      </c>
      <c r="J574" s="235">
        <f t="shared" si="252"/>
        <v>0</v>
      </c>
      <c r="K574" s="235">
        <f t="shared" si="253"/>
        <v>0</v>
      </c>
      <c r="L574" s="235">
        <f t="shared" si="254"/>
        <v>0</v>
      </c>
      <c r="M574" s="235">
        <f t="shared" si="255"/>
        <v>0</v>
      </c>
      <c r="N574" s="235" t="s">
        <v>210</v>
      </c>
      <c r="O574" s="100" t="s">
        <v>28</v>
      </c>
    </row>
    <row r="575" spans="1:15">
      <c r="A575" s="242" t="s">
        <v>129</v>
      </c>
      <c r="B575" s="235">
        <f t="shared" si="244"/>
        <v>120801.792</v>
      </c>
      <c r="C575" s="235">
        <f t="shared" si="245"/>
        <v>285456.76800000004</v>
      </c>
      <c r="D575" s="235">
        <f t="shared" si="246"/>
        <v>452992.44800000009</v>
      </c>
      <c r="E575" s="235">
        <f t="shared" si="247"/>
        <v>649259.3600000001</v>
      </c>
      <c r="F575" s="235">
        <f t="shared" si="248"/>
        <v>0</v>
      </c>
      <c r="G575" s="235">
        <f t="shared" si="249"/>
        <v>0</v>
      </c>
      <c r="H575" s="235">
        <f t="shared" si="250"/>
        <v>0</v>
      </c>
      <c r="I575" s="235">
        <f t="shared" si="251"/>
        <v>0</v>
      </c>
      <c r="J575" s="235">
        <f t="shared" si="252"/>
        <v>0</v>
      </c>
      <c r="K575" s="235">
        <f t="shared" si="253"/>
        <v>0</v>
      </c>
      <c r="L575" s="235">
        <f t="shared" si="254"/>
        <v>0</v>
      </c>
      <c r="M575" s="235">
        <f t="shared" si="255"/>
        <v>0</v>
      </c>
      <c r="N575" s="235" t="s">
        <v>210</v>
      </c>
      <c r="O575" s="100" t="s">
        <v>28</v>
      </c>
    </row>
    <row r="576" spans="1:15">
      <c r="A576" s="242" t="s">
        <v>130</v>
      </c>
      <c r="B576" s="235">
        <f t="shared" si="244"/>
        <v>99039.504000000015</v>
      </c>
      <c r="C576" s="235">
        <f t="shared" si="245"/>
        <v>235418.09600000002</v>
      </c>
      <c r="D576" s="235">
        <f t="shared" si="246"/>
        <v>372478.96</v>
      </c>
      <c r="E576" s="235">
        <f t="shared" si="247"/>
        <v>546003.47200000007</v>
      </c>
      <c r="F576" s="235">
        <f t="shared" si="248"/>
        <v>0</v>
      </c>
      <c r="G576" s="235">
        <f t="shared" si="249"/>
        <v>0</v>
      </c>
      <c r="H576" s="235">
        <f t="shared" si="250"/>
        <v>0</v>
      </c>
      <c r="I576" s="235">
        <f t="shared" si="251"/>
        <v>0</v>
      </c>
      <c r="J576" s="235">
        <f t="shared" si="252"/>
        <v>0</v>
      </c>
      <c r="K576" s="235">
        <f t="shared" si="253"/>
        <v>0</v>
      </c>
      <c r="L576" s="235">
        <f t="shared" si="254"/>
        <v>0</v>
      </c>
      <c r="M576" s="235">
        <f t="shared" si="255"/>
        <v>0</v>
      </c>
      <c r="N576" s="235" t="s">
        <v>210</v>
      </c>
      <c r="O576" s="100" t="s">
        <v>28</v>
      </c>
    </row>
    <row r="577" spans="1:15">
      <c r="A577" s="242" t="s">
        <v>131</v>
      </c>
      <c r="B577" s="235">
        <f t="shared" si="244"/>
        <v>269370.17599999998</v>
      </c>
      <c r="C577" s="235">
        <f t="shared" si="245"/>
        <v>579197.47200000007</v>
      </c>
      <c r="D577" s="235">
        <f t="shared" si="246"/>
        <v>877956.8</v>
      </c>
      <c r="E577" s="235">
        <f t="shared" si="247"/>
        <v>1235770.56</v>
      </c>
      <c r="F577" s="235">
        <f t="shared" si="248"/>
        <v>0</v>
      </c>
      <c r="G577" s="235">
        <f t="shared" si="249"/>
        <v>0</v>
      </c>
      <c r="H577" s="235">
        <f t="shared" si="250"/>
        <v>0</v>
      </c>
      <c r="I577" s="235">
        <f t="shared" si="251"/>
        <v>0</v>
      </c>
      <c r="J577" s="235">
        <f t="shared" si="252"/>
        <v>0</v>
      </c>
      <c r="K577" s="235">
        <f t="shared" si="253"/>
        <v>0</v>
      </c>
      <c r="L577" s="235">
        <f t="shared" si="254"/>
        <v>0</v>
      </c>
      <c r="M577" s="235">
        <f t="shared" si="255"/>
        <v>0</v>
      </c>
      <c r="N577" s="235" t="s">
        <v>210</v>
      </c>
      <c r="O577" s="100" t="s">
        <v>28</v>
      </c>
    </row>
    <row r="578" spans="1:15">
      <c r="A578" s="242" t="s">
        <v>132</v>
      </c>
      <c r="B578" s="235">
        <f t="shared" si="244"/>
        <v>34166.112000000001</v>
      </c>
      <c r="C578" s="235">
        <f t="shared" si="245"/>
        <v>81167.072</v>
      </c>
      <c r="D578" s="235">
        <f t="shared" si="246"/>
        <v>127106.72</v>
      </c>
      <c r="E578" s="235">
        <f t="shared" si="247"/>
        <v>174031.872</v>
      </c>
      <c r="F578" s="235">
        <f t="shared" si="248"/>
        <v>0</v>
      </c>
      <c r="G578" s="235">
        <f t="shared" si="249"/>
        <v>0</v>
      </c>
      <c r="H578" s="235">
        <f t="shared" si="250"/>
        <v>0</v>
      </c>
      <c r="I578" s="235">
        <f t="shared" si="251"/>
        <v>0</v>
      </c>
      <c r="J578" s="235">
        <f t="shared" si="252"/>
        <v>0</v>
      </c>
      <c r="K578" s="235">
        <f t="shared" si="253"/>
        <v>0</v>
      </c>
      <c r="L578" s="235">
        <f t="shared" si="254"/>
        <v>0</v>
      </c>
      <c r="M578" s="235">
        <f t="shared" si="255"/>
        <v>0</v>
      </c>
      <c r="N578" s="235" t="s">
        <v>210</v>
      </c>
      <c r="O578" s="100" t="s">
        <v>28</v>
      </c>
    </row>
    <row r="579" spans="1:15">
      <c r="A579" s="242" t="s">
        <v>133</v>
      </c>
      <c r="B579" s="235">
        <f t="shared" si="244"/>
        <v>45495.584000000003</v>
      </c>
      <c r="C579" s="235">
        <f t="shared" si="245"/>
        <v>107731.34400000001</v>
      </c>
      <c r="D579" s="235">
        <f t="shared" si="246"/>
        <v>159129.16800000001</v>
      </c>
      <c r="E579" s="235">
        <f t="shared" si="247"/>
        <v>224551.47200000001</v>
      </c>
      <c r="F579" s="235">
        <f t="shared" si="248"/>
        <v>0</v>
      </c>
      <c r="G579" s="235">
        <f t="shared" si="249"/>
        <v>0</v>
      </c>
      <c r="H579" s="235">
        <f t="shared" si="250"/>
        <v>0</v>
      </c>
      <c r="I579" s="235">
        <f t="shared" si="251"/>
        <v>0</v>
      </c>
      <c r="J579" s="235">
        <f t="shared" si="252"/>
        <v>0</v>
      </c>
      <c r="K579" s="235">
        <f t="shared" si="253"/>
        <v>0</v>
      </c>
      <c r="L579" s="235">
        <f t="shared" si="254"/>
        <v>0</v>
      </c>
      <c r="M579" s="235">
        <f t="shared" si="255"/>
        <v>0</v>
      </c>
      <c r="N579" s="235" t="s">
        <v>210</v>
      </c>
      <c r="O579" s="100" t="s">
        <v>28</v>
      </c>
    </row>
    <row r="580" spans="1:15">
      <c r="A580" s="242" t="s">
        <v>134</v>
      </c>
      <c r="B580" s="235">
        <f t="shared" si="244"/>
        <v>370893.08799999999</v>
      </c>
      <c r="C580" s="235">
        <f t="shared" si="245"/>
        <v>840826.88</v>
      </c>
      <c r="D580" s="235">
        <f t="shared" si="246"/>
        <v>1295674.8799999999</v>
      </c>
      <c r="E580" s="235">
        <f t="shared" si="247"/>
        <v>1827771.2319999998</v>
      </c>
      <c r="F580" s="235">
        <f t="shared" si="248"/>
        <v>0</v>
      </c>
      <c r="G580" s="235">
        <f t="shared" si="249"/>
        <v>0</v>
      </c>
      <c r="H580" s="235">
        <f t="shared" si="250"/>
        <v>0</v>
      </c>
      <c r="I580" s="235">
        <f t="shared" si="251"/>
        <v>0</v>
      </c>
      <c r="J580" s="235">
        <f t="shared" si="252"/>
        <v>0</v>
      </c>
      <c r="K580" s="235">
        <f t="shared" si="253"/>
        <v>0</v>
      </c>
      <c r="L580" s="235">
        <f t="shared" si="254"/>
        <v>0</v>
      </c>
      <c r="M580" s="235">
        <f t="shared" si="255"/>
        <v>0</v>
      </c>
      <c r="N580" s="235" t="s">
        <v>210</v>
      </c>
      <c r="O580" s="100" t="s">
        <v>28</v>
      </c>
    </row>
    <row r="581" spans="1:15">
      <c r="A581" s="242" t="s">
        <v>135</v>
      </c>
      <c r="B581" s="235">
        <f t="shared" si="244"/>
        <v>87982.32</v>
      </c>
      <c r="C581" s="235">
        <f t="shared" si="245"/>
        <v>204347.60000000003</v>
      </c>
      <c r="D581" s="235">
        <f t="shared" si="246"/>
        <v>304869.00800000003</v>
      </c>
      <c r="E581" s="235">
        <f t="shared" si="247"/>
        <v>420855.24800000002</v>
      </c>
      <c r="F581" s="235">
        <f t="shared" si="248"/>
        <v>0</v>
      </c>
      <c r="G581" s="235">
        <f t="shared" si="249"/>
        <v>0</v>
      </c>
      <c r="H581" s="235">
        <f t="shared" si="250"/>
        <v>0</v>
      </c>
      <c r="I581" s="235">
        <f t="shared" si="251"/>
        <v>0</v>
      </c>
      <c r="J581" s="235">
        <f t="shared" si="252"/>
        <v>0</v>
      </c>
      <c r="K581" s="235">
        <f t="shared" si="253"/>
        <v>0</v>
      </c>
      <c r="L581" s="235">
        <f t="shared" si="254"/>
        <v>0</v>
      </c>
      <c r="M581" s="235">
        <f t="shared" si="255"/>
        <v>0</v>
      </c>
      <c r="N581" s="235" t="s">
        <v>210</v>
      </c>
      <c r="O581" s="100" t="s">
        <v>28</v>
      </c>
    </row>
    <row r="582" spans="1:15">
      <c r="A582" s="242" t="s">
        <v>136</v>
      </c>
      <c r="B582" s="235">
        <f t="shared" si="244"/>
        <v>24356.168000000001</v>
      </c>
      <c r="C582" s="235">
        <f t="shared" si="245"/>
        <v>48091.032000000007</v>
      </c>
      <c r="D582" s="235">
        <f t="shared" si="246"/>
        <v>75919.664000000004</v>
      </c>
      <c r="E582" s="235">
        <f t="shared" si="247"/>
        <v>100649.072</v>
      </c>
      <c r="F582" s="235">
        <f t="shared" si="248"/>
        <v>0</v>
      </c>
      <c r="G582" s="235">
        <f t="shared" si="249"/>
        <v>0</v>
      </c>
      <c r="H582" s="235">
        <f t="shared" si="250"/>
        <v>0</v>
      </c>
      <c r="I582" s="235">
        <f t="shared" si="251"/>
        <v>0</v>
      </c>
      <c r="J582" s="235">
        <f t="shared" si="252"/>
        <v>0</v>
      </c>
      <c r="K582" s="235">
        <f t="shared" si="253"/>
        <v>0</v>
      </c>
      <c r="L582" s="235">
        <f t="shared" si="254"/>
        <v>0</v>
      </c>
      <c r="M582" s="235">
        <f t="shared" si="255"/>
        <v>0</v>
      </c>
      <c r="N582" s="235" t="s">
        <v>210</v>
      </c>
      <c r="O582" s="100" t="s">
        <v>28</v>
      </c>
    </row>
    <row r="583" spans="1:15">
      <c r="A583" s="242" t="s">
        <v>137</v>
      </c>
      <c r="B583" s="235">
        <f t="shared" si="244"/>
        <v>340951.53600000002</v>
      </c>
      <c r="C583" s="235">
        <f t="shared" si="245"/>
        <v>711788.62400000007</v>
      </c>
      <c r="D583" s="235">
        <f t="shared" si="246"/>
        <v>1052545.584</v>
      </c>
      <c r="E583" s="235">
        <f t="shared" si="247"/>
        <v>1418394.9920000001</v>
      </c>
      <c r="F583" s="235">
        <f t="shared" si="248"/>
        <v>0</v>
      </c>
      <c r="G583" s="235">
        <f t="shared" si="249"/>
        <v>0</v>
      </c>
      <c r="H583" s="235">
        <f t="shared" si="250"/>
        <v>0</v>
      </c>
      <c r="I583" s="235">
        <f t="shared" si="251"/>
        <v>0</v>
      </c>
      <c r="J583" s="235">
        <f t="shared" si="252"/>
        <v>0</v>
      </c>
      <c r="K583" s="235">
        <f t="shared" si="253"/>
        <v>0</v>
      </c>
      <c r="L583" s="235">
        <f t="shared" si="254"/>
        <v>0</v>
      </c>
      <c r="M583" s="235">
        <f t="shared" si="255"/>
        <v>0</v>
      </c>
      <c r="N583" s="235" t="s">
        <v>210</v>
      </c>
      <c r="O583" s="100" t="s">
        <v>28</v>
      </c>
    </row>
    <row r="584" spans="1:15">
      <c r="A584" s="242" t="s">
        <v>138</v>
      </c>
      <c r="B584" s="235">
        <f t="shared" si="244"/>
        <v>44264.4</v>
      </c>
      <c r="C584" s="235">
        <f t="shared" si="245"/>
        <v>88233.040000000008</v>
      </c>
      <c r="D584" s="235">
        <f t="shared" si="246"/>
        <v>130003.24800000002</v>
      </c>
      <c r="E584" s="235">
        <f t="shared" si="247"/>
        <v>185873.74400000001</v>
      </c>
      <c r="F584" s="235">
        <f t="shared" si="248"/>
        <v>0</v>
      </c>
      <c r="G584" s="235">
        <f t="shared" si="249"/>
        <v>0</v>
      </c>
      <c r="H584" s="235">
        <f t="shared" si="250"/>
        <v>0</v>
      </c>
      <c r="I584" s="235">
        <f t="shared" si="251"/>
        <v>0</v>
      </c>
      <c r="J584" s="235">
        <f t="shared" si="252"/>
        <v>0</v>
      </c>
      <c r="K584" s="235">
        <f t="shared" si="253"/>
        <v>0</v>
      </c>
      <c r="L584" s="235">
        <f t="shared" si="254"/>
        <v>0</v>
      </c>
      <c r="M584" s="235">
        <f t="shared" si="255"/>
        <v>0</v>
      </c>
      <c r="N584" s="235" t="s">
        <v>210</v>
      </c>
      <c r="O584" s="100" t="s">
        <v>28</v>
      </c>
    </row>
    <row r="585" spans="1:15">
      <c r="A585" s="242" t="s">
        <v>139</v>
      </c>
      <c r="B585" s="235">
        <f t="shared" si="244"/>
        <v>494659.03200000006</v>
      </c>
      <c r="C585" s="235">
        <f t="shared" si="245"/>
        <v>1086719.5120000001</v>
      </c>
      <c r="D585" s="235">
        <f t="shared" si="246"/>
        <v>1680220.344</v>
      </c>
      <c r="E585" s="235">
        <f t="shared" si="247"/>
        <v>2349225.9440000001</v>
      </c>
      <c r="F585" s="235">
        <f t="shared" si="248"/>
        <v>0</v>
      </c>
      <c r="G585" s="235">
        <f t="shared" si="249"/>
        <v>0</v>
      </c>
      <c r="H585" s="235">
        <f t="shared" si="250"/>
        <v>0</v>
      </c>
      <c r="I585" s="235">
        <f t="shared" si="251"/>
        <v>0</v>
      </c>
      <c r="J585" s="235">
        <f t="shared" si="252"/>
        <v>0</v>
      </c>
      <c r="K585" s="235">
        <f t="shared" si="253"/>
        <v>0</v>
      </c>
      <c r="L585" s="235">
        <f t="shared" si="254"/>
        <v>0</v>
      </c>
      <c r="M585" s="235">
        <f t="shared" si="255"/>
        <v>0</v>
      </c>
      <c r="N585" s="235" t="s">
        <v>210</v>
      </c>
      <c r="O585" s="100" t="s">
        <v>28</v>
      </c>
    </row>
    <row r="586" spans="1:15">
      <c r="A586" s="242" t="s">
        <v>140</v>
      </c>
      <c r="B586" s="235">
        <f t="shared" si="244"/>
        <v>34448.480000000003</v>
      </c>
      <c r="C586" s="235">
        <f t="shared" si="245"/>
        <v>78341.312000000005</v>
      </c>
      <c r="D586" s="235">
        <f t="shared" si="246"/>
        <v>125418.08000000002</v>
      </c>
      <c r="E586" s="235">
        <f t="shared" si="247"/>
        <v>182274.08000000002</v>
      </c>
      <c r="F586" s="235">
        <f t="shared" si="248"/>
        <v>0</v>
      </c>
      <c r="G586" s="235">
        <f t="shared" si="249"/>
        <v>0</v>
      </c>
      <c r="H586" s="235">
        <f t="shared" si="250"/>
        <v>0</v>
      </c>
      <c r="I586" s="235">
        <f t="shared" si="251"/>
        <v>0</v>
      </c>
      <c r="J586" s="235">
        <f t="shared" si="252"/>
        <v>0</v>
      </c>
      <c r="K586" s="235">
        <f t="shared" si="253"/>
        <v>0</v>
      </c>
      <c r="L586" s="235">
        <f t="shared" si="254"/>
        <v>0</v>
      </c>
      <c r="M586" s="235">
        <f t="shared" si="255"/>
        <v>0</v>
      </c>
      <c r="N586" s="235" t="s">
        <v>210</v>
      </c>
      <c r="O586" s="100" t="s">
        <v>28</v>
      </c>
    </row>
    <row r="587" spans="1:15">
      <c r="A587" s="242" t="s">
        <v>141</v>
      </c>
      <c r="B587" s="235">
        <f t="shared" si="244"/>
        <v>6728.6559999999999</v>
      </c>
      <c r="C587" s="235">
        <f t="shared" si="245"/>
        <v>15370.768</v>
      </c>
      <c r="D587" s="235">
        <f t="shared" si="246"/>
        <v>23178.992000000002</v>
      </c>
      <c r="E587" s="235">
        <f t="shared" si="247"/>
        <v>37658.320000000007</v>
      </c>
      <c r="F587" s="235">
        <f t="shared" si="248"/>
        <v>0</v>
      </c>
      <c r="G587" s="235">
        <f t="shared" si="249"/>
        <v>0</v>
      </c>
      <c r="H587" s="235">
        <f t="shared" si="250"/>
        <v>0</v>
      </c>
      <c r="I587" s="235">
        <f t="shared" si="251"/>
        <v>0</v>
      </c>
      <c r="J587" s="235">
        <f t="shared" si="252"/>
        <v>0</v>
      </c>
      <c r="K587" s="235">
        <f t="shared" si="253"/>
        <v>0</v>
      </c>
      <c r="L587" s="235">
        <f t="shared" si="254"/>
        <v>0</v>
      </c>
      <c r="M587" s="235">
        <f t="shared" si="255"/>
        <v>0</v>
      </c>
      <c r="N587" s="235" t="s">
        <v>210</v>
      </c>
      <c r="O587" s="100" t="s">
        <v>28</v>
      </c>
    </row>
    <row r="588" spans="1:15">
      <c r="A588" s="242" t="s">
        <v>142</v>
      </c>
      <c r="B588" s="235">
        <f t="shared" si="244"/>
        <v>226567.52000000002</v>
      </c>
      <c r="C588" s="235">
        <f t="shared" si="245"/>
        <v>562851.80799999996</v>
      </c>
      <c r="D588" s="235">
        <f t="shared" si="246"/>
        <v>932340</v>
      </c>
      <c r="E588" s="235">
        <f t="shared" si="247"/>
        <v>1326162.56</v>
      </c>
      <c r="F588" s="235">
        <f t="shared" si="248"/>
        <v>0</v>
      </c>
      <c r="G588" s="235">
        <f t="shared" si="249"/>
        <v>0</v>
      </c>
      <c r="H588" s="235">
        <f t="shared" si="250"/>
        <v>0</v>
      </c>
      <c r="I588" s="235">
        <f t="shared" si="251"/>
        <v>0</v>
      </c>
      <c r="J588" s="235">
        <f t="shared" si="252"/>
        <v>0</v>
      </c>
      <c r="K588" s="235">
        <f t="shared" si="253"/>
        <v>0</v>
      </c>
      <c r="L588" s="235">
        <f t="shared" si="254"/>
        <v>0</v>
      </c>
      <c r="M588" s="235">
        <f t="shared" si="255"/>
        <v>0</v>
      </c>
      <c r="N588" s="235" t="s">
        <v>210</v>
      </c>
      <c r="O588" s="100" t="s">
        <v>28</v>
      </c>
    </row>
    <row r="589" spans="1:15">
      <c r="A589" s="242" t="s">
        <v>143</v>
      </c>
      <c r="B589" s="235">
        <f t="shared" si="244"/>
        <v>1587301.6320000002</v>
      </c>
      <c r="C589" s="235">
        <f t="shared" si="245"/>
        <v>3534733.3440000005</v>
      </c>
      <c r="D589" s="235">
        <f t="shared" si="246"/>
        <v>5498687.9840000002</v>
      </c>
      <c r="E589" s="235">
        <f t="shared" si="247"/>
        <v>7776187.7280000001</v>
      </c>
      <c r="F589" s="235">
        <f t="shared" si="248"/>
        <v>0</v>
      </c>
      <c r="G589" s="235">
        <f t="shared" si="249"/>
        <v>0</v>
      </c>
      <c r="H589" s="235">
        <f t="shared" si="250"/>
        <v>0</v>
      </c>
      <c r="I589" s="235">
        <f t="shared" si="251"/>
        <v>0</v>
      </c>
      <c r="J589" s="235">
        <f t="shared" si="252"/>
        <v>0</v>
      </c>
      <c r="K589" s="235">
        <f t="shared" si="253"/>
        <v>0</v>
      </c>
      <c r="L589" s="235">
        <f t="shared" si="254"/>
        <v>0</v>
      </c>
      <c r="M589" s="235">
        <f t="shared" si="255"/>
        <v>0</v>
      </c>
      <c r="N589" s="235" t="s">
        <v>210</v>
      </c>
      <c r="O589" s="100" t="s">
        <v>28</v>
      </c>
    </row>
    <row r="590" spans="1:15">
      <c r="A590" s="242" t="s">
        <v>144</v>
      </c>
      <c r="B590" s="235">
        <f t="shared" si="244"/>
        <v>35138.576000000001</v>
      </c>
      <c r="C590" s="235">
        <f t="shared" si="245"/>
        <v>79258.831999999995</v>
      </c>
      <c r="D590" s="235">
        <f t="shared" si="246"/>
        <v>114812.784</v>
      </c>
      <c r="E590" s="235">
        <f t="shared" si="247"/>
        <v>157189.45600000001</v>
      </c>
      <c r="F590" s="235">
        <f t="shared" si="248"/>
        <v>0</v>
      </c>
      <c r="G590" s="235">
        <f t="shared" si="249"/>
        <v>0</v>
      </c>
      <c r="H590" s="235">
        <f t="shared" si="250"/>
        <v>0</v>
      </c>
      <c r="I590" s="235">
        <f t="shared" si="251"/>
        <v>0</v>
      </c>
      <c r="J590" s="235">
        <f t="shared" si="252"/>
        <v>0</v>
      </c>
      <c r="K590" s="235">
        <f t="shared" si="253"/>
        <v>0</v>
      </c>
      <c r="L590" s="235">
        <f t="shared" si="254"/>
        <v>0</v>
      </c>
      <c r="M590" s="235">
        <f t="shared" si="255"/>
        <v>0</v>
      </c>
      <c r="N590" s="235" t="s">
        <v>210</v>
      </c>
      <c r="O590" s="100" t="s">
        <v>28</v>
      </c>
    </row>
    <row r="591" spans="1:15">
      <c r="A591" s="242" t="s">
        <v>145</v>
      </c>
      <c r="B591" s="235">
        <f t="shared" si="244"/>
        <v>16575.871999999999</v>
      </c>
      <c r="C591" s="235">
        <f t="shared" si="245"/>
        <v>44245.792000000001</v>
      </c>
      <c r="D591" s="235">
        <f t="shared" si="246"/>
        <v>72294.752000000008</v>
      </c>
      <c r="E591" s="235">
        <f t="shared" si="247"/>
        <v>98524.32</v>
      </c>
      <c r="F591" s="235">
        <f t="shared" si="248"/>
        <v>0</v>
      </c>
      <c r="G591" s="235">
        <f t="shared" si="249"/>
        <v>0</v>
      </c>
      <c r="H591" s="235">
        <f t="shared" si="250"/>
        <v>0</v>
      </c>
      <c r="I591" s="235">
        <f t="shared" si="251"/>
        <v>0</v>
      </c>
      <c r="J591" s="235">
        <f t="shared" si="252"/>
        <v>0</v>
      </c>
      <c r="K591" s="235">
        <f t="shared" si="253"/>
        <v>0</v>
      </c>
      <c r="L591" s="235">
        <f t="shared" si="254"/>
        <v>0</v>
      </c>
      <c r="M591" s="235">
        <f t="shared" si="255"/>
        <v>0</v>
      </c>
      <c r="N591" s="235" t="s">
        <v>210</v>
      </c>
      <c r="O591" s="100" t="s">
        <v>28</v>
      </c>
    </row>
    <row r="592" spans="1:15">
      <c r="A592" s="242" t="s">
        <v>119</v>
      </c>
      <c r="B592" s="235">
        <f>Q141</f>
        <v>8006.8395076053093</v>
      </c>
      <c r="C592" s="235">
        <f t="shared" ref="C592:M592" si="256">R141</f>
        <v>15855.623326071149</v>
      </c>
      <c r="D592" s="235">
        <f t="shared" si="256"/>
        <v>26073.61843204873</v>
      </c>
      <c r="E592" s="235">
        <f t="shared" si="256"/>
        <v>37803.360957517485</v>
      </c>
      <c r="F592" s="235">
        <f t="shared" si="256"/>
        <v>51867.818479893933</v>
      </c>
      <c r="G592" s="235">
        <f t="shared" si="256"/>
        <v>65638.843438376542</v>
      </c>
      <c r="H592" s="235">
        <f t="shared" si="256"/>
        <v>80190.588375684922</v>
      </c>
      <c r="I592" s="235">
        <f t="shared" si="256"/>
        <v>94448.452145123621</v>
      </c>
      <c r="J592" s="235">
        <f t="shared" si="256"/>
        <v>106295.39480082758</v>
      </c>
      <c r="K592" s="235">
        <f t="shared" si="256"/>
        <v>121093.29689202757</v>
      </c>
      <c r="L592" s="235">
        <f t="shared" si="256"/>
        <v>132676.18988656584</v>
      </c>
      <c r="M592" s="235">
        <f t="shared" si="256"/>
        <v>142491</v>
      </c>
      <c r="N592" s="235" t="s">
        <v>209</v>
      </c>
      <c r="O592" s="100" t="s">
        <v>28</v>
      </c>
    </row>
    <row r="593" spans="1:15">
      <c r="A593" s="242" t="s">
        <v>120</v>
      </c>
      <c r="B593" s="235">
        <f t="shared" ref="B593:B618" si="257">Q142</f>
        <v>39240.564505825816</v>
      </c>
      <c r="C593" s="235">
        <f t="shared" ref="C593:C618" si="258">R142</f>
        <v>78946.585887224122</v>
      </c>
      <c r="D593" s="235">
        <f t="shared" ref="D593:D618" si="259">S142</f>
        <v>126732.93018797318</v>
      </c>
      <c r="E593" s="235">
        <f t="shared" ref="E593:E618" si="260">T142</f>
        <v>172139.3347434719</v>
      </c>
      <c r="F593" s="235">
        <f t="shared" ref="F593:F618" si="261">U142</f>
        <v>225422.40743322522</v>
      </c>
      <c r="G593" s="235">
        <f t="shared" ref="G593:G618" si="262">V142</f>
        <v>272572.74298039597</v>
      </c>
      <c r="H593" s="235">
        <f t="shared" ref="H593:H618" si="263">W142</f>
        <v>317979.99626844458</v>
      </c>
      <c r="I593" s="235">
        <f t="shared" ref="I593:I618" si="264">X142</f>
        <v>372935.08535180648</v>
      </c>
      <c r="J593" s="235">
        <f t="shared" ref="J593:J618" si="265">Y142</f>
        <v>419546.54040932318</v>
      </c>
      <c r="K593" s="235">
        <f t="shared" ref="K593:K618" si="266">Z142</f>
        <v>477888.57068816357</v>
      </c>
      <c r="L593" s="235">
        <f t="shared" ref="L593:L618" si="267">AA142</f>
        <v>520342.28739951079</v>
      </c>
      <c r="M593" s="235">
        <f t="shared" ref="M593:M618" si="268">AB142</f>
        <v>561629</v>
      </c>
      <c r="N593" s="235" t="s">
        <v>209</v>
      </c>
      <c r="O593" s="100" t="s">
        <v>28</v>
      </c>
    </row>
    <row r="594" spans="1:15">
      <c r="A594" s="242" t="s">
        <v>121</v>
      </c>
      <c r="B594" s="235">
        <f t="shared" si="257"/>
        <v>13775.004129104929</v>
      </c>
      <c r="C594" s="235">
        <f t="shared" si="258"/>
        <v>26578.982282154309</v>
      </c>
      <c r="D594" s="235">
        <f t="shared" si="259"/>
        <v>41013.942981849417</v>
      </c>
      <c r="E594" s="235">
        <f t="shared" si="260"/>
        <v>53582.892150643231</v>
      </c>
      <c r="F594" s="235">
        <f t="shared" si="261"/>
        <v>67793.903154107815</v>
      </c>
      <c r="G594" s="235">
        <f t="shared" si="262"/>
        <v>84369.103308563906</v>
      </c>
      <c r="H594" s="235">
        <f t="shared" si="263"/>
        <v>98189.378969098092</v>
      </c>
      <c r="I594" s="235">
        <f t="shared" si="264"/>
        <v>115756.92375606431</v>
      </c>
      <c r="J594" s="235">
        <f t="shared" si="265"/>
        <v>130562.56641752075</v>
      </c>
      <c r="K594" s="235">
        <f t="shared" si="266"/>
        <v>150349.02178465805</v>
      </c>
      <c r="L594" s="235">
        <f t="shared" si="267"/>
        <v>169208.11249438624</v>
      </c>
      <c r="M594" s="235">
        <f t="shared" si="268"/>
        <v>184885</v>
      </c>
      <c r="N594" s="235" t="s">
        <v>209</v>
      </c>
      <c r="O594" s="100" t="s">
        <v>28</v>
      </c>
    </row>
    <row r="595" spans="1:15">
      <c r="A595" s="242" t="s">
        <v>122</v>
      </c>
      <c r="B595" s="235">
        <f t="shared" si="257"/>
        <v>31622.38706453962</v>
      </c>
      <c r="C595" s="235">
        <f t="shared" si="258"/>
        <v>60790.150626298258</v>
      </c>
      <c r="D595" s="235">
        <f t="shared" si="259"/>
        <v>97485.287590333101</v>
      </c>
      <c r="E595" s="235">
        <f t="shared" si="260"/>
        <v>132123.08602290723</v>
      </c>
      <c r="F595" s="235">
        <f t="shared" si="261"/>
        <v>168899.66989428998</v>
      </c>
      <c r="G595" s="235">
        <f t="shared" si="262"/>
        <v>205453.42398116837</v>
      </c>
      <c r="H595" s="235">
        <f t="shared" si="263"/>
        <v>242167.73187821836</v>
      </c>
      <c r="I595" s="235">
        <f t="shared" si="264"/>
        <v>287544.10185086698</v>
      </c>
      <c r="J595" s="235">
        <f t="shared" si="265"/>
        <v>323067.30038633099</v>
      </c>
      <c r="K595" s="235">
        <f t="shared" si="266"/>
        <v>364161.03220895294</v>
      </c>
      <c r="L595" s="235">
        <f t="shared" si="267"/>
        <v>402712.29044462863</v>
      </c>
      <c r="M595" s="235">
        <f t="shared" si="268"/>
        <v>434812</v>
      </c>
      <c r="N595" s="235" t="s">
        <v>209</v>
      </c>
      <c r="O595" s="100" t="s">
        <v>28</v>
      </c>
    </row>
    <row r="596" spans="1:15">
      <c r="A596" s="242" t="s">
        <v>123</v>
      </c>
      <c r="B596" s="235">
        <f t="shared" si="257"/>
        <v>94153.97770684956</v>
      </c>
      <c r="C596" s="235">
        <f t="shared" si="258"/>
        <v>195493.92463304271</v>
      </c>
      <c r="D596" s="235">
        <f t="shared" si="259"/>
        <v>314593.52636368346</v>
      </c>
      <c r="E596" s="235">
        <f t="shared" si="260"/>
        <v>428204.09775487863</v>
      </c>
      <c r="F596" s="235">
        <f t="shared" si="261"/>
        <v>559257.27150342357</v>
      </c>
      <c r="G596" s="235">
        <f t="shared" si="262"/>
        <v>677817.83135604614</v>
      </c>
      <c r="H596" s="235">
        <f t="shared" si="263"/>
        <v>793415.46098325658</v>
      </c>
      <c r="I596" s="235">
        <f t="shared" si="264"/>
        <v>930988.05381578766</v>
      </c>
      <c r="J596" s="235">
        <f t="shared" si="265"/>
        <v>1056894.2518906423</v>
      </c>
      <c r="K596" s="235">
        <f t="shared" si="266"/>
        <v>1188787.0409865011</v>
      </c>
      <c r="L596" s="235">
        <f t="shared" si="267"/>
        <v>1308130.9193886116</v>
      </c>
      <c r="M596" s="235">
        <f t="shared" si="268"/>
        <v>1420330</v>
      </c>
      <c r="N596" s="235" t="s">
        <v>209</v>
      </c>
      <c r="O596" s="100" t="s">
        <v>28</v>
      </c>
    </row>
    <row r="597" spans="1:15">
      <c r="A597" s="242" t="s">
        <v>124</v>
      </c>
      <c r="B597" s="235">
        <f t="shared" si="257"/>
        <v>60691.230752550204</v>
      </c>
      <c r="C597" s="235">
        <f t="shared" si="258"/>
        <v>120207.7551854192</v>
      </c>
      <c r="D597" s="235">
        <f t="shared" si="259"/>
        <v>195292.77017474736</v>
      </c>
      <c r="E597" s="235">
        <f t="shared" si="260"/>
        <v>261632.19592081974</v>
      </c>
      <c r="F597" s="235">
        <f t="shared" si="261"/>
        <v>339809.67639779305</v>
      </c>
      <c r="G597" s="235">
        <f t="shared" si="262"/>
        <v>433118.9918525414</v>
      </c>
      <c r="H597" s="235">
        <f t="shared" si="263"/>
        <v>511166.57693490363</v>
      </c>
      <c r="I597" s="235">
        <f t="shared" si="264"/>
        <v>592391.75716026616</v>
      </c>
      <c r="J597" s="235">
        <f t="shared" si="265"/>
        <v>666440.4258330767</v>
      </c>
      <c r="K597" s="235">
        <f t="shared" si="266"/>
        <v>750809.11605421419</v>
      </c>
      <c r="L597" s="235">
        <f t="shared" si="267"/>
        <v>832279.40058216953</v>
      </c>
      <c r="M597" s="235">
        <f t="shared" si="268"/>
        <v>910702</v>
      </c>
      <c r="N597" s="235" t="s">
        <v>209</v>
      </c>
      <c r="O597" s="100" t="s">
        <v>28</v>
      </c>
    </row>
    <row r="598" spans="1:15">
      <c r="A598" s="242" t="s">
        <v>125</v>
      </c>
      <c r="B598" s="235">
        <f t="shared" si="257"/>
        <v>80409.396205471741</v>
      </c>
      <c r="C598" s="235">
        <f t="shared" si="258"/>
        <v>167556.92703095544</v>
      </c>
      <c r="D598" s="235">
        <f t="shared" si="259"/>
        <v>281153.23232931719</v>
      </c>
      <c r="E598" s="235">
        <f t="shared" si="260"/>
        <v>390850.43761817191</v>
      </c>
      <c r="F598" s="235">
        <f t="shared" si="261"/>
        <v>516828.23615173332</v>
      </c>
      <c r="G598" s="235">
        <f t="shared" si="262"/>
        <v>632974.73951624963</v>
      </c>
      <c r="H598" s="235">
        <f t="shared" si="263"/>
        <v>745487.47838242608</v>
      </c>
      <c r="I598" s="235">
        <f t="shared" si="264"/>
        <v>874606.27214876353</v>
      </c>
      <c r="J598" s="235">
        <f t="shared" si="265"/>
        <v>983608.35412525909</v>
      </c>
      <c r="K598" s="235">
        <f t="shared" si="266"/>
        <v>1104432.089226326</v>
      </c>
      <c r="L598" s="235">
        <f t="shared" si="267"/>
        <v>1223109.5107413684</v>
      </c>
      <c r="M598" s="235">
        <f t="shared" si="268"/>
        <v>1324510</v>
      </c>
      <c r="N598" s="235" t="s">
        <v>209</v>
      </c>
      <c r="O598" s="100" t="s">
        <v>28</v>
      </c>
    </row>
    <row r="599" spans="1:15">
      <c r="A599" s="242" t="s">
        <v>126</v>
      </c>
      <c r="B599" s="235">
        <f t="shared" si="257"/>
        <v>76252.256899255153</v>
      </c>
      <c r="C599" s="235">
        <f t="shared" si="258"/>
        <v>145869.49673282355</v>
      </c>
      <c r="D599" s="235">
        <f t="shared" si="259"/>
        <v>244914.29141956684</v>
      </c>
      <c r="E599" s="235">
        <f t="shared" si="260"/>
        <v>333144.83447625168</v>
      </c>
      <c r="F599" s="235">
        <f t="shared" si="261"/>
        <v>444066.08050235512</v>
      </c>
      <c r="G599" s="235">
        <f t="shared" si="262"/>
        <v>546273.33660885517</v>
      </c>
      <c r="H599" s="235">
        <f t="shared" si="263"/>
        <v>646838.9587972858</v>
      </c>
      <c r="I599" s="235">
        <f t="shared" si="264"/>
        <v>765340.11179250746</v>
      </c>
      <c r="J599" s="235">
        <f t="shared" si="265"/>
        <v>860980.73736253486</v>
      </c>
      <c r="K599" s="235">
        <f t="shared" si="266"/>
        <v>971967.77474699065</v>
      </c>
      <c r="L599" s="235">
        <f t="shared" si="267"/>
        <v>1066614.0844535683</v>
      </c>
      <c r="M599" s="235">
        <f t="shared" si="268"/>
        <v>1157768</v>
      </c>
      <c r="N599" s="235" t="s">
        <v>209</v>
      </c>
      <c r="O599" s="100" t="s">
        <v>28</v>
      </c>
    </row>
    <row r="600" spans="1:15">
      <c r="A600" s="242" t="s">
        <v>127</v>
      </c>
      <c r="B600" s="235">
        <f t="shared" si="257"/>
        <v>132146.13841604342</v>
      </c>
      <c r="C600" s="235">
        <f t="shared" si="258"/>
        <v>272702.88500043441</v>
      </c>
      <c r="D600" s="235">
        <f t="shared" si="259"/>
        <v>475191.91931128036</v>
      </c>
      <c r="E600" s="235">
        <f t="shared" si="260"/>
        <v>662249.97847641353</v>
      </c>
      <c r="F600" s="235">
        <f t="shared" si="261"/>
        <v>878149.71759855491</v>
      </c>
      <c r="G600" s="235">
        <f t="shared" si="262"/>
        <v>1103811.5056334522</v>
      </c>
      <c r="H600" s="235">
        <f t="shared" si="263"/>
        <v>1286079.1210237262</v>
      </c>
      <c r="I600" s="235">
        <f t="shared" si="264"/>
        <v>1492921.9737884004</v>
      </c>
      <c r="J600" s="235">
        <f t="shared" si="265"/>
        <v>1674575.3565992843</v>
      </c>
      <c r="K600" s="235">
        <f t="shared" si="266"/>
        <v>1861468.5002290674</v>
      </c>
      <c r="L600" s="235">
        <f t="shared" si="267"/>
        <v>2018023.0743949413</v>
      </c>
      <c r="M600" s="235">
        <f t="shared" si="268"/>
        <v>2162709</v>
      </c>
      <c r="N600" s="235" t="s">
        <v>209</v>
      </c>
      <c r="O600" s="100" t="s">
        <v>28</v>
      </c>
    </row>
    <row r="601" spans="1:15">
      <c r="A601" s="242" t="s">
        <v>128</v>
      </c>
      <c r="B601" s="235">
        <f t="shared" si="257"/>
        <v>25028.910185334702</v>
      </c>
      <c r="C601" s="235">
        <f t="shared" si="258"/>
        <v>48158.134625754406</v>
      </c>
      <c r="D601" s="235">
        <f t="shared" si="259"/>
        <v>79904.586199233119</v>
      </c>
      <c r="E601" s="235">
        <f t="shared" si="260"/>
        <v>109760.6947407391</v>
      </c>
      <c r="F601" s="235">
        <f t="shared" si="261"/>
        <v>141924.60475646306</v>
      </c>
      <c r="G601" s="235">
        <f t="shared" si="262"/>
        <v>175169.72777596492</v>
      </c>
      <c r="H601" s="235">
        <f t="shared" si="263"/>
        <v>206217.57319136587</v>
      </c>
      <c r="I601" s="235">
        <f t="shared" si="264"/>
        <v>241995.08939608737</v>
      </c>
      <c r="J601" s="235">
        <f t="shared" si="265"/>
        <v>277030.07699239621</v>
      </c>
      <c r="K601" s="235">
        <f t="shared" si="266"/>
        <v>312545.07283886429</v>
      </c>
      <c r="L601" s="235">
        <f t="shared" si="267"/>
        <v>351496.27988883347</v>
      </c>
      <c r="M601" s="235">
        <f t="shared" si="268"/>
        <v>384359</v>
      </c>
      <c r="N601" s="235" t="s">
        <v>209</v>
      </c>
      <c r="O601" s="100" t="s">
        <v>28</v>
      </c>
    </row>
    <row r="602" spans="1:15">
      <c r="A602" s="242" t="s">
        <v>129</v>
      </c>
      <c r="B602" s="235">
        <f t="shared" si="257"/>
        <v>95590.605705230453</v>
      </c>
      <c r="C602" s="235">
        <f t="shared" si="258"/>
        <v>223607.2518821409</v>
      </c>
      <c r="D602" s="235">
        <f t="shared" si="259"/>
        <v>409597.36012852914</v>
      </c>
      <c r="E602" s="235">
        <f t="shared" si="260"/>
        <v>566368.83338693099</v>
      </c>
      <c r="F602" s="235">
        <f t="shared" si="261"/>
        <v>755339.63243712147</v>
      </c>
      <c r="G602" s="235">
        <f t="shared" si="262"/>
        <v>947516.77956514189</v>
      </c>
      <c r="H602" s="235">
        <f t="shared" si="263"/>
        <v>1133322.6105420778</v>
      </c>
      <c r="I602" s="235">
        <f t="shared" si="264"/>
        <v>1334465.0170977071</v>
      </c>
      <c r="J602" s="235">
        <f t="shared" si="265"/>
        <v>1501415.4763866672</v>
      </c>
      <c r="K602" s="235">
        <f t="shared" si="266"/>
        <v>1676319.2993791196</v>
      </c>
      <c r="L602" s="235">
        <f t="shared" si="267"/>
        <v>1825347.9131063747</v>
      </c>
      <c r="M602" s="235">
        <f t="shared" si="268"/>
        <v>1974113</v>
      </c>
      <c r="N602" s="235" t="s">
        <v>209</v>
      </c>
      <c r="O602" s="100" t="s">
        <v>28</v>
      </c>
    </row>
    <row r="603" spans="1:15">
      <c r="A603" s="242" t="s">
        <v>130</v>
      </c>
      <c r="B603" s="235">
        <f t="shared" si="257"/>
        <v>108939.74070145286</v>
      </c>
      <c r="C603" s="235">
        <f t="shared" si="258"/>
        <v>236811.9415445241</v>
      </c>
      <c r="D603" s="235">
        <f t="shared" si="259"/>
        <v>411510.69842080807</v>
      </c>
      <c r="E603" s="235">
        <f t="shared" si="260"/>
        <v>562448.1946857681</v>
      </c>
      <c r="F603" s="235">
        <f t="shared" si="261"/>
        <v>739949.47591611336</v>
      </c>
      <c r="G603" s="235">
        <f t="shared" si="262"/>
        <v>900535.36185317778</v>
      </c>
      <c r="H603" s="235">
        <f t="shared" si="263"/>
        <v>1062555.3549554038</v>
      </c>
      <c r="I603" s="235">
        <f t="shared" si="264"/>
        <v>1241367.4584069103</v>
      </c>
      <c r="J603" s="235">
        <f t="shared" si="265"/>
        <v>1391818.8235948184</v>
      </c>
      <c r="K603" s="235">
        <f t="shared" si="266"/>
        <v>1539943.6297240888</v>
      </c>
      <c r="L603" s="235">
        <f t="shared" si="267"/>
        <v>1685169.80357858</v>
      </c>
      <c r="M603" s="235">
        <f t="shared" si="268"/>
        <v>1817472</v>
      </c>
      <c r="N603" s="235" t="s">
        <v>209</v>
      </c>
      <c r="O603" s="100" t="s">
        <v>28</v>
      </c>
    </row>
    <row r="604" spans="1:15">
      <c r="A604" s="242" t="s">
        <v>131</v>
      </c>
      <c r="B604" s="235">
        <f t="shared" si="257"/>
        <v>234083.41864834115</v>
      </c>
      <c r="C604" s="235">
        <f t="shared" si="258"/>
        <v>469597.87620970141</v>
      </c>
      <c r="D604" s="235">
        <f t="shared" si="259"/>
        <v>783041.3544826986</v>
      </c>
      <c r="E604" s="235">
        <f t="shared" si="260"/>
        <v>1068800.6096730186</v>
      </c>
      <c r="F604" s="235">
        <f t="shared" si="261"/>
        <v>1404699.7487192107</v>
      </c>
      <c r="G604" s="235">
        <f t="shared" si="262"/>
        <v>1731633.5829029921</v>
      </c>
      <c r="H604" s="235">
        <f t="shared" si="263"/>
        <v>2045549.6874983232</v>
      </c>
      <c r="I604" s="235">
        <f t="shared" si="264"/>
        <v>2393576.1999697187</v>
      </c>
      <c r="J604" s="235">
        <f t="shared" si="265"/>
        <v>2703018.6930167554</v>
      </c>
      <c r="K604" s="235">
        <f t="shared" si="266"/>
        <v>3031292.8173411032</v>
      </c>
      <c r="L604" s="235">
        <f t="shared" si="267"/>
        <v>3319242.9570548474</v>
      </c>
      <c r="M604" s="235">
        <f t="shared" si="268"/>
        <v>3589374.4000000004</v>
      </c>
      <c r="N604" s="235" t="s">
        <v>209</v>
      </c>
      <c r="O604" s="100" t="s">
        <v>28</v>
      </c>
    </row>
    <row r="605" spans="1:15">
      <c r="A605" s="242" t="s">
        <v>132</v>
      </c>
      <c r="B605" s="235">
        <f t="shared" si="257"/>
        <v>38682.072653492585</v>
      </c>
      <c r="C605" s="235">
        <f t="shared" si="258"/>
        <v>81851.1254632536</v>
      </c>
      <c r="D605" s="235">
        <f t="shared" si="259"/>
        <v>138297.6546365291</v>
      </c>
      <c r="E605" s="235">
        <f t="shared" si="260"/>
        <v>191224.43748063038</v>
      </c>
      <c r="F605" s="235">
        <f t="shared" si="261"/>
        <v>247871.22999654026</v>
      </c>
      <c r="G605" s="235">
        <f t="shared" si="262"/>
        <v>306308.32350731257</v>
      </c>
      <c r="H605" s="235">
        <f t="shared" si="263"/>
        <v>364457.84799998841</v>
      </c>
      <c r="I605" s="235">
        <f t="shared" si="264"/>
        <v>422534.07601949217</v>
      </c>
      <c r="J605" s="235">
        <f t="shared" si="265"/>
        <v>484347.42864776409</v>
      </c>
      <c r="K605" s="235">
        <f t="shared" si="266"/>
        <v>552696.27905747655</v>
      </c>
      <c r="L605" s="235">
        <f t="shared" si="267"/>
        <v>610139.95686172007</v>
      </c>
      <c r="M605" s="235">
        <f t="shared" si="268"/>
        <v>659760</v>
      </c>
      <c r="N605" s="235" t="s">
        <v>209</v>
      </c>
      <c r="O605" s="100" t="s">
        <v>28</v>
      </c>
    </row>
    <row r="606" spans="1:15">
      <c r="A606" s="242" t="s">
        <v>133</v>
      </c>
      <c r="B606" s="235">
        <f t="shared" si="257"/>
        <v>54336.554213326963</v>
      </c>
      <c r="C606" s="235">
        <f t="shared" si="258"/>
        <v>108203.81363969638</v>
      </c>
      <c r="D606" s="235">
        <f t="shared" si="259"/>
        <v>174917.98828599098</v>
      </c>
      <c r="E606" s="235">
        <f t="shared" si="260"/>
        <v>228454.97387112022</v>
      </c>
      <c r="F606" s="235">
        <f t="shared" si="261"/>
        <v>300014.92017984885</v>
      </c>
      <c r="G606" s="235">
        <f t="shared" si="262"/>
        <v>370033.52820577018</v>
      </c>
      <c r="H606" s="235">
        <f t="shared" si="263"/>
        <v>436964.70869503031</v>
      </c>
      <c r="I606" s="235">
        <f t="shared" si="264"/>
        <v>518783.66192611749</v>
      </c>
      <c r="J606" s="235">
        <f t="shared" si="265"/>
        <v>584674.64702223381</v>
      </c>
      <c r="K606" s="235">
        <f t="shared" si="266"/>
        <v>651245.200896514</v>
      </c>
      <c r="L606" s="235">
        <f t="shared" si="267"/>
        <v>716617.48969384097</v>
      </c>
      <c r="M606" s="235">
        <f t="shared" si="268"/>
        <v>775552</v>
      </c>
      <c r="N606" s="235" t="s">
        <v>209</v>
      </c>
      <c r="O606" s="100" t="s">
        <v>28</v>
      </c>
    </row>
    <row r="607" spans="1:15">
      <c r="A607" s="242" t="s">
        <v>134</v>
      </c>
      <c r="B607" s="235">
        <f t="shared" si="257"/>
        <v>326736.31733016542</v>
      </c>
      <c r="C607" s="235">
        <f t="shared" si="258"/>
        <v>699193.39391603903</v>
      </c>
      <c r="D607" s="235">
        <f t="shared" si="259"/>
        <v>1214410.2961429935</v>
      </c>
      <c r="E607" s="235">
        <f t="shared" si="260"/>
        <v>1697581.4413565015</v>
      </c>
      <c r="F607" s="235">
        <f t="shared" si="261"/>
        <v>2224893.66482674</v>
      </c>
      <c r="G607" s="235">
        <f t="shared" si="262"/>
        <v>2742051.290375927</v>
      </c>
      <c r="H607" s="235">
        <f t="shared" si="263"/>
        <v>3248628.4181972565</v>
      </c>
      <c r="I607" s="235">
        <f t="shared" si="264"/>
        <v>3790214.3506841739</v>
      </c>
      <c r="J607" s="235">
        <f t="shared" si="265"/>
        <v>4260145.653352485</v>
      </c>
      <c r="K607" s="235">
        <f t="shared" si="266"/>
        <v>4764885.7624630537</v>
      </c>
      <c r="L607" s="235">
        <f t="shared" si="267"/>
        <v>5227096.6617370471</v>
      </c>
      <c r="M607" s="235">
        <f t="shared" si="268"/>
        <v>5665056</v>
      </c>
      <c r="N607" s="235" t="s">
        <v>209</v>
      </c>
      <c r="O607" s="100" t="s">
        <v>28</v>
      </c>
    </row>
    <row r="608" spans="1:15">
      <c r="A608" s="242" t="s">
        <v>135</v>
      </c>
      <c r="B608" s="235">
        <f t="shared" si="257"/>
        <v>83507.115787915915</v>
      </c>
      <c r="C608" s="235">
        <f t="shared" si="258"/>
        <v>170161.22061180376</v>
      </c>
      <c r="D608" s="235">
        <f t="shared" si="259"/>
        <v>263782.67357260507</v>
      </c>
      <c r="E608" s="235">
        <f t="shared" si="260"/>
        <v>363632.55633877829</v>
      </c>
      <c r="F608" s="235">
        <f t="shared" si="261"/>
        <v>475872.05518850748</v>
      </c>
      <c r="G608" s="235">
        <f t="shared" si="262"/>
        <v>582397.98206392524</v>
      </c>
      <c r="H608" s="235">
        <f t="shared" si="263"/>
        <v>685892.97531608667</v>
      </c>
      <c r="I608" s="235">
        <f t="shared" si="264"/>
        <v>810632.6559184608</v>
      </c>
      <c r="J608" s="235">
        <f t="shared" si="265"/>
        <v>925404.99562779116</v>
      </c>
      <c r="K608" s="235">
        <f t="shared" si="266"/>
        <v>1040088.9461095352</v>
      </c>
      <c r="L608" s="235">
        <f t="shared" si="267"/>
        <v>1146449.5229581138</v>
      </c>
      <c r="M608" s="235">
        <f t="shared" si="268"/>
        <v>1251393</v>
      </c>
      <c r="N608" s="235" t="s">
        <v>209</v>
      </c>
      <c r="O608" s="100" t="s">
        <v>28</v>
      </c>
    </row>
    <row r="609" spans="1:15">
      <c r="A609" s="242" t="s">
        <v>136</v>
      </c>
      <c r="B609" s="235">
        <f t="shared" si="257"/>
        <v>27852.425797089865</v>
      </c>
      <c r="C609" s="235">
        <f t="shared" si="258"/>
        <v>51292.222185655381</v>
      </c>
      <c r="D609" s="235">
        <f t="shared" si="259"/>
        <v>82853.964518740933</v>
      </c>
      <c r="E609" s="235">
        <f t="shared" si="260"/>
        <v>116386.0272217301</v>
      </c>
      <c r="F609" s="235">
        <f t="shared" si="261"/>
        <v>151526.82011200461</v>
      </c>
      <c r="G609" s="235">
        <f t="shared" si="262"/>
        <v>190535.64164402758</v>
      </c>
      <c r="H609" s="235">
        <f t="shared" si="263"/>
        <v>225127.77009877362</v>
      </c>
      <c r="I609" s="235">
        <f t="shared" si="264"/>
        <v>268576.65170953772</v>
      </c>
      <c r="J609" s="235">
        <f t="shared" si="265"/>
        <v>301810.24946755578</v>
      </c>
      <c r="K609" s="235">
        <f t="shared" si="266"/>
        <v>344479.9590660414</v>
      </c>
      <c r="L609" s="235">
        <f t="shared" si="267"/>
        <v>382536.52035352454</v>
      </c>
      <c r="M609" s="235">
        <f t="shared" si="268"/>
        <v>414390</v>
      </c>
      <c r="N609" s="235" t="s">
        <v>209</v>
      </c>
      <c r="O609" s="100" t="s">
        <v>28</v>
      </c>
    </row>
    <row r="610" spans="1:15">
      <c r="A610" s="242" t="s">
        <v>137</v>
      </c>
      <c r="B610" s="235">
        <f t="shared" si="257"/>
        <v>275585.10170650465</v>
      </c>
      <c r="C610" s="235">
        <f t="shared" si="258"/>
        <v>542324.95241410506</v>
      </c>
      <c r="D610" s="235">
        <f t="shared" si="259"/>
        <v>905486.80140871753</v>
      </c>
      <c r="E610" s="235">
        <f t="shared" si="260"/>
        <v>1239605.2649742088</v>
      </c>
      <c r="F610" s="235">
        <f t="shared" si="261"/>
        <v>1628604.1554653577</v>
      </c>
      <c r="G610" s="235">
        <f t="shared" si="262"/>
        <v>2004229.3706102488</v>
      </c>
      <c r="H610" s="235">
        <f t="shared" si="263"/>
        <v>2392281.6084414213</v>
      </c>
      <c r="I610" s="235">
        <f t="shared" si="264"/>
        <v>2852136.7043676027</v>
      </c>
      <c r="J610" s="235">
        <f t="shared" si="265"/>
        <v>3246906.4947706214</v>
      </c>
      <c r="K610" s="235">
        <f t="shared" si="266"/>
        <v>3679037.3284080704</v>
      </c>
      <c r="L610" s="235">
        <f t="shared" si="267"/>
        <v>4037500.4381989976</v>
      </c>
      <c r="M610" s="235">
        <f t="shared" si="268"/>
        <v>4384074</v>
      </c>
      <c r="N610" s="235" t="s">
        <v>209</v>
      </c>
      <c r="O610" s="100" t="s">
        <v>28</v>
      </c>
    </row>
    <row r="611" spans="1:15">
      <c r="A611" s="242" t="s">
        <v>138</v>
      </c>
      <c r="B611" s="235">
        <f t="shared" si="257"/>
        <v>44369.663241195864</v>
      </c>
      <c r="C611" s="235">
        <f t="shared" si="258"/>
        <v>95223.044013456994</v>
      </c>
      <c r="D611" s="235">
        <f t="shared" si="259"/>
        <v>148733.0920324738</v>
      </c>
      <c r="E611" s="235">
        <f t="shared" si="260"/>
        <v>204980.75387056996</v>
      </c>
      <c r="F611" s="235">
        <f t="shared" si="261"/>
        <v>267095.39943348808</v>
      </c>
      <c r="G611" s="235">
        <f t="shared" si="262"/>
        <v>332990.2190676278</v>
      </c>
      <c r="H611" s="235">
        <f t="shared" si="263"/>
        <v>390401.41226401756</v>
      </c>
      <c r="I611" s="235">
        <f t="shared" si="264"/>
        <v>458832.40708573256</v>
      </c>
      <c r="J611" s="235">
        <f t="shared" si="265"/>
        <v>515373.82630739233</v>
      </c>
      <c r="K611" s="235">
        <f t="shared" si="266"/>
        <v>575221.84733427851</v>
      </c>
      <c r="L611" s="235">
        <f t="shared" si="267"/>
        <v>634496.55344297143</v>
      </c>
      <c r="M611" s="235">
        <f t="shared" si="268"/>
        <v>685873</v>
      </c>
      <c r="N611" s="235" t="s">
        <v>209</v>
      </c>
      <c r="O611" s="100" t="s">
        <v>28</v>
      </c>
    </row>
    <row r="612" spans="1:15">
      <c r="A612" s="242" t="s">
        <v>139</v>
      </c>
      <c r="B612" s="235">
        <f t="shared" si="257"/>
        <v>556985.29094962706</v>
      </c>
      <c r="C612" s="235">
        <f t="shared" si="258"/>
        <v>1118005.1833868672</v>
      </c>
      <c r="D612" s="235">
        <f t="shared" si="259"/>
        <v>1825647.3940868515</v>
      </c>
      <c r="E612" s="235">
        <f t="shared" si="260"/>
        <v>2494089.8294125209</v>
      </c>
      <c r="F612" s="235">
        <f t="shared" si="261"/>
        <v>3238347.9046436348</v>
      </c>
      <c r="G612" s="235">
        <f t="shared" si="262"/>
        <v>3924756.9551041294</v>
      </c>
      <c r="H612" s="235">
        <f t="shared" si="263"/>
        <v>4641791.2495409083</v>
      </c>
      <c r="I612" s="235">
        <f t="shared" si="264"/>
        <v>5466429.1343757436</v>
      </c>
      <c r="J612" s="235">
        <f t="shared" si="265"/>
        <v>6152393.664513519</v>
      </c>
      <c r="K612" s="235">
        <f t="shared" si="266"/>
        <v>6925627.6077349558</v>
      </c>
      <c r="L612" s="235">
        <f t="shared" si="267"/>
        <v>7638766.639416106</v>
      </c>
      <c r="M612" s="235">
        <f t="shared" si="268"/>
        <v>8295113</v>
      </c>
      <c r="N612" s="235" t="s">
        <v>209</v>
      </c>
      <c r="O612" s="100" t="s">
        <v>28</v>
      </c>
    </row>
    <row r="613" spans="1:15">
      <c r="A613" s="242" t="s">
        <v>140</v>
      </c>
      <c r="B613" s="235">
        <f t="shared" si="257"/>
        <v>29651.591579802152</v>
      </c>
      <c r="C613" s="235">
        <f t="shared" si="258"/>
        <v>63944.959860315772</v>
      </c>
      <c r="D613" s="235">
        <f t="shared" si="259"/>
        <v>115347.06246058294</v>
      </c>
      <c r="E613" s="235">
        <f t="shared" si="260"/>
        <v>161408.92485088736</v>
      </c>
      <c r="F613" s="235">
        <f t="shared" si="261"/>
        <v>214001.44853672176</v>
      </c>
      <c r="G613" s="235">
        <f t="shared" si="262"/>
        <v>274661.96589826146</v>
      </c>
      <c r="H613" s="235">
        <f t="shared" si="263"/>
        <v>332100.48839204386</v>
      </c>
      <c r="I613" s="235">
        <f t="shared" si="264"/>
        <v>394212.21003078209</v>
      </c>
      <c r="J613" s="235">
        <f t="shared" si="265"/>
        <v>445340.16723719647</v>
      </c>
      <c r="K613" s="235">
        <f t="shared" si="266"/>
        <v>497650.02044275263</v>
      </c>
      <c r="L613" s="235">
        <f t="shared" si="267"/>
        <v>546581.01257835422</v>
      </c>
      <c r="M613" s="235">
        <f t="shared" si="268"/>
        <v>593328</v>
      </c>
      <c r="N613" s="235" t="s">
        <v>209</v>
      </c>
      <c r="O613" s="100" t="s">
        <v>28</v>
      </c>
    </row>
    <row r="614" spans="1:15">
      <c r="A614" s="242" t="s">
        <v>141</v>
      </c>
      <c r="B614" s="235">
        <f t="shared" si="257"/>
        <v>9818.6213037562811</v>
      </c>
      <c r="C614" s="235">
        <f t="shared" si="258"/>
        <v>16668.48389415348</v>
      </c>
      <c r="D614" s="235">
        <f t="shared" si="259"/>
        <v>28626.647802538337</v>
      </c>
      <c r="E614" s="235">
        <f t="shared" si="260"/>
        <v>36625.079268742273</v>
      </c>
      <c r="F614" s="235">
        <f t="shared" si="261"/>
        <v>48083.993011090934</v>
      </c>
      <c r="G614" s="235">
        <f t="shared" si="262"/>
        <v>56550.574954303607</v>
      </c>
      <c r="H614" s="235">
        <f t="shared" si="263"/>
        <v>63546.58666277866</v>
      </c>
      <c r="I614" s="235">
        <f t="shared" si="264"/>
        <v>74601.407995476533</v>
      </c>
      <c r="J614" s="235">
        <f t="shared" si="265"/>
        <v>82520.441281821797</v>
      </c>
      <c r="K614" s="235">
        <f t="shared" si="266"/>
        <v>91165.160243180813</v>
      </c>
      <c r="L614" s="235">
        <f t="shared" si="267"/>
        <v>99154.362357164238</v>
      </c>
      <c r="M614" s="235">
        <f t="shared" si="268"/>
        <v>107076</v>
      </c>
      <c r="N614" s="235" t="s">
        <v>209</v>
      </c>
      <c r="O614" s="100" t="s">
        <v>28</v>
      </c>
    </row>
    <row r="615" spans="1:15">
      <c r="A615" s="242" t="s">
        <v>142</v>
      </c>
      <c r="B615" s="235">
        <f t="shared" si="257"/>
        <v>208376.00951096293</v>
      </c>
      <c r="C615" s="235">
        <f t="shared" si="258"/>
        <v>507018.68051993055</v>
      </c>
      <c r="D615" s="235">
        <f t="shared" si="259"/>
        <v>894047.2928575332</v>
      </c>
      <c r="E615" s="235">
        <f t="shared" si="260"/>
        <v>1249784.3437226261</v>
      </c>
      <c r="F615" s="235">
        <f t="shared" si="261"/>
        <v>1652959.3304991936</v>
      </c>
      <c r="G615" s="235">
        <f t="shared" si="262"/>
        <v>2028418.9251025892</v>
      </c>
      <c r="H615" s="235">
        <f t="shared" si="263"/>
        <v>2434792.4329710342</v>
      </c>
      <c r="I615" s="235">
        <f t="shared" si="264"/>
        <v>2880809.9920232538</v>
      </c>
      <c r="J615" s="235">
        <f t="shared" si="265"/>
        <v>3279291.0475016376</v>
      </c>
      <c r="K615" s="235">
        <f t="shared" si="266"/>
        <v>3713983.9529896146</v>
      </c>
      <c r="L615" s="235">
        <f t="shared" si="267"/>
        <v>4095809.6607408873</v>
      </c>
      <c r="M615" s="235">
        <f t="shared" si="268"/>
        <v>4482898</v>
      </c>
      <c r="N615" s="235" t="s">
        <v>209</v>
      </c>
      <c r="O615" s="100" t="s">
        <v>28</v>
      </c>
    </row>
    <row r="616" spans="1:15">
      <c r="A616" s="242" t="s">
        <v>143</v>
      </c>
      <c r="B616" s="235">
        <f t="shared" si="257"/>
        <v>1515734.9945743335</v>
      </c>
      <c r="C616" s="235">
        <f t="shared" si="258"/>
        <v>3117698.4666788494</v>
      </c>
      <c r="D616" s="235">
        <f t="shared" si="259"/>
        <v>5303726.2963852519</v>
      </c>
      <c r="E616" s="235">
        <f t="shared" si="260"/>
        <v>7277703.0554273156</v>
      </c>
      <c r="F616" s="235">
        <f t="shared" si="261"/>
        <v>9467076.0189315341</v>
      </c>
      <c r="G616" s="235">
        <f t="shared" si="262"/>
        <v>11477023.117471797</v>
      </c>
      <c r="H616" s="235">
        <f t="shared" si="263"/>
        <v>13554573.376906399</v>
      </c>
      <c r="I616" s="235">
        <f t="shared" si="264"/>
        <v>15959762.198136097</v>
      </c>
      <c r="J616" s="235">
        <f t="shared" si="265"/>
        <v>17974468.364766873</v>
      </c>
      <c r="K616" s="235">
        <f t="shared" si="266"/>
        <v>20108774.0187128</v>
      </c>
      <c r="L616" s="235">
        <f t="shared" si="267"/>
        <v>21962367.834803261</v>
      </c>
      <c r="M616" s="235">
        <f t="shared" si="268"/>
        <v>23669330.831388</v>
      </c>
      <c r="N616" s="235" t="s">
        <v>209</v>
      </c>
      <c r="O616" s="100" t="s">
        <v>28</v>
      </c>
    </row>
    <row r="617" spans="1:15">
      <c r="A617" s="242" t="s">
        <v>144</v>
      </c>
      <c r="B617" s="235">
        <f t="shared" si="257"/>
        <v>31243.029831014115</v>
      </c>
      <c r="C617" s="235">
        <f t="shared" si="258"/>
        <v>67521.308098646768</v>
      </c>
      <c r="D617" s="235">
        <f t="shared" si="259"/>
        <v>113148.11830952633</v>
      </c>
      <c r="E617" s="235">
        <f t="shared" si="260"/>
        <v>156333.35488113272</v>
      </c>
      <c r="F617" s="235">
        <f t="shared" si="261"/>
        <v>200596.14477776669</v>
      </c>
      <c r="G617" s="235">
        <f t="shared" si="262"/>
        <v>246658.47884924829</v>
      </c>
      <c r="H617" s="235">
        <f t="shared" si="263"/>
        <v>291315.53609242331</v>
      </c>
      <c r="I617" s="235">
        <f t="shared" si="264"/>
        <v>341664.2479972791</v>
      </c>
      <c r="J617" s="235">
        <f t="shared" si="265"/>
        <v>389175.01886393497</v>
      </c>
      <c r="K617" s="235">
        <f t="shared" si="266"/>
        <v>438699.36729948071</v>
      </c>
      <c r="L617" s="235">
        <f t="shared" si="267"/>
        <v>479625.1782120979</v>
      </c>
      <c r="M617" s="235">
        <f t="shared" si="268"/>
        <v>519542</v>
      </c>
      <c r="N617" s="235" t="s">
        <v>209</v>
      </c>
      <c r="O617" s="100" t="s">
        <v>28</v>
      </c>
    </row>
    <row r="618" spans="1:15">
      <c r="A618" s="242" t="s">
        <v>145</v>
      </c>
      <c r="B618" s="235">
        <f t="shared" si="257"/>
        <v>23873.143837560783</v>
      </c>
      <c r="C618" s="235">
        <f t="shared" si="258"/>
        <v>50617.146696783879</v>
      </c>
      <c r="D618" s="235">
        <f t="shared" si="259"/>
        <v>82319.943138182833</v>
      </c>
      <c r="E618" s="235">
        <f t="shared" si="260"/>
        <v>113187.87789009955</v>
      </c>
      <c r="F618" s="235">
        <f t="shared" si="261"/>
        <v>153187.48954410412</v>
      </c>
      <c r="G618" s="235">
        <f t="shared" si="262"/>
        <v>190257.53964792652</v>
      </c>
      <c r="H618" s="235">
        <f t="shared" si="263"/>
        <v>226402.37055655426</v>
      </c>
      <c r="I618" s="235">
        <f t="shared" si="264"/>
        <v>263907.12923148641</v>
      </c>
      <c r="J618" s="235">
        <f t="shared" si="265"/>
        <v>291717.04327181389</v>
      </c>
      <c r="K618" s="235">
        <f t="shared" si="266"/>
        <v>326513.55165262904</v>
      </c>
      <c r="L618" s="235">
        <f t="shared" si="267"/>
        <v>356374.56157907314</v>
      </c>
      <c r="M618" s="235">
        <f t="shared" si="268"/>
        <v>385988</v>
      </c>
      <c r="N618" s="235" t="s">
        <v>209</v>
      </c>
      <c r="O618" s="100" t="s">
        <v>28</v>
      </c>
    </row>
    <row r="619" spans="1:15">
      <c r="A619" s="242" t="s">
        <v>119</v>
      </c>
      <c r="B619" s="235">
        <f>B141</f>
        <v>8006.8395076053093</v>
      </c>
      <c r="C619" s="235">
        <f t="shared" ref="C619:M619" si="269">C141</f>
        <v>15855.623326071149</v>
      </c>
      <c r="D619" s="235">
        <f t="shared" si="269"/>
        <v>26073.61843204873</v>
      </c>
      <c r="E619" s="235">
        <f t="shared" si="269"/>
        <v>37803.360957517485</v>
      </c>
      <c r="F619" s="235">
        <f t="shared" si="269"/>
        <v>51867.818479893933</v>
      </c>
      <c r="G619" s="235">
        <f t="shared" si="269"/>
        <v>65638.843438376542</v>
      </c>
      <c r="H619" s="235">
        <f t="shared" si="269"/>
        <v>80190.588375684922</v>
      </c>
      <c r="I619" s="235">
        <f t="shared" si="269"/>
        <v>94448.452145123621</v>
      </c>
      <c r="J619" s="235">
        <f t="shared" si="269"/>
        <v>106295.39480082758</v>
      </c>
      <c r="K619" s="235">
        <f t="shared" si="269"/>
        <v>121093.29689202757</v>
      </c>
      <c r="L619" s="235">
        <f t="shared" si="269"/>
        <v>132676.18988656584</v>
      </c>
      <c r="M619" s="235">
        <f t="shared" si="269"/>
        <v>142491</v>
      </c>
      <c r="N619" s="235" t="s">
        <v>315</v>
      </c>
      <c r="O619" s="100" t="s">
        <v>28</v>
      </c>
    </row>
    <row r="620" spans="1:15">
      <c r="A620" s="242" t="s">
        <v>120</v>
      </c>
      <c r="B620" s="235">
        <f t="shared" ref="B620:M620" si="270">B142</f>
        <v>39240.564505825816</v>
      </c>
      <c r="C620" s="235">
        <f t="shared" si="270"/>
        <v>78946.585887224122</v>
      </c>
      <c r="D620" s="235">
        <f t="shared" si="270"/>
        <v>126732.93018797318</v>
      </c>
      <c r="E620" s="235">
        <f t="shared" si="270"/>
        <v>172139.3347434719</v>
      </c>
      <c r="F620" s="235">
        <f t="shared" si="270"/>
        <v>225422.40743322522</v>
      </c>
      <c r="G620" s="235">
        <f t="shared" si="270"/>
        <v>272572.74298039597</v>
      </c>
      <c r="H620" s="235">
        <f t="shared" si="270"/>
        <v>317979.99626844458</v>
      </c>
      <c r="I620" s="235">
        <f t="shared" si="270"/>
        <v>372935.08535180648</v>
      </c>
      <c r="J620" s="235">
        <f t="shared" si="270"/>
        <v>419546.54040932318</v>
      </c>
      <c r="K620" s="235">
        <f t="shared" si="270"/>
        <v>477888.57068816357</v>
      </c>
      <c r="L620" s="235">
        <f t="shared" si="270"/>
        <v>520342.28739951079</v>
      </c>
      <c r="M620" s="235">
        <f t="shared" si="270"/>
        <v>561629</v>
      </c>
      <c r="N620" s="235" t="s">
        <v>315</v>
      </c>
      <c r="O620" s="100" t="s">
        <v>28</v>
      </c>
    </row>
    <row r="621" spans="1:15">
      <c r="A621" s="242" t="s">
        <v>121</v>
      </c>
      <c r="B621" s="235">
        <f t="shared" ref="B621:M621" si="271">B143</f>
        <v>13775.004129104929</v>
      </c>
      <c r="C621" s="235">
        <f t="shared" si="271"/>
        <v>26578.982282154309</v>
      </c>
      <c r="D621" s="235">
        <f t="shared" si="271"/>
        <v>41013.942981849417</v>
      </c>
      <c r="E621" s="235">
        <f t="shared" si="271"/>
        <v>53582.892150643231</v>
      </c>
      <c r="F621" s="235">
        <f t="shared" si="271"/>
        <v>67793.903154107815</v>
      </c>
      <c r="G621" s="235">
        <f t="shared" si="271"/>
        <v>84369.103308563906</v>
      </c>
      <c r="H621" s="235">
        <f t="shared" si="271"/>
        <v>98189.378969098092</v>
      </c>
      <c r="I621" s="235">
        <f t="shared" si="271"/>
        <v>115756.92375606431</v>
      </c>
      <c r="J621" s="235">
        <f t="shared" si="271"/>
        <v>130562.56641752075</v>
      </c>
      <c r="K621" s="235">
        <f t="shared" si="271"/>
        <v>150349.02178465805</v>
      </c>
      <c r="L621" s="235">
        <f t="shared" si="271"/>
        <v>169208.11249438624</v>
      </c>
      <c r="M621" s="235">
        <f t="shared" si="271"/>
        <v>184885</v>
      </c>
      <c r="N621" s="235" t="s">
        <v>315</v>
      </c>
      <c r="O621" s="100" t="s">
        <v>28</v>
      </c>
    </row>
    <row r="622" spans="1:15">
      <c r="A622" s="242" t="s">
        <v>122</v>
      </c>
      <c r="B622" s="235">
        <f t="shared" ref="B622:M622" si="272">B144</f>
        <v>31622.38706453962</v>
      </c>
      <c r="C622" s="235">
        <f t="shared" si="272"/>
        <v>60790.150626298258</v>
      </c>
      <c r="D622" s="235">
        <f t="shared" si="272"/>
        <v>97485.287590333101</v>
      </c>
      <c r="E622" s="235">
        <f t="shared" si="272"/>
        <v>132123.08602290723</v>
      </c>
      <c r="F622" s="235">
        <f t="shared" si="272"/>
        <v>168899.66989428998</v>
      </c>
      <c r="G622" s="235">
        <f t="shared" si="272"/>
        <v>205453.42398116837</v>
      </c>
      <c r="H622" s="235">
        <f t="shared" si="272"/>
        <v>242167.73187821836</v>
      </c>
      <c r="I622" s="235">
        <f t="shared" si="272"/>
        <v>287544.10185086698</v>
      </c>
      <c r="J622" s="235">
        <f t="shared" si="272"/>
        <v>323067.30038633099</v>
      </c>
      <c r="K622" s="235">
        <f t="shared" si="272"/>
        <v>364161.03220895294</v>
      </c>
      <c r="L622" s="235">
        <f t="shared" si="272"/>
        <v>402712.29044462863</v>
      </c>
      <c r="M622" s="235">
        <f t="shared" si="272"/>
        <v>434812</v>
      </c>
      <c r="N622" s="235" t="s">
        <v>315</v>
      </c>
      <c r="O622" s="100" t="s">
        <v>28</v>
      </c>
    </row>
    <row r="623" spans="1:15">
      <c r="A623" s="242" t="s">
        <v>123</v>
      </c>
      <c r="B623" s="235">
        <f t="shared" ref="B623:M623" si="273">B145</f>
        <v>94153.97770684956</v>
      </c>
      <c r="C623" s="235">
        <f t="shared" si="273"/>
        <v>195493.92463304271</v>
      </c>
      <c r="D623" s="235">
        <f t="shared" si="273"/>
        <v>314593.52636368346</v>
      </c>
      <c r="E623" s="235">
        <f t="shared" si="273"/>
        <v>428204.09775487863</v>
      </c>
      <c r="F623" s="235">
        <f t="shared" si="273"/>
        <v>559257.27150342357</v>
      </c>
      <c r="G623" s="235">
        <f t="shared" si="273"/>
        <v>677817.83135604614</v>
      </c>
      <c r="H623" s="235">
        <f t="shared" si="273"/>
        <v>793415.46098325658</v>
      </c>
      <c r="I623" s="235">
        <f t="shared" si="273"/>
        <v>930988.05381578766</v>
      </c>
      <c r="J623" s="235">
        <f t="shared" si="273"/>
        <v>1056894.2518906423</v>
      </c>
      <c r="K623" s="235">
        <f t="shared" si="273"/>
        <v>1188787.0409865011</v>
      </c>
      <c r="L623" s="235">
        <f t="shared" si="273"/>
        <v>1308130.9193886116</v>
      </c>
      <c r="M623" s="235">
        <f t="shared" si="273"/>
        <v>1420330</v>
      </c>
      <c r="N623" s="235" t="s">
        <v>315</v>
      </c>
      <c r="O623" s="100" t="s">
        <v>28</v>
      </c>
    </row>
    <row r="624" spans="1:15">
      <c r="A624" s="242" t="s">
        <v>124</v>
      </c>
      <c r="B624" s="235">
        <f t="shared" ref="B624:M624" si="274">B146</f>
        <v>60691.230752550204</v>
      </c>
      <c r="C624" s="235">
        <f t="shared" si="274"/>
        <v>120207.7551854192</v>
      </c>
      <c r="D624" s="235">
        <f t="shared" si="274"/>
        <v>195292.77017474736</v>
      </c>
      <c r="E624" s="235">
        <f t="shared" si="274"/>
        <v>261632.19592081974</v>
      </c>
      <c r="F624" s="235">
        <f t="shared" si="274"/>
        <v>339809.67639779305</v>
      </c>
      <c r="G624" s="235">
        <f t="shared" si="274"/>
        <v>433118.9918525414</v>
      </c>
      <c r="H624" s="235">
        <f t="shared" si="274"/>
        <v>511166.57693490363</v>
      </c>
      <c r="I624" s="235">
        <f t="shared" si="274"/>
        <v>592391.75716026616</v>
      </c>
      <c r="J624" s="235">
        <f t="shared" si="274"/>
        <v>666440.4258330767</v>
      </c>
      <c r="K624" s="235">
        <f t="shared" si="274"/>
        <v>750809.11605421419</v>
      </c>
      <c r="L624" s="235">
        <f t="shared" si="274"/>
        <v>832279.40058216953</v>
      </c>
      <c r="M624" s="235">
        <f t="shared" si="274"/>
        <v>910702</v>
      </c>
      <c r="N624" s="235" t="s">
        <v>315</v>
      </c>
      <c r="O624" s="100" t="s">
        <v>28</v>
      </c>
    </row>
    <row r="625" spans="1:15">
      <c r="A625" s="242" t="s">
        <v>125</v>
      </c>
      <c r="B625" s="235">
        <f t="shared" ref="B625:M625" si="275">B147</f>
        <v>80409.396205471741</v>
      </c>
      <c r="C625" s="235">
        <f t="shared" si="275"/>
        <v>167556.92703095544</v>
      </c>
      <c r="D625" s="235">
        <f t="shared" si="275"/>
        <v>281153.23232931719</v>
      </c>
      <c r="E625" s="235">
        <f t="shared" si="275"/>
        <v>390850.43761817191</v>
      </c>
      <c r="F625" s="235">
        <f t="shared" si="275"/>
        <v>516828.23615173332</v>
      </c>
      <c r="G625" s="235">
        <f t="shared" si="275"/>
        <v>632974.73951624963</v>
      </c>
      <c r="H625" s="235">
        <f t="shared" si="275"/>
        <v>745487.47838242608</v>
      </c>
      <c r="I625" s="235">
        <f t="shared" si="275"/>
        <v>874606.27214876353</v>
      </c>
      <c r="J625" s="235">
        <f t="shared" si="275"/>
        <v>983608.35412525909</v>
      </c>
      <c r="K625" s="235">
        <f t="shared" si="275"/>
        <v>1104432.089226326</v>
      </c>
      <c r="L625" s="235">
        <f t="shared" si="275"/>
        <v>1223109.5107413684</v>
      </c>
      <c r="M625" s="235">
        <f t="shared" si="275"/>
        <v>1324510</v>
      </c>
      <c r="N625" s="235" t="s">
        <v>315</v>
      </c>
      <c r="O625" s="100" t="s">
        <v>28</v>
      </c>
    </row>
    <row r="626" spans="1:15">
      <c r="A626" s="242" t="s">
        <v>126</v>
      </c>
      <c r="B626" s="235">
        <f t="shared" ref="B626:M626" si="276">B148</f>
        <v>76252.256899255153</v>
      </c>
      <c r="C626" s="235">
        <f t="shared" si="276"/>
        <v>145869.49673282355</v>
      </c>
      <c r="D626" s="235">
        <f t="shared" si="276"/>
        <v>244914.29141956684</v>
      </c>
      <c r="E626" s="235">
        <f t="shared" si="276"/>
        <v>333144.83447625168</v>
      </c>
      <c r="F626" s="235">
        <f t="shared" si="276"/>
        <v>444066.08050235512</v>
      </c>
      <c r="G626" s="235">
        <f t="shared" si="276"/>
        <v>546273.33660885517</v>
      </c>
      <c r="H626" s="235">
        <f t="shared" si="276"/>
        <v>646838.9587972858</v>
      </c>
      <c r="I626" s="235">
        <f t="shared" si="276"/>
        <v>765340.11179250746</v>
      </c>
      <c r="J626" s="235">
        <f t="shared" si="276"/>
        <v>860980.73736253486</v>
      </c>
      <c r="K626" s="235">
        <f t="shared" si="276"/>
        <v>971967.77474699065</v>
      </c>
      <c r="L626" s="235">
        <f t="shared" si="276"/>
        <v>1066614.0844535683</v>
      </c>
      <c r="M626" s="235">
        <f t="shared" si="276"/>
        <v>1157768</v>
      </c>
      <c r="N626" s="235" t="s">
        <v>315</v>
      </c>
      <c r="O626" s="100" t="s">
        <v>28</v>
      </c>
    </row>
    <row r="627" spans="1:15">
      <c r="A627" s="242" t="s">
        <v>127</v>
      </c>
      <c r="B627" s="235">
        <f t="shared" ref="B627:M627" si="277">B149</f>
        <v>132146.13841604342</v>
      </c>
      <c r="C627" s="235">
        <f t="shared" si="277"/>
        <v>272702.88500043441</v>
      </c>
      <c r="D627" s="235">
        <f t="shared" si="277"/>
        <v>475191.91931128036</v>
      </c>
      <c r="E627" s="235">
        <f t="shared" si="277"/>
        <v>662249.97847641353</v>
      </c>
      <c r="F627" s="235">
        <f t="shared" si="277"/>
        <v>878149.71759855491</v>
      </c>
      <c r="G627" s="235">
        <f t="shared" si="277"/>
        <v>1103811.5056334522</v>
      </c>
      <c r="H627" s="235">
        <f t="shared" si="277"/>
        <v>1286079.1210237262</v>
      </c>
      <c r="I627" s="235">
        <f t="shared" si="277"/>
        <v>1492921.9737884004</v>
      </c>
      <c r="J627" s="235">
        <f t="shared" si="277"/>
        <v>1674575.3565992843</v>
      </c>
      <c r="K627" s="235">
        <f t="shared" si="277"/>
        <v>1861468.5002290674</v>
      </c>
      <c r="L627" s="235">
        <f t="shared" si="277"/>
        <v>2018023.0743949413</v>
      </c>
      <c r="M627" s="235">
        <f t="shared" si="277"/>
        <v>2162709</v>
      </c>
      <c r="N627" s="235" t="s">
        <v>315</v>
      </c>
      <c r="O627" s="100" t="s">
        <v>28</v>
      </c>
    </row>
    <row r="628" spans="1:15">
      <c r="A628" s="242" t="s">
        <v>128</v>
      </c>
      <c r="B628" s="235">
        <f t="shared" ref="B628:M628" si="278">B150</f>
        <v>25028.910185334702</v>
      </c>
      <c r="C628" s="235">
        <f t="shared" si="278"/>
        <v>48158.134625754406</v>
      </c>
      <c r="D628" s="235">
        <f t="shared" si="278"/>
        <v>79904.586199233119</v>
      </c>
      <c r="E628" s="235">
        <f t="shared" si="278"/>
        <v>109760.6947407391</v>
      </c>
      <c r="F628" s="235">
        <f t="shared" si="278"/>
        <v>141924.60475646306</v>
      </c>
      <c r="G628" s="235">
        <f t="shared" si="278"/>
        <v>175169.72777596492</v>
      </c>
      <c r="H628" s="235">
        <f t="shared" si="278"/>
        <v>206217.57319136587</v>
      </c>
      <c r="I628" s="235">
        <f t="shared" si="278"/>
        <v>241995.08939608737</v>
      </c>
      <c r="J628" s="235">
        <f t="shared" si="278"/>
        <v>277030.07699239621</v>
      </c>
      <c r="K628" s="235">
        <f t="shared" si="278"/>
        <v>312545.07283886429</v>
      </c>
      <c r="L628" s="235">
        <f t="shared" si="278"/>
        <v>351496.27988883347</v>
      </c>
      <c r="M628" s="235">
        <f t="shared" si="278"/>
        <v>384359</v>
      </c>
      <c r="N628" s="235" t="s">
        <v>315</v>
      </c>
      <c r="O628" s="100" t="s">
        <v>28</v>
      </c>
    </row>
    <row r="629" spans="1:15">
      <c r="A629" s="242" t="s">
        <v>129</v>
      </c>
      <c r="B629" s="235">
        <f t="shared" ref="B629:M629" si="279">B151</f>
        <v>95590.605705230453</v>
      </c>
      <c r="C629" s="235">
        <f t="shared" si="279"/>
        <v>223607.2518821409</v>
      </c>
      <c r="D629" s="235">
        <f t="shared" si="279"/>
        <v>409597.36012852914</v>
      </c>
      <c r="E629" s="235">
        <f t="shared" si="279"/>
        <v>566368.83338693099</v>
      </c>
      <c r="F629" s="235">
        <f t="shared" si="279"/>
        <v>755339.63243712147</v>
      </c>
      <c r="G629" s="235">
        <f t="shared" si="279"/>
        <v>947516.77956514189</v>
      </c>
      <c r="H629" s="235">
        <f t="shared" si="279"/>
        <v>1133322.6105420778</v>
      </c>
      <c r="I629" s="235">
        <f t="shared" si="279"/>
        <v>1334465.0170977071</v>
      </c>
      <c r="J629" s="235">
        <f t="shared" si="279"/>
        <v>1501415.4763866672</v>
      </c>
      <c r="K629" s="235">
        <f t="shared" si="279"/>
        <v>1676319.2993791196</v>
      </c>
      <c r="L629" s="235">
        <f t="shared" si="279"/>
        <v>1825347.9131063747</v>
      </c>
      <c r="M629" s="235">
        <f t="shared" si="279"/>
        <v>1974113</v>
      </c>
      <c r="N629" s="235" t="s">
        <v>315</v>
      </c>
      <c r="O629" s="100" t="s">
        <v>28</v>
      </c>
    </row>
    <row r="630" spans="1:15">
      <c r="A630" s="242" t="s">
        <v>130</v>
      </c>
      <c r="B630" s="235">
        <f t="shared" ref="B630:M630" si="280">B152</f>
        <v>108939.74070145286</v>
      </c>
      <c r="C630" s="235">
        <f t="shared" si="280"/>
        <v>236811.9415445241</v>
      </c>
      <c r="D630" s="235">
        <f t="shared" si="280"/>
        <v>411510.69842080807</v>
      </c>
      <c r="E630" s="235">
        <f t="shared" si="280"/>
        <v>562448.1946857681</v>
      </c>
      <c r="F630" s="235">
        <f t="shared" si="280"/>
        <v>739949.47591611336</v>
      </c>
      <c r="G630" s="235">
        <f t="shared" si="280"/>
        <v>900535.36185317778</v>
      </c>
      <c r="H630" s="235">
        <f t="shared" si="280"/>
        <v>1062555.3549554038</v>
      </c>
      <c r="I630" s="235">
        <f t="shared" si="280"/>
        <v>1241367.4584069103</v>
      </c>
      <c r="J630" s="235">
        <f t="shared" si="280"/>
        <v>1391818.8235948184</v>
      </c>
      <c r="K630" s="235">
        <f t="shared" si="280"/>
        <v>1539943.6297240888</v>
      </c>
      <c r="L630" s="235">
        <f t="shared" si="280"/>
        <v>1685169.80357858</v>
      </c>
      <c r="M630" s="235">
        <f t="shared" si="280"/>
        <v>1817472</v>
      </c>
      <c r="N630" s="235" t="s">
        <v>315</v>
      </c>
      <c r="O630" s="100" t="s">
        <v>28</v>
      </c>
    </row>
    <row r="631" spans="1:15">
      <c r="A631" s="242" t="s">
        <v>131</v>
      </c>
      <c r="B631" s="235">
        <f t="shared" ref="B631:M631" si="281">B153</f>
        <v>234083.41864834115</v>
      </c>
      <c r="C631" s="235">
        <f t="shared" si="281"/>
        <v>469597.87620970141</v>
      </c>
      <c r="D631" s="235">
        <f t="shared" si="281"/>
        <v>783041.3544826986</v>
      </c>
      <c r="E631" s="235">
        <f t="shared" si="281"/>
        <v>1068800.6096730186</v>
      </c>
      <c r="F631" s="235">
        <f t="shared" si="281"/>
        <v>1404699.7487192107</v>
      </c>
      <c r="G631" s="235">
        <f t="shared" si="281"/>
        <v>1731633.5829029921</v>
      </c>
      <c r="H631" s="235">
        <f t="shared" si="281"/>
        <v>2045549.6874983232</v>
      </c>
      <c r="I631" s="235">
        <f t="shared" si="281"/>
        <v>2393576.1999697187</v>
      </c>
      <c r="J631" s="235">
        <f t="shared" si="281"/>
        <v>2703018.6930167554</v>
      </c>
      <c r="K631" s="235">
        <f t="shared" si="281"/>
        <v>3031292.8173411032</v>
      </c>
      <c r="L631" s="235">
        <f t="shared" si="281"/>
        <v>3319242.9570548474</v>
      </c>
      <c r="M631" s="235">
        <f t="shared" si="281"/>
        <v>3589374.4000000004</v>
      </c>
      <c r="N631" s="235" t="s">
        <v>315</v>
      </c>
      <c r="O631" s="100" t="s">
        <v>28</v>
      </c>
    </row>
    <row r="632" spans="1:15">
      <c r="A632" s="242" t="s">
        <v>132</v>
      </c>
      <c r="B632" s="235">
        <f t="shared" ref="B632:M632" si="282">B154</f>
        <v>38682.072653492585</v>
      </c>
      <c r="C632" s="235">
        <f t="shared" si="282"/>
        <v>81851.1254632536</v>
      </c>
      <c r="D632" s="235">
        <f t="shared" si="282"/>
        <v>138297.6546365291</v>
      </c>
      <c r="E632" s="235">
        <f t="shared" si="282"/>
        <v>191224.43748063038</v>
      </c>
      <c r="F632" s="235">
        <f t="shared" si="282"/>
        <v>247871.22999654026</v>
      </c>
      <c r="G632" s="235">
        <f t="shared" si="282"/>
        <v>306308.32350731257</v>
      </c>
      <c r="H632" s="235">
        <f t="shared" si="282"/>
        <v>364457.84799998841</v>
      </c>
      <c r="I632" s="235">
        <f t="shared" si="282"/>
        <v>422534.07601949217</v>
      </c>
      <c r="J632" s="235">
        <f t="shared" si="282"/>
        <v>484347.42864776409</v>
      </c>
      <c r="K632" s="235">
        <f t="shared" si="282"/>
        <v>552696.27905747655</v>
      </c>
      <c r="L632" s="235">
        <f t="shared" si="282"/>
        <v>610139.95686172007</v>
      </c>
      <c r="M632" s="235">
        <f t="shared" si="282"/>
        <v>659760</v>
      </c>
      <c r="N632" s="235" t="s">
        <v>315</v>
      </c>
      <c r="O632" s="100" t="s">
        <v>28</v>
      </c>
    </row>
    <row r="633" spans="1:15">
      <c r="A633" s="242" t="s">
        <v>133</v>
      </c>
      <c r="B633" s="235">
        <f t="shared" ref="B633:M633" si="283">B155</f>
        <v>54336.554213326963</v>
      </c>
      <c r="C633" s="235">
        <f t="shared" si="283"/>
        <v>108203.81363969638</v>
      </c>
      <c r="D633" s="235">
        <f t="shared" si="283"/>
        <v>174917.98828599098</v>
      </c>
      <c r="E633" s="235">
        <f t="shared" si="283"/>
        <v>228454.97387112022</v>
      </c>
      <c r="F633" s="235">
        <f t="shared" si="283"/>
        <v>300014.92017984885</v>
      </c>
      <c r="G633" s="235">
        <f t="shared" si="283"/>
        <v>370033.52820577018</v>
      </c>
      <c r="H633" s="235">
        <f t="shared" si="283"/>
        <v>436964.70869503031</v>
      </c>
      <c r="I633" s="235">
        <f t="shared" si="283"/>
        <v>518783.66192611749</v>
      </c>
      <c r="J633" s="235">
        <f t="shared" si="283"/>
        <v>584674.64702223381</v>
      </c>
      <c r="K633" s="235">
        <f t="shared" si="283"/>
        <v>651245.200896514</v>
      </c>
      <c r="L633" s="235">
        <f t="shared" si="283"/>
        <v>716617.48969384097</v>
      </c>
      <c r="M633" s="235">
        <f t="shared" si="283"/>
        <v>775552</v>
      </c>
      <c r="N633" s="235" t="s">
        <v>315</v>
      </c>
      <c r="O633" s="100" t="s">
        <v>28</v>
      </c>
    </row>
    <row r="634" spans="1:15">
      <c r="A634" s="242" t="s">
        <v>134</v>
      </c>
      <c r="B634" s="235">
        <f t="shared" ref="B634:M634" si="284">B156</f>
        <v>326736.31733016542</v>
      </c>
      <c r="C634" s="235">
        <f t="shared" si="284"/>
        <v>699193.39391603903</v>
      </c>
      <c r="D634" s="235">
        <f t="shared" si="284"/>
        <v>1214410.2961429935</v>
      </c>
      <c r="E634" s="235">
        <f t="shared" si="284"/>
        <v>1697581.4413565015</v>
      </c>
      <c r="F634" s="235">
        <f t="shared" si="284"/>
        <v>2224893.66482674</v>
      </c>
      <c r="G634" s="235">
        <f t="shared" si="284"/>
        <v>2742051.290375927</v>
      </c>
      <c r="H634" s="235">
        <f t="shared" si="284"/>
        <v>3248628.4181972565</v>
      </c>
      <c r="I634" s="235">
        <f t="shared" si="284"/>
        <v>3790214.3506841739</v>
      </c>
      <c r="J634" s="235">
        <f t="shared" si="284"/>
        <v>4260145.653352485</v>
      </c>
      <c r="K634" s="235">
        <f t="shared" si="284"/>
        <v>4764885.7624630537</v>
      </c>
      <c r="L634" s="235">
        <f t="shared" si="284"/>
        <v>5227096.6617370471</v>
      </c>
      <c r="M634" s="235">
        <f t="shared" si="284"/>
        <v>5665056</v>
      </c>
      <c r="N634" s="235" t="s">
        <v>315</v>
      </c>
      <c r="O634" s="100" t="s">
        <v>28</v>
      </c>
    </row>
    <row r="635" spans="1:15">
      <c r="A635" s="242" t="s">
        <v>135</v>
      </c>
      <c r="B635" s="235">
        <f t="shared" ref="B635:M635" si="285">B157</f>
        <v>83507.115787915915</v>
      </c>
      <c r="C635" s="235">
        <f t="shared" si="285"/>
        <v>170161.22061180376</v>
      </c>
      <c r="D635" s="235">
        <f t="shared" si="285"/>
        <v>263782.67357260507</v>
      </c>
      <c r="E635" s="235">
        <f t="shared" si="285"/>
        <v>363632.55633877829</v>
      </c>
      <c r="F635" s="235">
        <f t="shared" si="285"/>
        <v>475872.05518850748</v>
      </c>
      <c r="G635" s="235">
        <f t="shared" si="285"/>
        <v>582397.98206392524</v>
      </c>
      <c r="H635" s="235">
        <f t="shared" si="285"/>
        <v>685892.97531608667</v>
      </c>
      <c r="I635" s="235">
        <f t="shared" si="285"/>
        <v>810632.6559184608</v>
      </c>
      <c r="J635" s="235">
        <f t="shared" si="285"/>
        <v>925404.99562779116</v>
      </c>
      <c r="K635" s="235">
        <f t="shared" si="285"/>
        <v>1040088.9461095352</v>
      </c>
      <c r="L635" s="235">
        <f t="shared" si="285"/>
        <v>1146449.5229581138</v>
      </c>
      <c r="M635" s="235">
        <f t="shared" si="285"/>
        <v>1251393</v>
      </c>
      <c r="N635" s="235" t="s">
        <v>315</v>
      </c>
      <c r="O635" s="100" t="s">
        <v>28</v>
      </c>
    </row>
    <row r="636" spans="1:15">
      <c r="A636" s="242" t="s">
        <v>136</v>
      </c>
      <c r="B636" s="235">
        <f t="shared" ref="B636:M636" si="286">B158</f>
        <v>27852.425797089865</v>
      </c>
      <c r="C636" s="235">
        <f t="shared" si="286"/>
        <v>51292.222185655381</v>
      </c>
      <c r="D636" s="235">
        <f t="shared" si="286"/>
        <v>82853.964518740933</v>
      </c>
      <c r="E636" s="235">
        <f t="shared" si="286"/>
        <v>116386.0272217301</v>
      </c>
      <c r="F636" s="235">
        <f t="shared" si="286"/>
        <v>151526.82011200461</v>
      </c>
      <c r="G636" s="235">
        <f t="shared" si="286"/>
        <v>190535.64164402758</v>
      </c>
      <c r="H636" s="235">
        <f t="shared" si="286"/>
        <v>225127.77009877362</v>
      </c>
      <c r="I636" s="235">
        <f t="shared" si="286"/>
        <v>268576.65170953772</v>
      </c>
      <c r="J636" s="235">
        <f t="shared" si="286"/>
        <v>301810.24946755578</v>
      </c>
      <c r="K636" s="235">
        <f t="shared" si="286"/>
        <v>344479.9590660414</v>
      </c>
      <c r="L636" s="235">
        <f t="shared" si="286"/>
        <v>382536.52035352454</v>
      </c>
      <c r="M636" s="235">
        <f t="shared" si="286"/>
        <v>414390</v>
      </c>
      <c r="N636" s="235" t="s">
        <v>315</v>
      </c>
      <c r="O636" s="100" t="s">
        <v>28</v>
      </c>
    </row>
    <row r="637" spans="1:15">
      <c r="A637" s="242" t="s">
        <v>137</v>
      </c>
      <c r="B637" s="235">
        <f t="shared" ref="B637:M637" si="287">B159</f>
        <v>275585.10170650465</v>
      </c>
      <c r="C637" s="235">
        <f t="shared" si="287"/>
        <v>542324.95241410506</v>
      </c>
      <c r="D637" s="235">
        <f t="shared" si="287"/>
        <v>905486.80140871753</v>
      </c>
      <c r="E637" s="235">
        <f t="shared" si="287"/>
        <v>1239605.2649742088</v>
      </c>
      <c r="F637" s="235">
        <f t="shared" si="287"/>
        <v>1628604.1554653577</v>
      </c>
      <c r="G637" s="235">
        <f t="shared" si="287"/>
        <v>2004229.3706102488</v>
      </c>
      <c r="H637" s="235">
        <f t="shared" si="287"/>
        <v>2392281.6084414213</v>
      </c>
      <c r="I637" s="235">
        <f t="shared" si="287"/>
        <v>2852136.7043676027</v>
      </c>
      <c r="J637" s="235">
        <f t="shared" si="287"/>
        <v>3246906.4947706214</v>
      </c>
      <c r="K637" s="235">
        <f t="shared" si="287"/>
        <v>3679037.3284080704</v>
      </c>
      <c r="L637" s="235">
        <f t="shared" si="287"/>
        <v>4037500.4381989976</v>
      </c>
      <c r="M637" s="235">
        <f t="shared" si="287"/>
        <v>4384074</v>
      </c>
      <c r="N637" s="235" t="s">
        <v>315</v>
      </c>
      <c r="O637" s="100" t="s">
        <v>28</v>
      </c>
    </row>
    <row r="638" spans="1:15">
      <c r="A638" s="242" t="s">
        <v>138</v>
      </c>
      <c r="B638" s="235">
        <f t="shared" ref="B638:M638" si="288">B160</f>
        <v>44369.663241195864</v>
      </c>
      <c r="C638" s="235">
        <f t="shared" si="288"/>
        <v>95223.044013456994</v>
      </c>
      <c r="D638" s="235">
        <f t="shared" si="288"/>
        <v>148733.0920324738</v>
      </c>
      <c r="E638" s="235">
        <f t="shared" si="288"/>
        <v>204980.75387056996</v>
      </c>
      <c r="F638" s="235">
        <f t="shared" si="288"/>
        <v>267095.39943348808</v>
      </c>
      <c r="G638" s="235">
        <f t="shared" si="288"/>
        <v>332990.2190676278</v>
      </c>
      <c r="H638" s="235">
        <f t="shared" si="288"/>
        <v>390401.41226401756</v>
      </c>
      <c r="I638" s="235">
        <f t="shared" si="288"/>
        <v>458832.40708573256</v>
      </c>
      <c r="J638" s="235">
        <f t="shared" si="288"/>
        <v>515373.82630739233</v>
      </c>
      <c r="K638" s="235">
        <f t="shared" si="288"/>
        <v>575221.84733427851</v>
      </c>
      <c r="L638" s="235">
        <f t="shared" si="288"/>
        <v>634496.55344297143</v>
      </c>
      <c r="M638" s="235">
        <f t="shared" si="288"/>
        <v>685873</v>
      </c>
      <c r="N638" s="235" t="s">
        <v>315</v>
      </c>
      <c r="O638" s="100" t="s">
        <v>28</v>
      </c>
    </row>
    <row r="639" spans="1:15">
      <c r="A639" s="242" t="s">
        <v>139</v>
      </c>
      <c r="B639" s="235">
        <f t="shared" ref="B639:M639" si="289">B161</f>
        <v>556985.29094962706</v>
      </c>
      <c r="C639" s="235">
        <f t="shared" si="289"/>
        <v>1118005.1833868672</v>
      </c>
      <c r="D639" s="235">
        <f t="shared" si="289"/>
        <v>1825647.3940868515</v>
      </c>
      <c r="E639" s="235">
        <f t="shared" si="289"/>
        <v>2494089.8294125209</v>
      </c>
      <c r="F639" s="235">
        <f t="shared" si="289"/>
        <v>3238347.9046436348</v>
      </c>
      <c r="G639" s="235">
        <f t="shared" si="289"/>
        <v>3924756.9551041294</v>
      </c>
      <c r="H639" s="235">
        <f t="shared" si="289"/>
        <v>4641791.2495409083</v>
      </c>
      <c r="I639" s="235">
        <f t="shared" si="289"/>
        <v>5466429.1343757436</v>
      </c>
      <c r="J639" s="235">
        <f t="shared" si="289"/>
        <v>6152393.664513519</v>
      </c>
      <c r="K639" s="235">
        <f t="shared" si="289"/>
        <v>6925627.6077349558</v>
      </c>
      <c r="L639" s="235">
        <f t="shared" si="289"/>
        <v>7638766.639416106</v>
      </c>
      <c r="M639" s="235">
        <f t="shared" si="289"/>
        <v>8295113</v>
      </c>
      <c r="N639" s="235" t="s">
        <v>315</v>
      </c>
      <c r="O639" s="100" t="s">
        <v>28</v>
      </c>
    </row>
    <row r="640" spans="1:15">
      <c r="A640" s="242" t="s">
        <v>140</v>
      </c>
      <c r="B640" s="235">
        <f t="shared" ref="B640:M640" si="290">B162</f>
        <v>29651.591579802152</v>
      </c>
      <c r="C640" s="235">
        <f t="shared" si="290"/>
        <v>63944.959860315772</v>
      </c>
      <c r="D640" s="235">
        <f t="shared" si="290"/>
        <v>115347.06246058294</v>
      </c>
      <c r="E640" s="235">
        <f t="shared" si="290"/>
        <v>161408.92485088736</v>
      </c>
      <c r="F640" s="235">
        <f t="shared" si="290"/>
        <v>214001.44853672176</v>
      </c>
      <c r="G640" s="235">
        <f t="shared" si="290"/>
        <v>274661.96589826146</v>
      </c>
      <c r="H640" s="235">
        <f t="shared" si="290"/>
        <v>332100.48839204386</v>
      </c>
      <c r="I640" s="235">
        <f t="shared" si="290"/>
        <v>394212.21003078209</v>
      </c>
      <c r="J640" s="235">
        <f t="shared" si="290"/>
        <v>445340.16723719647</v>
      </c>
      <c r="K640" s="235">
        <f t="shared" si="290"/>
        <v>497650.02044275263</v>
      </c>
      <c r="L640" s="235">
        <f t="shared" si="290"/>
        <v>546581.01257835422</v>
      </c>
      <c r="M640" s="235">
        <f t="shared" si="290"/>
        <v>593328</v>
      </c>
      <c r="N640" s="235" t="s">
        <v>315</v>
      </c>
      <c r="O640" s="100" t="s">
        <v>28</v>
      </c>
    </row>
    <row r="641" spans="1:15">
      <c r="A641" s="242" t="s">
        <v>141</v>
      </c>
      <c r="B641" s="235">
        <f t="shared" ref="B641:M641" si="291">B163</f>
        <v>9818.6213037562811</v>
      </c>
      <c r="C641" s="235">
        <f t="shared" si="291"/>
        <v>16668.48389415348</v>
      </c>
      <c r="D641" s="235">
        <f t="shared" si="291"/>
        <v>28626.647802538337</v>
      </c>
      <c r="E641" s="235">
        <f t="shared" si="291"/>
        <v>36625.079268742273</v>
      </c>
      <c r="F641" s="235">
        <f t="shared" si="291"/>
        <v>48083.993011090934</v>
      </c>
      <c r="G641" s="235">
        <f t="shared" si="291"/>
        <v>56550.574954303607</v>
      </c>
      <c r="H641" s="235">
        <f t="shared" si="291"/>
        <v>63546.58666277866</v>
      </c>
      <c r="I641" s="235">
        <f t="shared" si="291"/>
        <v>74601.407995476533</v>
      </c>
      <c r="J641" s="235">
        <f t="shared" si="291"/>
        <v>82520.441281821797</v>
      </c>
      <c r="K641" s="235">
        <f t="shared" si="291"/>
        <v>91165.160243180813</v>
      </c>
      <c r="L641" s="235">
        <f t="shared" si="291"/>
        <v>99154.362357164238</v>
      </c>
      <c r="M641" s="235">
        <f t="shared" si="291"/>
        <v>107076</v>
      </c>
      <c r="N641" s="235" t="s">
        <v>315</v>
      </c>
      <c r="O641" s="100" t="s">
        <v>28</v>
      </c>
    </row>
    <row r="642" spans="1:15">
      <c r="A642" s="242" t="s">
        <v>142</v>
      </c>
      <c r="B642" s="235">
        <f t="shared" ref="B642:M642" si="292">B164</f>
        <v>208376.00951096293</v>
      </c>
      <c r="C642" s="235">
        <f t="shared" si="292"/>
        <v>507018.68051993055</v>
      </c>
      <c r="D642" s="235">
        <f t="shared" si="292"/>
        <v>894047.2928575332</v>
      </c>
      <c r="E642" s="235">
        <f t="shared" si="292"/>
        <v>1249784.3437226261</v>
      </c>
      <c r="F642" s="235">
        <f t="shared" si="292"/>
        <v>1652959.3304991936</v>
      </c>
      <c r="G642" s="235">
        <f t="shared" si="292"/>
        <v>2028418.9251025892</v>
      </c>
      <c r="H642" s="235">
        <f t="shared" si="292"/>
        <v>2434792.4329710342</v>
      </c>
      <c r="I642" s="235">
        <f t="shared" si="292"/>
        <v>2880809.9920232538</v>
      </c>
      <c r="J642" s="235">
        <f t="shared" si="292"/>
        <v>3279291.0475016376</v>
      </c>
      <c r="K642" s="235">
        <f t="shared" si="292"/>
        <v>3713983.9529896146</v>
      </c>
      <c r="L642" s="235">
        <f t="shared" si="292"/>
        <v>4095809.6607408873</v>
      </c>
      <c r="M642" s="235">
        <f t="shared" si="292"/>
        <v>4482898</v>
      </c>
      <c r="N642" s="235" t="s">
        <v>315</v>
      </c>
      <c r="O642" s="100" t="s">
        <v>28</v>
      </c>
    </row>
    <row r="643" spans="1:15">
      <c r="A643" s="242" t="s">
        <v>143</v>
      </c>
      <c r="B643" s="235">
        <f t="shared" ref="B643:M643" si="293">B165</f>
        <v>1515734.9945743335</v>
      </c>
      <c r="C643" s="235">
        <f t="shared" si="293"/>
        <v>3117698.4666788494</v>
      </c>
      <c r="D643" s="235">
        <f t="shared" si="293"/>
        <v>5303726.2963852519</v>
      </c>
      <c r="E643" s="235">
        <f t="shared" si="293"/>
        <v>7277703.0554273156</v>
      </c>
      <c r="F643" s="235">
        <f t="shared" si="293"/>
        <v>9467076.0189315341</v>
      </c>
      <c r="G643" s="235">
        <f t="shared" si="293"/>
        <v>11477023.117471797</v>
      </c>
      <c r="H643" s="235">
        <f t="shared" si="293"/>
        <v>13554573.376906399</v>
      </c>
      <c r="I643" s="235">
        <f t="shared" si="293"/>
        <v>15959762.198136097</v>
      </c>
      <c r="J643" s="235">
        <f t="shared" si="293"/>
        <v>17974468.364766873</v>
      </c>
      <c r="K643" s="235">
        <f t="shared" si="293"/>
        <v>20108774.0187128</v>
      </c>
      <c r="L643" s="235">
        <f t="shared" si="293"/>
        <v>21962367.834803261</v>
      </c>
      <c r="M643" s="235">
        <f t="shared" si="293"/>
        <v>23669330.831388</v>
      </c>
      <c r="N643" s="235" t="s">
        <v>315</v>
      </c>
      <c r="O643" s="100" t="s">
        <v>28</v>
      </c>
    </row>
    <row r="644" spans="1:15">
      <c r="A644" s="242" t="s">
        <v>144</v>
      </c>
      <c r="B644" s="235">
        <f t="shared" ref="B644:M644" si="294">B166</f>
        <v>31243.029831014115</v>
      </c>
      <c r="C644" s="235">
        <f t="shared" si="294"/>
        <v>67521.308098646768</v>
      </c>
      <c r="D644" s="235">
        <f t="shared" si="294"/>
        <v>113148.11830952633</v>
      </c>
      <c r="E644" s="235">
        <f t="shared" si="294"/>
        <v>156333.35488113272</v>
      </c>
      <c r="F644" s="235">
        <f t="shared" si="294"/>
        <v>200596.14477776669</v>
      </c>
      <c r="G644" s="235">
        <f t="shared" si="294"/>
        <v>246658.47884924829</v>
      </c>
      <c r="H644" s="235">
        <f t="shared" si="294"/>
        <v>291315.53609242331</v>
      </c>
      <c r="I644" s="235">
        <f t="shared" si="294"/>
        <v>341664.2479972791</v>
      </c>
      <c r="J644" s="235">
        <f t="shared" si="294"/>
        <v>389175.01886393497</v>
      </c>
      <c r="K644" s="235">
        <f t="shared" si="294"/>
        <v>438699.36729948071</v>
      </c>
      <c r="L644" s="235">
        <f t="shared" si="294"/>
        <v>479625.1782120979</v>
      </c>
      <c r="M644" s="235">
        <f t="shared" si="294"/>
        <v>519542</v>
      </c>
      <c r="N644" s="235" t="s">
        <v>315</v>
      </c>
      <c r="O644" s="100" t="s">
        <v>28</v>
      </c>
    </row>
    <row r="645" spans="1:15">
      <c r="A645" s="242" t="s">
        <v>145</v>
      </c>
      <c r="B645" s="235">
        <f t="shared" ref="B645:M645" si="295">B167</f>
        <v>23873.143837560783</v>
      </c>
      <c r="C645" s="235">
        <f t="shared" si="295"/>
        <v>50617.146696783879</v>
      </c>
      <c r="D645" s="235">
        <f t="shared" si="295"/>
        <v>82319.943138182833</v>
      </c>
      <c r="E645" s="235">
        <f t="shared" si="295"/>
        <v>113187.87789009955</v>
      </c>
      <c r="F645" s="235">
        <f t="shared" si="295"/>
        <v>153187.48954410412</v>
      </c>
      <c r="G645" s="235">
        <f t="shared" si="295"/>
        <v>190257.53964792652</v>
      </c>
      <c r="H645" s="235">
        <f t="shared" si="295"/>
        <v>226402.37055655426</v>
      </c>
      <c r="I645" s="235">
        <f t="shared" si="295"/>
        <v>263907.12923148641</v>
      </c>
      <c r="J645" s="235">
        <f t="shared" si="295"/>
        <v>291717.04327181389</v>
      </c>
      <c r="K645" s="235">
        <f t="shared" si="295"/>
        <v>326513.55165262904</v>
      </c>
      <c r="L645" s="235">
        <f t="shared" si="295"/>
        <v>356374.56157907314</v>
      </c>
      <c r="M645" s="235">
        <f t="shared" si="295"/>
        <v>385988</v>
      </c>
      <c r="N645" s="235" t="s">
        <v>315</v>
      </c>
      <c r="O645" s="100" t="s">
        <v>28</v>
      </c>
    </row>
    <row r="646" spans="1:15">
      <c r="A646" s="242" t="s">
        <v>119</v>
      </c>
      <c r="B646" s="235">
        <f>AF175</f>
        <v>1675.2640000000004</v>
      </c>
      <c r="C646" s="235">
        <f t="shared" ref="C646:M646" si="296">AG175</f>
        <v>2533.1840000000002</v>
      </c>
      <c r="D646" s="235">
        <f t="shared" si="296"/>
        <v>4196.1760000000004</v>
      </c>
      <c r="E646" s="235">
        <f t="shared" si="296"/>
        <v>5479.4800000000005</v>
      </c>
      <c r="F646" s="235">
        <f t="shared" si="296"/>
        <v>0</v>
      </c>
      <c r="G646" s="235">
        <f t="shared" si="296"/>
        <v>0</v>
      </c>
      <c r="H646" s="235">
        <f t="shared" si="296"/>
        <v>0</v>
      </c>
      <c r="I646" s="235">
        <f t="shared" si="296"/>
        <v>0</v>
      </c>
      <c r="J646" s="235">
        <f t="shared" si="296"/>
        <v>0</v>
      </c>
      <c r="K646" s="235">
        <f t="shared" si="296"/>
        <v>0</v>
      </c>
      <c r="L646" s="235">
        <f t="shared" si="296"/>
        <v>0</v>
      </c>
      <c r="M646" s="235">
        <f t="shared" si="296"/>
        <v>0</v>
      </c>
      <c r="N646" s="235" t="s">
        <v>210</v>
      </c>
      <c r="O646" s="100" t="s">
        <v>175</v>
      </c>
    </row>
    <row r="647" spans="1:15">
      <c r="A647" s="242" t="s">
        <v>120</v>
      </c>
      <c r="B647" s="235">
        <f t="shared" ref="B647:B672" si="297">AF176</f>
        <v>3987.1280000000002</v>
      </c>
      <c r="C647" s="235">
        <f t="shared" ref="C647:C672" si="298">AG176</f>
        <v>9328.0400000000009</v>
      </c>
      <c r="D647" s="235">
        <f t="shared" ref="D647:D672" si="299">AH176</f>
        <v>12556.704000000002</v>
      </c>
      <c r="E647" s="235">
        <f t="shared" ref="E647:E672" si="300">AI176</f>
        <v>16772.384000000002</v>
      </c>
      <c r="F647" s="235">
        <f t="shared" ref="F647:F672" si="301">AJ176</f>
        <v>0</v>
      </c>
      <c r="G647" s="235">
        <f t="shared" ref="G647:G672" si="302">AK176</f>
        <v>0</v>
      </c>
      <c r="H647" s="235">
        <f t="shared" ref="H647:H672" si="303">AL176</f>
        <v>0</v>
      </c>
      <c r="I647" s="235">
        <f t="shared" ref="I647:I672" si="304">AM176</f>
        <v>0</v>
      </c>
      <c r="J647" s="235">
        <f t="shared" ref="J647:J672" si="305">AN176</f>
        <v>0</v>
      </c>
      <c r="K647" s="235">
        <f t="shared" ref="K647:K672" si="306">AO176</f>
        <v>0</v>
      </c>
      <c r="L647" s="235">
        <f t="shared" ref="L647:L672" si="307">AP176</f>
        <v>0</v>
      </c>
      <c r="M647" s="235">
        <f t="shared" ref="M647:M672" si="308">AQ176</f>
        <v>0</v>
      </c>
      <c r="N647" s="235" t="s">
        <v>210</v>
      </c>
      <c r="O647" s="100" t="s">
        <v>175</v>
      </c>
    </row>
    <row r="648" spans="1:15">
      <c r="A648" s="242" t="s">
        <v>121</v>
      </c>
      <c r="B648" s="235">
        <f t="shared" si="297"/>
        <v>3712.2640000000001</v>
      </c>
      <c r="C648" s="235">
        <f t="shared" si="298"/>
        <v>8322.3919999999998</v>
      </c>
      <c r="D648" s="235">
        <f t="shared" si="299"/>
        <v>11247.448</v>
      </c>
      <c r="E648" s="235">
        <f t="shared" si="300"/>
        <v>13436.552</v>
      </c>
      <c r="F648" s="235">
        <f t="shared" si="301"/>
        <v>0</v>
      </c>
      <c r="G648" s="235">
        <f t="shared" si="302"/>
        <v>0</v>
      </c>
      <c r="H648" s="235">
        <f t="shared" si="303"/>
        <v>0</v>
      </c>
      <c r="I648" s="235">
        <f t="shared" si="304"/>
        <v>0</v>
      </c>
      <c r="J648" s="235">
        <f t="shared" si="305"/>
        <v>0</v>
      </c>
      <c r="K648" s="235">
        <f t="shared" si="306"/>
        <v>0</v>
      </c>
      <c r="L648" s="235">
        <f t="shared" si="307"/>
        <v>0</v>
      </c>
      <c r="M648" s="235">
        <f t="shared" si="308"/>
        <v>0</v>
      </c>
      <c r="N648" s="235" t="s">
        <v>210</v>
      </c>
      <c r="O648" s="100" t="s">
        <v>175</v>
      </c>
    </row>
    <row r="649" spans="1:15">
      <c r="A649" s="242" t="s">
        <v>122</v>
      </c>
      <c r="B649" s="235">
        <f t="shared" si="297"/>
        <v>5460.3520000000008</v>
      </c>
      <c r="C649" s="235">
        <f t="shared" si="298"/>
        <v>12489.184000000001</v>
      </c>
      <c r="D649" s="235">
        <f t="shared" si="299"/>
        <v>17987.292000000001</v>
      </c>
      <c r="E649" s="235">
        <f t="shared" si="300"/>
        <v>23962.752</v>
      </c>
      <c r="F649" s="235">
        <f t="shared" si="301"/>
        <v>0</v>
      </c>
      <c r="G649" s="235">
        <f t="shared" si="302"/>
        <v>0</v>
      </c>
      <c r="H649" s="235">
        <f t="shared" si="303"/>
        <v>0</v>
      </c>
      <c r="I649" s="235">
        <f t="shared" si="304"/>
        <v>0</v>
      </c>
      <c r="J649" s="235">
        <f t="shared" si="305"/>
        <v>0</v>
      </c>
      <c r="K649" s="235">
        <f t="shared" si="306"/>
        <v>0</v>
      </c>
      <c r="L649" s="235">
        <f t="shared" si="307"/>
        <v>0</v>
      </c>
      <c r="M649" s="235">
        <f t="shared" si="308"/>
        <v>0</v>
      </c>
      <c r="N649" s="235" t="s">
        <v>210</v>
      </c>
      <c r="O649" s="100" t="s">
        <v>175</v>
      </c>
    </row>
    <row r="650" spans="1:15">
      <c r="A650" s="242" t="s">
        <v>123</v>
      </c>
      <c r="B650" s="235">
        <f t="shared" si="297"/>
        <v>14116.712000000001</v>
      </c>
      <c r="C650" s="235">
        <f t="shared" si="298"/>
        <v>29345.816000000003</v>
      </c>
      <c r="D650" s="235">
        <f t="shared" si="299"/>
        <v>41132.192000000003</v>
      </c>
      <c r="E650" s="235">
        <f t="shared" si="300"/>
        <v>50696.416000000005</v>
      </c>
      <c r="F650" s="235">
        <f t="shared" si="301"/>
        <v>0</v>
      </c>
      <c r="G650" s="235">
        <f t="shared" si="302"/>
        <v>0</v>
      </c>
      <c r="H650" s="235">
        <f t="shared" si="303"/>
        <v>0</v>
      </c>
      <c r="I650" s="235">
        <f t="shared" si="304"/>
        <v>0</v>
      </c>
      <c r="J650" s="235">
        <f t="shared" si="305"/>
        <v>0</v>
      </c>
      <c r="K650" s="235">
        <f t="shared" si="306"/>
        <v>0</v>
      </c>
      <c r="L650" s="235">
        <f t="shared" si="307"/>
        <v>0</v>
      </c>
      <c r="M650" s="235">
        <f t="shared" si="308"/>
        <v>0</v>
      </c>
      <c r="N650" s="235" t="s">
        <v>210</v>
      </c>
      <c r="O650" s="100" t="s">
        <v>175</v>
      </c>
    </row>
    <row r="651" spans="1:15">
      <c r="A651" s="242" t="s">
        <v>124</v>
      </c>
      <c r="B651" s="235">
        <f t="shared" si="297"/>
        <v>7626.3600000000006</v>
      </c>
      <c r="C651" s="235">
        <f t="shared" si="298"/>
        <v>17181.559999999998</v>
      </c>
      <c r="D651" s="235">
        <f t="shared" si="299"/>
        <v>21435.351999999999</v>
      </c>
      <c r="E651" s="235">
        <f t="shared" si="300"/>
        <v>26235.552</v>
      </c>
      <c r="F651" s="235">
        <f t="shared" si="301"/>
        <v>0</v>
      </c>
      <c r="G651" s="235">
        <f t="shared" si="302"/>
        <v>0</v>
      </c>
      <c r="H651" s="235">
        <f t="shared" si="303"/>
        <v>0</v>
      </c>
      <c r="I651" s="235">
        <f t="shared" si="304"/>
        <v>0</v>
      </c>
      <c r="J651" s="235">
        <f t="shared" si="305"/>
        <v>0</v>
      </c>
      <c r="K651" s="235">
        <f t="shared" si="306"/>
        <v>0</v>
      </c>
      <c r="L651" s="235">
        <f t="shared" si="307"/>
        <v>0</v>
      </c>
      <c r="M651" s="235">
        <f t="shared" si="308"/>
        <v>0</v>
      </c>
      <c r="N651" s="235" t="s">
        <v>210</v>
      </c>
      <c r="O651" s="100" t="s">
        <v>175</v>
      </c>
    </row>
    <row r="652" spans="1:15">
      <c r="A652" s="242" t="s">
        <v>125</v>
      </c>
      <c r="B652" s="235">
        <f t="shared" si="297"/>
        <v>15095.766</v>
      </c>
      <c r="C652" s="235">
        <f t="shared" si="298"/>
        <v>31319.021999999997</v>
      </c>
      <c r="D652" s="235">
        <f t="shared" si="299"/>
        <v>42721.317999999999</v>
      </c>
      <c r="E652" s="235">
        <f t="shared" si="300"/>
        <v>55057.411999999997</v>
      </c>
      <c r="F652" s="235">
        <f t="shared" si="301"/>
        <v>0</v>
      </c>
      <c r="G652" s="235">
        <f t="shared" si="302"/>
        <v>0</v>
      </c>
      <c r="H652" s="235">
        <f t="shared" si="303"/>
        <v>0</v>
      </c>
      <c r="I652" s="235">
        <f t="shared" si="304"/>
        <v>0</v>
      </c>
      <c r="J652" s="235">
        <f t="shared" si="305"/>
        <v>0</v>
      </c>
      <c r="K652" s="235">
        <f t="shared" si="306"/>
        <v>0</v>
      </c>
      <c r="L652" s="235">
        <f t="shared" si="307"/>
        <v>0</v>
      </c>
      <c r="M652" s="235">
        <f t="shared" si="308"/>
        <v>0</v>
      </c>
      <c r="N652" s="235" t="s">
        <v>210</v>
      </c>
      <c r="O652" s="100" t="s">
        <v>175</v>
      </c>
    </row>
    <row r="653" spans="1:15">
      <c r="A653" s="242" t="s">
        <v>126</v>
      </c>
      <c r="B653" s="235">
        <f t="shared" si="297"/>
        <v>11762.76</v>
      </c>
      <c r="C653" s="235">
        <f t="shared" si="298"/>
        <v>22547.416000000001</v>
      </c>
      <c r="D653" s="235">
        <f t="shared" si="299"/>
        <v>32298.976000000002</v>
      </c>
      <c r="E653" s="235">
        <f t="shared" si="300"/>
        <v>42172.192000000003</v>
      </c>
      <c r="F653" s="235">
        <f t="shared" si="301"/>
        <v>0</v>
      </c>
      <c r="G653" s="235">
        <f t="shared" si="302"/>
        <v>0</v>
      </c>
      <c r="H653" s="235">
        <f t="shared" si="303"/>
        <v>0</v>
      </c>
      <c r="I653" s="235">
        <f t="shared" si="304"/>
        <v>0</v>
      </c>
      <c r="J653" s="235">
        <f t="shared" si="305"/>
        <v>0</v>
      </c>
      <c r="K653" s="235">
        <f t="shared" si="306"/>
        <v>0</v>
      </c>
      <c r="L653" s="235">
        <f t="shared" si="307"/>
        <v>0</v>
      </c>
      <c r="M653" s="235">
        <f t="shared" si="308"/>
        <v>0</v>
      </c>
      <c r="N653" s="235" t="s">
        <v>210</v>
      </c>
      <c r="O653" s="100" t="s">
        <v>175</v>
      </c>
    </row>
    <row r="654" spans="1:15">
      <c r="A654" s="242" t="s">
        <v>127</v>
      </c>
      <c r="B654" s="235">
        <f t="shared" si="297"/>
        <v>12952.28</v>
      </c>
      <c r="C654" s="235">
        <f t="shared" si="298"/>
        <v>30568.352000000006</v>
      </c>
      <c r="D654" s="235">
        <f t="shared" si="299"/>
        <v>53846.416000000005</v>
      </c>
      <c r="E654" s="235">
        <f t="shared" si="300"/>
        <v>72784.744000000006</v>
      </c>
      <c r="F654" s="235">
        <f t="shared" si="301"/>
        <v>0</v>
      </c>
      <c r="G654" s="235">
        <f t="shared" si="302"/>
        <v>0</v>
      </c>
      <c r="H654" s="235">
        <f t="shared" si="303"/>
        <v>0</v>
      </c>
      <c r="I654" s="235">
        <f t="shared" si="304"/>
        <v>0</v>
      </c>
      <c r="J654" s="235">
        <f t="shared" si="305"/>
        <v>0</v>
      </c>
      <c r="K654" s="235">
        <f t="shared" si="306"/>
        <v>0</v>
      </c>
      <c r="L654" s="235">
        <f t="shared" si="307"/>
        <v>0</v>
      </c>
      <c r="M654" s="235">
        <f t="shared" si="308"/>
        <v>0</v>
      </c>
      <c r="N654" s="235" t="s">
        <v>210</v>
      </c>
      <c r="O654" s="100" t="s">
        <v>175</v>
      </c>
    </row>
    <row r="655" spans="1:15">
      <c r="A655" s="242" t="s">
        <v>128</v>
      </c>
      <c r="B655" s="235">
        <f t="shared" si="297"/>
        <v>5616.768</v>
      </c>
      <c r="C655" s="235">
        <f t="shared" si="298"/>
        <v>9651.08</v>
      </c>
      <c r="D655" s="235">
        <f t="shared" si="299"/>
        <v>16884.527999999998</v>
      </c>
      <c r="E655" s="235">
        <f t="shared" si="300"/>
        <v>20611.847999999998</v>
      </c>
      <c r="F655" s="235">
        <f t="shared" si="301"/>
        <v>0</v>
      </c>
      <c r="G655" s="235">
        <f t="shared" si="302"/>
        <v>0</v>
      </c>
      <c r="H655" s="235">
        <f t="shared" si="303"/>
        <v>0</v>
      </c>
      <c r="I655" s="235">
        <f t="shared" si="304"/>
        <v>0</v>
      </c>
      <c r="J655" s="235">
        <f t="shared" si="305"/>
        <v>0</v>
      </c>
      <c r="K655" s="235">
        <f t="shared" si="306"/>
        <v>0</v>
      </c>
      <c r="L655" s="235">
        <f t="shared" si="307"/>
        <v>0</v>
      </c>
      <c r="M655" s="235">
        <f t="shared" si="308"/>
        <v>0</v>
      </c>
      <c r="N655" s="235" t="s">
        <v>210</v>
      </c>
      <c r="O655" s="100" t="s">
        <v>175</v>
      </c>
    </row>
    <row r="656" spans="1:15">
      <c r="A656" s="242" t="s">
        <v>129</v>
      </c>
      <c r="B656" s="235">
        <f t="shared" si="297"/>
        <v>5264.3600000000006</v>
      </c>
      <c r="C656" s="235">
        <f t="shared" si="298"/>
        <v>15858.216000000002</v>
      </c>
      <c r="D656" s="235">
        <f t="shared" si="299"/>
        <v>22567.868000000002</v>
      </c>
      <c r="E656" s="235">
        <f t="shared" si="300"/>
        <v>27619.556000000004</v>
      </c>
      <c r="F656" s="235">
        <f t="shared" si="301"/>
        <v>0</v>
      </c>
      <c r="G656" s="235">
        <f t="shared" si="302"/>
        <v>0</v>
      </c>
      <c r="H656" s="235">
        <f t="shared" si="303"/>
        <v>0</v>
      </c>
      <c r="I656" s="235">
        <f t="shared" si="304"/>
        <v>0</v>
      </c>
      <c r="J656" s="235">
        <f t="shared" si="305"/>
        <v>0</v>
      </c>
      <c r="K656" s="235">
        <f t="shared" si="306"/>
        <v>0</v>
      </c>
      <c r="L656" s="235">
        <f t="shared" si="307"/>
        <v>0</v>
      </c>
      <c r="M656" s="235">
        <f t="shared" si="308"/>
        <v>0</v>
      </c>
      <c r="N656" s="235" t="s">
        <v>210</v>
      </c>
      <c r="O656" s="100" t="s">
        <v>175</v>
      </c>
    </row>
    <row r="657" spans="1:15">
      <c r="A657" s="242" t="s">
        <v>130</v>
      </c>
      <c r="B657" s="235">
        <f t="shared" si="297"/>
        <v>6872.7919999999995</v>
      </c>
      <c r="C657" s="235">
        <f t="shared" si="298"/>
        <v>16472.576000000001</v>
      </c>
      <c r="D657" s="235">
        <f t="shared" si="299"/>
        <v>24709.856</v>
      </c>
      <c r="E657" s="235">
        <f t="shared" si="300"/>
        <v>33873.360000000001</v>
      </c>
      <c r="F657" s="235">
        <f t="shared" si="301"/>
        <v>0</v>
      </c>
      <c r="G657" s="235">
        <f t="shared" si="302"/>
        <v>0</v>
      </c>
      <c r="H657" s="235">
        <f t="shared" si="303"/>
        <v>0</v>
      </c>
      <c r="I657" s="235">
        <f t="shared" si="304"/>
        <v>0</v>
      </c>
      <c r="J657" s="235">
        <f t="shared" si="305"/>
        <v>0</v>
      </c>
      <c r="K657" s="235">
        <f t="shared" si="306"/>
        <v>0</v>
      </c>
      <c r="L657" s="235">
        <f t="shared" si="307"/>
        <v>0</v>
      </c>
      <c r="M657" s="235">
        <f t="shared" si="308"/>
        <v>0</v>
      </c>
      <c r="N657" s="235" t="s">
        <v>210</v>
      </c>
      <c r="O657" s="100" t="s">
        <v>175</v>
      </c>
    </row>
    <row r="658" spans="1:15">
      <c r="A658" s="242" t="s">
        <v>131</v>
      </c>
      <c r="B658" s="235">
        <f t="shared" si="297"/>
        <v>55195.556000000004</v>
      </c>
      <c r="C658" s="235">
        <f t="shared" si="298"/>
        <v>101046.788</v>
      </c>
      <c r="D658" s="235">
        <f t="shared" si="299"/>
        <v>133932.28399999999</v>
      </c>
      <c r="E658" s="235">
        <f t="shared" si="300"/>
        <v>173052.75799999997</v>
      </c>
      <c r="F658" s="235">
        <f t="shared" si="301"/>
        <v>0</v>
      </c>
      <c r="G658" s="235">
        <f t="shared" si="302"/>
        <v>0</v>
      </c>
      <c r="H658" s="235">
        <f t="shared" si="303"/>
        <v>0</v>
      </c>
      <c r="I658" s="235">
        <f t="shared" si="304"/>
        <v>0</v>
      </c>
      <c r="J658" s="235">
        <f t="shared" si="305"/>
        <v>0</v>
      </c>
      <c r="K658" s="235">
        <f t="shared" si="306"/>
        <v>0</v>
      </c>
      <c r="L658" s="235">
        <f t="shared" si="307"/>
        <v>0</v>
      </c>
      <c r="M658" s="235">
        <f t="shared" si="308"/>
        <v>0</v>
      </c>
      <c r="N658" s="235" t="s">
        <v>210</v>
      </c>
      <c r="O658" s="100" t="s">
        <v>175</v>
      </c>
    </row>
    <row r="659" spans="1:15">
      <c r="A659" s="242" t="s">
        <v>132</v>
      </c>
      <c r="B659" s="235">
        <f t="shared" si="297"/>
        <v>7292.88</v>
      </c>
      <c r="C659" s="235">
        <f t="shared" si="298"/>
        <v>16655.968000000001</v>
      </c>
      <c r="D659" s="235">
        <f t="shared" si="299"/>
        <v>23442.632000000001</v>
      </c>
      <c r="E659" s="235">
        <f t="shared" si="300"/>
        <v>31464.928</v>
      </c>
      <c r="F659" s="235">
        <f t="shared" si="301"/>
        <v>0</v>
      </c>
      <c r="G659" s="235">
        <f t="shared" si="302"/>
        <v>0</v>
      </c>
      <c r="H659" s="235">
        <f t="shared" si="303"/>
        <v>0</v>
      </c>
      <c r="I659" s="235">
        <f t="shared" si="304"/>
        <v>0</v>
      </c>
      <c r="J659" s="235">
        <f t="shared" si="305"/>
        <v>0</v>
      </c>
      <c r="K659" s="235">
        <f t="shared" si="306"/>
        <v>0</v>
      </c>
      <c r="L659" s="235">
        <f t="shared" si="307"/>
        <v>0</v>
      </c>
      <c r="M659" s="235">
        <f t="shared" si="308"/>
        <v>0</v>
      </c>
      <c r="N659" s="235" t="s">
        <v>210</v>
      </c>
      <c r="O659" s="100" t="s">
        <v>175</v>
      </c>
    </row>
    <row r="660" spans="1:15">
      <c r="A660" s="242" t="s">
        <v>133</v>
      </c>
      <c r="B660" s="235">
        <f t="shared" si="297"/>
        <v>7921.0959999999995</v>
      </c>
      <c r="C660" s="235">
        <f t="shared" si="298"/>
        <v>14127.743999999999</v>
      </c>
      <c r="D660" s="235">
        <f t="shared" si="299"/>
        <v>20953.504000000001</v>
      </c>
      <c r="E660" s="235">
        <f t="shared" si="300"/>
        <v>24756.072</v>
      </c>
      <c r="F660" s="235">
        <f t="shared" si="301"/>
        <v>0</v>
      </c>
      <c r="G660" s="235">
        <f t="shared" si="302"/>
        <v>0</v>
      </c>
      <c r="H660" s="235">
        <f t="shared" si="303"/>
        <v>0</v>
      </c>
      <c r="I660" s="235">
        <f t="shared" si="304"/>
        <v>0</v>
      </c>
      <c r="J660" s="235">
        <f t="shared" si="305"/>
        <v>0</v>
      </c>
      <c r="K660" s="235">
        <f t="shared" si="306"/>
        <v>0</v>
      </c>
      <c r="L660" s="235">
        <f t="shared" si="307"/>
        <v>0</v>
      </c>
      <c r="M660" s="235">
        <f t="shared" si="308"/>
        <v>0</v>
      </c>
      <c r="N660" s="235" t="s">
        <v>210</v>
      </c>
      <c r="O660" s="100" t="s">
        <v>175</v>
      </c>
    </row>
    <row r="661" spans="1:15">
      <c r="A661" s="242" t="s">
        <v>134</v>
      </c>
      <c r="B661" s="235">
        <f t="shared" si="297"/>
        <v>30751.839999999997</v>
      </c>
      <c r="C661" s="235">
        <f t="shared" si="298"/>
        <v>58245.375999999997</v>
      </c>
      <c r="D661" s="235">
        <f t="shared" si="299"/>
        <v>78719.543999999994</v>
      </c>
      <c r="E661" s="235">
        <f t="shared" si="300"/>
        <v>104281.56</v>
      </c>
      <c r="F661" s="235">
        <f t="shared" si="301"/>
        <v>0</v>
      </c>
      <c r="G661" s="235">
        <f t="shared" si="302"/>
        <v>0</v>
      </c>
      <c r="H661" s="235">
        <f t="shared" si="303"/>
        <v>0</v>
      </c>
      <c r="I661" s="235">
        <f t="shared" si="304"/>
        <v>0</v>
      </c>
      <c r="J661" s="235">
        <f t="shared" si="305"/>
        <v>0</v>
      </c>
      <c r="K661" s="235">
        <f t="shared" si="306"/>
        <v>0</v>
      </c>
      <c r="L661" s="235">
        <f t="shared" si="307"/>
        <v>0</v>
      </c>
      <c r="M661" s="235">
        <f t="shared" si="308"/>
        <v>0</v>
      </c>
      <c r="N661" s="235" t="s">
        <v>210</v>
      </c>
      <c r="O661" s="100" t="s">
        <v>175</v>
      </c>
    </row>
    <row r="662" spans="1:15">
      <c r="A662" s="242" t="s">
        <v>135</v>
      </c>
      <c r="B662" s="235">
        <f t="shared" si="297"/>
        <v>14924.672</v>
      </c>
      <c r="C662" s="235">
        <f t="shared" si="298"/>
        <v>33976.904000000002</v>
      </c>
      <c r="D662" s="235">
        <f t="shared" si="299"/>
        <v>46996.752</v>
      </c>
      <c r="E662" s="235">
        <f t="shared" si="300"/>
        <v>61881.528000000006</v>
      </c>
      <c r="F662" s="235">
        <f t="shared" si="301"/>
        <v>0</v>
      </c>
      <c r="G662" s="235">
        <f t="shared" si="302"/>
        <v>0</v>
      </c>
      <c r="H662" s="235">
        <f t="shared" si="303"/>
        <v>0</v>
      </c>
      <c r="I662" s="235">
        <f t="shared" si="304"/>
        <v>0</v>
      </c>
      <c r="J662" s="235">
        <f t="shared" si="305"/>
        <v>0</v>
      </c>
      <c r="K662" s="235">
        <f t="shared" si="306"/>
        <v>0</v>
      </c>
      <c r="L662" s="235">
        <f t="shared" si="307"/>
        <v>0</v>
      </c>
      <c r="M662" s="235">
        <f t="shared" si="308"/>
        <v>0</v>
      </c>
      <c r="N662" s="235" t="s">
        <v>210</v>
      </c>
      <c r="O662" s="100" t="s">
        <v>175</v>
      </c>
    </row>
    <row r="663" spans="1:15">
      <c r="A663" s="242" t="s">
        <v>136</v>
      </c>
      <c r="B663" s="235">
        <f t="shared" si="297"/>
        <v>3190.6000000000004</v>
      </c>
      <c r="C663" s="235">
        <f t="shared" si="298"/>
        <v>7105.496000000001</v>
      </c>
      <c r="D663" s="235">
        <f t="shared" si="299"/>
        <v>10157.602000000001</v>
      </c>
      <c r="E663" s="235">
        <f t="shared" si="300"/>
        <v>18560.546000000002</v>
      </c>
      <c r="F663" s="235">
        <f t="shared" si="301"/>
        <v>0</v>
      </c>
      <c r="G663" s="235">
        <f t="shared" si="302"/>
        <v>0</v>
      </c>
      <c r="H663" s="235">
        <f t="shared" si="303"/>
        <v>0</v>
      </c>
      <c r="I663" s="235">
        <f t="shared" si="304"/>
        <v>0</v>
      </c>
      <c r="J663" s="235">
        <f t="shared" si="305"/>
        <v>0</v>
      </c>
      <c r="K663" s="235">
        <f t="shared" si="306"/>
        <v>0</v>
      </c>
      <c r="L663" s="235">
        <f t="shared" si="307"/>
        <v>0</v>
      </c>
      <c r="M663" s="235">
        <f t="shared" si="308"/>
        <v>0</v>
      </c>
      <c r="N663" s="235" t="s">
        <v>210</v>
      </c>
      <c r="O663" s="100" t="s">
        <v>175</v>
      </c>
    </row>
    <row r="664" spans="1:15">
      <c r="A664" s="242" t="s">
        <v>137</v>
      </c>
      <c r="B664" s="235">
        <f t="shared" si="297"/>
        <v>55558.090000000004</v>
      </c>
      <c r="C664" s="235">
        <f t="shared" si="298"/>
        <v>109240.85400000002</v>
      </c>
      <c r="D664" s="235">
        <f t="shared" si="299"/>
        <v>151182.20800000001</v>
      </c>
      <c r="E664" s="235">
        <f t="shared" si="300"/>
        <v>191373.63200000001</v>
      </c>
      <c r="F664" s="235">
        <f t="shared" si="301"/>
        <v>0</v>
      </c>
      <c r="G664" s="235">
        <f t="shared" si="302"/>
        <v>0</v>
      </c>
      <c r="H664" s="235">
        <f t="shared" si="303"/>
        <v>0</v>
      </c>
      <c r="I664" s="235">
        <f t="shared" si="304"/>
        <v>0</v>
      </c>
      <c r="J664" s="235">
        <f t="shared" si="305"/>
        <v>0</v>
      </c>
      <c r="K664" s="235">
        <f t="shared" si="306"/>
        <v>0</v>
      </c>
      <c r="L664" s="235">
        <f t="shared" si="307"/>
        <v>0</v>
      </c>
      <c r="M664" s="235">
        <f t="shared" si="308"/>
        <v>0</v>
      </c>
      <c r="N664" s="235" t="s">
        <v>210</v>
      </c>
      <c r="O664" s="100" t="s">
        <v>175</v>
      </c>
    </row>
    <row r="665" spans="1:15">
      <c r="A665" s="242" t="s">
        <v>138</v>
      </c>
      <c r="B665" s="235">
        <f t="shared" si="297"/>
        <v>5887.6179999999995</v>
      </c>
      <c r="C665" s="235">
        <f t="shared" si="298"/>
        <v>15613.166000000001</v>
      </c>
      <c r="D665" s="235">
        <f t="shared" si="299"/>
        <v>21137.594000000001</v>
      </c>
      <c r="E665" s="235">
        <f t="shared" si="300"/>
        <v>28134.762000000002</v>
      </c>
      <c r="F665" s="235">
        <f t="shared" si="301"/>
        <v>0</v>
      </c>
      <c r="G665" s="235">
        <f t="shared" si="302"/>
        <v>0</v>
      </c>
      <c r="H665" s="235">
        <f t="shared" si="303"/>
        <v>0</v>
      </c>
      <c r="I665" s="235">
        <f t="shared" si="304"/>
        <v>0</v>
      </c>
      <c r="J665" s="235">
        <f t="shared" si="305"/>
        <v>0</v>
      </c>
      <c r="K665" s="235">
        <f t="shared" si="306"/>
        <v>0</v>
      </c>
      <c r="L665" s="235">
        <f t="shared" si="307"/>
        <v>0</v>
      </c>
      <c r="M665" s="235">
        <f t="shared" si="308"/>
        <v>0</v>
      </c>
      <c r="N665" s="235" t="s">
        <v>210</v>
      </c>
      <c r="O665" s="100" t="s">
        <v>175</v>
      </c>
    </row>
    <row r="666" spans="1:15">
      <c r="A666" s="242" t="s">
        <v>139</v>
      </c>
      <c r="B666" s="235">
        <f t="shared" si="297"/>
        <v>50768.705999999998</v>
      </c>
      <c r="C666" s="235">
        <f t="shared" si="298"/>
        <v>96486.365999999995</v>
      </c>
      <c r="D666" s="235">
        <f t="shared" si="299"/>
        <v>127883.586</v>
      </c>
      <c r="E666" s="235">
        <f t="shared" si="300"/>
        <v>171792.90999999997</v>
      </c>
      <c r="F666" s="235">
        <f t="shared" si="301"/>
        <v>0</v>
      </c>
      <c r="G666" s="235">
        <f t="shared" si="302"/>
        <v>0</v>
      </c>
      <c r="H666" s="235">
        <f t="shared" si="303"/>
        <v>0</v>
      </c>
      <c r="I666" s="235">
        <f t="shared" si="304"/>
        <v>0</v>
      </c>
      <c r="J666" s="235">
        <f t="shared" si="305"/>
        <v>0</v>
      </c>
      <c r="K666" s="235">
        <f t="shared" si="306"/>
        <v>0</v>
      </c>
      <c r="L666" s="235">
        <f t="shared" si="307"/>
        <v>0</v>
      </c>
      <c r="M666" s="235">
        <f t="shared" si="308"/>
        <v>0</v>
      </c>
      <c r="N666" s="235" t="s">
        <v>210</v>
      </c>
      <c r="O666" s="100" t="s">
        <v>175</v>
      </c>
    </row>
    <row r="667" spans="1:15">
      <c r="A667" s="242" t="s">
        <v>140</v>
      </c>
      <c r="B667" s="235">
        <f t="shared" si="297"/>
        <v>1973.4880000000001</v>
      </c>
      <c r="C667" s="235">
        <f t="shared" si="298"/>
        <v>4040.424</v>
      </c>
      <c r="D667" s="235">
        <f t="shared" si="299"/>
        <v>5872.6880000000001</v>
      </c>
      <c r="E667" s="235">
        <f t="shared" si="300"/>
        <v>7402.9840000000004</v>
      </c>
      <c r="F667" s="235">
        <f t="shared" si="301"/>
        <v>0</v>
      </c>
      <c r="G667" s="235">
        <f t="shared" si="302"/>
        <v>0</v>
      </c>
      <c r="H667" s="235">
        <f t="shared" si="303"/>
        <v>0</v>
      </c>
      <c r="I667" s="235">
        <f t="shared" si="304"/>
        <v>0</v>
      </c>
      <c r="J667" s="235">
        <f t="shared" si="305"/>
        <v>0</v>
      </c>
      <c r="K667" s="235">
        <f t="shared" si="306"/>
        <v>0</v>
      </c>
      <c r="L667" s="235">
        <f t="shared" si="307"/>
        <v>0</v>
      </c>
      <c r="M667" s="235">
        <f t="shared" si="308"/>
        <v>0</v>
      </c>
      <c r="N667" s="235" t="s">
        <v>210</v>
      </c>
      <c r="O667" s="100" t="s">
        <v>175</v>
      </c>
    </row>
    <row r="668" spans="1:15">
      <c r="A668" s="242" t="s">
        <v>141</v>
      </c>
      <c r="B668" s="235">
        <f t="shared" si="297"/>
        <v>513.22400000000005</v>
      </c>
      <c r="C668" s="235">
        <f t="shared" si="298"/>
        <v>826.08</v>
      </c>
      <c r="D668" s="235">
        <f t="shared" si="299"/>
        <v>909.16800000000001</v>
      </c>
      <c r="E668" s="235">
        <f t="shared" si="300"/>
        <v>1214.664</v>
      </c>
      <c r="F668" s="235">
        <f t="shared" si="301"/>
        <v>0</v>
      </c>
      <c r="G668" s="235">
        <f t="shared" si="302"/>
        <v>0</v>
      </c>
      <c r="H668" s="235">
        <f t="shared" si="303"/>
        <v>0</v>
      </c>
      <c r="I668" s="235">
        <f t="shared" si="304"/>
        <v>0</v>
      </c>
      <c r="J668" s="235">
        <f t="shared" si="305"/>
        <v>0</v>
      </c>
      <c r="K668" s="235">
        <f t="shared" si="306"/>
        <v>0</v>
      </c>
      <c r="L668" s="235">
        <f t="shared" si="307"/>
        <v>0</v>
      </c>
      <c r="M668" s="235">
        <f t="shared" si="308"/>
        <v>0</v>
      </c>
      <c r="N668" s="235" t="s">
        <v>210</v>
      </c>
      <c r="O668" s="100" t="s">
        <v>175</v>
      </c>
    </row>
    <row r="669" spans="1:15">
      <c r="A669" s="242" t="s">
        <v>142</v>
      </c>
      <c r="B669" s="235">
        <f t="shared" si="297"/>
        <v>21853.216</v>
      </c>
      <c r="C669" s="235">
        <f t="shared" si="298"/>
        <v>39783.376000000004</v>
      </c>
      <c r="D669" s="235">
        <f t="shared" si="299"/>
        <v>55392.648000000001</v>
      </c>
      <c r="E669" s="235">
        <f t="shared" si="300"/>
        <v>68355.72</v>
      </c>
      <c r="F669" s="235">
        <f t="shared" si="301"/>
        <v>0</v>
      </c>
      <c r="G669" s="235">
        <f t="shared" si="302"/>
        <v>0</v>
      </c>
      <c r="H669" s="235">
        <f t="shared" si="303"/>
        <v>0</v>
      </c>
      <c r="I669" s="235">
        <f t="shared" si="304"/>
        <v>0</v>
      </c>
      <c r="J669" s="235">
        <f t="shared" si="305"/>
        <v>0</v>
      </c>
      <c r="K669" s="235">
        <f t="shared" si="306"/>
        <v>0</v>
      </c>
      <c r="L669" s="235">
        <f t="shared" si="307"/>
        <v>0</v>
      </c>
      <c r="M669" s="235">
        <f t="shared" si="308"/>
        <v>0</v>
      </c>
      <c r="N669" s="235" t="s">
        <v>210</v>
      </c>
      <c r="O669" s="100" t="s">
        <v>175</v>
      </c>
    </row>
    <row r="670" spans="1:15">
      <c r="A670" s="242" t="s">
        <v>143</v>
      </c>
      <c r="B670" s="235">
        <f t="shared" si="297"/>
        <v>162710.04800000001</v>
      </c>
      <c r="C670" s="235">
        <f t="shared" si="298"/>
        <v>306043.84999999998</v>
      </c>
      <c r="D670" s="235">
        <f t="shared" si="299"/>
        <v>413295.77799999999</v>
      </c>
      <c r="E670" s="235">
        <f t="shared" si="300"/>
        <v>537858.19039999996</v>
      </c>
      <c r="F670" s="235">
        <f t="shared" si="301"/>
        <v>0</v>
      </c>
      <c r="G670" s="235">
        <f t="shared" si="302"/>
        <v>0</v>
      </c>
      <c r="H670" s="235">
        <f t="shared" si="303"/>
        <v>0</v>
      </c>
      <c r="I670" s="235">
        <f t="shared" si="304"/>
        <v>0</v>
      </c>
      <c r="J670" s="235">
        <f t="shared" si="305"/>
        <v>0</v>
      </c>
      <c r="K670" s="235">
        <f t="shared" si="306"/>
        <v>0</v>
      </c>
      <c r="L670" s="235">
        <f t="shared" si="307"/>
        <v>0</v>
      </c>
      <c r="M670" s="235">
        <f t="shared" si="308"/>
        <v>0</v>
      </c>
      <c r="N670" s="235" t="s">
        <v>210</v>
      </c>
      <c r="O670" s="100" t="s">
        <v>175</v>
      </c>
    </row>
    <row r="671" spans="1:15">
      <c r="A671" s="242" t="s">
        <v>144</v>
      </c>
      <c r="B671" s="235">
        <f t="shared" si="297"/>
        <v>3455.4320000000007</v>
      </c>
      <c r="C671" s="235">
        <f t="shared" si="298"/>
        <v>8152.728000000001</v>
      </c>
      <c r="D671" s="235">
        <f t="shared" si="299"/>
        <v>12428.784000000001</v>
      </c>
      <c r="E671" s="235">
        <f t="shared" si="300"/>
        <v>16596.432000000001</v>
      </c>
      <c r="F671" s="235">
        <f t="shared" si="301"/>
        <v>0</v>
      </c>
      <c r="G671" s="235">
        <f t="shared" si="302"/>
        <v>0</v>
      </c>
      <c r="H671" s="235">
        <f t="shared" si="303"/>
        <v>0</v>
      </c>
      <c r="I671" s="235">
        <f t="shared" si="304"/>
        <v>0</v>
      </c>
      <c r="J671" s="235">
        <f t="shared" si="305"/>
        <v>0</v>
      </c>
      <c r="K671" s="235">
        <f t="shared" si="306"/>
        <v>0</v>
      </c>
      <c r="L671" s="235">
        <f t="shared" si="307"/>
        <v>0</v>
      </c>
      <c r="M671" s="235">
        <f t="shared" si="308"/>
        <v>0</v>
      </c>
      <c r="N671" s="235" t="s">
        <v>210</v>
      </c>
      <c r="O671" s="100" t="s">
        <v>175</v>
      </c>
    </row>
    <row r="672" spans="1:15">
      <c r="A672" s="242" t="s">
        <v>145</v>
      </c>
      <c r="B672" s="235">
        <f t="shared" si="297"/>
        <v>3795.2560000000003</v>
      </c>
      <c r="C672" s="235">
        <f t="shared" si="298"/>
        <v>7323.5840000000007</v>
      </c>
      <c r="D672" s="235">
        <f t="shared" si="299"/>
        <v>10079.144</v>
      </c>
      <c r="E672" s="235">
        <f t="shared" si="300"/>
        <v>12672.352000000001</v>
      </c>
      <c r="F672" s="235">
        <f t="shared" si="301"/>
        <v>0</v>
      </c>
      <c r="G672" s="235">
        <f t="shared" si="302"/>
        <v>0</v>
      </c>
      <c r="H672" s="235">
        <f t="shared" si="303"/>
        <v>0</v>
      </c>
      <c r="I672" s="235">
        <f t="shared" si="304"/>
        <v>0</v>
      </c>
      <c r="J672" s="235">
        <f t="shared" si="305"/>
        <v>0</v>
      </c>
      <c r="K672" s="235">
        <f t="shared" si="306"/>
        <v>0</v>
      </c>
      <c r="L672" s="235">
        <f t="shared" si="307"/>
        <v>0</v>
      </c>
      <c r="M672" s="235">
        <f t="shared" si="308"/>
        <v>0</v>
      </c>
      <c r="N672" s="235" t="s">
        <v>210</v>
      </c>
      <c r="O672" s="100" t="s">
        <v>175</v>
      </c>
    </row>
    <row r="673" spans="1:15">
      <c r="A673" s="242" t="s">
        <v>119</v>
      </c>
      <c r="B673" s="235">
        <f>Q175</f>
        <v>808.09520870963911</v>
      </c>
      <c r="C673" s="235">
        <f t="shared" ref="C673:M673" si="309">R175</f>
        <v>1752.0423003414191</v>
      </c>
      <c r="D673" s="235">
        <f t="shared" si="309"/>
        <v>2454.5261508435738</v>
      </c>
      <c r="E673" s="235">
        <f t="shared" si="309"/>
        <v>3810.0725439907069</v>
      </c>
      <c r="F673" s="235">
        <f t="shared" si="309"/>
        <v>4883.8839226185291</v>
      </c>
      <c r="G673" s="235">
        <f t="shared" si="309"/>
        <v>5520.2820149598956</v>
      </c>
      <c r="H673" s="235">
        <f t="shared" si="309"/>
        <v>7489.994439007668</v>
      </c>
      <c r="I673" s="235">
        <f t="shared" si="309"/>
        <v>8826.1801198665726</v>
      </c>
      <c r="J673" s="235">
        <f t="shared" si="309"/>
        <v>9873.907548449235</v>
      </c>
      <c r="K673" s="235">
        <f t="shared" si="309"/>
        <v>11270.820135230628</v>
      </c>
      <c r="L673" s="235">
        <f t="shared" si="309"/>
        <v>13173.972858044397</v>
      </c>
      <c r="M673" s="235">
        <f t="shared" si="309"/>
        <v>15024</v>
      </c>
      <c r="N673" s="235" t="s">
        <v>209</v>
      </c>
      <c r="O673" s="100" t="s">
        <v>175</v>
      </c>
    </row>
    <row r="674" spans="1:15">
      <c r="A674" s="242" t="s">
        <v>120</v>
      </c>
      <c r="B674" s="235">
        <f t="shared" ref="B674:B699" si="310">Q176</f>
        <v>4666.0187663044417</v>
      </c>
      <c r="C674" s="235">
        <f t="shared" ref="C674:C699" si="311">R176</f>
        <v>9844.4386603269486</v>
      </c>
      <c r="D674" s="235">
        <f t="shared" ref="D674:D699" si="312">S176</f>
        <v>13435.973225777076</v>
      </c>
      <c r="E674" s="235">
        <f t="shared" ref="E674:E699" si="313">T176</f>
        <v>16525.69056424146</v>
      </c>
      <c r="F674" s="235">
        <f t="shared" ref="F674:F699" si="314">U176</f>
        <v>22036.058859381479</v>
      </c>
      <c r="G674" s="235">
        <f t="shared" ref="G674:G699" si="315">V176</f>
        <v>24814.681553477065</v>
      </c>
      <c r="H674" s="235">
        <f t="shared" ref="H674:H699" si="316">W176</f>
        <v>27836.113252598097</v>
      </c>
      <c r="I674" s="235">
        <f t="shared" ref="I674:I699" si="317">X176</f>
        <v>32025.634637723797</v>
      </c>
      <c r="J674" s="235">
        <f t="shared" ref="J674:J699" si="318">Y176</f>
        <v>36496.20828326937</v>
      </c>
      <c r="K674" s="235">
        <f t="shared" ref="K674:K699" si="319">Z176</f>
        <v>42517.551181695511</v>
      </c>
      <c r="L674" s="235">
        <f t="shared" ref="L674:L699" si="320">AA176</f>
        <v>46622.302493260191</v>
      </c>
      <c r="M674" s="235">
        <f t="shared" ref="M674:M699" si="321">AB176</f>
        <v>50114</v>
      </c>
      <c r="N674" s="235" t="s">
        <v>209</v>
      </c>
      <c r="O674" s="100" t="s">
        <v>175</v>
      </c>
    </row>
    <row r="675" spans="1:15">
      <c r="A675" s="242" t="s">
        <v>121</v>
      </c>
      <c r="B675" s="235">
        <f t="shared" si="310"/>
        <v>1184.4120135070079</v>
      </c>
      <c r="C675" s="235">
        <f t="shared" si="311"/>
        <v>2697.7653528220912</v>
      </c>
      <c r="D675" s="235">
        <f t="shared" si="312"/>
        <v>4298.3978610550557</v>
      </c>
      <c r="E675" s="235">
        <f t="shared" si="313"/>
        <v>5240.3853872062064</v>
      </c>
      <c r="F675" s="235">
        <f t="shared" si="314"/>
        <v>6563.0734188999413</v>
      </c>
      <c r="G675" s="235">
        <f t="shared" si="315"/>
        <v>8238.8147289587323</v>
      </c>
      <c r="H675" s="235">
        <f t="shared" si="316"/>
        <v>9507.3355678393891</v>
      </c>
      <c r="I675" s="235">
        <f t="shared" si="317"/>
        <v>12552.445479564414</v>
      </c>
      <c r="J675" s="235">
        <f t="shared" si="318"/>
        <v>14342.513838876714</v>
      </c>
      <c r="K675" s="235">
        <f t="shared" si="319"/>
        <v>16127.277695544528</v>
      </c>
      <c r="L675" s="235">
        <f t="shared" si="320"/>
        <v>17852.937789894993</v>
      </c>
      <c r="M675" s="235">
        <f t="shared" si="321"/>
        <v>19637</v>
      </c>
      <c r="N675" s="235" t="s">
        <v>209</v>
      </c>
      <c r="O675" s="100" t="s">
        <v>175</v>
      </c>
    </row>
    <row r="676" spans="1:15">
      <c r="A676" s="242" t="s">
        <v>122</v>
      </c>
      <c r="B676" s="235">
        <f t="shared" si="310"/>
        <v>4325.9417098555496</v>
      </c>
      <c r="C676" s="235">
        <f t="shared" si="311"/>
        <v>8485.1928539480632</v>
      </c>
      <c r="D676" s="235">
        <f t="shared" si="312"/>
        <v>12158.497269511912</v>
      </c>
      <c r="E676" s="235">
        <f t="shared" si="313"/>
        <v>15167.628151111207</v>
      </c>
      <c r="F676" s="235">
        <f t="shared" si="314"/>
        <v>18287.68644768987</v>
      </c>
      <c r="G676" s="235">
        <f t="shared" si="315"/>
        <v>21591.430437355539</v>
      </c>
      <c r="H676" s="235">
        <f t="shared" si="316"/>
        <v>25023.345155963096</v>
      </c>
      <c r="I676" s="235">
        <f t="shared" si="317"/>
        <v>30140.040663808923</v>
      </c>
      <c r="J676" s="235">
        <f t="shared" si="318"/>
        <v>34239.937248287031</v>
      </c>
      <c r="K676" s="235">
        <f t="shared" si="319"/>
        <v>39241.933774569196</v>
      </c>
      <c r="L676" s="235">
        <f t="shared" si="320"/>
        <v>43505.947729624335</v>
      </c>
      <c r="M676" s="235">
        <f t="shared" si="321"/>
        <v>48426</v>
      </c>
      <c r="N676" s="235" t="s">
        <v>209</v>
      </c>
      <c r="O676" s="100" t="s">
        <v>175</v>
      </c>
    </row>
    <row r="677" spans="1:15">
      <c r="A677" s="242" t="s">
        <v>123</v>
      </c>
      <c r="B677" s="235">
        <f t="shared" si="310"/>
        <v>13583.004660617407</v>
      </c>
      <c r="C677" s="235">
        <f t="shared" si="311"/>
        <v>25492.329024851279</v>
      </c>
      <c r="D677" s="235">
        <f t="shared" si="312"/>
        <v>34810.236957777284</v>
      </c>
      <c r="E677" s="235">
        <f t="shared" si="313"/>
        <v>43744.351525720936</v>
      </c>
      <c r="F677" s="235">
        <f t="shared" si="314"/>
        <v>52237.644670426766</v>
      </c>
      <c r="G677" s="235">
        <f t="shared" si="315"/>
        <v>60028.496210256191</v>
      </c>
      <c r="H677" s="235">
        <f t="shared" si="316"/>
        <v>70132.473013756666</v>
      </c>
      <c r="I677" s="235">
        <f t="shared" si="317"/>
        <v>83318.086226160085</v>
      </c>
      <c r="J677" s="235">
        <f t="shared" si="318"/>
        <v>91959.058757714112</v>
      </c>
      <c r="K677" s="235">
        <f t="shared" si="319"/>
        <v>103966.09071004248</v>
      </c>
      <c r="L677" s="235">
        <f t="shared" si="320"/>
        <v>115219.50911658478</v>
      </c>
      <c r="M677" s="235">
        <f t="shared" si="321"/>
        <v>128306</v>
      </c>
      <c r="N677" s="235" t="s">
        <v>209</v>
      </c>
      <c r="O677" s="100" t="s">
        <v>175</v>
      </c>
    </row>
    <row r="678" spans="1:15">
      <c r="A678" s="242" t="s">
        <v>124</v>
      </c>
      <c r="B678" s="235">
        <f t="shared" si="310"/>
        <v>5439.6025152443572</v>
      </c>
      <c r="C678" s="235">
        <f t="shared" si="311"/>
        <v>16851.498071406924</v>
      </c>
      <c r="D678" s="235">
        <f t="shared" si="312"/>
        <v>25022.972658133174</v>
      </c>
      <c r="E678" s="235">
        <f t="shared" si="313"/>
        <v>29870.626955778163</v>
      </c>
      <c r="F678" s="235">
        <f t="shared" si="314"/>
        <v>34210.860719849275</v>
      </c>
      <c r="G678" s="235">
        <f t="shared" si="315"/>
        <v>40533.301028144473</v>
      </c>
      <c r="H678" s="235">
        <f t="shared" si="316"/>
        <v>48204.307562905939</v>
      </c>
      <c r="I678" s="235">
        <f t="shared" si="317"/>
        <v>55526.669380539257</v>
      </c>
      <c r="J678" s="235">
        <f t="shared" si="318"/>
        <v>60914.292179547228</v>
      </c>
      <c r="K678" s="235">
        <f t="shared" si="319"/>
        <v>67312.947479444454</v>
      </c>
      <c r="L678" s="235">
        <f t="shared" si="320"/>
        <v>74417.590674226725</v>
      </c>
      <c r="M678" s="235">
        <f t="shared" si="321"/>
        <v>82217</v>
      </c>
      <c r="N678" s="235" t="s">
        <v>209</v>
      </c>
      <c r="O678" s="100" t="s">
        <v>175</v>
      </c>
    </row>
    <row r="679" spans="1:15">
      <c r="A679" s="242" t="s">
        <v>125</v>
      </c>
      <c r="B679" s="235">
        <f t="shared" si="310"/>
        <v>12164.154592446059</v>
      </c>
      <c r="C679" s="235">
        <f t="shared" si="311"/>
        <v>24767.660226314612</v>
      </c>
      <c r="D679" s="235">
        <f t="shared" si="312"/>
        <v>36886.638003577988</v>
      </c>
      <c r="E679" s="235">
        <f t="shared" si="313"/>
        <v>46449.817384299196</v>
      </c>
      <c r="F679" s="235">
        <f t="shared" si="314"/>
        <v>56341.200797515048</v>
      </c>
      <c r="G679" s="235">
        <f t="shared" si="315"/>
        <v>66850.807365523491</v>
      </c>
      <c r="H679" s="235">
        <f t="shared" si="316"/>
        <v>77356.528608462162</v>
      </c>
      <c r="I679" s="235">
        <f t="shared" si="317"/>
        <v>89498.248759488386</v>
      </c>
      <c r="J679" s="235">
        <f t="shared" si="318"/>
        <v>98472.418841884268</v>
      </c>
      <c r="K679" s="235">
        <f t="shared" si="319"/>
        <v>111389.10035479828</v>
      </c>
      <c r="L679" s="235">
        <f t="shared" si="320"/>
        <v>125332.96910627594</v>
      </c>
      <c r="M679" s="235">
        <f t="shared" si="321"/>
        <v>139918</v>
      </c>
      <c r="N679" s="235" t="s">
        <v>209</v>
      </c>
      <c r="O679" s="100" t="s">
        <v>175</v>
      </c>
    </row>
    <row r="680" spans="1:15">
      <c r="A680" s="242" t="s">
        <v>126</v>
      </c>
      <c r="B680" s="235">
        <f t="shared" si="310"/>
        <v>6977.0056980482223</v>
      </c>
      <c r="C680" s="235">
        <f t="shared" si="311"/>
        <v>12578.169959411387</v>
      </c>
      <c r="D680" s="235">
        <f t="shared" si="312"/>
        <v>19232.006250767914</v>
      </c>
      <c r="E680" s="235">
        <f t="shared" si="313"/>
        <v>23796.419780783282</v>
      </c>
      <c r="F680" s="235">
        <f t="shared" si="314"/>
        <v>29573.763986193659</v>
      </c>
      <c r="G680" s="235">
        <f t="shared" si="315"/>
        <v>35692.141807487154</v>
      </c>
      <c r="H680" s="235">
        <f t="shared" si="316"/>
        <v>43192.619377889765</v>
      </c>
      <c r="I680" s="235">
        <f t="shared" si="317"/>
        <v>55117.313942926587</v>
      </c>
      <c r="J680" s="235">
        <f t="shared" si="318"/>
        <v>65954.224058928521</v>
      </c>
      <c r="K680" s="235">
        <f t="shared" si="319"/>
        <v>76690.165528507045</v>
      </c>
      <c r="L680" s="235">
        <f t="shared" si="320"/>
        <v>89972.088930685743</v>
      </c>
      <c r="M680" s="235">
        <f t="shared" si="321"/>
        <v>104528</v>
      </c>
      <c r="N680" s="235" t="s">
        <v>209</v>
      </c>
      <c r="O680" s="100" t="s">
        <v>175</v>
      </c>
    </row>
    <row r="681" spans="1:15">
      <c r="A681" s="242" t="s">
        <v>127</v>
      </c>
      <c r="B681" s="235">
        <f t="shared" si="310"/>
        <v>9577.435401971843</v>
      </c>
      <c r="C681" s="235">
        <f t="shared" si="311"/>
        <v>19443.496135544308</v>
      </c>
      <c r="D681" s="235">
        <f t="shared" si="312"/>
        <v>27746.588925220371</v>
      </c>
      <c r="E681" s="235">
        <f t="shared" si="313"/>
        <v>36039.23327938671</v>
      </c>
      <c r="F681" s="235">
        <f t="shared" si="314"/>
        <v>43246.94925691004</v>
      </c>
      <c r="G681" s="235">
        <f t="shared" si="315"/>
        <v>50588.152654213263</v>
      </c>
      <c r="H681" s="235">
        <f t="shared" si="316"/>
        <v>62317.517469236001</v>
      </c>
      <c r="I681" s="235">
        <f t="shared" si="317"/>
        <v>75040.327738434105</v>
      </c>
      <c r="J681" s="235">
        <f t="shared" si="318"/>
        <v>84463.051781288101</v>
      </c>
      <c r="K681" s="235">
        <f t="shared" si="319"/>
        <v>95053.057552075261</v>
      </c>
      <c r="L681" s="235">
        <f t="shared" si="320"/>
        <v>106118.06100770914</v>
      </c>
      <c r="M681" s="235">
        <f t="shared" si="321"/>
        <v>120665</v>
      </c>
      <c r="N681" s="235" t="s">
        <v>209</v>
      </c>
      <c r="O681" s="100" t="s">
        <v>175</v>
      </c>
    </row>
    <row r="682" spans="1:15">
      <c r="A682" s="242" t="s">
        <v>128</v>
      </c>
      <c r="B682" s="235">
        <f t="shared" si="310"/>
        <v>3336.7491957774869</v>
      </c>
      <c r="C682" s="235">
        <f t="shared" si="311"/>
        <v>5617.4520233824505</v>
      </c>
      <c r="D682" s="235">
        <f t="shared" si="312"/>
        <v>8432.7168537225625</v>
      </c>
      <c r="E682" s="235">
        <f t="shared" si="313"/>
        <v>10421.729488371488</v>
      </c>
      <c r="F682" s="235">
        <f t="shared" si="314"/>
        <v>12445.574119242759</v>
      </c>
      <c r="G682" s="235">
        <f t="shared" si="315"/>
        <v>14663.792049037114</v>
      </c>
      <c r="H682" s="235">
        <f t="shared" si="316"/>
        <v>19432.944016682224</v>
      </c>
      <c r="I682" s="235">
        <f t="shared" si="317"/>
        <v>23609.705024656334</v>
      </c>
      <c r="J682" s="235">
        <f t="shared" si="318"/>
        <v>27110.651115950899</v>
      </c>
      <c r="K682" s="235">
        <f t="shared" si="319"/>
        <v>31059.358348530102</v>
      </c>
      <c r="L682" s="235">
        <f t="shared" si="320"/>
        <v>35620.722315889834</v>
      </c>
      <c r="M682" s="235">
        <f t="shared" si="321"/>
        <v>39966</v>
      </c>
      <c r="N682" s="235" t="s">
        <v>209</v>
      </c>
      <c r="O682" s="100" t="s">
        <v>175</v>
      </c>
    </row>
    <row r="683" spans="1:15">
      <c r="A683" s="242" t="s">
        <v>129</v>
      </c>
      <c r="B683" s="235">
        <f t="shared" si="310"/>
        <v>11508.226464882562</v>
      </c>
      <c r="C683" s="235">
        <f t="shared" si="311"/>
        <v>22935.094024885071</v>
      </c>
      <c r="D683" s="235">
        <f t="shared" si="312"/>
        <v>35274.63250177975</v>
      </c>
      <c r="E683" s="235">
        <f t="shared" si="313"/>
        <v>43582.493253208006</v>
      </c>
      <c r="F683" s="235">
        <f t="shared" si="314"/>
        <v>54206.223773404912</v>
      </c>
      <c r="G683" s="235">
        <f t="shared" si="315"/>
        <v>63565.7541346051</v>
      </c>
      <c r="H683" s="235">
        <f t="shared" si="316"/>
        <v>70953.250983056292</v>
      </c>
      <c r="I683" s="235">
        <f t="shared" si="317"/>
        <v>82753.196219451493</v>
      </c>
      <c r="J683" s="235">
        <f t="shared" si="318"/>
        <v>92056.827832931973</v>
      </c>
      <c r="K683" s="235">
        <f t="shared" si="319"/>
        <v>105143.05215674861</v>
      </c>
      <c r="L683" s="235">
        <f t="shared" si="320"/>
        <v>120700.65134788278</v>
      </c>
      <c r="M683" s="235">
        <f t="shared" si="321"/>
        <v>132725</v>
      </c>
      <c r="N683" s="235" t="s">
        <v>209</v>
      </c>
      <c r="O683" s="100" t="s">
        <v>175</v>
      </c>
    </row>
    <row r="684" spans="1:15">
      <c r="A684" s="242" t="s">
        <v>130</v>
      </c>
      <c r="B684" s="235">
        <f t="shared" si="310"/>
        <v>9234.2823331848176</v>
      </c>
      <c r="C684" s="235">
        <f t="shared" si="311"/>
        <v>18984.6834084767</v>
      </c>
      <c r="D684" s="235">
        <f t="shared" si="312"/>
        <v>26499.880398322512</v>
      </c>
      <c r="E684" s="235">
        <f t="shared" si="313"/>
        <v>36327.206556545112</v>
      </c>
      <c r="F684" s="235">
        <f t="shared" si="314"/>
        <v>46180.971743459966</v>
      </c>
      <c r="G684" s="235">
        <f t="shared" si="315"/>
        <v>60825.377832391328</v>
      </c>
      <c r="H684" s="235">
        <f t="shared" si="316"/>
        <v>70698.298946513212</v>
      </c>
      <c r="I684" s="235">
        <f t="shared" si="317"/>
        <v>82737.69003189358</v>
      </c>
      <c r="J684" s="235">
        <f t="shared" si="318"/>
        <v>94095.100303237952</v>
      </c>
      <c r="K684" s="235">
        <f t="shared" si="319"/>
        <v>106568.52462796582</v>
      </c>
      <c r="L684" s="235">
        <f t="shared" si="320"/>
        <v>118475.46695830059</v>
      </c>
      <c r="M684" s="235">
        <f t="shared" si="321"/>
        <v>129493</v>
      </c>
      <c r="N684" s="235" t="s">
        <v>209</v>
      </c>
      <c r="O684" s="100" t="s">
        <v>175</v>
      </c>
    </row>
    <row r="685" spans="1:15">
      <c r="A685" s="242" t="s">
        <v>131</v>
      </c>
      <c r="B685" s="235">
        <f t="shared" si="310"/>
        <v>41443.562884279345</v>
      </c>
      <c r="C685" s="235">
        <f t="shared" si="311"/>
        <v>69971.475573647447</v>
      </c>
      <c r="D685" s="235">
        <f t="shared" si="312"/>
        <v>101803.40402661782</v>
      </c>
      <c r="E685" s="235">
        <f t="shared" si="313"/>
        <v>124536.23672463998</v>
      </c>
      <c r="F685" s="235">
        <f t="shared" si="314"/>
        <v>153315.35739852951</v>
      </c>
      <c r="G685" s="235">
        <f t="shared" si="315"/>
        <v>179200.70558738027</v>
      </c>
      <c r="H685" s="235">
        <f t="shared" si="316"/>
        <v>204863.42574568544</v>
      </c>
      <c r="I685" s="235">
        <f t="shared" si="317"/>
        <v>233699.41411615256</v>
      </c>
      <c r="J685" s="235">
        <f t="shared" si="318"/>
        <v>260320.93002267901</v>
      </c>
      <c r="K685" s="235">
        <f t="shared" si="319"/>
        <v>293568.86539730657</v>
      </c>
      <c r="L685" s="235">
        <f t="shared" si="320"/>
        <v>331230.45472809521</v>
      </c>
      <c r="M685" s="235">
        <f t="shared" si="321"/>
        <v>362036.80000000005</v>
      </c>
      <c r="N685" s="235" t="s">
        <v>209</v>
      </c>
      <c r="O685" s="100" t="s">
        <v>175</v>
      </c>
    </row>
    <row r="686" spans="1:15">
      <c r="A686" s="242" t="s">
        <v>132</v>
      </c>
      <c r="B686" s="235">
        <f t="shared" si="310"/>
        <v>6976.2196144763284</v>
      </c>
      <c r="C686" s="235">
        <f t="shared" si="311"/>
        <v>12934.526193235581</v>
      </c>
      <c r="D686" s="235">
        <f t="shared" si="312"/>
        <v>18110.459872609212</v>
      </c>
      <c r="E686" s="235">
        <f t="shared" si="313"/>
        <v>22017.209769530109</v>
      </c>
      <c r="F686" s="235">
        <f t="shared" si="314"/>
        <v>27060.2610555549</v>
      </c>
      <c r="G686" s="235">
        <f t="shared" si="315"/>
        <v>31735.974857398127</v>
      </c>
      <c r="H686" s="235">
        <f t="shared" si="316"/>
        <v>36555.015059198515</v>
      </c>
      <c r="I686" s="235">
        <f t="shared" si="317"/>
        <v>41768.203426259563</v>
      </c>
      <c r="J686" s="235">
        <f t="shared" si="318"/>
        <v>48034.401401414951</v>
      </c>
      <c r="K686" s="235">
        <f t="shared" si="319"/>
        <v>53834.449366170411</v>
      </c>
      <c r="L686" s="235">
        <f t="shared" si="320"/>
        <v>61624.544712677911</v>
      </c>
      <c r="M686" s="235">
        <f t="shared" si="321"/>
        <v>67001</v>
      </c>
      <c r="N686" s="235" t="s">
        <v>209</v>
      </c>
      <c r="O686" s="100" t="s">
        <v>175</v>
      </c>
    </row>
    <row r="687" spans="1:15">
      <c r="A687" s="242" t="s">
        <v>133</v>
      </c>
      <c r="B687" s="235">
        <f t="shared" si="310"/>
        <v>5462.8887254453466</v>
      </c>
      <c r="C687" s="235">
        <f t="shared" si="311"/>
        <v>10122.44200195675</v>
      </c>
      <c r="D687" s="235">
        <f t="shared" si="312"/>
        <v>16073.3754481544</v>
      </c>
      <c r="E687" s="235">
        <f t="shared" si="313"/>
        <v>22895.530671182725</v>
      </c>
      <c r="F687" s="235">
        <f t="shared" si="314"/>
        <v>27418.707998186837</v>
      </c>
      <c r="G687" s="235">
        <f t="shared" si="315"/>
        <v>33941.811205168124</v>
      </c>
      <c r="H687" s="235">
        <f t="shared" si="316"/>
        <v>38820.55077721017</v>
      </c>
      <c r="I687" s="235">
        <f t="shared" si="317"/>
        <v>44905.17444977491</v>
      </c>
      <c r="J687" s="235">
        <f t="shared" si="318"/>
        <v>50041.461992236545</v>
      </c>
      <c r="K687" s="235">
        <f t="shared" si="319"/>
        <v>56157.672541000218</v>
      </c>
      <c r="L687" s="235">
        <f t="shared" si="320"/>
        <v>62157.48818486189</v>
      </c>
      <c r="M687" s="235">
        <f t="shared" si="321"/>
        <v>68315</v>
      </c>
      <c r="N687" s="235" t="s">
        <v>209</v>
      </c>
      <c r="O687" s="100" t="s">
        <v>175</v>
      </c>
    </row>
    <row r="688" spans="1:15">
      <c r="A688" s="242" t="s">
        <v>134</v>
      </c>
      <c r="B688" s="235">
        <f t="shared" si="310"/>
        <v>39741.817273716348</v>
      </c>
      <c r="C688" s="235">
        <f t="shared" si="311"/>
        <v>77264.66420511897</v>
      </c>
      <c r="D688" s="235">
        <f t="shared" si="312"/>
        <v>109430.38142946622</v>
      </c>
      <c r="E688" s="235">
        <f t="shared" si="313"/>
        <v>143991.26951908346</v>
      </c>
      <c r="F688" s="235">
        <f t="shared" si="314"/>
        <v>170112.16062736179</v>
      </c>
      <c r="G688" s="235">
        <f t="shared" si="315"/>
        <v>201904.03315634662</v>
      </c>
      <c r="H688" s="235">
        <f t="shared" si="316"/>
        <v>235436.56303559736</v>
      </c>
      <c r="I688" s="235">
        <f t="shared" si="317"/>
        <v>273281.25710876571</v>
      </c>
      <c r="J688" s="235">
        <f t="shared" si="318"/>
        <v>304693.49707352737</v>
      </c>
      <c r="K688" s="235">
        <f t="shared" si="319"/>
        <v>348173.33527158335</v>
      </c>
      <c r="L688" s="235">
        <f t="shared" si="320"/>
        <v>391475.73670992104</v>
      </c>
      <c r="M688" s="235">
        <f t="shared" si="321"/>
        <v>440298</v>
      </c>
      <c r="N688" s="235" t="s">
        <v>209</v>
      </c>
      <c r="O688" s="100" t="s">
        <v>175</v>
      </c>
    </row>
    <row r="689" spans="1:15">
      <c r="A689" s="242" t="s">
        <v>135</v>
      </c>
      <c r="B689" s="235">
        <f t="shared" si="310"/>
        <v>13400.947830533063</v>
      </c>
      <c r="C689" s="235">
        <f t="shared" si="311"/>
        <v>24178.265451228675</v>
      </c>
      <c r="D689" s="235">
        <f t="shared" si="312"/>
        <v>35286.891688165641</v>
      </c>
      <c r="E689" s="235">
        <f t="shared" si="313"/>
        <v>44925.438877999404</v>
      </c>
      <c r="F689" s="235">
        <f t="shared" si="314"/>
        <v>55092.152972470532</v>
      </c>
      <c r="G689" s="235">
        <f t="shared" si="315"/>
        <v>63975.244662242112</v>
      </c>
      <c r="H689" s="235">
        <f t="shared" si="316"/>
        <v>73508.497848020706</v>
      </c>
      <c r="I689" s="235">
        <f t="shared" si="317"/>
        <v>86204.086795830968</v>
      </c>
      <c r="J689" s="235">
        <f t="shared" si="318"/>
        <v>94751.323080019691</v>
      </c>
      <c r="K689" s="235">
        <f t="shared" si="319"/>
        <v>103339.73059671297</v>
      </c>
      <c r="L689" s="235">
        <f t="shared" si="320"/>
        <v>113722.73115474521</v>
      </c>
      <c r="M689" s="235">
        <f t="shared" si="321"/>
        <v>125721</v>
      </c>
      <c r="N689" s="235" t="s">
        <v>209</v>
      </c>
      <c r="O689" s="100" t="s">
        <v>175</v>
      </c>
    </row>
    <row r="690" spans="1:15">
      <c r="A690" s="242" t="s">
        <v>136</v>
      </c>
      <c r="B690" s="235">
        <f t="shared" si="310"/>
        <v>3856.2595788725748</v>
      </c>
      <c r="C690" s="235">
        <f t="shared" si="311"/>
        <v>8027.5626653975942</v>
      </c>
      <c r="D690" s="235">
        <f t="shared" si="312"/>
        <v>10811.160228560137</v>
      </c>
      <c r="E690" s="235">
        <f t="shared" si="313"/>
        <v>12812.330727117407</v>
      </c>
      <c r="F690" s="235">
        <f t="shared" si="314"/>
        <v>15963.800380517907</v>
      </c>
      <c r="G690" s="235">
        <f t="shared" si="315"/>
        <v>19009.315397677849</v>
      </c>
      <c r="H690" s="235">
        <f t="shared" si="316"/>
        <v>21571.023679778031</v>
      </c>
      <c r="I690" s="235">
        <f t="shared" si="317"/>
        <v>24916.546218170657</v>
      </c>
      <c r="J690" s="235">
        <f t="shared" si="318"/>
        <v>27630.078158383716</v>
      </c>
      <c r="K690" s="235">
        <f t="shared" si="319"/>
        <v>29864.914924386176</v>
      </c>
      <c r="L690" s="235">
        <f t="shared" si="320"/>
        <v>32604.593677808516</v>
      </c>
      <c r="M690" s="235">
        <f t="shared" si="321"/>
        <v>35461</v>
      </c>
      <c r="N690" s="235" t="s">
        <v>209</v>
      </c>
      <c r="O690" s="100" t="s">
        <v>175</v>
      </c>
    </row>
    <row r="691" spans="1:15">
      <c r="A691" s="242" t="s">
        <v>137</v>
      </c>
      <c r="B691" s="235">
        <f t="shared" si="310"/>
        <v>39321.873253376543</v>
      </c>
      <c r="C691" s="235">
        <f t="shared" si="311"/>
        <v>72289.623658873141</v>
      </c>
      <c r="D691" s="235">
        <f t="shared" si="312"/>
        <v>99272.569834386435</v>
      </c>
      <c r="E691" s="235">
        <f t="shared" si="313"/>
        <v>131773.44524581119</v>
      </c>
      <c r="F691" s="235">
        <f t="shared" si="314"/>
        <v>165739.1704610106</v>
      </c>
      <c r="G691" s="235">
        <f t="shared" si="315"/>
        <v>202518.6855702977</v>
      </c>
      <c r="H691" s="235">
        <f t="shared" si="316"/>
        <v>238834.36882676915</v>
      </c>
      <c r="I691" s="235">
        <f t="shared" si="317"/>
        <v>288322.67327348015</v>
      </c>
      <c r="J691" s="235">
        <f t="shared" si="318"/>
        <v>325978.42612843</v>
      </c>
      <c r="K691" s="235">
        <f t="shared" si="319"/>
        <v>374496.94123280619</v>
      </c>
      <c r="L691" s="235">
        <f t="shared" si="320"/>
        <v>414225.3683908637</v>
      </c>
      <c r="M691" s="235">
        <f t="shared" si="321"/>
        <v>459004</v>
      </c>
      <c r="N691" s="235" t="s">
        <v>209</v>
      </c>
      <c r="O691" s="100" t="s">
        <v>175</v>
      </c>
    </row>
    <row r="692" spans="1:15">
      <c r="A692" s="242" t="s">
        <v>138</v>
      </c>
      <c r="B692" s="235">
        <f t="shared" si="310"/>
        <v>6393.5984921876488</v>
      </c>
      <c r="C692" s="235">
        <f t="shared" si="311"/>
        <v>12704.235643826451</v>
      </c>
      <c r="D692" s="235">
        <f t="shared" si="312"/>
        <v>19647.714395182487</v>
      </c>
      <c r="E692" s="235">
        <f t="shared" si="313"/>
        <v>23367.710868030023</v>
      </c>
      <c r="F692" s="235">
        <f t="shared" si="314"/>
        <v>27443.98369300499</v>
      </c>
      <c r="G692" s="235">
        <f t="shared" si="315"/>
        <v>31587.141567407223</v>
      </c>
      <c r="H692" s="235">
        <f t="shared" si="316"/>
        <v>37331.26891495115</v>
      </c>
      <c r="I692" s="235">
        <f t="shared" si="317"/>
        <v>43127.666568930355</v>
      </c>
      <c r="J692" s="235">
        <f t="shared" si="318"/>
        <v>49086.013455855973</v>
      </c>
      <c r="K692" s="235">
        <f t="shared" si="319"/>
        <v>54260.991854675638</v>
      </c>
      <c r="L692" s="235">
        <f t="shared" si="320"/>
        <v>60980.396511721367</v>
      </c>
      <c r="M692" s="235">
        <f t="shared" si="321"/>
        <v>66198</v>
      </c>
      <c r="N692" s="235" t="s">
        <v>209</v>
      </c>
      <c r="O692" s="100" t="s">
        <v>175</v>
      </c>
    </row>
    <row r="693" spans="1:15">
      <c r="A693" s="242" t="s">
        <v>139</v>
      </c>
      <c r="B693" s="235">
        <f t="shared" si="310"/>
        <v>54506.525641008659</v>
      </c>
      <c r="C693" s="235">
        <f t="shared" si="311"/>
        <v>98010.071009700812</v>
      </c>
      <c r="D693" s="235">
        <f t="shared" si="312"/>
        <v>140618.82077269736</v>
      </c>
      <c r="E693" s="235">
        <f t="shared" si="313"/>
        <v>181812.38230238849</v>
      </c>
      <c r="F693" s="235">
        <f t="shared" si="314"/>
        <v>229159.92509287674</v>
      </c>
      <c r="G693" s="235">
        <f t="shared" si="315"/>
        <v>272620.65195887297</v>
      </c>
      <c r="H693" s="235">
        <f t="shared" si="316"/>
        <v>327830.0142177419</v>
      </c>
      <c r="I693" s="235">
        <f t="shared" si="317"/>
        <v>381104.14145633217</v>
      </c>
      <c r="J693" s="235">
        <f t="shared" si="318"/>
        <v>428323.18210797594</v>
      </c>
      <c r="K693" s="235">
        <f t="shared" si="319"/>
        <v>491127.14729695418</v>
      </c>
      <c r="L693" s="235">
        <f t="shared" si="320"/>
        <v>551370.2025238052</v>
      </c>
      <c r="M693" s="235">
        <f t="shared" si="321"/>
        <v>615915</v>
      </c>
      <c r="N693" s="235" t="s">
        <v>209</v>
      </c>
      <c r="O693" s="100" t="s">
        <v>175</v>
      </c>
    </row>
    <row r="694" spans="1:15">
      <c r="A694" s="242" t="s">
        <v>140</v>
      </c>
      <c r="B694" s="235">
        <f t="shared" si="310"/>
        <v>4228.7696758809479</v>
      </c>
      <c r="C694" s="235">
        <f t="shared" si="311"/>
        <v>6044.3072349321292</v>
      </c>
      <c r="D694" s="235">
        <f t="shared" si="312"/>
        <v>8546.6255636942715</v>
      </c>
      <c r="E694" s="235">
        <f t="shared" si="313"/>
        <v>10577.042581379428</v>
      </c>
      <c r="F694" s="235">
        <f t="shared" si="314"/>
        <v>13536.753585742184</v>
      </c>
      <c r="G694" s="235">
        <f t="shared" si="315"/>
        <v>17043.701792110998</v>
      </c>
      <c r="H694" s="235">
        <f t="shared" si="316"/>
        <v>20391.827222317133</v>
      </c>
      <c r="I694" s="235">
        <f t="shared" si="317"/>
        <v>25164.345408519781</v>
      </c>
      <c r="J694" s="235">
        <f t="shared" si="318"/>
        <v>29236.993403637603</v>
      </c>
      <c r="K694" s="235">
        <f t="shared" si="319"/>
        <v>33018.195133076544</v>
      </c>
      <c r="L694" s="235">
        <f t="shared" si="320"/>
        <v>36972.036595118327</v>
      </c>
      <c r="M694" s="235">
        <f t="shared" si="321"/>
        <v>41708</v>
      </c>
      <c r="N694" s="235" t="s">
        <v>209</v>
      </c>
      <c r="O694" s="100" t="s">
        <v>175</v>
      </c>
    </row>
    <row r="695" spans="1:15">
      <c r="A695" s="242" t="s">
        <v>141</v>
      </c>
      <c r="B695" s="235">
        <f t="shared" si="310"/>
        <v>862.18466059328296</v>
      </c>
      <c r="C695" s="235">
        <f t="shared" si="311"/>
        <v>1572.268354104634</v>
      </c>
      <c r="D695" s="235">
        <f t="shared" si="312"/>
        <v>2474.6873652885715</v>
      </c>
      <c r="E695" s="235">
        <f t="shared" si="313"/>
        <v>3023.0138997203003</v>
      </c>
      <c r="F695" s="235">
        <f t="shared" si="314"/>
        <v>3236.6143213816031</v>
      </c>
      <c r="G695" s="235">
        <f t="shared" si="315"/>
        <v>3695.5712492630073</v>
      </c>
      <c r="H695" s="235">
        <f t="shared" si="316"/>
        <v>4791.96736253174</v>
      </c>
      <c r="I695" s="235">
        <f t="shared" si="317"/>
        <v>5195.3306936111621</v>
      </c>
      <c r="J695" s="235">
        <f t="shared" si="318"/>
        <v>5802.2909552680112</v>
      </c>
      <c r="K695" s="235">
        <f t="shared" si="319"/>
        <v>6366.2278275306962</v>
      </c>
      <c r="L695" s="235">
        <f t="shared" si="320"/>
        <v>7484.3954430433059</v>
      </c>
      <c r="M695" s="235">
        <f t="shared" si="321"/>
        <v>8189</v>
      </c>
      <c r="N695" s="235" t="s">
        <v>209</v>
      </c>
      <c r="O695" s="100" t="s">
        <v>175</v>
      </c>
    </row>
    <row r="696" spans="1:15">
      <c r="A696" s="242" t="s">
        <v>142</v>
      </c>
      <c r="B696" s="235">
        <f t="shared" si="310"/>
        <v>30352.796590242346</v>
      </c>
      <c r="C696" s="235">
        <f t="shared" si="311"/>
        <v>59685.592214704993</v>
      </c>
      <c r="D696" s="235">
        <f t="shared" si="312"/>
        <v>88040.672458689427</v>
      </c>
      <c r="E696" s="235">
        <f t="shared" si="313"/>
        <v>112585.86743166707</v>
      </c>
      <c r="F696" s="235">
        <f t="shared" si="314"/>
        <v>134944.60671937338</v>
      </c>
      <c r="G696" s="235">
        <f t="shared" si="315"/>
        <v>163228.0728929154</v>
      </c>
      <c r="H696" s="235">
        <f t="shared" si="316"/>
        <v>193391.81765972919</v>
      </c>
      <c r="I696" s="235">
        <f t="shared" si="317"/>
        <v>225063.16716500552</v>
      </c>
      <c r="J696" s="235">
        <f t="shared" si="318"/>
        <v>252266.67289277224</v>
      </c>
      <c r="K696" s="235">
        <f t="shared" si="319"/>
        <v>284305.99643265625</v>
      </c>
      <c r="L696" s="235">
        <f t="shared" si="320"/>
        <v>318612.64228261652</v>
      </c>
      <c r="M696" s="235">
        <f t="shared" si="321"/>
        <v>357120</v>
      </c>
      <c r="N696" s="235" t="s">
        <v>209</v>
      </c>
      <c r="O696" s="100" t="s">
        <v>175</v>
      </c>
    </row>
    <row r="697" spans="1:15">
      <c r="A697" s="242" t="s">
        <v>143</v>
      </c>
      <c r="B697" s="235">
        <f t="shared" si="310"/>
        <v>242774.1555384036</v>
      </c>
      <c r="C697" s="235">
        <f t="shared" si="311"/>
        <v>367547.46619529423</v>
      </c>
      <c r="D697" s="235">
        <f t="shared" si="312"/>
        <v>487240.13842501352</v>
      </c>
      <c r="E697" s="235">
        <f t="shared" si="313"/>
        <v>606876.85159312235</v>
      </c>
      <c r="F697" s="235">
        <f t="shared" si="314"/>
        <v>726888.59930923488</v>
      </c>
      <c r="G697" s="235">
        <f t="shared" si="315"/>
        <v>840544.78919103858</v>
      </c>
      <c r="H697" s="235">
        <f t="shared" si="316"/>
        <v>968687.2943752436</v>
      </c>
      <c r="I697" s="235">
        <f t="shared" si="317"/>
        <v>1112419.7846994295</v>
      </c>
      <c r="J697" s="235">
        <f t="shared" si="318"/>
        <v>1224824.0296669931</v>
      </c>
      <c r="K697" s="235">
        <f t="shared" si="319"/>
        <v>1429242.3984521246</v>
      </c>
      <c r="L697" s="235">
        <f t="shared" si="320"/>
        <v>1586740.5684776334</v>
      </c>
      <c r="M697" s="235">
        <f t="shared" si="321"/>
        <v>1720369.4044999999</v>
      </c>
      <c r="N697" s="235" t="s">
        <v>209</v>
      </c>
      <c r="O697" s="100" t="s">
        <v>175</v>
      </c>
    </row>
    <row r="698" spans="1:15">
      <c r="A698" s="242" t="s">
        <v>144</v>
      </c>
      <c r="B698" s="235">
        <f t="shared" si="310"/>
        <v>5581.2643283083444</v>
      </c>
      <c r="C698" s="235">
        <f t="shared" si="311"/>
        <v>9172.4868166838623</v>
      </c>
      <c r="D698" s="235">
        <f t="shared" si="312"/>
        <v>13333.968802307028</v>
      </c>
      <c r="E698" s="235">
        <f t="shared" si="313"/>
        <v>15662.457864021324</v>
      </c>
      <c r="F698" s="235">
        <f t="shared" si="314"/>
        <v>17909.286229708341</v>
      </c>
      <c r="G698" s="235">
        <f t="shared" si="315"/>
        <v>21375.543450740926</v>
      </c>
      <c r="H698" s="235">
        <f t="shared" si="316"/>
        <v>25397.135563715692</v>
      </c>
      <c r="I698" s="235">
        <f t="shared" si="317"/>
        <v>28489.854533042238</v>
      </c>
      <c r="J698" s="235">
        <f t="shared" si="318"/>
        <v>31392.857430867472</v>
      </c>
      <c r="K698" s="235">
        <f t="shared" si="319"/>
        <v>35432.469381448063</v>
      </c>
      <c r="L698" s="235">
        <f t="shared" si="320"/>
        <v>38628.07609169386</v>
      </c>
      <c r="M698" s="235">
        <f t="shared" si="321"/>
        <v>43360</v>
      </c>
      <c r="N698" s="235" t="s">
        <v>209</v>
      </c>
      <c r="O698" s="100" t="s">
        <v>175</v>
      </c>
    </row>
    <row r="699" spans="1:15">
      <c r="A699" s="242" t="s">
        <v>145</v>
      </c>
      <c r="B699" s="235">
        <f t="shared" si="310"/>
        <v>1907.8378436956561</v>
      </c>
      <c r="C699" s="235">
        <f t="shared" si="311"/>
        <v>3610.4157334113397</v>
      </c>
      <c r="D699" s="235">
        <f t="shared" si="312"/>
        <v>5373.7759259628392</v>
      </c>
      <c r="E699" s="235">
        <f t="shared" si="313"/>
        <v>6682.2073872031306</v>
      </c>
      <c r="F699" s="235">
        <f t="shared" si="314"/>
        <v>7998.0213240030198</v>
      </c>
      <c r="G699" s="235">
        <f t="shared" si="315"/>
        <v>10011.207231243394</v>
      </c>
      <c r="H699" s="235">
        <f t="shared" si="316"/>
        <v>12290.411515440572</v>
      </c>
      <c r="I699" s="235">
        <f t="shared" si="317"/>
        <v>15142.907538623667</v>
      </c>
      <c r="J699" s="235">
        <f t="shared" si="318"/>
        <v>17641.760090867436</v>
      </c>
      <c r="K699" s="235">
        <f t="shared" si="319"/>
        <v>21830.590359228547</v>
      </c>
      <c r="L699" s="235">
        <f t="shared" si="320"/>
        <v>25715.59299836888</v>
      </c>
      <c r="M699" s="235">
        <f t="shared" si="321"/>
        <v>28970</v>
      </c>
      <c r="N699" s="235" t="s">
        <v>209</v>
      </c>
      <c r="O699" s="100" t="s">
        <v>175</v>
      </c>
    </row>
    <row r="700" spans="1:15">
      <c r="A700" s="242" t="s">
        <v>119</v>
      </c>
      <c r="B700" s="235">
        <f>B175</f>
        <v>918.93072138554908</v>
      </c>
      <c r="C700" s="235">
        <f t="shared" ref="C700:M700" si="322">C175</f>
        <v>1992.3462948401623</v>
      </c>
      <c r="D700" s="235">
        <f t="shared" si="322"/>
        <v>2791.1803734810037</v>
      </c>
      <c r="E700" s="235">
        <f t="shared" si="322"/>
        <v>4332.64876916092</v>
      </c>
      <c r="F700" s="235">
        <f t="shared" si="322"/>
        <v>5553.7403610416886</v>
      </c>
      <c r="G700" s="235">
        <f t="shared" si="322"/>
        <v>6277.4245900540764</v>
      </c>
      <c r="H700" s="235">
        <f t="shared" si="322"/>
        <v>8517.2958815106122</v>
      </c>
      <c r="I700" s="235">
        <f t="shared" si="322"/>
        <v>10036.74811731505</v>
      </c>
      <c r="J700" s="235">
        <f t="shared" si="322"/>
        <v>11228.178175785841</v>
      </c>
      <c r="K700" s="235">
        <f t="shared" si="322"/>
        <v>12816.686407548936</v>
      </c>
      <c r="L700" s="235">
        <f t="shared" si="322"/>
        <v>14980.8689019294</v>
      </c>
      <c r="M700" s="235">
        <f t="shared" si="322"/>
        <v>17084.639296577243</v>
      </c>
      <c r="N700" s="235" t="s">
        <v>315</v>
      </c>
      <c r="O700" s="100" t="s">
        <v>175</v>
      </c>
    </row>
    <row r="701" spans="1:15">
      <c r="A701" s="242" t="s">
        <v>120</v>
      </c>
      <c r="B701" s="235">
        <f t="shared" ref="B701:M701" si="323">B176</f>
        <v>5283.8829812484964</v>
      </c>
      <c r="C701" s="235">
        <f t="shared" si="323"/>
        <v>11148.018150480877</v>
      </c>
      <c r="D701" s="235">
        <f t="shared" si="323"/>
        <v>15215.136033501718</v>
      </c>
      <c r="E701" s="235">
        <f t="shared" si="323"/>
        <v>18713.987126745513</v>
      </c>
      <c r="F701" s="235">
        <f t="shared" si="323"/>
        <v>24954.02659365963</v>
      </c>
      <c r="G701" s="235">
        <f t="shared" si="323"/>
        <v>28100.588555790535</v>
      </c>
      <c r="H701" s="235">
        <f t="shared" si="323"/>
        <v>31522.111771530785</v>
      </c>
      <c r="I701" s="235">
        <f t="shared" si="323"/>
        <v>36266.400608580429</v>
      </c>
      <c r="J701" s="235">
        <f t="shared" si="323"/>
        <v>41328.958044633197</v>
      </c>
      <c r="K701" s="235">
        <f t="shared" si="323"/>
        <v>48147.634277788202</v>
      </c>
      <c r="L701" s="235">
        <f t="shared" si="323"/>
        <v>52795.927969631215</v>
      </c>
      <c r="M701" s="235">
        <f t="shared" si="323"/>
        <v>56749.988584381543</v>
      </c>
      <c r="N701" s="235" t="s">
        <v>315</v>
      </c>
      <c r="O701" s="100" t="s">
        <v>175</v>
      </c>
    </row>
    <row r="702" spans="1:15">
      <c r="A702" s="242" t="s">
        <v>121</v>
      </c>
      <c r="B702" s="235">
        <f t="shared" ref="B702:M702" si="324">B177</f>
        <v>1411.4579040994322</v>
      </c>
      <c r="C702" s="235">
        <f t="shared" si="324"/>
        <v>3214.9135496959429</v>
      </c>
      <c r="D702" s="235">
        <f t="shared" si="324"/>
        <v>5122.3793466819252</v>
      </c>
      <c r="E702" s="235">
        <f t="shared" si="324"/>
        <v>6244.9411952503806</v>
      </c>
      <c r="F702" s="235">
        <f t="shared" si="324"/>
        <v>7821.1819423059205</v>
      </c>
      <c r="G702" s="235">
        <f t="shared" si="324"/>
        <v>9818.1545247648046</v>
      </c>
      <c r="H702" s="235">
        <f t="shared" si="324"/>
        <v>11329.844497624365</v>
      </c>
      <c r="I702" s="235">
        <f t="shared" si="324"/>
        <v>14958.686830141267</v>
      </c>
      <c r="J702" s="235">
        <f t="shared" si="324"/>
        <v>17091.902388423594</v>
      </c>
      <c r="K702" s="235">
        <f t="shared" si="324"/>
        <v>19218.796597294153</v>
      </c>
      <c r="L702" s="235">
        <f t="shared" si="324"/>
        <v>21275.257146649703</v>
      </c>
      <c r="M702" s="235">
        <f t="shared" si="324"/>
        <v>23401.315206802024</v>
      </c>
      <c r="N702" s="235" t="s">
        <v>315</v>
      </c>
      <c r="O702" s="100" t="s">
        <v>175</v>
      </c>
    </row>
    <row r="703" spans="1:15">
      <c r="A703" s="242" t="s">
        <v>122</v>
      </c>
      <c r="B703" s="235">
        <f t="shared" ref="B703:M703" si="325">B178</f>
        <v>5162.5239738362106</v>
      </c>
      <c r="C703" s="235">
        <f t="shared" si="325"/>
        <v>10126.121540503442</v>
      </c>
      <c r="D703" s="235">
        <f t="shared" si="325"/>
        <v>14509.796444245962</v>
      </c>
      <c r="E703" s="235">
        <f t="shared" si="325"/>
        <v>18100.855075774765</v>
      </c>
      <c r="F703" s="235">
        <f t="shared" si="325"/>
        <v>21824.293077529943</v>
      </c>
      <c r="G703" s="235">
        <f t="shared" si="325"/>
        <v>25766.939255865949</v>
      </c>
      <c r="H703" s="235">
        <f t="shared" si="325"/>
        <v>29862.542756627052</v>
      </c>
      <c r="I703" s="235">
        <f t="shared" si="325"/>
        <v>35968.742284441811</v>
      </c>
      <c r="J703" s="235">
        <f t="shared" si="325"/>
        <v>40861.506872415004</v>
      </c>
      <c r="K703" s="235">
        <f t="shared" si="325"/>
        <v>46830.826090273673</v>
      </c>
      <c r="L703" s="235">
        <f t="shared" si="325"/>
        <v>51919.446266914791</v>
      </c>
      <c r="M703" s="235">
        <f t="shared" si="325"/>
        <v>57790.974249012768</v>
      </c>
      <c r="N703" s="235" t="s">
        <v>315</v>
      </c>
      <c r="O703" s="100" t="s">
        <v>175</v>
      </c>
    </row>
    <row r="704" spans="1:15">
      <c r="A704" s="242" t="s">
        <v>123</v>
      </c>
      <c r="B704" s="235">
        <f t="shared" ref="B704:M704" si="326">B179</f>
        <v>17465.651704284188</v>
      </c>
      <c r="C704" s="235">
        <f t="shared" si="326"/>
        <v>32779.208356601484</v>
      </c>
      <c r="D704" s="235">
        <f t="shared" si="326"/>
        <v>44760.602653029186</v>
      </c>
      <c r="E704" s="235">
        <f t="shared" si="326"/>
        <v>56248.497800580619</v>
      </c>
      <c r="F704" s="235">
        <f t="shared" si="326"/>
        <v>67169.56450078699</v>
      </c>
      <c r="G704" s="235">
        <f t="shared" si="326"/>
        <v>77187.399499325649</v>
      </c>
      <c r="H704" s="235">
        <f t="shared" si="326"/>
        <v>90179.557279391112</v>
      </c>
      <c r="I704" s="235">
        <f t="shared" si="326"/>
        <v>107134.2247943751</v>
      </c>
      <c r="J704" s="235">
        <f t="shared" si="326"/>
        <v>118245.18443793524</v>
      </c>
      <c r="K704" s="235">
        <f t="shared" si="326"/>
        <v>133684.37799792967</v>
      </c>
      <c r="L704" s="235">
        <f t="shared" si="326"/>
        <v>148154.54062263385</v>
      </c>
      <c r="M704" s="235">
        <f t="shared" si="326"/>
        <v>164981.75209107425</v>
      </c>
      <c r="N704" s="235" t="s">
        <v>315</v>
      </c>
      <c r="O704" s="100" t="s">
        <v>175</v>
      </c>
    </row>
    <row r="705" spans="1:15">
      <c r="A705" s="242" t="s">
        <v>124</v>
      </c>
      <c r="B705" s="235">
        <f t="shared" ref="B705:M705" si="327">B180</f>
        <v>6070.2332682142714</v>
      </c>
      <c r="C705" s="235">
        <f t="shared" si="327"/>
        <v>18805.14686976311</v>
      </c>
      <c r="D705" s="235">
        <f t="shared" si="327"/>
        <v>27923.96699452454</v>
      </c>
      <c r="E705" s="235">
        <f t="shared" si="327"/>
        <v>33333.625569374402</v>
      </c>
      <c r="F705" s="235">
        <f t="shared" si="327"/>
        <v>38177.036703304977</v>
      </c>
      <c r="G705" s="235">
        <f t="shared" si="327"/>
        <v>45232.458011784242</v>
      </c>
      <c r="H705" s="235">
        <f t="shared" si="327"/>
        <v>53792.789200966057</v>
      </c>
      <c r="I705" s="235">
        <f t="shared" si="327"/>
        <v>61964.056160773129</v>
      </c>
      <c r="J705" s="235">
        <f t="shared" si="327"/>
        <v>67976.283535746828</v>
      </c>
      <c r="K705" s="235">
        <f t="shared" si="327"/>
        <v>75116.755686868113</v>
      </c>
      <c r="L705" s="235">
        <f t="shared" si="327"/>
        <v>83045.063198105854</v>
      </c>
      <c r="M705" s="235">
        <f t="shared" si="327"/>
        <v>91748.68333010051</v>
      </c>
      <c r="N705" s="235" t="s">
        <v>315</v>
      </c>
      <c r="O705" s="100" t="s">
        <v>175</v>
      </c>
    </row>
    <row r="706" spans="1:15">
      <c r="A706" s="242" t="s">
        <v>125</v>
      </c>
      <c r="B706" s="235">
        <f t="shared" ref="B706:M706" si="328">B181</f>
        <v>13878.533880233199</v>
      </c>
      <c r="C706" s="235">
        <f t="shared" si="328"/>
        <v>28258.339613545642</v>
      </c>
      <c r="D706" s="235">
        <f t="shared" si="328"/>
        <v>42085.329594418734</v>
      </c>
      <c r="E706" s="235">
        <f t="shared" si="328"/>
        <v>52996.314655436268</v>
      </c>
      <c r="F706" s="235">
        <f t="shared" si="328"/>
        <v>64281.759836143072</v>
      </c>
      <c r="G706" s="235">
        <f t="shared" si="328"/>
        <v>76272.558679870723</v>
      </c>
      <c r="H706" s="235">
        <f t="shared" si="328"/>
        <v>88258.924612522896</v>
      </c>
      <c r="I706" s="235">
        <f t="shared" si="328"/>
        <v>102111.86220877572</v>
      </c>
      <c r="J706" s="235">
        <f t="shared" si="328"/>
        <v>112350.82477612511</v>
      </c>
      <c r="K706" s="235">
        <f t="shared" si="328"/>
        <v>127087.94445302256</v>
      </c>
      <c r="L706" s="235">
        <f t="shared" si="328"/>
        <v>142997.0200421378</v>
      </c>
      <c r="M706" s="235">
        <f t="shared" si="328"/>
        <v>159637.62123348564</v>
      </c>
      <c r="N706" s="235" t="s">
        <v>315</v>
      </c>
      <c r="O706" s="100" t="s">
        <v>175</v>
      </c>
    </row>
    <row r="707" spans="1:15">
      <c r="A707" s="242" t="s">
        <v>126</v>
      </c>
      <c r="B707" s="235">
        <f t="shared" ref="B707:M707" si="329">B182</f>
        <v>7643.2466303348147</v>
      </c>
      <c r="C707" s="235">
        <f t="shared" si="329"/>
        <v>13779.271412225413</v>
      </c>
      <c r="D707" s="235">
        <f t="shared" si="329"/>
        <v>21068.488880821893</v>
      </c>
      <c r="E707" s="235">
        <f t="shared" si="329"/>
        <v>26068.762614653591</v>
      </c>
      <c r="F707" s="235">
        <f t="shared" si="329"/>
        <v>32397.79093157758</v>
      </c>
      <c r="G707" s="235">
        <f t="shared" si="329"/>
        <v>39100.418489814896</v>
      </c>
      <c r="H707" s="235">
        <f t="shared" si="329"/>
        <v>47317.123821146182</v>
      </c>
      <c r="I707" s="235">
        <f t="shared" si="329"/>
        <v>60380.51884997444</v>
      </c>
      <c r="J707" s="235">
        <f t="shared" si="329"/>
        <v>72252.255854653122</v>
      </c>
      <c r="K707" s="235">
        <f t="shared" si="329"/>
        <v>84013.382620506687</v>
      </c>
      <c r="L707" s="235">
        <f t="shared" si="329"/>
        <v>98563.609563343547</v>
      </c>
      <c r="M707" s="235">
        <f t="shared" si="329"/>
        <v>114509.47847142143</v>
      </c>
      <c r="N707" s="235" t="s">
        <v>315</v>
      </c>
      <c r="O707" s="100" t="s">
        <v>175</v>
      </c>
    </row>
    <row r="708" spans="1:15">
      <c r="A708" s="242" t="s">
        <v>127</v>
      </c>
      <c r="B708" s="235">
        <f t="shared" ref="B708:M708" si="330">B183</f>
        <v>9577.410938664183</v>
      </c>
      <c r="C708" s="235">
        <f t="shared" si="330"/>
        <v>19443.446471703417</v>
      </c>
      <c r="D708" s="235">
        <f t="shared" si="330"/>
        <v>27746.518053080501</v>
      </c>
      <c r="E708" s="235">
        <f t="shared" si="330"/>
        <v>36039.141225635933</v>
      </c>
      <c r="F708" s="235">
        <f t="shared" si="330"/>
        <v>43246.838792742899</v>
      </c>
      <c r="G708" s="235">
        <f t="shared" si="330"/>
        <v>50588.023438667507</v>
      </c>
      <c r="H708" s="235">
        <f t="shared" si="330"/>
        <v>62317.358293784695</v>
      </c>
      <c r="I708" s="235">
        <f t="shared" si="330"/>
        <v>75040.136065554325</v>
      </c>
      <c r="J708" s="235">
        <f t="shared" si="330"/>
        <v>84462.836040274473</v>
      </c>
      <c r="K708" s="235">
        <f t="shared" si="330"/>
        <v>95052.814761380956</v>
      </c>
      <c r="L708" s="235">
        <f t="shared" si="330"/>
        <v>106117.78995406421</v>
      </c>
      <c r="M708" s="235">
        <f t="shared" si="330"/>
        <v>120664.69178961852</v>
      </c>
      <c r="N708" s="235" t="s">
        <v>315</v>
      </c>
      <c r="O708" s="100" t="s">
        <v>175</v>
      </c>
    </row>
    <row r="709" spans="1:15">
      <c r="A709" s="242" t="s">
        <v>128</v>
      </c>
      <c r="B709" s="235">
        <f t="shared" ref="B709:M709" si="331">B184</f>
        <v>3939.3857420313966</v>
      </c>
      <c r="C709" s="235">
        <f t="shared" si="331"/>
        <v>6631.9969254692387</v>
      </c>
      <c r="D709" s="235">
        <f t="shared" si="331"/>
        <v>9955.7151559909453</v>
      </c>
      <c r="E709" s="235">
        <f t="shared" si="331"/>
        <v>12303.955180614837</v>
      </c>
      <c r="F709" s="235">
        <f t="shared" si="331"/>
        <v>14693.31806501448</v>
      </c>
      <c r="G709" s="235">
        <f t="shared" si="331"/>
        <v>17312.159210284965</v>
      </c>
      <c r="H709" s="235">
        <f t="shared" si="331"/>
        <v>22942.648096503006</v>
      </c>
      <c r="I709" s="235">
        <f t="shared" si="331"/>
        <v>27873.756728673372</v>
      </c>
      <c r="J709" s="235">
        <f t="shared" si="331"/>
        <v>32006.994292083593</v>
      </c>
      <c r="K709" s="235">
        <f t="shared" si="331"/>
        <v>36668.861294603164</v>
      </c>
      <c r="L709" s="235">
        <f t="shared" si="331"/>
        <v>42054.034444557517</v>
      </c>
      <c r="M709" s="235">
        <f t="shared" si="331"/>
        <v>47184.094856533498</v>
      </c>
      <c r="N709" s="235" t="s">
        <v>315</v>
      </c>
      <c r="O709" s="100" t="s">
        <v>175</v>
      </c>
    </row>
    <row r="710" spans="1:15">
      <c r="A710" s="242" t="s">
        <v>129</v>
      </c>
      <c r="B710" s="235">
        <f t="shared" ref="B710:M710" si="332">B185</f>
        <v>12455.499135078891</v>
      </c>
      <c r="C710" s="235">
        <f t="shared" si="332"/>
        <v>24822.942497840755</v>
      </c>
      <c r="D710" s="235">
        <f t="shared" si="332"/>
        <v>38178.181143451016</v>
      </c>
      <c r="E710" s="235">
        <f t="shared" si="332"/>
        <v>47169.883967473128</v>
      </c>
      <c r="F710" s="235">
        <f t="shared" si="332"/>
        <v>58668.081948666062</v>
      </c>
      <c r="G710" s="235">
        <f t="shared" si="332"/>
        <v>68798.020099814807</v>
      </c>
      <c r="H710" s="235">
        <f t="shared" si="332"/>
        <v>76793.601424797074</v>
      </c>
      <c r="I710" s="235">
        <f t="shared" si="332"/>
        <v>89564.831477871878</v>
      </c>
      <c r="J710" s="235">
        <f t="shared" si="332"/>
        <v>99634.269706986626</v>
      </c>
      <c r="K710" s="235">
        <f t="shared" si="332"/>
        <v>113797.65589373992</v>
      </c>
      <c r="L710" s="235">
        <f t="shared" si="332"/>
        <v>130635.84237368015</v>
      </c>
      <c r="M710" s="235">
        <f t="shared" si="332"/>
        <v>143649.94708332894</v>
      </c>
      <c r="N710" s="235" t="s">
        <v>315</v>
      </c>
      <c r="O710" s="100" t="s">
        <v>175</v>
      </c>
    </row>
    <row r="711" spans="1:15">
      <c r="A711" s="242" t="s">
        <v>130</v>
      </c>
      <c r="B711" s="235">
        <f t="shared" ref="B711:M711" si="333">B186</f>
        <v>10180.673159198062</v>
      </c>
      <c r="C711" s="235">
        <f t="shared" si="333"/>
        <v>20930.360350579853</v>
      </c>
      <c r="D711" s="235">
        <f t="shared" si="333"/>
        <v>29215.764837906354</v>
      </c>
      <c r="E711" s="235">
        <f t="shared" si="333"/>
        <v>40050.260907640004</v>
      </c>
      <c r="F711" s="235">
        <f t="shared" si="333"/>
        <v>50913.905654016911</v>
      </c>
      <c r="G711" s="235">
        <f t="shared" si="333"/>
        <v>67059.168125167766</v>
      </c>
      <c r="H711" s="235">
        <f t="shared" si="333"/>
        <v>77943.932025900111</v>
      </c>
      <c r="I711" s="235">
        <f t="shared" si="333"/>
        <v>91217.200186171685</v>
      </c>
      <c r="J711" s="235">
        <f t="shared" si="333"/>
        <v>103738.59359126129</v>
      </c>
      <c r="K711" s="235">
        <f t="shared" si="333"/>
        <v>117490.37761130309</v>
      </c>
      <c r="L711" s="235">
        <f t="shared" si="333"/>
        <v>130617.62278496788</v>
      </c>
      <c r="M711" s="235">
        <f t="shared" si="333"/>
        <v>142764.30607567923</v>
      </c>
      <c r="N711" s="235" t="s">
        <v>315</v>
      </c>
      <c r="O711" s="100" t="s">
        <v>175</v>
      </c>
    </row>
    <row r="712" spans="1:15">
      <c r="A712" s="242" t="s">
        <v>131</v>
      </c>
      <c r="B712" s="235">
        <f t="shared" ref="B712:M712" si="334">B187</f>
        <v>48739.235644647488</v>
      </c>
      <c r="C712" s="235">
        <f t="shared" si="334"/>
        <v>82289.166255088989</v>
      </c>
      <c r="D712" s="235">
        <f t="shared" si="334"/>
        <v>119724.74741457935</v>
      </c>
      <c r="E712" s="235">
        <f t="shared" si="334"/>
        <v>146459.43943015256</v>
      </c>
      <c r="F712" s="235">
        <f t="shared" si="334"/>
        <v>180304.80036321364</v>
      </c>
      <c r="G712" s="235">
        <f t="shared" si="334"/>
        <v>210746.97273731511</v>
      </c>
      <c r="H712" s="235">
        <f t="shared" si="334"/>
        <v>240927.32592197665</v>
      </c>
      <c r="I712" s="235">
        <f t="shared" si="334"/>
        <v>274839.56546949962</v>
      </c>
      <c r="J712" s="235">
        <f t="shared" si="334"/>
        <v>306147.49960172892</v>
      </c>
      <c r="K712" s="235">
        <f t="shared" si="334"/>
        <v>345248.35976297426</v>
      </c>
      <c r="L712" s="235">
        <f t="shared" si="334"/>
        <v>389539.84797962906</v>
      </c>
      <c r="M712" s="235">
        <f t="shared" si="334"/>
        <v>425769.30358290905</v>
      </c>
      <c r="N712" s="235" t="s">
        <v>315</v>
      </c>
      <c r="O712" s="100" t="s">
        <v>175</v>
      </c>
    </row>
    <row r="713" spans="1:15">
      <c r="A713" s="242" t="s">
        <v>132</v>
      </c>
      <c r="B713" s="235">
        <f t="shared" ref="B713:M713" si="335">B188</f>
        <v>8339.0484908376566</v>
      </c>
      <c r="C713" s="235">
        <f t="shared" si="335"/>
        <v>15461.331077877479</v>
      </c>
      <c r="D713" s="235">
        <f t="shared" si="335"/>
        <v>21648.40148605248</v>
      </c>
      <c r="E713" s="235">
        <f t="shared" si="335"/>
        <v>26318.348625387756</v>
      </c>
      <c r="F713" s="235">
        <f t="shared" si="335"/>
        <v>32346.577600386667</v>
      </c>
      <c r="G713" s="235">
        <f t="shared" si="335"/>
        <v>37935.708430204504</v>
      </c>
      <c r="H713" s="235">
        <f t="shared" si="335"/>
        <v>43696.164972988692</v>
      </c>
      <c r="I713" s="235">
        <f t="shared" si="335"/>
        <v>49927.767902257452</v>
      </c>
      <c r="J713" s="235">
        <f t="shared" si="335"/>
        <v>57418.08954574143</v>
      </c>
      <c r="K713" s="235">
        <f t="shared" si="335"/>
        <v>64351.197145581616</v>
      </c>
      <c r="L713" s="235">
        <f t="shared" si="335"/>
        <v>73663.114836356792</v>
      </c>
      <c r="M713" s="235">
        <f t="shared" si="335"/>
        <v>80089.879449208631</v>
      </c>
      <c r="N713" s="235" t="s">
        <v>315</v>
      </c>
      <c r="O713" s="100" t="s">
        <v>175</v>
      </c>
    </row>
    <row r="714" spans="1:15">
      <c r="A714" s="242" t="s">
        <v>133</v>
      </c>
      <c r="B714" s="235">
        <f t="shared" ref="B714:M714" si="336">B189</f>
        <v>6271.9361670476246</v>
      </c>
      <c r="C714" s="235">
        <f t="shared" si="336"/>
        <v>11621.56384317326</v>
      </c>
      <c r="D714" s="235">
        <f t="shared" si="336"/>
        <v>18453.823584260641</v>
      </c>
      <c r="E714" s="235">
        <f t="shared" si="336"/>
        <v>26286.332030062091</v>
      </c>
      <c r="F714" s="235">
        <f t="shared" si="336"/>
        <v>31479.386637795145</v>
      </c>
      <c r="G714" s="235">
        <f t="shared" si="336"/>
        <v>38968.553813155282</v>
      </c>
      <c r="H714" s="235">
        <f t="shared" si="336"/>
        <v>44569.829019251018</v>
      </c>
      <c r="I714" s="235">
        <f t="shared" si="336"/>
        <v>51555.578353129647</v>
      </c>
      <c r="J714" s="235">
        <f t="shared" si="336"/>
        <v>57452.544083343222</v>
      </c>
      <c r="K714" s="235">
        <f t="shared" si="336"/>
        <v>64474.558272904047</v>
      </c>
      <c r="L714" s="235">
        <f t="shared" si="336"/>
        <v>71362.939608053144</v>
      </c>
      <c r="M714" s="235">
        <f t="shared" si="336"/>
        <v>78432.371733313834</v>
      </c>
      <c r="N714" s="235" t="s">
        <v>315</v>
      </c>
      <c r="O714" s="100" t="s">
        <v>175</v>
      </c>
    </row>
    <row r="715" spans="1:15">
      <c r="A715" s="242" t="s">
        <v>134</v>
      </c>
      <c r="B715" s="235">
        <f t="shared" ref="B715:M715" si="337">B190</f>
        <v>43740.143204110143</v>
      </c>
      <c r="C715" s="235">
        <f t="shared" si="337"/>
        <v>85038.070948620094</v>
      </c>
      <c r="D715" s="235">
        <f t="shared" si="337"/>
        <v>120439.90141766485</v>
      </c>
      <c r="E715" s="235">
        <f t="shared" si="337"/>
        <v>158477.8749680304</v>
      </c>
      <c r="F715" s="235">
        <f t="shared" si="337"/>
        <v>187226.72431797409</v>
      </c>
      <c r="G715" s="235">
        <f t="shared" si="337"/>
        <v>222217.09850159971</v>
      </c>
      <c r="H715" s="235">
        <f t="shared" si="337"/>
        <v>259123.25326580467</v>
      </c>
      <c r="I715" s="235">
        <f t="shared" si="337"/>
        <v>300775.40839689103</v>
      </c>
      <c r="J715" s="235">
        <f t="shared" si="337"/>
        <v>335347.95612306765</v>
      </c>
      <c r="K715" s="235">
        <f t="shared" si="337"/>
        <v>383202.19329033198</v>
      </c>
      <c r="L715" s="235">
        <f t="shared" si="337"/>
        <v>430861.14222439111</v>
      </c>
      <c r="M715" s="235">
        <f t="shared" si="337"/>
        <v>484595.29265714326</v>
      </c>
      <c r="N715" s="235" t="s">
        <v>315</v>
      </c>
      <c r="O715" s="100" t="s">
        <v>175</v>
      </c>
    </row>
    <row r="716" spans="1:15">
      <c r="A716" s="242" t="s">
        <v>135</v>
      </c>
      <c r="B716" s="235">
        <f t="shared" ref="B716:M716" si="338">B191</f>
        <v>15166.87713079346</v>
      </c>
      <c r="C716" s="235">
        <f t="shared" si="338"/>
        <v>27364.391382747952</v>
      </c>
      <c r="D716" s="235">
        <f t="shared" si="338"/>
        <v>39936.87292346816</v>
      </c>
      <c r="E716" s="235">
        <f t="shared" si="338"/>
        <v>50845.553622492138</v>
      </c>
      <c r="F716" s="235">
        <f t="shared" si="338"/>
        <v>62352.001184613284</v>
      </c>
      <c r="G716" s="235">
        <f t="shared" si="338"/>
        <v>72405.675141418673</v>
      </c>
      <c r="H716" s="235">
        <f t="shared" si="338"/>
        <v>83195.186566574164</v>
      </c>
      <c r="I716" s="235">
        <f t="shared" si="338"/>
        <v>97563.755126760734</v>
      </c>
      <c r="J716" s="235">
        <f t="shared" si="338"/>
        <v>107237.31584571126</v>
      </c>
      <c r="K716" s="235">
        <f t="shared" si="338"/>
        <v>116957.4731959312</v>
      </c>
      <c r="L716" s="235">
        <f t="shared" si="338"/>
        <v>128708.70868345648</v>
      </c>
      <c r="M716" s="235">
        <f t="shared" si="338"/>
        <v>142288.06677509737</v>
      </c>
      <c r="N716" s="235" t="s">
        <v>315</v>
      </c>
      <c r="O716" s="100" t="s">
        <v>175</v>
      </c>
    </row>
    <row r="717" spans="1:15">
      <c r="A717" s="242" t="s">
        <v>136</v>
      </c>
      <c r="B717" s="235">
        <f t="shared" ref="B717:M717" si="339">B192</f>
        <v>4247.5767948457369</v>
      </c>
      <c r="C717" s="235">
        <f t="shared" si="339"/>
        <v>8842.1664048564107</v>
      </c>
      <c r="D717" s="235">
        <f t="shared" si="339"/>
        <v>11908.231894912222</v>
      </c>
      <c r="E717" s="235">
        <f t="shared" si="339"/>
        <v>14112.472869449222</v>
      </c>
      <c r="F717" s="235">
        <f t="shared" si="339"/>
        <v>17583.740582541843</v>
      </c>
      <c r="G717" s="235">
        <f t="shared" si="339"/>
        <v>20938.301822691759</v>
      </c>
      <c r="H717" s="235">
        <f t="shared" si="339"/>
        <v>23759.961628433899</v>
      </c>
      <c r="I717" s="235">
        <f t="shared" si="339"/>
        <v>27444.973907836655</v>
      </c>
      <c r="J717" s="235">
        <f t="shared" si="339"/>
        <v>30433.863806345889</v>
      </c>
      <c r="K717" s="235">
        <f t="shared" si="339"/>
        <v>32895.48253127504</v>
      </c>
      <c r="L717" s="235">
        <f t="shared" si="339"/>
        <v>35913.17251307104</v>
      </c>
      <c r="M717" s="235">
        <f t="shared" si="339"/>
        <v>39059.435092816355</v>
      </c>
      <c r="N717" s="235" t="s">
        <v>315</v>
      </c>
      <c r="O717" s="100" t="s">
        <v>175</v>
      </c>
    </row>
    <row r="718" spans="1:15">
      <c r="A718" s="242" t="s">
        <v>137</v>
      </c>
      <c r="B718" s="235">
        <f t="shared" ref="B718:M718" si="340">B193</f>
        <v>46986.62425207279</v>
      </c>
      <c r="C718" s="235">
        <f t="shared" si="340"/>
        <v>86380.558787126356</v>
      </c>
      <c r="D718" s="235">
        <f t="shared" si="340"/>
        <v>118623.11104279436</v>
      </c>
      <c r="E718" s="235">
        <f t="shared" si="340"/>
        <v>157459.16574903639</v>
      </c>
      <c r="F718" s="235">
        <f t="shared" si="340"/>
        <v>198045.60368021217</v>
      </c>
      <c r="G718" s="235">
        <f t="shared" si="340"/>
        <v>241994.30483892703</v>
      </c>
      <c r="H718" s="235">
        <f t="shared" si="340"/>
        <v>285388.76248935424</v>
      </c>
      <c r="I718" s="235">
        <f t="shared" si="340"/>
        <v>344523.49269222218</v>
      </c>
      <c r="J718" s="235">
        <f t="shared" si="340"/>
        <v>389519.23078749503</v>
      </c>
      <c r="K718" s="235">
        <f t="shared" si="340"/>
        <v>447495.1370671402</v>
      </c>
      <c r="L718" s="235">
        <f t="shared" si="340"/>
        <v>494967.56207021908</v>
      </c>
      <c r="M718" s="235">
        <f t="shared" si="340"/>
        <v>548474.59426024347</v>
      </c>
      <c r="N718" s="235" t="s">
        <v>315</v>
      </c>
      <c r="O718" s="100" t="s">
        <v>175</v>
      </c>
    </row>
    <row r="719" spans="1:15">
      <c r="A719" s="242" t="s">
        <v>138</v>
      </c>
      <c r="B719" s="235">
        <f t="shared" ref="B719:M719" si="341">B194</f>
        <v>7264.0748616976862</v>
      </c>
      <c r="C719" s="235">
        <f t="shared" si="341"/>
        <v>14433.89335288509</v>
      </c>
      <c r="D719" s="235">
        <f t="shared" si="341"/>
        <v>22322.713633371528</v>
      </c>
      <c r="E719" s="235">
        <f t="shared" si="341"/>
        <v>26549.180606084075</v>
      </c>
      <c r="F719" s="235">
        <f t="shared" si="341"/>
        <v>31180.430283945927</v>
      </c>
      <c r="G719" s="235">
        <f t="shared" si="341"/>
        <v>35887.671284497454</v>
      </c>
      <c r="H719" s="235">
        <f t="shared" si="341"/>
        <v>42413.850730809078</v>
      </c>
      <c r="I719" s="235">
        <f t="shared" si="341"/>
        <v>48999.416987139142</v>
      </c>
      <c r="J719" s="235">
        <f t="shared" si="341"/>
        <v>55768.981558870895</v>
      </c>
      <c r="K719" s="235">
        <f t="shared" si="341"/>
        <v>61648.523501116339</v>
      </c>
      <c r="L719" s="235">
        <f t="shared" si="341"/>
        <v>69282.762422196785</v>
      </c>
      <c r="M719" s="235">
        <f t="shared" si="341"/>
        <v>75210.732779394282</v>
      </c>
      <c r="N719" s="235" t="s">
        <v>315</v>
      </c>
      <c r="O719" s="100" t="s">
        <v>175</v>
      </c>
    </row>
    <row r="720" spans="1:15">
      <c r="A720" s="242" t="s">
        <v>139</v>
      </c>
      <c r="B720" s="235">
        <f t="shared" ref="B720:M720" si="342">B195</f>
        <v>59475.523627306502</v>
      </c>
      <c r="C720" s="235">
        <f t="shared" si="342"/>
        <v>106944.99833733261</v>
      </c>
      <c r="D720" s="235">
        <f t="shared" si="342"/>
        <v>153438.10486827741</v>
      </c>
      <c r="E720" s="235">
        <f t="shared" si="342"/>
        <v>198387.00985239469</v>
      </c>
      <c r="F720" s="235">
        <f t="shared" si="342"/>
        <v>250050.91370268748</v>
      </c>
      <c r="G720" s="235">
        <f t="shared" si="342"/>
        <v>297473.66643146769</v>
      </c>
      <c r="H720" s="235">
        <f t="shared" si="342"/>
        <v>357716.09962382331</v>
      </c>
      <c r="I720" s="235">
        <f t="shared" si="342"/>
        <v>415846.87527023588</v>
      </c>
      <c r="J720" s="235">
        <f t="shared" si="342"/>
        <v>467370.56229501788</v>
      </c>
      <c r="K720" s="235">
        <f t="shared" si="342"/>
        <v>535899.94793385069</v>
      </c>
      <c r="L720" s="235">
        <f t="shared" si="342"/>
        <v>601634.96245530469</v>
      </c>
      <c r="M720" s="235">
        <f t="shared" si="342"/>
        <v>672063.88050079718</v>
      </c>
      <c r="N720" s="235" t="s">
        <v>315</v>
      </c>
      <c r="O720" s="100" t="s">
        <v>175</v>
      </c>
    </row>
    <row r="721" spans="1:15">
      <c r="A721" s="242" t="s">
        <v>140</v>
      </c>
      <c r="B721" s="235">
        <f t="shared" ref="B721:M721" si="343">B196</f>
        <v>4591.8783621711591</v>
      </c>
      <c r="C721" s="235">
        <f t="shared" si="343"/>
        <v>6563.3093626972013</v>
      </c>
      <c r="D721" s="235">
        <f t="shared" si="343"/>
        <v>9280.4924371604557</v>
      </c>
      <c r="E721" s="235">
        <f t="shared" si="343"/>
        <v>11485.25379431578</v>
      </c>
      <c r="F721" s="235">
        <f t="shared" si="343"/>
        <v>14699.104148173603</v>
      </c>
      <c r="G721" s="235">
        <f t="shared" si="343"/>
        <v>18507.18092235384</v>
      </c>
      <c r="H721" s="235">
        <f t="shared" si="343"/>
        <v>22142.797400708325</v>
      </c>
      <c r="I721" s="235">
        <f t="shared" si="343"/>
        <v>27325.113930569212</v>
      </c>
      <c r="J721" s="235">
        <f t="shared" si="343"/>
        <v>31747.465025305868</v>
      </c>
      <c r="K721" s="235">
        <f t="shared" si="343"/>
        <v>35853.344450105178</v>
      </c>
      <c r="L721" s="235">
        <f t="shared" si="343"/>
        <v>40146.687537707279</v>
      </c>
      <c r="M721" s="235">
        <f t="shared" si="343"/>
        <v>45289.310463459369</v>
      </c>
      <c r="N721" s="235" t="s">
        <v>315</v>
      </c>
      <c r="O721" s="100" t="s">
        <v>175</v>
      </c>
    </row>
    <row r="722" spans="1:15">
      <c r="A722" s="242" t="s">
        <v>141</v>
      </c>
      <c r="B722" s="235">
        <f t="shared" ref="B722:M722" si="344">B197</f>
        <v>944.20472213558617</v>
      </c>
      <c r="C722" s="235">
        <f t="shared" si="344"/>
        <v>1721.8390354896869</v>
      </c>
      <c r="D722" s="235">
        <f t="shared" si="344"/>
        <v>2710.1056222768821</v>
      </c>
      <c r="E722" s="235">
        <f t="shared" si="344"/>
        <v>3310.5947364376698</v>
      </c>
      <c r="F722" s="235">
        <f t="shared" si="344"/>
        <v>3544.5150739254341</v>
      </c>
      <c r="G722" s="235">
        <f t="shared" si="344"/>
        <v>4047.1328057977094</v>
      </c>
      <c r="H722" s="235">
        <f t="shared" si="344"/>
        <v>5247.8296342092563</v>
      </c>
      <c r="I722" s="235">
        <f t="shared" si="344"/>
        <v>5689.5651223811938</v>
      </c>
      <c r="J722" s="235">
        <f t="shared" si="344"/>
        <v>6354.2658198056788</v>
      </c>
      <c r="K722" s="235">
        <f t="shared" si="344"/>
        <v>6971.8502911072173</v>
      </c>
      <c r="L722" s="235">
        <f t="shared" si="344"/>
        <v>8196.3897557499731</v>
      </c>
      <c r="M722" s="235">
        <f t="shared" si="344"/>
        <v>8968.0236995259693</v>
      </c>
      <c r="N722" s="235" t="s">
        <v>315</v>
      </c>
      <c r="O722" s="100" t="s">
        <v>175</v>
      </c>
    </row>
    <row r="723" spans="1:15">
      <c r="A723" s="242" t="s">
        <v>142</v>
      </c>
      <c r="B723" s="235">
        <f t="shared" ref="B723:M723" si="345">B198</f>
        <v>33022.205108242742</v>
      </c>
      <c r="C723" s="235">
        <f t="shared" si="345"/>
        <v>64934.704196401297</v>
      </c>
      <c r="D723" s="235">
        <f t="shared" si="345"/>
        <v>95783.50169990868</v>
      </c>
      <c r="E723" s="235">
        <f t="shared" si="345"/>
        <v>122487.34957796692</v>
      </c>
      <c r="F723" s="235">
        <f t="shared" si="345"/>
        <v>146812.45163323253</v>
      </c>
      <c r="G723" s="235">
        <f t="shared" si="345"/>
        <v>177583.33689179225</v>
      </c>
      <c r="H723" s="235">
        <f t="shared" si="345"/>
        <v>210399.8638157931</v>
      </c>
      <c r="I723" s="235">
        <f t="shared" si="345"/>
        <v>244856.58335755335</v>
      </c>
      <c r="J723" s="235">
        <f t="shared" si="345"/>
        <v>274452.52991670358</v>
      </c>
      <c r="K723" s="235">
        <f t="shared" si="345"/>
        <v>309309.58535532904</v>
      </c>
      <c r="L723" s="235">
        <f t="shared" si="345"/>
        <v>346633.36514165107</v>
      </c>
      <c r="M723" s="235">
        <f t="shared" si="345"/>
        <v>388527.29280460317</v>
      </c>
      <c r="N723" s="235" t="s">
        <v>315</v>
      </c>
      <c r="O723" s="100" t="s">
        <v>175</v>
      </c>
    </row>
    <row r="724" spans="1:15">
      <c r="A724" s="242" t="s">
        <v>143</v>
      </c>
      <c r="B724" s="235">
        <f t="shared" ref="B724:M724" si="346">B199</f>
        <v>269818.6564669924</v>
      </c>
      <c r="C724" s="235">
        <f t="shared" si="346"/>
        <v>408491.43639992626</v>
      </c>
      <c r="D724" s="235">
        <f t="shared" si="346"/>
        <v>541517.60608567868</v>
      </c>
      <c r="E724" s="235">
        <f t="shared" si="346"/>
        <v>674481.58299482614</v>
      </c>
      <c r="F724" s="235">
        <f t="shared" si="346"/>
        <v>807862.37246644194</v>
      </c>
      <c r="G724" s="235">
        <f t="shared" si="346"/>
        <v>934179.60909756529</v>
      </c>
      <c r="H724" s="235">
        <f t="shared" si="346"/>
        <v>1076596.9043341146</v>
      </c>
      <c r="I724" s="235">
        <f t="shared" si="346"/>
        <v>1236340.8743787026</v>
      </c>
      <c r="J724" s="235">
        <f t="shared" si="346"/>
        <v>1361266.7022168187</v>
      </c>
      <c r="K724" s="235">
        <f t="shared" si="346"/>
        <v>1588456.822600343</v>
      </c>
      <c r="L724" s="235">
        <f t="shared" si="346"/>
        <v>1763499.9384462158</v>
      </c>
      <c r="M724" s="235">
        <f t="shared" si="346"/>
        <v>1912014.7295731464</v>
      </c>
      <c r="N724" s="235" t="s">
        <v>315</v>
      </c>
      <c r="O724" s="100" t="s">
        <v>175</v>
      </c>
    </row>
    <row r="725" spans="1:15">
      <c r="A725" s="242" t="s">
        <v>144</v>
      </c>
      <c r="B725" s="235">
        <f t="shared" ref="B725:M725" si="347">B200</f>
        <v>6192.1994108039826</v>
      </c>
      <c r="C725" s="235">
        <f t="shared" si="347"/>
        <v>10176.523475836213</v>
      </c>
      <c r="D725" s="235">
        <f t="shared" si="347"/>
        <v>14793.528653094596</v>
      </c>
      <c r="E725" s="235">
        <f t="shared" si="347"/>
        <v>17376.898253219046</v>
      </c>
      <c r="F725" s="235">
        <f t="shared" si="347"/>
        <v>19869.668432839215</v>
      </c>
      <c r="G725" s="235">
        <f t="shared" si="347"/>
        <v>23715.348310946436</v>
      </c>
      <c r="H725" s="235">
        <f t="shared" si="347"/>
        <v>28177.15102223356</v>
      </c>
      <c r="I725" s="235">
        <f t="shared" si="347"/>
        <v>31608.404489752207</v>
      </c>
      <c r="J725" s="235">
        <f t="shared" si="347"/>
        <v>34829.175228436092</v>
      </c>
      <c r="K725" s="235">
        <f t="shared" si="347"/>
        <v>39310.970260681679</v>
      </c>
      <c r="L725" s="235">
        <f t="shared" si="347"/>
        <v>42856.37374354143</v>
      </c>
      <c r="M725" s="235">
        <f t="shared" si="347"/>
        <v>48106.262427072666</v>
      </c>
      <c r="N725" s="235" t="s">
        <v>315</v>
      </c>
      <c r="O725" s="100" t="s">
        <v>175</v>
      </c>
    </row>
    <row r="726" spans="1:15">
      <c r="A726" s="242" t="s">
        <v>145</v>
      </c>
      <c r="B726" s="235">
        <f t="shared" ref="B726:M726" si="348">B201</f>
        <v>2150.6233458965166</v>
      </c>
      <c r="C726" s="235">
        <f t="shared" si="348"/>
        <v>4069.8659953330703</v>
      </c>
      <c r="D726" s="235">
        <f t="shared" si="348"/>
        <v>6057.62591416336</v>
      </c>
      <c r="E726" s="235">
        <f t="shared" si="348"/>
        <v>7532.5642881700296</v>
      </c>
      <c r="F726" s="235">
        <f t="shared" si="348"/>
        <v>9015.8246085839637</v>
      </c>
      <c r="G726" s="235">
        <f t="shared" si="348"/>
        <v>11285.202284494913</v>
      </c>
      <c r="H726" s="235">
        <f t="shared" si="348"/>
        <v>13854.451007524094</v>
      </c>
      <c r="I726" s="235">
        <f t="shared" si="348"/>
        <v>17069.946790777438</v>
      </c>
      <c r="J726" s="235">
        <f t="shared" si="348"/>
        <v>19886.795536370217</v>
      </c>
      <c r="K726" s="235">
        <f t="shared" si="348"/>
        <v>24608.683298951182</v>
      </c>
      <c r="L726" s="235">
        <f t="shared" si="348"/>
        <v>28988.079274460317</v>
      </c>
      <c r="M726" s="235">
        <f t="shared" si="348"/>
        <v>32656.631975563709</v>
      </c>
      <c r="N726" s="235" t="s">
        <v>315</v>
      </c>
      <c r="O726" s="100" t="s">
        <v>175</v>
      </c>
    </row>
    <row r="727" spans="1:15">
      <c r="A727" s="254" t="s">
        <v>337</v>
      </c>
      <c r="B727" s="255">
        <f>AF34</f>
        <v>2150973.6500000004</v>
      </c>
      <c r="C727" s="255">
        <f t="shared" ref="C727:M727" si="349">AG34</f>
        <v>4429732.7740000002</v>
      </c>
      <c r="D727" s="255">
        <f t="shared" si="349"/>
        <v>5327800.7360000005</v>
      </c>
      <c r="E727" s="255">
        <f t="shared" si="349"/>
        <v>6337467.0480000004</v>
      </c>
      <c r="F727" s="255">
        <f t="shared" si="349"/>
        <v>0</v>
      </c>
      <c r="G727" s="255">
        <f t="shared" si="349"/>
        <v>0</v>
      </c>
      <c r="H727" s="255">
        <f t="shared" si="349"/>
        <v>0</v>
      </c>
      <c r="I727" s="255">
        <f t="shared" si="349"/>
        <v>0</v>
      </c>
      <c r="J727" s="255">
        <f t="shared" si="349"/>
        <v>0</v>
      </c>
      <c r="K727" s="255">
        <f t="shared" si="349"/>
        <v>0</v>
      </c>
      <c r="L727" s="255">
        <f t="shared" si="349"/>
        <v>0</v>
      </c>
      <c r="M727" s="255">
        <f t="shared" si="349"/>
        <v>0</v>
      </c>
      <c r="N727" s="255" t="s">
        <v>210</v>
      </c>
      <c r="O727" s="256" t="s">
        <v>284</v>
      </c>
    </row>
    <row r="728" spans="1:15">
      <c r="A728" s="254" t="s">
        <v>337</v>
      </c>
      <c r="B728" s="255">
        <f>Q34</f>
        <v>2946798.4149636142</v>
      </c>
      <c r="C728" s="255">
        <f t="shared" ref="C728:M728" si="350">R34</f>
        <v>5294260.6395542128</v>
      </c>
      <c r="D728" s="255">
        <f t="shared" si="350"/>
        <v>6542150.7762286877</v>
      </c>
      <c r="E728" s="255">
        <f t="shared" si="350"/>
        <v>7469336.0604690779</v>
      </c>
      <c r="F728" s="255">
        <f t="shared" si="350"/>
        <v>8772992.9866437633</v>
      </c>
      <c r="G728" s="255">
        <f t="shared" si="350"/>
        <v>9780685.1715515554</v>
      </c>
      <c r="H728" s="255">
        <f t="shared" si="350"/>
        <v>10116865.26966856</v>
      </c>
      <c r="I728" s="255">
        <f t="shared" si="350"/>
        <v>10462054.564563153</v>
      </c>
      <c r="J728" s="255">
        <f t="shared" si="350"/>
        <v>10713078.579349896</v>
      </c>
      <c r="K728" s="255">
        <f t="shared" si="350"/>
        <v>11013225.918035047</v>
      </c>
      <c r="L728" s="255">
        <f t="shared" si="350"/>
        <v>11274196.205300871</v>
      </c>
      <c r="M728" s="255">
        <f t="shared" si="350"/>
        <v>11497858.610766884</v>
      </c>
      <c r="N728" s="255" t="s">
        <v>209</v>
      </c>
      <c r="O728" s="256" t="s">
        <v>284</v>
      </c>
    </row>
    <row r="729" spans="1:15">
      <c r="A729" s="254" t="s">
        <v>337</v>
      </c>
      <c r="B729" s="255">
        <f>B34</f>
        <v>3929533.6748732072</v>
      </c>
      <c r="C729" s="255">
        <f t="shared" ref="C729:M729" si="351">C34</f>
        <v>6931348.7805286329</v>
      </c>
      <c r="D729" s="255">
        <f t="shared" si="351"/>
        <v>8531257.0348354839</v>
      </c>
      <c r="E729" s="255">
        <f t="shared" si="351"/>
        <v>9735640.4529762473</v>
      </c>
      <c r="F729" s="255">
        <f t="shared" si="351"/>
        <v>11435995.50764423</v>
      </c>
      <c r="G729" s="255">
        <f t="shared" si="351"/>
        <v>12717960.994351711</v>
      </c>
      <c r="H729" s="255">
        <f t="shared" si="351"/>
        <v>13152952.010037005</v>
      </c>
      <c r="I729" s="255">
        <f t="shared" si="351"/>
        <v>13600515.93264281</v>
      </c>
      <c r="J729" s="255">
        <f t="shared" si="351"/>
        <v>13923437.595108407</v>
      </c>
      <c r="K729" s="255">
        <f t="shared" si="351"/>
        <v>14315566.902471432</v>
      </c>
      <c r="L729" s="255">
        <f t="shared" si="351"/>
        <v>14652463.300649554</v>
      </c>
      <c r="M729" s="255">
        <f t="shared" si="351"/>
        <v>14940220.712096151</v>
      </c>
      <c r="N729" s="255" t="s">
        <v>315</v>
      </c>
      <c r="O729" s="256" t="s">
        <v>284</v>
      </c>
    </row>
    <row r="730" spans="1:15">
      <c r="A730" s="254" t="s">
        <v>337</v>
      </c>
      <c r="B730" s="255">
        <f>AF68</f>
        <v>288948.49200000009</v>
      </c>
      <c r="C730" s="255">
        <f t="shared" ref="C730:M730" si="352">AG68</f>
        <v>553009.87000000011</v>
      </c>
      <c r="D730" s="255">
        <f t="shared" si="352"/>
        <v>745811.99600000016</v>
      </c>
      <c r="E730" s="255">
        <f t="shared" si="352"/>
        <v>949044.08800000022</v>
      </c>
      <c r="F730" s="255">
        <f t="shared" si="352"/>
        <v>0</v>
      </c>
      <c r="G730" s="255">
        <f t="shared" si="352"/>
        <v>0</v>
      </c>
      <c r="H730" s="255">
        <f t="shared" si="352"/>
        <v>0</v>
      </c>
      <c r="I730" s="255">
        <f t="shared" si="352"/>
        <v>0</v>
      </c>
      <c r="J730" s="255">
        <f t="shared" si="352"/>
        <v>0</v>
      </c>
      <c r="K730" s="255">
        <f t="shared" si="352"/>
        <v>0</v>
      </c>
      <c r="L730" s="255">
        <f t="shared" si="352"/>
        <v>0</v>
      </c>
      <c r="M730" s="255">
        <f t="shared" si="352"/>
        <v>0</v>
      </c>
      <c r="N730" s="255" t="s">
        <v>210</v>
      </c>
      <c r="O730" s="256" t="s">
        <v>286</v>
      </c>
    </row>
    <row r="731" spans="1:15">
      <c r="A731" s="254" t="s">
        <v>337</v>
      </c>
      <c r="B731" s="255">
        <f>Q68</f>
        <v>267876.87778850738</v>
      </c>
      <c r="C731" s="255">
        <f t="shared" ref="C731:M731" si="353">R68</f>
        <v>424399.93521766231</v>
      </c>
      <c r="D731" s="255">
        <f t="shared" si="353"/>
        <v>564656.01311331626</v>
      </c>
      <c r="E731" s="255">
        <f t="shared" si="353"/>
        <v>688976.18370184128</v>
      </c>
      <c r="F731" s="255">
        <f t="shared" si="353"/>
        <v>823294.40813354054</v>
      </c>
      <c r="G731" s="255">
        <f t="shared" si="353"/>
        <v>938950.63783702964</v>
      </c>
      <c r="H731" s="255">
        <f t="shared" si="353"/>
        <v>1053751.8763615929</v>
      </c>
      <c r="I731" s="255">
        <f t="shared" si="353"/>
        <v>1173972.426263042</v>
      </c>
      <c r="J731" s="255">
        <f t="shared" si="353"/>
        <v>1263136.0129821349</v>
      </c>
      <c r="K731" s="255">
        <f t="shared" si="353"/>
        <v>1390355.5869907595</v>
      </c>
      <c r="L731" s="255">
        <f t="shared" si="353"/>
        <v>1493732.1372309742</v>
      </c>
      <c r="M731" s="255">
        <f t="shared" si="353"/>
        <v>1598331.9188280096</v>
      </c>
      <c r="N731" s="255" t="s">
        <v>209</v>
      </c>
      <c r="O731" s="256" t="s">
        <v>286</v>
      </c>
    </row>
    <row r="732" spans="1:15">
      <c r="A732" s="254" t="s">
        <v>337</v>
      </c>
      <c r="B732" s="255">
        <f>B68</f>
        <v>267876.87778850738</v>
      </c>
      <c r="C732" s="255">
        <f t="shared" ref="C732:M732" si="354">C68</f>
        <v>424399.93521766231</v>
      </c>
      <c r="D732" s="255">
        <f t="shared" si="354"/>
        <v>564656.01311331626</v>
      </c>
      <c r="E732" s="255">
        <f t="shared" si="354"/>
        <v>688976.18370184128</v>
      </c>
      <c r="F732" s="255">
        <f t="shared" si="354"/>
        <v>823294.40813354054</v>
      </c>
      <c r="G732" s="255">
        <f t="shared" si="354"/>
        <v>938950.63783702964</v>
      </c>
      <c r="H732" s="255">
        <f t="shared" si="354"/>
        <v>1053751.8763615929</v>
      </c>
      <c r="I732" s="255">
        <f t="shared" si="354"/>
        <v>1173972.426263042</v>
      </c>
      <c r="J732" s="255">
        <f t="shared" si="354"/>
        <v>1263136.0129821349</v>
      </c>
      <c r="K732" s="255">
        <f t="shared" si="354"/>
        <v>1390355.5869907595</v>
      </c>
      <c r="L732" s="255">
        <f t="shared" si="354"/>
        <v>1493732.1372309742</v>
      </c>
      <c r="M732" s="255">
        <f t="shared" si="354"/>
        <v>1598331.9188280096</v>
      </c>
      <c r="N732" s="255" t="s">
        <v>315</v>
      </c>
      <c r="O732" s="256" t="s">
        <v>286</v>
      </c>
    </row>
    <row r="733" spans="1:15">
      <c r="A733" s="254" t="s">
        <v>337</v>
      </c>
      <c r="B733" s="255">
        <f>AF102</f>
        <v>222184.02</v>
      </c>
      <c r="C733" s="255">
        <f t="shared" ref="C733:M733" si="355">AG102</f>
        <v>550768.96600000013</v>
      </c>
      <c r="D733" s="255">
        <f t="shared" si="355"/>
        <v>666418.45200000016</v>
      </c>
      <c r="E733" s="255">
        <f t="shared" si="355"/>
        <v>798386.9380000002</v>
      </c>
      <c r="F733" s="255">
        <f t="shared" si="355"/>
        <v>0</v>
      </c>
      <c r="G733" s="255">
        <f t="shared" si="355"/>
        <v>0</v>
      </c>
      <c r="H733" s="255">
        <f t="shared" si="355"/>
        <v>0</v>
      </c>
      <c r="I733" s="255">
        <f t="shared" si="355"/>
        <v>0</v>
      </c>
      <c r="J733" s="255">
        <f t="shared" si="355"/>
        <v>0</v>
      </c>
      <c r="K733" s="255">
        <f t="shared" si="355"/>
        <v>0</v>
      </c>
      <c r="L733" s="255">
        <f t="shared" si="355"/>
        <v>0</v>
      </c>
      <c r="M733" s="255">
        <f t="shared" si="355"/>
        <v>0</v>
      </c>
      <c r="N733" s="255" t="s">
        <v>210</v>
      </c>
      <c r="O733" s="256" t="s">
        <v>313</v>
      </c>
    </row>
    <row r="734" spans="1:15">
      <c r="A734" s="254" t="s">
        <v>337</v>
      </c>
      <c r="B734" s="255">
        <f>Q102</f>
        <v>397707.25809007278</v>
      </c>
      <c r="C734" s="255">
        <f t="shared" ref="C734:M734" si="356">R102</f>
        <v>806113.26975797676</v>
      </c>
      <c r="D734" s="255">
        <f t="shared" si="356"/>
        <v>1022491.1910369847</v>
      </c>
      <c r="E734" s="255">
        <f t="shared" si="356"/>
        <v>1192643.7551398145</v>
      </c>
      <c r="F734" s="255">
        <f t="shared" si="356"/>
        <v>1429069.9543194282</v>
      </c>
      <c r="G734" s="255">
        <f t="shared" si="356"/>
        <v>1656164.178419268</v>
      </c>
      <c r="H734" s="255">
        <f t="shared" si="356"/>
        <v>1740894.5951978159</v>
      </c>
      <c r="I734" s="255">
        <f t="shared" si="356"/>
        <v>1821722.2564303109</v>
      </c>
      <c r="J734" s="255">
        <f t="shared" si="356"/>
        <v>1880278.4268305989</v>
      </c>
      <c r="K734" s="255">
        <f t="shared" si="356"/>
        <v>1945695.9295162375</v>
      </c>
      <c r="L734" s="255">
        <f t="shared" si="356"/>
        <v>1993272.5622970674</v>
      </c>
      <c r="M734" s="255">
        <f t="shared" si="356"/>
        <v>2036276.8991752481</v>
      </c>
      <c r="N734" s="255" t="s">
        <v>209</v>
      </c>
      <c r="O734" s="256" t="s">
        <v>313</v>
      </c>
    </row>
    <row r="735" spans="1:15">
      <c r="A735" s="254" t="s">
        <v>337</v>
      </c>
      <c r="B735" s="255">
        <f>B102</f>
        <v>677562.33433289116</v>
      </c>
      <c r="C735" s="255">
        <f t="shared" ref="C735:M735" si="357">C102</f>
        <v>1309898.429200361</v>
      </c>
      <c r="D735" s="255">
        <f t="shared" si="357"/>
        <v>1646813.7719766027</v>
      </c>
      <c r="E735" s="255">
        <f t="shared" si="357"/>
        <v>1917373.3617245918</v>
      </c>
      <c r="F735" s="255">
        <f t="shared" si="357"/>
        <v>2294846.2850092803</v>
      </c>
      <c r="G735" s="255">
        <f t="shared" si="357"/>
        <v>2641664.9757205378</v>
      </c>
      <c r="H735" s="255">
        <f t="shared" si="357"/>
        <v>2772999.3558468027</v>
      </c>
      <c r="I735" s="255">
        <f t="shared" si="357"/>
        <v>2898280.3494799589</v>
      </c>
      <c r="J735" s="255">
        <f t="shared" si="357"/>
        <v>2987805.8539123428</v>
      </c>
      <c r="K735" s="255">
        <f t="shared" si="357"/>
        <v>3090035.0851746113</v>
      </c>
      <c r="L735" s="255">
        <f t="shared" si="357"/>
        <v>3163487.7907368671</v>
      </c>
      <c r="M735" s="255">
        <f t="shared" si="357"/>
        <v>3228872.8372767302</v>
      </c>
      <c r="N735" s="255" t="s">
        <v>315</v>
      </c>
      <c r="O735" s="256" t="s">
        <v>313</v>
      </c>
    </row>
    <row r="736" spans="1:15">
      <c r="A736" s="254" t="s">
        <v>337</v>
      </c>
      <c r="B736" s="255">
        <f>AF136</f>
        <v>42090.036</v>
      </c>
      <c r="C736" s="255">
        <f t="shared" ref="C736:M736" si="358">AG136</f>
        <v>86302.708000000013</v>
      </c>
      <c r="D736" s="255">
        <f t="shared" si="358"/>
        <v>117856.79000000001</v>
      </c>
      <c r="E736" s="255">
        <f t="shared" si="358"/>
        <v>154164.98200000002</v>
      </c>
      <c r="F736" s="255">
        <f t="shared" si="358"/>
        <v>0</v>
      </c>
      <c r="G736" s="255">
        <f t="shared" si="358"/>
        <v>0</v>
      </c>
      <c r="H736" s="255">
        <f t="shared" si="358"/>
        <v>0</v>
      </c>
      <c r="I736" s="255">
        <f t="shared" si="358"/>
        <v>0</v>
      </c>
      <c r="J736" s="255">
        <f t="shared" si="358"/>
        <v>0</v>
      </c>
      <c r="K736" s="255">
        <f t="shared" si="358"/>
        <v>0</v>
      </c>
      <c r="L736" s="255">
        <f t="shared" si="358"/>
        <v>0</v>
      </c>
      <c r="M736" s="255">
        <f t="shared" si="358"/>
        <v>0</v>
      </c>
      <c r="N736" s="255" t="s">
        <v>210</v>
      </c>
      <c r="O736" s="256" t="s">
        <v>285</v>
      </c>
    </row>
    <row r="737" spans="1:15">
      <c r="A737" s="254" t="s">
        <v>337</v>
      </c>
      <c r="B737" s="255">
        <f>Q136</f>
        <v>31180.653000140883</v>
      </c>
      <c r="C737" s="255">
        <f t="shared" ref="C737:M737" si="359">R136</f>
        <v>51118.167020387264</v>
      </c>
      <c r="D737" s="255">
        <f t="shared" si="359"/>
        <v>68028.199582709596</v>
      </c>
      <c r="E737" s="255">
        <f t="shared" si="359"/>
        <v>83132.165177835064</v>
      </c>
      <c r="F737" s="255">
        <f t="shared" si="359"/>
        <v>99020.588693864731</v>
      </c>
      <c r="G737" s="255">
        <f t="shared" si="359"/>
        <v>114356.40322918569</v>
      </c>
      <c r="H737" s="255">
        <f t="shared" si="359"/>
        <v>127358.40781229355</v>
      </c>
      <c r="I737" s="255">
        <f t="shared" si="359"/>
        <v>142347.85032195595</v>
      </c>
      <c r="J737" s="255">
        <f t="shared" si="359"/>
        <v>153828.57799234724</v>
      </c>
      <c r="K737" s="255">
        <f t="shared" si="359"/>
        <v>169570.27495755631</v>
      </c>
      <c r="L737" s="255">
        <f t="shared" si="359"/>
        <v>182921.60124336142</v>
      </c>
      <c r="M737" s="255">
        <f t="shared" si="359"/>
        <v>195679.94960608048</v>
      </c>
      <c r="N737" s="255" t="s">
        <v>209</v>
      </c>
      <c r="O737" s="256" t="s">
        <v>285</v>
      </c>
    </row>
    <row r="738" spans="1:15">
      <c r="A738" s="254" t="s">
        <v>337</v>
      </c>
      <c r="B738" s="255">
        <f>B136</f>
        <v>31180.653000140883</v>
      </c>
      <c r="C738" s="255">
        <f t="shared" ref="C738:M738" si="360">C136</f>
        <v>51118.167020387264</v>
      </c>
      <c r="D738" s="255">
        <f t="shared" si="360"/>
        <v>68028.199582709596</v>
      </c>
      <c r="E738" s="255">
        <f t="shared" si="360"/>
        <v>83132.165177835064</v>
      </c>
      <c r="F738" s="255">
        <f t="shared" si="360"/>
        <v>99020.588693864731</v>
      </c>
      <c r="G738" s="255">
        <f t="shared" si="360"/>
        <v>114356.40322918569</v>
      </c>
      <c r="H738" s="255">
        <f t="shared" si="360"/>
        <v>127358.40781229355</v>
      </c>
      <c r="I738" s="255">
        <f t="shared" si="360"/>
        <v>142347.85032195595</v>
      </c>
      <c r="J738" s="255">
        <f t="shared" si="360"/>
        <v>153828.57799234724</v>
      </c>
      <c r="K738" s="255">
        <f t="shared" si="360"/>
        <v>169570.27495755631</v>
      </c>
      <c r="L738" s="255">
        <f t="shared" si="360"/>
        <v>182921.60124336142</v>
      </c>
      <c r="M738" s="255">
        <f t="shared" si="360"/>
        <v>195679.94960608048</v>
      </c>
      <c r="N738" s="255" t="s">
        <v>315</v>
      </c>
      <c r="O738" s="256" t="s">
        <v>285</v>
      </c>
    </row>
    <row r="739" spans="1:15">
      <c r="A739" s="254" t="s">
        <v>337</v>
      </c>
      <c r="B739" s="255">
        <f>AF170</f>
        <v>1091967.1960000005</v>
      </c>
      <c r="C739" s="255">
        <f t="shared" ref="C739:M739" si="361">AG170</f>
        <v>2438863.4080000008</v>
      </c>
      <c r="D739" s="255">
        <f t="shared" si="361"/>
        <v>3766129.7940000007</v>
      </c>
      <c r="E739" s="255">
        <f t="shared" si="361"/>
        <v>5312807.2320000008</v>
      </c>
      <c r="F739" s="255">
        <f t="shared" si="361"/>
        <v>0</v>
      </c>
      <c r="G739" s="255">
        <f t="shared" si="361"/>
        <v>0</v>
      </c>
      <c r="H739" s="255">
        <f t="shared" si="361"/>
        <v>0</v>
      </c>
      <c r="I739" s="255">
        <f t="shared" si="361"/>
        <v>0</v>
      </c>
      <c r="J739" s="255">
        <f t="shared" si="361"/>
        <v>0</v>
      </c>
      <c r="K739" s="255">
        <f t="shared" si="361"/>
        <v>0</v>
      </c>
      <c r="L739" s="255">
        <f t="shared" si="361"/>
        <v>0</v>
      </c>
      <c r="M739" s="255">
        <f t="shared" si="361"/>
        <v>0</v>
      </c>
      <c r="N739" s="255" t="s">
        <v>210</v>
      </c>
      <c r="O739" s="256" t="s">
        <v>28</v>
      </c>
    </row>
    <row r="740" spans="1:15">
      <c r="A740" s="254" t="s">
        <v>337</v>
      </c>
      <c r="B740" s="255">
        <f>Q170</f>
        <v>1056673.1006860884</v>
      </c>
      <c r="C740" s="255">
        <f t="shared" ref="C740:M740" si="362">R170</f>
        <v>2187975.3840865246</v>
      </c>
      <c r="D740" s="255">
        <f t="shared" si="362"/>
        <v>3694462.6859151465</v>
      </c>
      <c r="E740" s="255">
        <f t="shared" si="362"/>
        <v>5077526.6177935991</v>
      </c>
      <c r="F740" s="255">
        <f t="shared" si="362"/>
        <v>6641034.7045227047</v>
      </c>
      <c r="G740" s="255">
        <f t="shared" si="362"/>
        <v>8125939.9708190048</v>
      </c>
      <c r="H740" s="255">
        <f t="shared" si="362"/>
        <v>9614359.3249837328</v>
      </c>
      <c r="I740" s="255">
        <f t="shared" si="362"/>
        <v>11310358.331045309</v>
      </c>
      <c r="J740" s="255">
        <f t="shared" si="362"/>
        <v>12757205.760112019</v>
      </c>
      <c r="K740" s="255">
        <f t="shared" si="362"/>
        <v>14315281.566127615</v>
      </c>
      <c r="L740" s="255">
        <f t="shared" si="362"/>
        <v>15696967.304086886</v>
      </c>
      <c r="M740" s="255">
        <f t="shared" si="362"/>
        <v>16988632.057847001</v>
      </c>
      <c r="N740" s="255" t="s">
        <v>209</v>
      </c>
      <c r="O740" s="256" t="s">
        <v>28</v>
      </c>
    </row>
    <row r="741" spans="1:15">
      <c r="A741" s="254" t="s">
        <v>337</v>
      </c>
      <c r="B741" s="255">
        <f>B170</f>
        <v>1056673.1006860884</v>
      </c>
      <c r="C741" s="255">
        <f t="shared" ref="C741:M741" si="363">C170</f>
        <v>2187975.3840865246</v>
      </c>
      <c r="D741" s="255">
        <f t="shared" si="363"/>
        <v>3694462.6859151465</v>
      </c>
      <c r="E741" s="255">
        <f t="shared" si="363"/>
        <v>5077526.6177935991</v>
      </c>
      <c r="F741" s="255">
        <f t="shared" si="363"/>
        <v>6641034.7045227047</v>
      </c>
      <c r="G741" s="255">
        <f t="shared" si="363"/>
        <v>8125939.9708190048</v>
      </c>
      <c r="H741" s="255">
        <f t="shared" si="363"/>
        <v>9614359.3249837328</v>
      </c>
      <c r="I741" s="255">
        <f t="shared" si="363"/>
        <v>11310358.331045309</v>
      </c>
      <c r="J741" s="255">
        <f t="shared" si="363"/>
        <v>12757205.760112019</v>
      </c>
      <c r="K741" s="255">
        <f t="shared" si="363"/>
        <v>14315281.566127615</v>
      </c>
      <c r="L741" s="255">
        <f t="shared" si="363"/>
        <v>15696967.304086886</v>
      </c>
      <c r="M741" s="255">
        <f t="shared" si="363"/>
        <v>16988632.057847001</v>
      </c>
      <c r="N741" s="255" t="s">
        <v>315</v>
      </c>
      <c r="O741" s="256" t="s">
        <v>28</v>
      </c>
    </row>
    <row r="742" spans="1:15">
      <c r="A742" s="254" t="s">
        <v>337</v>
      </c>
      <c r="B742" s="255">
        <f>AF204</f>
        <v>128757.78200000002</v>
      </c>
      <c r="C742" s="255">
        <f t="shared" ref="C742:M742" si="364">AG204</f>
        <v>253347.31800000003</v>
      </c>
      <c r="D742" s="255">
        <f t="shared" si="364"/>
        <v>349497.89800000004</v>
      </c>
      <c r="E742" s="255">
        <f t="shared" si="364"/>
        <v>454146.91660000006</v>
      </c>
      <c r="F742" s="255">
        <f t="shared" si="364"/>
        <v>0</v>
      </c>
      <c r="G742" s="255">
        <f t="shared" si="364"/>
        <v>0</v>
      </c>
      <c r="H742" s="255">
        <f t="shared" si="364"/>
        <v>0</v>
      </c>
      <c r="I742" s="255">
        <f t="shared" si="364"/>
        <v>0</v>
      </c>
      <c r="J742" s="255">
        <f t="shared" si="364"/>
        <v>0</v>
      </c>
      <c r="K742" s="255">
        <f t="shared" si="364"/>
        <v>0</v>
      </c>
      <c r="L742" s="255">
        <f t="shared" si="364"/>
        <v>0</v>
      </c>
      <c r="M742" s="255">
        <f t="shared" si="364"/>
        <v>0</v>
      </c>
      <c r="N742" s="255" t="s">
        <v>210</v>
      </c>
      <c r="O742" s="256" t="s">
        <v>175</v>
      </c>
    </row>
    <row r="743" spans="1:15">
      <c r="A743" s="254" t="s">
        <v>337</v>
      </c>
      <c r="B743" s="255">
        <f>Q204</f>
        <v>144903.90762289235</v>
      </c>
      <c r="C743" s="255">
        <f t="shared" ref="C743:M743" si="365">R204</f>
        <v>250646.30624845697</v>
      </c>
      <c r="D743" s="255">
        <f t="shared" si="365"/>
        <v>350579.42832332116</v>
      </c>
      <c r="E743" s="255">
        <f t="shared" si="365"/>
        <v>443628.66258338472</v>
      </c>
      <c r="F743" s="255">
        <f t="shared" si="365"/>
        <v>539008.32322113728</v>
      </c>
      <c r="G743" s="255">
        <f t="shared" si="365"/>
        <v>636326.37039662816</v>
      </c>
      <c r="H743" s="255">
        <f t="shared" si="365"/>
        <v>742961.47754946025</v>
      </c>
      <c r="I743" s="255">
        <f t="shared" si="365"/>
        <v>864987.52291911049</v>
      </c>
      <c r="J743" s="255">
        <f t="shared" si="365"/>
        <v>965000.52741282363</v>
      </c>
      <c r="K743" s="255">
        <f t="shared" si="365"/>
        <v>1105339.9514032032</v>
      </c>
      <c r="L743" s="255">
        <f t="shared" si="365"/>
        <v>1235139.2622028382</v>
      </c>
      <c r="M743" s="255">
        <f t="shared" si="365"/>
        <v>1362671.301125</v>
      </c>
      <c r="N743" s="255" t="s">
        <v>209</v>
      </c>
      <c r="O743" s="256" t="s">
        <v>175</v>
      </c>
    </row>
    <row r="744" spans="1:15">
      <c r="A744" s="254" t="s">
        <v>337</v>
      </c>
      <c r="B744" s="255">
        <f>B204</f>
        <v>162734.55940705253</v>
      </c>
      <c r="C744" s="255">
        <f t="shared" ref="C744:M744" si="366">C204</f>
        <v>281566.48272216035</v>
      </c>
      <c r="D744" s="255">
        <f t="shared" si="366"/>
        <v>393802.95704719936</v>
      </c>
      <c r="E744" s="255">
        <f t="shared" si="366"/>
        <v>498293.12387159129</v>
      </c>
      <c r="F744" s="255">
        <f t="shared" si="366"/>
        <v>605518.91328083933</v>
      </c>
      <c r="G744" s="255">
        <f t="shared" si="366"/>
        <v>714849.76894885849</v>
      </c>
      <c r="H744" s="255">
        <f t="shared" si="366"/>
        <v>834496.79027397558</v>
      </c>
      <c r="I744" s="255">
        <f t="shared" si="366"/>
        <v>971721.12162208941</v>
      </c>
      <c r="J744" s="255">
        <f t="shared" si="366"/>
        <v>1084102.6912767717</v>
      </c>
      <c r="K744" s="255">
        <f t="shared" si="366"/>
        <v>1241652.5606624705</v>
      </c>
      <c r="L744" s="255">
        <f t="shared" si="366"/>
        <v>1387353.0174901551</v>
      </c>
      <c r="M744" s="255">
        <f t="shared" si="366"/>
        <v>1530428.3250105777</v>
      </c>
      <c r="N744" s="255" t="s">
        <v>315</v>
      </c>
      <c r="O744" s="256" t="s">
        <v>175</v>
      </c>
    </row>
    <row r="745" spans="1:15">
      <c r="A745" s="251" t="s">
        <v>160</v>
      </c>
      <c r="B745" s="252">
        <f>SUM(B241:B267,B727)</f>
        <v>10754868.250000002</v>
      </c>
      <c r="C745" s="252">
        <f t="shared" ref="C745:M745" si="367">SUM(C241:C267,C727)</f>
        <v>22148663.870000005</v>
      </c>
      <c r="D745" s="252">
        <f t="shared" si="367"/>
        <v>26639003.680000003</v>
      </c>
      <c r="E745" s="252">
        <f t="shared" si="367"/>
        <v>31687335.240000002</v>
      </c>
      <c r="F745" s="252">
        <f t="shared" si="367"/>
        <v>0</v>
      </c>
      <c r="G745" s="252">
        <f t="shared" si="367"/>
        <v>0</v>
      </c>
      <c r="H745" s="252">
        <f t="shared" si="367"/>
        <v>0</v>
      </c>
      <c r="I745" s="252">
        <f t="shared" si="367"/>
        <v>0</v>
      </c>
      <c r="J745" s="252">
        <f t="shared" si="367"/>
        <v>0</v>
      </c>
      <c r="K745" s="252">
        <f t="shared" si="367"/>
        <v>0</v>
      </c>
      <c r="L745" s="252">
        <f t="shared" si="367"/>
        <v>0</v>
      </c>
      <c r="M745" s="252">
        <f t="shared" si="367"/>
        <v>0</v>
      </c>
      <c r="N745" s="252" t="s">
        <v>210</v>
      </c>
      <c r="O745" s="253" t="s">
        <v>284</v>
      </c>
    </row>
    <row r="746" spans="1:15">
      <c r="A746" s="251" t="s">
        <v>160</v>
      </c>
      <c r="B746" s="252">
        <f>SUM(B268:B294,B728)</f>
        <v>14733992.074818071</v>
      </c>
      <c r="C746" s="252">
        <f t="shared" ref="C746:M746" si="368">SUM(C268:C294,C728)</f>
        <v>26471303.197771065</v>
      </c>
      <c r="D746" s="252">
        <f t="shared" si="368"/>
        <v>32710753.88114344</v>
      </c>
      <c r="E746" s="252">
        <f t="shared" si="368"/>
        <v>37346680.302345388</v>
      </c>
      <c r="F746" s="252">
        <f t="shared" si="368"/>
        <v>43864964.933218814</v>
      </c>
      <c r="G746" s="252">
        <f t="shared" si="368"/>
        <v>48903425.857757777</v>
      </c>
      <c r="H746" s="252">
        <f t="shared" si="368"/>
        <v>50584326.348342806</v>
      </c>
      <c r="I746" s="252">
        <f t="shared" si="368"/>
        <v>52310272.822815768</v>
      </c>
      <c r="J746" s="252">
        <f t="shared" si="368"/>
        <v>53565392.896749489</v>
      </c>
      <c r="K746" s="252">
        <f t="shared" si="368"/>
        <v>55066129.590175241</v>
      </c>
      <c r="L746" s="252">
        <f t="shared" si="368"/>
        <v>56370981.026504353</v>
      </c>
      <c r="M746" s="252">
        <f t="shared" si="368"/>
        <v>57489293.053834423</v>
      </c>
      <c r="N746" s="252" t="s">
        <v>209</v>
      </c>
      <c r="O746" s="253" t="s">
        <v>284</v>
      </c>
    </row>
    <row r="747" spans="1:15">
      <c r="A747" s="251" t="s">
        <v>160</v>
      </c>
      <c r="B747" s="252">
        <f>SUM(B295:B321,B729)</f>
        <v>19647668.374366038</v>
      </c>
      <c r="C747" s="252">
        <f t="shared" ref="C747:M747" si="369">SUM(C295:C321,C729)</f>
        <v>34656743.902643159</v>
      </c>
      <c r="D747" s="252">
        <f t="shared" si="369"/>
        <v>42656285.174177423</v>
      </c>
      <c r="E747" s="252">
        <f t="shared" si="369"/>
        <v>48678202.264881238</v>
      </c>
      <c r="F747" s="252">
        <f t="shared" si="369"/>
        <v>57179977.538221151</v>
      </c>
      <c r="G747" s="252">
        <f t="shared" si="369"/>
        <v>63589804.971758544</v>
      </c>
      <c r="H747" s="252">
        <f t="shared" si="369"/>
        <v>65764760.050185025</v>
      </c>
      <c r="I747" s="252">
        <f t="shared" si="369"/>
        <v>68002579.663214058</v>
      </c>
      <c r="J747" s="252">
        <f t="shared" si="369"/>
        <v>69617187.975542039</v>
      </c>
      <c r="K747" s="252">
        <f t="shared" si="369"/>
        <v>71577834.51235716</v>
      </c>
      <c r="L747" s="252">
        <f t="shared" si="369"/>
        <v>73262316.503247768</v>
      </c>
      <c r="M747" s="252">
        <f t="shared" si="369"/>
        <v>74701103.560480759</v>
      </c>
      <c r="N747" s="252" t="s">
        <v>315</v>
      </c>
      <c r="O747" s="253" t="s">
        <v>284</v>
      </c>
    </row>
    <row r="748" spans="1:15">
      <c r="A748" s="251" t="s">
        <v>160</v>
      </c>
      <c r="B748" s="252">
        <f>SUM(B322:B348,B730)</f>
        <v>1446032.3100000005</v>
      </c>
      <c r="C748" s="252">
        <f t="shared" ref="C748:M748" si="370">SUM(C322:C348,C730)</f>
        <v>2769380.96</v>
      </c>
      <c r="D748" s="252">
        <f t="shared" si="370"/>
        <v>3735063.93</v>
      </c>
      <c r="E748" s="252">
        <f t="shared" si="370"/>
        <v>4751518.54</v>
      </c>
      <c r="F748" s="252">
        <f t="shared" si="370"/>
        <v>0</v>
      </c>
      <c r="G748" s="252">
        <f t="shared" si="370"/>
        <v>0</v>
      </c>
      <c r="H748" s="252">
        <f t="shared" si="370"/>
        <v>0</v>
      </c>
      <c r="I748" s="252">
        <f t="shared" si="370"/>
        <v>0</v>
      </c>
      <c r="J748" s="252">
        <f t="shared" si="370"/>
        <v>0</v>
      </c>
      <c r="K748" s="252">
        <f t="shared" si="370"/>
        <v>0</v>
      </c>
      <c r="L748" s="252">
        <f t="shared" si="370"/>
        <v>0</v>
      </c>
      <c r="M748" s="252">
        <f t="shared" si="370"/>
        <v>0</v>
      </c>
      <c r="N748" s="252" t="s">
        <v>210</v>
      </c>
      <c r="O748" s="253" t="s">
        <v>286</v>
      </c>
    </row>
    <row r="749" spans="1:15">
      <c r="A749" s="251" t="s">
        <v>160</v>
      </c>
      <c r="B749" s="252">
        <f>SUM(B349:B375,B731)</f>
        <v>1339384.3889425369</v>
      </c>
      <c r="C749" s="252">
        <f t="shared" ref="C749:M749" si="371">SUM(C349:C375,C731)</f>
        <v>2121999.6760883117</v>
      </c>
      <c r="D749" s="252">
        <f t="shared" si="371"/>
        <v>2823280.0655665812</v>
      </c>
      <c r="E749" s="252">
        <f t="shared" si="371"/>
        <v>3444880.9185092063</v>
      </c>
      <c r="F749" s="252">
        <f t="shared" si="371"/>
        <v>4116472.0406677024</v>
      </c>
      <c r="G749" s="252">
        <f t="shared" si="371"/>
        <v>4694753.1891851481</v>
      </c>
      <c r="H749" s="252">
        <f t="shared" si="371"/>
        <v>5268759.3818079643</v>
      </c>
      <c r="I749" s="252">
        <f t="shared" si="371"/>
        <v>5869862.1313152099</v>
      </c>
      <c r="J749" s="252">
        <f t="shared" si="371"/>
        <v>6315680.0649106745</v>
      </c>
      <c r="K749" s="252">
        <f t="shared" si="371"/>
        <v>6951777.9349537976</v>
      </c>
      <c r="L749" s="252">
        <f t="shared" si="371"/>
        <v>7468660.6861548722</v>
      </c>
      <c r="M749" s="252">
        <f t="shared" si="371"/>
        <v>7991659.5941400481</v>
      </c>
      <c r="N749" s="252" t="s">
        <v>209</v>
      </c>
      <c r="O749" s="253" t="s">
        <v>286</v>
      </c>
    </row>
    <row r="750" spans="1:15">
      <c r="A750" s="251" t="s">
        <v>160</v>
      </c>
      <c r="B750" s="252">
        <f>SUM(B376:B402,B732)</f>
        <v>1339384.3889425369</v>
      </c>
      <c r="C750" s="252">
        <f t="shared" ref="C750:M750" si="372">SUM(C376:C402,C732)</f>
        <v>2121999.6760883117</v>
      </c>
      <c r="D750" s="252">
        <f t="shared" si="372"/>
        <v>2823280.0655665812</v>
      </c>
      <c r="E750" s="252">
        <f t="shared" si="372"/>
        <v>3444880.9185092063</v>
      </c>
      <c r="F750" s="252">
        <f t="shared" si="372"/>
        <v>4116472.0406677024</v>
      </c>
      <c r="G750" s="252">
        <f t="shared" si="372"/>
        <v>4694753.1891851481</v>
      </c>
      <c r="H750" s="252">
        <f t="shared" si="372"/>
        <v>5268759.3818079643</v>
      </c>
      <c r="I750" s="252">
        <f t="shared" si="372"/>
        <v>5869862.1313152099</v>
      </c>
      <c r="J750" s="252">
        <f t="shared" si="372"/>
        <v>6315680.0649106745</v>
      </c>
      <c r="K750" s="252">
        <f t="shared" si="372"/>
        <v>6951777.9349537976</v>
      </c>
      <c r="L750" s="252">
        <f t="shared" si="372"/>
        <v>7468660.6861548722</v>
      </c>
      <c r="M750" s="252">
        <f t="shared" si="372"/>
        <v>7991659.5941400481</v>
      </c>
      <c r="N750" s="252" t="s">
        <v>315</v>
      </c>
      <c r="O750" s="253" t="s">
        <v>286</v>
      </c>
    </row>
    <row r="751" spans="1:15">
      <c r="A751" s="251" t="s">
        <v>160</v>
      </c>
      <c r="B751" s="252">
        <f>SUM(B403:B429,B733)</f>
        <v>1110920.0999999999</v>
      </c>
      <c r="C751" s="252">
        <f t="shared" ref="C751:M751" si="373">SUM(C403:C429,C733)</f>
        <v>2753844.8299999996</v>
      </c>
      <c r="D751" s="252">
        <f t="shared" si="373"/>
        <v>3332092.2600000007</v>
      </c>
      <c r="E751" s="252">
        <f t="shared" si="373"/>
        <v>3991934.6900000004</v>
      </c>
      <c r="F751" s="252">
        <f t="shared" si="373"/>
        <v>0</v>
      </c>
      <c r="G751" s="252">
        <f t="shared" si="373"/>
        <v>0</v>
      </c>
      <c r="H751" s="252">
        <f t="shared" si="373"/>
        <v>0</v>
      </c>
      <c r="I751" s="252">
        <f t="shared" si="373"/>
        <v>0</v>
      </c>
      <c r="J751" s="252">
        <f t="shared" si="373"/>
        <v>0</v>
      </c>
      <c r="K751" s="252">
        <f t="shared" si="373"/>
        <v>0</v>
      </c>
      <c r="L751" s="252">
        <f t="shared" si="373"/>
        <v>0</v>
      </c>
      <c r="M751" s="252">
        <f t="shared" si="373"/>
        <v>0</v>
      </c>
      <c r="N751" s="252" t="s">
        <v>210</v>
      </c>
      <c r="O751" s="253" t="s">
        <v>313</v>
      </c>
    </row>
    <row r="752" spans="1:15">
      <c r="A752" s="251" t="s">
        <v>160</v>
      </c>
      <c r="B752" s="252">
        <f>SUM(B430:B456,B734)</f>
        <v>1988536.2904503639</v>
      </c>
      <c r="C752" s="252">
        <f t="shared" ref="C752:M752" si="374">SUM(C430:C456,C734)</f>
        <v>4030566.3487898838</v>
      </c>
      <c r="D752" s="252">
        <f t="shared" si="374"/>
        <v>5112455.9551849235</v>
      </c>
      <c r="E752" s="252">
        <f t="shared" si="374"/>
        <v>5963218.7756990725</v>
      </c>
      <c r="F752" s="252">
        <f t="shared" si="374"/>
        <v>7145349.7715971414</v>
      </c>
      <c r="G752" s="252">
        <f t="shared" si="374"/>
        <v>8280820.8920963397</v>
      </c>
      <c r="H752" s="252">
        <f t="shared" si="374"/>
        <v>8704472.9759890791</v>
      </c>
      <c r="I752" s="252">
        <f t="shared" si="374"/>
        <v>9108611.2821515538</v>
      </c>
      <c r="J752" s="252">
        <f t="shared" si="374"/>
        <v>9401392.1341529936</v>
      </c>
      <c r="K752" s="252">
        <f t="shared" si="374"/>
        <v>9728479.647581188</v>
      </c>
      <c r="L752" s="252">
        <f t="shared" si="374"/>
        <v>9966362.8114853371</v>
      </c>
      <c r="M752" s="252">
        <f t="shared" si="374"/>
        <v>10181384.49587624</v>
      </c>
      <c r="N752" s="252" t="s">
        <v>209</v>
      </c>
      <c r="O752" s="253" t="s">
        <v>313</v>
      </c>
    </row>
    <row r="753" spans="1:15">
      <c r="A753" s="251" t="s">
        <v>160</v>
      </c>
      <c r="B753" s="252">
        <f>SUM(B457:B483,B735)</f>
        <v>3387811.6716644559</v>
      </c>
      <c r="C753" s="252">
        <f t="shared" ref="C753:M753" si="375">SUM(C457:C483,C735)</f>
        <v>6549492.1460018046</v>
      </c>
      <c r="D753" s="252">
        <f t="shared" si="375"/>
        <v>8234068.8598830141</v>
      </c>
      <c r="E753" s="252">
        <f t="shared" si="375"/>
        <v>9586866.8086229581</v>
      </c>
      <c r="F753" s="252">
        <f t="shared" si="375"/>
        <v>11474231.425046401</v>
      </c>
      <c r="G753" s="252">
        <f t="shared" si="375"/>
        <v>13208324.878602689</v>
      </c>
      <c r="H753" s="252">
        <f t="shared" si="375"/>
        <v>13864996.779234014</v>
      </c>
      <c r="I753" s="252">
        <f t="shared" si="375"/>
        <v>14491401.747399794</v>
      </c>
      <c r="J753" s="252">
        <f t="shared" si="375"/>
        <v>14939029.269561714</v>
      </c>
      <c r="K753" s="252">
        <f t="shared" si="375"/>
        <v>15450175.425873056</v>
      </c>
      <c r="L753" s="252">
        <f t="shared" si="375"/>
        <v>15817438.953684336</v>
      </c>
      <c r="M753" s="252">
        <f t="shared" si="375"/>
        <v>16144364.186383652</v>
      </c>
      <c r="N753" s="252" t="s">
        <v>315</v>
      </c>
      <c r="O753" s="253" t="s">
        <v>313</v>
      </c>
    </row>
    <row r="754" spans="1:15">
      <c r="A754" s="251" t="s">
        <v>160</v>
      </c>
      <c r="B754" s="252">
        <f>SUM(B484:B510,B736)</f>
        <v>210957</v>
      </c>
      <c r="C754" s="252">
        <f t="shared" ref="C754:M754" si="376">SUM(C484:C510,C736)</f>
        <v>432443.12</v>
      </c>
      <c r="D754" s="252">
        <f t="shared" si="376"/>
        <v>590381.62</v>
      </c>
      <c r="E754" s="252">
        <f t="shared" si="376"/>
        <v>771922.58000000007</v>
      </c>
      <c r="F754" s="252">
        <f t="shared" si="376"/>
        <v>0</v>
      </c>
      <c r="G754" s="252">
        <f t="shared" si="376"/>
        <v>0</v>
      </c>
      <c r="H754" s="252">
        <f t="shared" si="376"/>
        <v>0</v>
      </c>
      <c r="I754" s="252">
        <f t="shared" si="376"/>
        <v>0</v>
      </c>
      <c r="J754" s="252">
        <f t="shared" si="376"/>
        <v>0</v>
      </c>
      <c r="K754" s="252">
        <f t="shared" si="376"/>
        <v>0</v>
      </c>
      <c r="L754" s="252">
        <f t="shared" si="376"/>
        <v>0</v>
      </c>
      <c r="M754" s="252">
        <f t="shared" si="376"/>
        <v>0</v>
      </c>
      <c r="N754" s="252" t="s">
        <v>210</v>
      </c>
      <c r="O754" s="253" t="s">
        <v>285</v>
      </c>
    </row>
    <row r="755" spans="1:15">
      <c r="A755" s="251" t="s">
        <v>160</v>
      </c>
      <c r="B755" s="252">
        <f>SUM(B511:B537,B737)</f>
        <v>155903.26500070441</v>
      </c>
      <c r="C755" s="252">
        <f t="shared" ref="C755:L755" si="377">SUM(C511:C537,C737)</f>
        <v>255590.8351019363</v>
      </c>
      <c r="D755" s="252">
        <f t="shared" si="377"/>
        <v>340140.99791354797</v>
      </c>
      <c r="E755" s="252">
        <f t="shared" si="377"/>
        <v>415660.82588917529</v>
      </c>
      <c r="F755" s="252">
        <f t="shared" si="377"/>
        <v>495102.94346932368</v>
      </c>
      <c r="G755" s="252">
        <f t="shared" si="377"/>
        <v>571782.01614592841</v>
      </c>
      <c r="H755" s="252">
        <f t="shared" si="377"/>
        <v>636792.03906146775</v>
      </c>
      <c r="I755" s="252">
        <f t="shared" si="377"/>
        <v>711739.25160977978</v>
      </c>
      <c r="J755" s="252">
        <f t="shared" si="377"/>
        <v>769142.88996173628</v>
      </c>
      <c r="K755" s="252">
        <f t="shared" si="377"/>
        <v>847851.3747877815</v>
      </c>
      <c r="L755" s="252">
        <f t="shared" si="377"/>
        <v>914608.00621680706</v>
      </c>
      <c r="M755" s="252">
        <f>SUM(M511:M537,M737)</f>
        <v>978399.74803040246</v>
      </c>
      <c r="N755" s="252" t="s">
        <v>209</v>
      </c>
      <c r="O755" s="253" t="s">
        <v>285</v>
      </c>
    </row>
    <row r="756" spans="1:15">
      <c r="A756" s="251" t="s">
        <v>160</v>
      </c>
      <c r="B756" s="252">
        <f>SUM(B538:B564,B738)</f>
        <v>155903.26500070441</v>
      </c>
      <c r="C756" s="252">
        <f t="shared" ref="C756:M756" si="378">SUM(C538:C564,C738)</f>
        <v>255590.8351019363</v>
      </c>
      <c r="D756" s="252">
        <f t="shared" si="378"/>
        <v>340140.99791354797</v>
      </c>
      <c r="E756" s="252">
        <f t="shared" si="378"/>
        <v>415660.82588917529</v>
      </c>
      <c r="F756" s="252">
        <f t="shared" si="378"/>
        <v>495102.94346932368</v>
      </c>
      <c r="G756" s="252">
        <f t="shared" si="378"/>
        <v>571782.01614592841</v>
      </c>
      <c r="H756" s="252">
        <f t="shared" si="378"/>
        <v>636792.03906146775</v>
      </c>
      <c r="I756" s="252">
        <f t="shared" si="378"/>
        <v>711739.25160977978</v>
      </c>
      <c r="J756" s="252">
        <f t="shared" si="378"/>
        <v>769142.88996173628</v>
      </c>
      <c r="K756" s="252">
        <f t="shared" si="378"/>
        <v>847851.3747877815</v>
      </c>
      <c r="L756" s="252">
        <f t="shared" si="378"/>
        <v>914608.00621680706</v>
      </c>
      <c r="M756" s="252">
        <f t="shared" si="378"/>
        <v>978399.74803040246</v>
      </c>
      <c r="N756" s="252" t="s">
        <v>315</v>
      </c>
      <c r="O756" s="253" t="s">
        <v>285</v>
      </c>
    </row>
    <row r="757" spans="1:15">
      <c r="A757" s="251" t="s">
        <v>160</v>
      </c>
      <c r="B757" s="252">
        <f>SUM(B565:B591,B739)</f>
        <v>5455921.5000000019</v>
      </c>
      <c r="C757" s="252">
        <f t="shared" ref="C757:M757" si="379">SUM(C565:C591,C739)</f>
        <v>12190402.560000002</v>
      </c>
      <c r="D757" s="252">
        <f t="shared" si="379"/>
        <v>18826734.490000002</v>
      </c>
      <c r="E757" s="252">
        <f t="shared" si="379"/>
        <v>26560121.680000003</v>
      </c>
      <c r="F757" s="252">
        <f t="shared" si="379"/>
        <v>0</v>
      </c>
      <c r="G757" s="252">
        <f t="shared" si="379"/>
        <v>0</v>
      </c>
      <c r="H757" s="252">
        <f t="shared" si="379"/>
        <v>0</v>
      </c>
      <c r="I757" s="252">
        <f t="shared" si="379"/>
        <v>0</v>
      </c>
      <c r="J757" s="252">
        <f t="shared" si="379"/>
        <v>0</v>
      </c>
      <c r="K757" s="252">
        <f t="shared" si="379"/>
        <v>0</v>
      </c>
      <c r="L757" s="252">
        <f t="shared" si="379"/>
        <v>0</v>
      </c>
      <c r="M757" s="252">
        <f t="shared" si="379"/>
        <v>0</v>
      </c>
      <c r="N757" s="252" t="s">
        <v>210</v>
      </c>
      <c r="O757" s="253" t="s">
        <v>28</v>
      </c>
    </row>
    <row r="758" spans="1:15">
      <c r="A758" s="251" t="s">
        <v>160</v>
      </c>
      <c r="B758" s="252">
        <f>SUM(B592:B618,B740)</f>
        <v>5283365.503430442</v>
      </c>
      <c r="C758" s="252">
        <f t="shared" ref="C758:M758" si="380">SUM(C592:C618,C740)</f>
        <v>10939876.920432623</v>
      </c>
      <c r="D758" s="252">
        <f t="shared" si="380"/>
        <v>18472313.429575734</v>
      </c>
      <c r="E758" s="252">
        <f t="shared" si="380"/>
        <v>25387633.088967994</v>
      </c>
      <c r="F758" s="252">
        <f t="shared" si="380"/>
        <v>33205173.522613525</v>
      </c>
      <c r="G758" s="252">
        <f t="shared" si="380"/>
        <v>40629699.854095027</v>
      </c>
      <c r="H758" s="252">
        <f t="shared" si="380"/>
        <v>48071796.624918662</v>
      </c>
      <c r="I758" s="252">
        <f t="shared" si="380"/>
        <v>56551791.655226551</v>
      </c>
      <c r="J758" s="252">
        <f t="shared" si="380"/>
        <v>63786028.800560094</v>
      </c>
      <c r="K758" s="252">
        <f t="shared" si="380"/>
        <v>71576407.830638081</v>
      </c>
      <c r="L758" s="252">
        <f t="shared" si="380"/>
        <v>78484836.520434439</v>
      </c>
      <c r="M758" s="252">
        <f t="shared" si="380"/>
        <v>84943160.289234996</v>
      </c>
      <c r="N758" s="252" t="s">
        <v>209</v>
      </c>
      <c r="O758" s="253" t="s">
        <v>28</v>
      </c>
    </row>
    <row r="759" spans="1:15">
      <c r="A759" s="251" t="s">
        <v>160</v>
      </c>
      <c r="B759" s="252">
        <f>SUM(B619:B645,B741)</f>
        <v>5283365.503430442</v>
      </c>
      <c r="C759" s="252">
        <f t="shared" ref="C759:M759" si="381">SUM(C619:C645,C741)</f>
        <v>10939876.920432623</v>
      </c>
      <c r="D759" s="252">
        <f t="shared" si="381"/>
        <v>18472313.429575734</v>
      </c>
      <c r="E759" s="252">
        <f t="shared" si="381"/>
        <v>25387633.088967994</v>
      </c>
      <c r="F759" s="252">
        <f t="shared" si="381"/>
        <v>33205173.522613525</v>
      </c>
      <c r="G759" s="252">
        <f t="shared" si="381"/>
        <v>40629699.854095027</v>
      </c>
      <c r="H759" s="252">
        <f t="shared" si="381"/>
        <v>48071796.624918662</v>
      </c>
      <c r="I759" s="252">
        <f t="shared" si="381"/>
        <v>56551791.655226551</v>
      </c>
      <c r="J759" s="252">
        <f t="shared" si="381"/>
        <v>63786028.800560094</v>
      </c>
      <c r="K759" s="252">
        <f t="shared" si="381"/>
        <v>71576407.830638081</v>
      </c>
      <c r="L759" s="252">
        <f t="shared" si="381"/>
        <v>78484836.520434439</v>
      </c>
      <c r="M759" s="252">
        <f t="shared" si="381"/>
        <v>84943160.289234996</v>
      </c>
      <c r="N759" s="252" t="s">
        <v>315</v>
      </c>
      <c r="O759" s="253" t="s">
        <v>28</v>
      </c>
    </row>
    <row r="760" spans="1:15">
      <c r="A760" s="251" t="s">
        <v>160</v>
      </c>
      <c r="B760" s="252">
        <f>SUM(B646:B672,B742)</f>
        <v>648692.31000000017</v>
      </c>
      <c r="C760" s="252">
        <f t="shared" ref="C760:M760" si="382">SUM(C646:C672,C742)</f>
        <v>1277632.8600000001</v>
      </c>
      <c r="D760" s="252">
        <f t="shared" si="382"/>
        <v>1763465.9400000002</v>
      </c>
      <c r="E760" s="252">
        <f t="shared" si="382"/>
        <v>2292248.2030000002</v>
      </c>
      <c r="F760" s="252">
        <f t="shared" si="382"/>
        <v>0</v>
      </c>
      <c r="G760" s="252">
        <f t="shared" si="382"/>
        <v>0</v>
      </c>
      <c r="H760" s="252">
        <f t="shared" si="382"/>
        <v>0</v>
      </c>
      <c r="I760" s="252">
        <f t="shared" si="382"/>
        <v>0</v>
      </c>
      <c r="J760" s="252">
        <f t="shared" si="382"/>
        <v>0</v>
      </c>
      <c r="K760" s="252">
        <f t="shared" si="382"/>
        <v>0</v>
      </c>
      <c r="L760" s="252">
        <f t="shared" si="382"/>
        <v>0</v>
      </c>
      <c r="M760" s="252">
        <f t="shared" si="382"/>
        <v>0</v>
      </c>
      <c r="N760" s="252" t="s">
        <v>210</v>
      </c>
      <c r="O760" s="253" t="s">
        <v>175</v>
      </c>
    </row>
    <row r="761" spans="1:15">
      <c r="A761" s="251" t="s">
        <v>160</v>
      </c>
      <c r="B761" s="252">
        <f>SUM(B673:B699,B743)</f>
        <v>724519.53811446181</v>
      </c>
      <c r="C761" s="252">
        <f t="shared" ref="C761:M761" si="383">SUM(C673:C699,C743)</f>
        <v>1253231.5312422847</v>
      </c>
      <c r="D761" s="252">
        <f t="shared" si="383"/>
        <v>1752897.1416166057</v>
      </c>
      <c r="E761" s="252">
        <f t="shared" si="383"/>
        <v>2218143.3129169238</v>
      </c>
      <c r="F761" s="252">
        <f t="shared" si="383"/>
        <v>2695041.6161056864</v>
      </c>
      <c r="G761" s="252">
        <f t="shared" si="383"/>
        <v>3181631.8519831407</v>
      </c>
      <c r="H761" s="252">
        <f t="shared" si="383"/>
        <v>3714807.3877473013</v>
      </c>
      <c r="I761" s="252">
        <f t="shared" si="383"/>
        <v>4324937.614595552</v>
      </c>
      <c r="J761" s="252">
        <f t="shared" si="383"/>
        <v>4825002.6370641179</v>
      </c>
      <c r="K761" s="252">
        <f t="shared" si="383"/>
        <v>5526699.7570160162</v>
      </c>
      <c r="L761" s="252">
        <f t="shared" si="383"/>
        <v>6175696.3110141912</v>
      </c>
      <c r="M761" s="252">
        <f t="shared" si="383"/>
        <v>6813356.5056250002</v>
      </c>
      <c r="N761" s="252" t="s">
        <v>209</v>
      </c>
      <c r="O761" s="253" t="s">
        <v>175</v>
      </c>
    </row>
    <row r="762" spans="1:15">
      <c r="A762" s="251" t="s">
        <v>160</v>
      </c>
      <c r="B762" s="252">
        <f>SUM(B700:B726,B744)</f>
        <v>813672.79703526269</v>
      </c>
      <c r="C762" s="252">
        <f t="shared" ref="C762:M762" si="384">SUM(C700:C726,C744)</f>
        <v>1407832.4136108018</v>
      </c>
      <c r="D762" s="252">
        <f t="shared" si="384"/>
        <v>1969014.7852359968</v>
      </c>
      <c r="E762" s="252">
        <f t="shared" si="384"/>
        <v>2491465.6193579566</v>
      </c>
      <c r="F762" s="252">
        <f t="shared" si="384"/>
        <v>3027594.5664041964</v>
      </c>
      <c r="G762" s="252">
        <f t="shared" si="384"/>
        <v>3574248.8447442926</v>
      </c>
      <c r="H762" s="252">
        <f t="shared" si="384"/>
        <v>4172483.9513698779</v>
      </c>
      <c r="I762" s="252">
        <f t="shared" si="384"/>
        <v>4858605.6081104465</v>
      </c>
      <c r="J762" s="252">
        <f t="shared" si="384"/>
        <v>5420513.4563838588</v>
      </c>
      <c r="K762" s="252">
        <f t="shared" si="384"/>
        <v>6208262.8033123529</v>
      </c>
      <c r="L762" s="252">
        <f t="shared" si="384"/>
        <v>6936765.0874507753</v>
      </c>
      <c r="M762" s="252">
        <f t="shared" si="384"/>
        <v>7652141.6250528879</v>
      </c>
      <c r="N762" s="252" t="s">
        <v>315</v>
      </c>
      <c r="O762" s="253" t="s">
        <v>175</v>
      </c>
    </row>
    <row r="765" spans="1:15">
      <c r="A765" s="240" t="s">
        <v>248</v>
      </c>
      <c r="B765" s="240" t="s">
        <v>210</v>
      </c>
      <c r="C765" s="240" t="s">
        <v>209</v>
      </c>
      <c r="D765" s="240" t="s">
        <v>315</v>
      </c>
      <c r="E765" s="100" t="s">
        <v>227</v>
      </c>
      <c r="F765" s="100" t="s">
        <v>406</v>
      </c>
    </row>
    <row r="766" spans="1:15">
      <c r="A766" s="242" t="s">
        <v>148</v>
      </c>
      <c r="B766" s="235">
        <f>B$241</f>
        <v>19383.816000000003</v>
      </c>
      <c r="C766" s="235">
        <f>B$268</f>
        <v>22345.834080031909</v>
      </c>
      <c r="D766" s="235">
        <f>B$295</f>
        <v>26641.29484908385</v>
      </c>
      <c r="E766" s="100" t="s">
        <v>119</v>
      </c>
      <c r="F766" s="100" t="s">
        <v>284</v>
      </c>
    </row>
    <row r="767" spans="1:15">
      <c r="A767" s="242" t="s">
        <v>149</v>
      </c>
      <c r="B767" s="235">
        <f>C$241</f>
        <v>36502.608000000007</v>
      </c>
      <c r="C767" s="235">
        <f>C$268</f>
        <v>52009.850326670639</v>
      </c>
      <c r="D767" s="235">
        <f>C$295</f>
        <v>62007.520177898587</v>
      </c>
      <c r="E767" s="100" t="s">
        <v>119</v>
      </c>
      <c r="F767" s="100" t="s">
        <v>284</v>
      </c>
    </row>
    <row r="768" spans="1:15">
      <c r="A768" s="242" t="s">
        <v>150</v>
      </c>
      <c r="B768" s="235">
        <f>D$241</f>
        <v>47791.744000000006</v>
      </c>
      <c r="C768" s="235">
        <f>D$268</f>
        <v>69415.314965289173</v>
      </c>
      <c r="D768" s="235">
        <f>D$295</f>
        <v>82758.775815167537</v>
      </c>
      <c r="E768" s="100" t="s">
        <v>119</v>
      </c>
      <c r="F768" s="100" t="s">
        <v>284</v>
      </c>
    </row>
    <row r="769" spans="1:6">
      <c r="A769" s="242" t="s">
        <v>151</v>
      </c>
      <c r="B769" s="235">
        <f>E$241</f>
        <v>62046.576000000008</v>
      </c>
      <c r="C769" s="235">
        <f>E$268</f>
        <v>86038.803936377037</v>
      </c>
      <c r="D769" s="235">
        <f>E$295</f>
        <v>102577.73936394785</v>
      </c>
      <c r="E769" s="100" t="s">
        <v>119</v>
      </c>
      <c r="F769" s="100" t="s">
        <v>284</v>
      </c>
    </row>
    <row r="770" spans="1:6">
      <c r="A770" s="242" t="s">
        <v>152</v>
      </c>
      <c r="B770" s="235">
        <f>F$241</f>
        <v>0</v>
      </c>
      <c r="C770" s="235">
        <f>F$268</f>
        <v>105212.92363353066</v>
      </c>
      <c r="D770" s="235">
        <f>F$295</f>
        <v>125437.63237550318</v>
      </c>
      <c r="E770" s="100" t="s">
        <v>119</v>
      </c>
      <c r="F770" s="100" t="s">
        <v>284</v>
      </c>
    </row>
    <row r="771" spans="1:6">
      <c r="A771" s="242" t="s">
        <v>153</v>
      </c>
      <c r="B771" s="235">
        <f>G$241</f>
        <v>0</v>
      </c>
      <c r="C771" s="235">
        <f>G$268</f>
        <v>119295.41611378557</v>
      </c>
      <c r="D771" s="235">
        <f>G$295</f>
        <v>142227.15265175601</v>
      </c>
      <c r="E771" s="100" t="s">
        <v>119</v>
      </c>
      <c r="F771" s="100" t="s">
        <v>284</v>
      </c>
    </row>
    <row r="772" spans="1:6">
      <c r="A772" s="242" t="s">
        <v>154</v>
      </c>
      <c r="B772" s="235">
        <f>H$241</f>
        <v>0</v>
      </c>
      <c r="C772" s="235">
        <f>H$268</f>
        <v>126315.19396547569</v>
      </c>
      <c r="D772" s="235">
        <f>H$295</f>
        <v>150596.31760895316</v>
      </c>
      <c r="E772" s="100" t="s">
        <v>119</v>
      </c>
      <c r="F772" s="100" t="s">
        <v>284</v>
      </c>
    </row>
    <row r="773" spans="1:6">
      <c r="A773" s="242" t="s">
        <v>155</v>
      </c>
      <c r="B773" s="235">
        <f>I$241</f>
        <v>0</v>
      </c>
      <c r="C773" s="235">
        <f>I$268</f>
        <v>134793.46641161284</v>
      </c>
      <c r="D773" s="235">
        <f>I$295</f>
        <v>160704.33842569415</v>
      </c>
      <c r="E773" s="100" t="s">
        <v>119</v>
      </c>
      <c r="F773" s="100" t="s">
        <v>284</v>
      </c>
    </row>
    <row r="774" spans="1:6">
      <c r="A774" s="242" t="s">
        <v>156</v>
      </c>
      <c r="B774" s="235">
        <f>J$241</f>
        <v>0</v>
      </c>
      <c r="C774" s="235">
        <f>J$268</f>
        <v>141673.88745396261</v>
      </c>
      <c r="D774" s="235">
        <f>J$295</f>
        <v>168907.35850624152</v>
      </c>
      <c r="E774" s="100" t="s">
        <v>119</v>
      </c>
      <c r="F774" s="100" t="s">
        <v>284</v>
      </c>
    </row>
    <row r="775" spans="1:6">
      <c r="A775" s="242" t="s">
        <v>157</v>
      </c>
      <c r="B775" s="235">
        <f>K$241</f>
        <v>0</v>
      </c>
      <c r="C775" s="235">
        <f>K$268</f>
        <v>147595.39368602663</v>
      </c>
      <c r="D775" s="235">
        <f>K$295</f>
        <v>175967.13496900848</v>
      </c>
      <c r="E775" s="100" t="s">
        <v>119</v>
      </c>
      <c r="F775" s="100" t="s">
        <v>284</v>
      </c>
    </row>
    <row r="776" spans="1:6">
      <c r="A776" s="242" t="s">
        <v>158</v>
      </c>
      <c r="B776" s="235">
        <f>L$241</f>
        <v>0</v>
      </c>
      <c r="C776" s="235">
        <f>L$268</f>
        <v>151452.39096286686</v>
      </c>
      <c r="D776" s="235">
        <f>L$295</f>
        <v>180565.5492110723</v>
      </c>
      <c r="E776" s="100" t="s">
        <v>119</v>
      </c>
      <c r="F776" s="100" t="s">
        <v>284</v>
      </c>
    </row>
    <row r="777" spans="1:6">
      <c r="A777" s="242" t="s">
        <v>159</v>
      </c>
      <c r="B777" s="235">
        <f>M$241</f>
        <v>0</v>
      </c>
      <c r="C777" s="235">
        <f>M$268</f>
        <v>155680</v>
      </c>
      <c r="D777" s="235">
        <f>M$295</f>
        <v>185605.81660326422</v>
      </c>
      <c r="E777" s="100" t="s">
        <v>119</v>
      </c>
      <c r="F777" s="100" t="s">
        <v>284</v>
      </c>
    </row>
    <row r="778" spans="1:6">
      <c r="A778" s="248" t="s">
        <v>148</v>
      </c>
      <c r="B778" s="249"/>
      <c r="C778" s="249"/>
      <c r="D778" s="249"/>
      <c r="E778" s="250" t="s">
        <v>119</v>
      </c>
      <c r="F778" s="100" t="s">
        <v>286</v>
      </c>
    </row>
    <row r="779" spans="1:6">
      <c r="A779" s="248" t="s">
        <v>149</v>
      </c>
      <c r="B779" s="249"/>
      <c r="C779" s="249"/>
      <c r="D779" s="249"/>
      <c r="E779" s="250" t="s">
        <v>119</v>
      </c>
      <c r="F779" s="100" t="s">
        <v>286</v>
      </c>
    </row>
    <row r="780" spans="1:6">
      <c r="A780" s="248" t="s">
        <v>150</v>
      </c>
      <c r="B780" s="249"/>
      <c r="C780" s="249"/>
      <c r="D780" s="249"/>
      <c r="E780" s="250" t="s">
        <v>119</v>
      </c>
      <c r="F780" s="100" t="s">
        <v>286</v>
      </c>
    </row>
    <row r="781" spans="1:6">
      <c r="A781" s="248" t="s">
        <v>151</v>
      </c>
      <c r="B781" s="249"/>
      <c r="C781" s="249"/>
      <c r="D781" s="249"/>
      <c r="E781" s="250" t="s">
        <v>119</v>
      </c>
      <c r="F781" s="100" t="s">
        <v>286</v>
      </c>
    </row>
    <row r="782" spans="1:6">
      <c r="A782" s="248" t="s">
        <v>152</v>
      </c>
      <c r="B782" s="249"/>
      <c r="C782" s="249"/>
      <c r="D782" s="249"/>
      <c r="E782" s="250" t="s">
        <v>119</v>
      </c>
      <c r="F782" s="100" t="s">
        <v>286</v>
      </c>
    </row>
    <row r="783" spans="1:6">
      <c r="A783" s="248" t="s">
        <v>153</v>
      </c>
      <c r="B783" s="249"/>
      <c r="C783" s="249"/>
      <c r="D783" s="249"/>
      <c r="E783" s="250" t="s">
        <v>119</v>
      </c>
      <c r="F783" s="100" t="s">
        <v>286</v>
      </c>
    </row>
    <row r="784" spans="1:6">
      <c r="A784" s="248" t="s">
        <v>154</v>
      </c>
      <c r="B784" s="249"/>
      <c r="C784" s="249"/>
      <c r="D784" s="249"/>
      <c r="E784" s="250" t="s">
        <v>119</v>
      </c>
      <c r="F784" s="100" t="s">
        <v>286</v>
      </c>
    </row>
    <row r="785" spans="1:6">
      <c r="A785" s="248" t="s">
        <v>155</v>
      </c>
      <c r="B785" s="249"/>
      <c r="C785" s="249"/>
      <c r="D785" s="249"/>
      <c r="E785" s="250" t="s">
        <v>119</v>
      </c>
      <c r="F785" s="100" t="s">
        <v>286</v>
      </c>
    </row>
    <row r="786" spans="1:6">
      <c r="A786" s="248" t="s">
        <v>156</v>
      </c>
      <c r="B786" s="249"/>
      <c r="C786" s="249"/>
      <c r="D786" s="249"/>
      <c r="E786" s="250" t="s">
        <v>119</v>
      </c>
      <c r="F786" s="100" t="s">
        <v>286</v>
      </c>
    </row>
    <row r="787" spans="1:6">
      <c r="A787" s="248" t="s">
        <v>157</v>
      </c>
      <c r="B787" s="249"/>
      <c r="C787" s="249"/>
      <c r="D787" s="249"/>
      <c r="E787" s="250" t="s">
        <v>119</v>
      </c>
      <c r="F787" s="100" t="s">
        <v>286</v>
      </c>
    </row>
    <row r="788" spans="1:6">
      <c r="A788" s="248" t="s">
        <v>158</v>
      </c>
      <c r="B788" s="249"/>
      <c r="C788" s="249"/>
      <c r="D788" s="249"/>
      <c r="E788" s="250" t="s">
        <v>119</v>
      </c>
      <c r="F788" s="100" t="s">
        <v>286</v>
      </c>
    </row>
    <row r="789" spans="1:6">
      <c r="A789" s="248" t="s">
        <v>159</v>
      </c>
      <c r="B789" s="249"/>
      <c r="C789" s="249"/>
      <c r="D789" s="249"/>
      <c r="E789" s="250" t="s">
        <v>119</v>
      </c>
      <c r="F789" s="100" t="s">
        <v>286</v>
      </c>
    </row>
    <row r="790" spans="1:6">
      <c r="A790" s="242" t="s">
        <v>148</v>
      </c>
      <c r="B790" s="235"/>
      <c r="C790" s="235"/>
      <c r="D790" s="235"/>
      <c r="E790" s="100" t="s">
        <v>119</v>
      </c>
      <c r="F790" s="100" t="s">
        <v>313</v>
      </c>
    </row>
    <row r="791" spans="1:6">
      <c r="A791" s="242" t="s">
        <v>149</v>
      </c>
      <c r="B791" s="235"/>
      <c r="C791" s="235"/>
      <c r="D791" s="235"/>
      <c r="E791" s="100" t="s">
        <v>119</v>
      </c>
      <c r="F791" s="100" t="s">
        <v>313</v>
      </c>
    </row>
    <row r="792" spans="1:6">
      <c r="A792" s="242" t="s">
        <v>150</v>
      </c>
      <c r="B792" s="235"/>
      <c r="C792" s="235"/>
      <c r="D792" s="235"/>
      <c r="E792" s="100" t="s">
        <v>119</v>
      </c>
      <c r="F792" s="100" t="s">
        <v>313</v>
      </c>
    </row>
    <row r="793" spans="1:6">
      <c r="A793" s="242" t="s">
        <v>151</v>
      </c>
      <c r="B793" s="235"/>
      <c r="C793" s="235"/>
      <c r="D793" s="235"/>
      <c r="E793" s="100" t="s">
        <v>119</v>
      </c>
      <c r="F793" s="100" t="s">
        <v>313</v>
      </c>
    </row>
    <row r="794" spans="1:6">
      <c r="A794" s="242" t="s">
        <v>152</v>
      </c>
      <c r="B794" s="235"/>
      <c r="C794" s="235"/>
      <c r="D794" s="235"/>
      <c r="E794" s="100" t="s">
        <v>119</v>
      </c>
      <c r="F794" s="100" t="s">
        <v>313</v>
      </c>
    </row>
    <row r="795" spans="1:6">
      <c r="A795" s="242" t="s">
        <v>153</v>
      </c>
      <c r="B795" s="235"/>
      <c r="C795" s="235"/>
      <c r="D795" s="235"/>
      <c r="E795" s="100" t="s">
        <v>119</v>
      </c>
      <c r="F795" s="100" t="s">
        <v>313</v>
      </c>
    </row>
    <row r="796" spans="1:6">
      <c r="A796" s="242" t="s">
        <v>154</v>
      </c>
      <c r="B796" s="235"/>
      <c r="C796" s="235"/>
      <c r="D796" s="235"/>
      <c r="E796" s="100" t="s">
        <v>119</v>
      </c>
      <c r="F796" s="100" t="s">
        <v>313</v>
      </c>
    </row>
    <row r="797" spans="1:6">
      <c r="A797" s="242" t="s">
        <v>155</v>
      </c>
      <c r="B797" s="235"/>
      <c r="C797" s="235"/>
      <c r="D797" s="235"/>
      <c r="E797" s="100" t="s">
        <v>119</v>
      </c>
      <c r="F797" s="100" t="s">
        <v>313</v>
      </c>
    </row>
    <row r="798" spans="1:6">
      <c r="A798" s="242" t="s">
        <v>156</v>
      </c>
      <c r="B798" s="235"/>
      <c r="C798" s="235"/>
      <c r="D798" s="235"/>
      <c r="E798" s="100" t="s">
        <v>119</v>
      </c>
      <c r="F798" s="100" t="s">
        <v>313</v>
      </c>
    </row>
    <row r="799" spans="1:6">
      <c r="A799" s="242" t="s">
        <v>157</v>
      </c>
      <c r="B799" s="235"/>
      <c r="C799" s="235"/>
      <c r="D799" s="235"/>
      <c r="E799" s="100" t="s">
        <v>119</v>
      </c>
      <c r="F799" s="100" t="s">
        <v>313</v>
      </c>
    </row>
    <row r="800" spans="1:6">
      <c r="A800" s="242" t="s">
        <v>158</v>
      </c>
      <c r="B800" s="235"/>
      <c r="C800" s="235"/>
      <c r="D800" s="235"/>
      <c r="E800" s="100" t="s">
        <v>119</v>
      </c>
      <c r="F800" s="100" t="s">
        <v>313</v>
      </c>
    </row>
    <row r="801" spans="1:6">
      <c r="A801" s="242" t="s">
        <v>159</v>
      </c>
      <c r="B801" s="235"/>
      <c r="C801" s="235"/>
      <c r="D801" s="235"/>
      <c r="E801" s="100" t="s">
        <v>119</v>
      </c>
      <c r="F801" s="100" t="s">
        <v>313</v>
      </c>
    </row>
    <row r="802" spans="1:6">
      <c r="A802" s="248" t="s">
        <v>148</v>
      </c>
      <c r="B802" s="249"/>
      <c r="C802" s="249"/>
      <c r="D802" s="249"/>
      <c r="E802" s="250" t="s">
        <v>119</v>
      </c>
      <c r="F802" s="100" t="s">
        <v>285</v>
      </c>
    </row>
    <row r="803" spans="1:6">
      <c r="A803" s="248" t="s">
        <v>149</v>
      </c>
      <c r="B803" s="249"/>
      <c r="C803" s="249"/>
      <c r="D803" s="249"/>
      <c r="E803" s="250" t="s">
        <v>119</v>
      </c>
      <c r="F803" s="100" t="s">
        <v>285</v>
      </c>
    </row>
    <row r="804" spans="1:6">
      <c r="A804" s="248" t="s">
        <v>150</v>
      </c>
      <c r="B804" s="249"/>
      <c r="C804" s="249"/>
      <c r="D804" s="249"/>
      <c r="E804" s="250" t="s">
        <v>119</v>
      </c>
      <c r="F804" s="100" t="s">
        <v>285</v>
      </c>
    </row>
    <row r="805" spans="1:6">
      <c r="A805" s="248" t="s">
        <v>151</v>
      </c>
      <c r="B805" s="249"/>
      <c r="C805" s="249"/>
      <c r="D805" s="249"/>
      <c r="E805" s="250" t="s">
        <v>119</v>
      </c>
      <c r="F805" s="100" t="s">
        <v>285</v>
      </c>
    </row>
    <row r="806" spans="1:6">
      <c r="A806" s="248" t="s">
        <v>152</v>
      </c>
      <c r="B806" s="249"/>
      <c r="C806" s="249"/>
      <c r="D806" s="249"/>
      <c r="E806" s="250" t="s">
        <v>119</v>
      </c>
      <c r="F806" s="100" t="s">
        <v>285</v>
      </c>
    </row>
    <row r="807" spans="1:6">
      <c r="A807" s="248" t="s">
        <v>153</v>
      </c>
      <c r="B807" s="249"/>
      <c r="C807" s="249"/>
      <c r="D807" s="249"/>
      <c r="E807" s="250" t="s">
        <v>119</v>
      </c>
      <c r="F807" s="100" t="s">
        <v>285</v>
      </c>
    </row>
    <row r="808" spans="1:6">
      <c r="A808" s="248" t="s">
        <v>154</v>
      </c>
      <c r="B808" s="249"/>
      <c r="C808" s="249"/>
      <c r="D808" s="249"/>
      <c r="E808" s="250" t="s">
        <v>119</v>
      </c>
      <c r="F808" s="100" t="s">
        <v>285</v>
      </c>
    </row>
    <row r="809" spans="1:6">
      <c r="A809" s="248" t="s">
        <v>155</v>
      </c>
      <c r="B809" s="249"/>
      <c r="C809" s="249"/>
      <c r="D809" s="249"/>
      <c r="E809" s="250" t="s">
        <v>119</v>
      </c>
      <c r="F809" s="100" t="s">
        <v>285</v>
      </c>
    </row>
    <row r="810" spans="1:6">
      <c r="A810" s="248" t="s">
        <v>156</v>
      </c>
      <c r="B810" s="249"/>
      <c r="C810" s="249"/>
      <c r="D810" s="249"/>
      <c r="E810" s="250" t="s">
        <v>119</v>
      </c>
      <c r="F810" s="100" t="s">
        <v>285</v>
      </c>
    </row>
    <row r="811" spans="1:6">
      <c r="A811" s="248" t="s">
        <v>157</v>
      </c>
      <c r="B811" s="249"/>
      <c r="C811" s="249"/>
      <c r="D811" s="249"/>
      <c r="E811" s="250" t="s">
        <v>119</v>
      </c>
      <c r="F811" s="100" t="s">
        <v>285</v>
      </c>
    </row>
    <row r="812" spans="1:6">
      <c r="A812" s="248" t="s">
        <v>158</v>
      </c>
      <c r="B812" s="249"/>
      <c r="C812" s="249"/>
      <c r="D812" s="249"/>
      <c r="E812" s="250" t="s">
        <v>119</v>
      </c>
      <c r="F812" s="100" t="s">
        <v>285</v>
      </c>
    </row>
    <row r="813" spans="1:6">
      <c r="A813" s="248" t="s">
        <v>159</v>
      </c>
      <c r="B813" s="249"/>
      <c r="C813" s="249"/>
      <c r="D813" s="249"/>
      <c r="E813" s="250" t="s">
        <v>119</v>
      </c>
      <c r="F813" s="100" t="s">
        <v>285</v>
      </c>
    </row>
    <row r="814" spans="1:6">
      <c r="A814" s="242" t="s">
        <v>148</v>
      </c>
      <c r="B814" s="235"/>
      <c r="C814" s="235"/>
      <c r="D814" s="235"/>
      <c r="E814" s="100" t="s">
        <v>119</v>
      </c>
      <c r="F814" s="100" t="s">
        <v>28</v>
      </c>
    </row>
    <row r="815" spans="1:6">
      <c r="A815" s="242" t="s">
        <v>149</v>
      </c>
      <c r="B815" s="235"/>
      <c r="C815" s="235"/>
      <c r="D815" s="235"/>
      <c r="E815" s="100" t="s">
        <v>119</v>
      </c>
      <c r="F815" s="100" t="s">
        <v>28</v>
      </c>
    </row>
    <row r="816" spans="1:6">
      <c r="A816" s="242" t="s">
        <v>150</v>
      </c>
      <c r="B816" s="235"/>
      <c r="C816" s="235"/>
      <c r="D816" s="235"/>
      <c r="E816" s="100" t="s">
        <v>119</v>
      </c>
      <c r="F816" s="100" t="s">
        <v>28</v>
      </c>
    </row>
    <row r="817" spans="1:6">
      <c r="A817" s="242" t="s">
        <v>151</v>
      </c>
      <c r="B817" s="235"/>
      <c r="C817" s="235"/>
      <c r="D817" s="235"/>
      <c r="E817" s="100" t="s">
        <v>119</v>
      </c>
      <c r="F817" s="100" t="s">
        <v>28</v>
      </c>
    </row>
    <row r="818" spans="1:6">
      <c r="A818" s="242" t="s">
        <v>152</v>
      </c>
      <c r="B818" s="235"/>
      <c r="C818" s="235"/>
      <c r="D818" s="235"/>
      <c r="E818" s="100" t="s">
        <v>119</v>
      </c>
      <c r="F818" s="100" t="s">
        <v>28</v>
      </c>
    </row>
    <row r="819" spans="1:6">
      <c r="A819" s="242" t="s">
        <v>153</v>
      </c>
      <c r="B819" s="235"/>
      <c r="C819" s="235"/>
      <c r="D819" s="235"/>
      <c r="E819" s="100" t="s">
        <v>119</v>
      </c>
      <c r="F819" s="100" t="s">
        <v>28</v>
      </c>
    </row>
    <row r="820" spans="1:6">
      <c r="A820" s="242" t="s">
        <v>154</v>
      </c>
      <c r="B820" s="235"/>
      <c r="C820" s="235"/>
      <c r="D820" s="235"/>
      <c r="E820" s="100" t="s">
        <v>119</v>
      </c>
      <c r="F820" s="100" t="s">
        <v>28</v>
      </c>
    </row>
    <row r="821" spans="1:6">
      <c r="A821" s="242" t="s">
        <v>155</v>
      </c>
      <c r="B821" s="235"/>
      <c r="C821" s="235"/>
      <c r="D821" s="235"/>
      <c r="E821" s="100" t="s">
        <v>119</v>
      </c>
      <c r="F821" s="100" t="s">
        <v>28</v>
      </c>
    </row>
    <row r="822" spans="1:6">
      <c r="A822" s="242" t="s">
        <v>156</v>
      </c>
      <c r="B822" s="235"/>
      <c r="C822" s="235"/>
      <c r="D822" s="235"/>
      <c r="E822" s="100" t="s">
        <v>119</v>
      </c>
      <c r="F822" s="100" t="s">
        <v>28</v>
      </c>
    </row>
    <row r="823" spans="1:6">
      <c r="A823" s="242" t="s">
        <v>157</v>
      </c>
      <c r="B823" s="235"/>
      <c r="C823" s="235"/>
      <c r="D823" s="235"/>
      <c r="E823" s="100" t="s">
        <v>119</v>
      </c>
      <c r="F823" s="100" t="s">
        <v>28</v>
      </c>
    </row>
    <row r="824" spans="1:6">
      <c r="A824" s="242" t="s">
        <v>158</v>
      </c>
      <c r="B824" s="235"/>
      <c r="C824" s="235"/>
      <c r="D824" s="235"/>
      <c r="E824" s="100" t="s">
        <v>119</v>
      </c>
      <c r="F824" s="100" t="s">
        <v>28</v>
      </c>
    </row>
    <row r="825" spans="1:6">
      <c r="A825" s="242" t="s">
        <v>159</v>
      </c>
      <c r="B825" s="235"/>
      <c r="C825" s="235"/>
      <c r="D825" s="235"/>
      <c r="E825" s="100" t="s">
        <v>119</v>
      </c>
      <c r="F825" s="100" t="s">
        <v>28</v>
      </c>
    </row>
    <row r="826" spans="1:6">
      <c r="A826" s="248" t="s">
        <v>148</v>
      </c>
      <c r="B826" s="249"/>
      <c r="C826" s="249"/>
      <c r="D826" s="249"/>
      <c r="E826" s="250" t="s">
        <v>119</v>
      </c>
      <c r="F826" s="250" t="s">
        <v>175</v>
      </c>
    </row>
    <row r="827" spans="1:6">
      <c r="A827" s="248" t="s">
        <v>149</v>
      </c>
      <c r="B827" s="249"/>
      <c r="C827" s="249"/>
      <c r="D827" s="249"/>
      <c r="E827" s="250" t="s">
        <v>119</v>
      </c>
      <c r="F827" s="250" t="s">
        <v>175</v>
      </c>
    </row>
    <row r="828" spans="1:6">
      <c r="A828" s="248" t="s">
        <v>150</v>
      </c>
      <c r="B828" s="249"/>
      <c r="C828" s="249"/>
      <c r="D828" s="249"/>
      <c r="E828" s="250" t="s">
        <v>119</v>
      </c>
      <c r="F828" s="250" t="s">
        <v>175</v>
      </c>
    </row>
    <row r="829" spans="1:6">
      <c r="A829" s="248" t="s">
        <v>151</v>
      </c>
      <c r="B829" s="249"/>
      <c r="C829" s="249"/>
      <c r="D829" s="249"/>
      <c r="E829" s="250" t="s">
        <v>119</v>
      </c>
      <c r="F829" s="250" t="s">
        <v>175</v>
      </c>
    </row>
    <row r="830" spans="1:6">
      <c r="A830" s="248" t="s">
        <v>152</v>
      </c>
      <c r="B830" s="249"/>
      <c r="C830" s="249"/>
      <c r="D830" s="249"/>
      <c r="E830" s="250" t="s">
        <v>119</v>
      </c>
      <c r="F830" s="250" t="s">
        <v>175</v>
      </c>
    </row>
    <row r="831" spans="1:6">
      <c r="A831" s="248" t="s">
        <v>153</v>
      </c>
      <c r="B831" s="249"/>
      <c r="C831" s="249"/>
      <c r="D831" s="249"/>
      <c r="E831" s="250" t="s">
        <v>119</v>
      </c>
      <c r="F831" s="250" t="s">
        <v>175</v>
      </c>
    </row>
    <row r="832" spans="1:6">
      <c r="A832" s="248" t="s">
        <v>154</v>
      </c>
      <c r="B832" s="249"/>
      <c r="C832" s="249"/>
      <c r="D832" s="249"/>
      <c r="E832" s="250" t="s">
        <v>119</v>
      </c>
      <c r="F832" s="250" t="s">
        <v>175</v>
      </c>
    </row>
    <row r="833" spans="1:6">
      <c r="A833" s="248" t="s">
        <v>155</v>
      </c>
      <c r="B833" s="249"/>
      <c r="C833" s="249"/>
      <c r="D833" s="249"/>
      <c r="E833" s="250" t="s">
        <v>119</v>
      </c>
      <c r="F833" s="250" t="s">
        <v>175</v>
      </c>
    </row>
    <row r="834" spans="1:6">
      <c r="A834" s="248" t="s">
        <v>156</v>
      </c>
      <c r="B834" s="249"/>
      <c r="C834" s="249"/>
      <c r="D834" s="249"/>
      <c r="E834" s="250" t="s">
        <v>119</v>
      </c>
      <c r="F834" s="250" t="s">
        <v>175</v>
      </c>
    </row>
    <row r="835" spans="1:6">
      <c r="A835" s="248" t="s">
        <v>157</v>
      </c>
      <c r="B835" s="249"/>
      <c r="C835" s="249"/>
      <c r="D835" s="249"/>
      <c r="E835" s="250" t="s">
        <v>119</v>
      </c>
      <c r="F835" s="250" t="s">
        <v>175</v>
      </c>
    </row>
    <row r="836" spans="1:6">
      <c r="A836" s="248" t="s">
        <v>158</v>
      </c>
      <c r="B836" s="249"/>
      <c r="C836" s="249"/>
      <c r="D836" s="249"/>
      <c r="E836" s="250" t="s">
        <v>119</v>
      </c>
      <c r="F836" s="250" t="s">
        <v>175</v>
      </c>
    </row>
    <row r="837" spans="1:6">
      <c r="A837" s="248" t="s">
        <v>159</v>
      </c>
      <c r="B837" s="249"/>
      <c r="C837" s="249"/>
      <c r="D837" s="249"/>
      <c r="E837" s="250" t="s">
        <v>119</v>
      </c>
      <c r="F837" s="250" t="s">
        <v>175</v>
      </c>
    </row>
    <row r="838" spans="1:6">
      <c r="A838" s="242" t="s">
        <v>148</v>
      </c>
      <c r="B838" s="235"/>
      <c r="C838" s="235"/>
      <c r="D838" s="235"/>
      <c r="E838" s="100" t="s">
        <v>120</v>
      </c>
      <c r="F838" s="100" t="s">
        <v>284</v>
      </c>
    </row>
    <row r="839" spans="1:6">
      <c r="A839" s="242" t="s">
        <v>149</v>
      </c>
      <c r="B839" s="235"/>
      <c r="C839" s="235"/>
      <c r="D839" s="235"/>
      <c r="E839" s="100" t="s">
        <v>120</v>
      </c>
      <c r="F839" s="100" t="s">
        <v>284</v>
      </c>
    </row>
    <row r="840" spans="1:6">
      <c r="A840" s="242" t="s">
        <v>150</v>
      </c>
      <c r="B840" s="235"/>
      <c r="C840" s="235"/>
      <c r="D840" s="235"/>
      <c r="E840" s="100" t="s">
        <v>120</v>
      </c>
      <c r="F840" s="100" t="s">
        <v>284</v>
      </c>
    </row>
    <row r="841" spans="1:6">
      <c r="A841" s="242" t="s">
        <v>151</v>
      </c>
      <c r="B841" s="235"/>
      <c r="C841" s="235"/>
      <c r="D841" s="235"/>
      <c r="E841" s="100" t="s">
        <v>120</v>
      </c>
      <c r="F841" s="100" t="s">
        <v>284</v>
      </c>
    </row>
    <row r="842" spans="1:6">
      <c r="A842" s="242" t="s">
        <v>152</v>
      </c>
      <c r="B842" s="235"/>
      <c r="C842" s="235"/>
      <c r="D842" s="235"/>
      <c r="E842" s="100" t="s">
        <v>120</v>
      </c>
      <c r="F842" s="100" t="s">
        <v>284</v>
      </c>
    </row>
    <row r="843" spans="1:6">
      <c r="A843" s="242" t="s">
        <v>153</v>
      </c>
      <c r="B843" s="235"/>
      <c r="C843" s="235"/>
      <c r="D843" s="235"/>
      <c r="E843" s="100" t="s">
        <v>120</v>
      </c>
      <c r="F843" s="100" t="s">
        <v>284</v>
      </c>
    </row>
    <row r="844" spans="1:6">
      <c r="A844" s="242" t="s">
        <v>154</v>
      </c>
      <c r="B844" s="235"/>
      <c r="C844" s="235"/>
      <c r="D844" s="235"/>
      <c r="E844" s="100" t="s">
        <v>120</v>
      </c>
      <c r="F844" s="100" t="s">
        <v>284</v>
      </c>
    </row>
    <row r="845" spans="1:6">
      <c r="A845" s="242" t="s">
        <v>155</v>
      </c>
      <c r="B845" s="235"/>
      <c r="C845" s="235"/>
      <c r="D845" s="235"/>
      <c r="E845" s="100" t="s">
        <v>120</v>
      </c>
      <c r="F845" s="100" t="s">
        <v>284</v>
      </c>
    </row>
    <row r="846" spans="1:6">
      <c r="A846" s="242" t="s">
        <v>156</v>
      </c>
      <c r="B846" s="235"/>
      <c r="C846" s="235"/>
      <c r="D846" s="235"/>
      <c r="E846" s="100" t="s">
        <v>120</v>
      </c>
      <c r="F846" s="100" t="s">
        <v>284</v>
      </c>
    </row>
    <row r="847" spans="1:6">
      <c r="A847" s="242" t="s">
        <v>157</v>
      </c>
      <c r="B847" s="235"/>
      <c r="C847" s="235"/>
      <c r="D847" s="235"/>
      <c r="E847" s="100" t="s">
        <v>120</v>
      </c>
      <c r="F847" s="100" t="s">
        <v>284</v>
      </c>
    </row>
    <row r="848" spans="1:6">
      <c r="A848" s="242" t="s">
        <v>158</v>
      </c>
      <c r="B848" s="235"/>
      <c r="C848" s="235"/>
      <c r="D848" s="235"/>
      <c r="E848" s="100" t="s">
        <v>120</v>
      </c>
      <c r="F848" s="100" t="s">
        <v>284</v>
      </c>
    </row>
    <row r="849" spans="1:6">
      <c r="A849" s="242" t="s">
        <v>159</v>
      </c>
      <c r="B849" s="235"/>
      <c r="C849" s="235"/>
      <c r="D849" s="235"/>
      <c r="E849" s="100" t="s">
        <v>120</v>
      </c>
      <c r="F849" s="100" t="s">
        <v>284</v>
      </c>
    </row>
    <row r="850" spans="1:6">
      <c r="A850" s="248" t="s">
        <v>148</v>
      </c>
      <c r="B850" s="249"/>
      <c r="C850" s="249"/>
      <c r="D850" s="249"/>
      <c r="E850" s="100" t="s">
        <v>120</v>
      </c>
      <c r="F850" s="100" t="s">
        <v>286</v>
      </c>
    </row>
    <row r="851" spans="1:6">
      <c r="A851" s="248" t="s">
        <v>149</v>
      </c>
      <c r="B851" s="249"/>
      <c r="C851" s="249"/>
      <c r="D851" s="249"/>
      <c r="E851" s="100" t="s">
        <v>120</v>
      </c>
      <c r="F851" s="100" t="s">
        <v>286</v>
      </c>
    </row>
    <row r="852" spans="1:6">
      <c r="A852" s="248" t="s">
        <v>150</v>
      </c>
      <c r="B852" s="249"/>
      <c r="C852" s="249"/>
      <c r="D852" s="249"/>
      <c r="E852" s="100" t="s">
        <v>120</v>
      </c>
      <c r="F852" s="100" t="s">
        <v>286</v>
      </c>
    </row>
    <row r="853" spans="1:6">
      <c r="A853" s="248" t="s">
        <v>151</v>
      </c>
      <c r="B853" s="249"/>
      <c r="C853" s="249"/>
      <c r="D853" s="249"/>
      <c r="E853" s="100" t="s">
        <v>120</v>
      </c>
      <c r="F853" s="100" t="s">
        <v>286</v>
      </c>
    </row>
    <row r="854" spans="1:6">
      <c r="A854" s="248" t="s">
        <v>152</v>
      </c>
      <c r="B854" s="249"/>
      <c r="C854" s="249"/>
      <c r="D854" s="249"/>
      <c r="E854" s="100" t="s">
        <v>120</v>
      </c>
      <c r="F854" s="100" t="s">
        <v>286</v>
      </c>
    </row>
    <row r="855" spans="1:6">
      <c r="A855" s="248" t="s">
        <v>153</v>
      </c>
      <c r="B855" s="249"/>
      <c r="C855" s="249"/>
      <c r="D855" s="249"/>
      <c r="E855" s="100" t="s">
        <v>120</v>
      </c>
      <c r="F855" s="100" t="s">
        <v>286</v>
      </c>
    </row>
    <row r="856" spans="1:6">
      <c r="A856" s="248" t="s">
        <v>154</v>
      </c>
      <c r="B856" s="249"/>
      <c r="C856" s="249"/>
      <c r="D856" s="249"/>
      <c r="E856" s="100" t="s">
        <v>120</v>
      </c>
      <c r="F856" s="100" t="s">
        <v>286</v>
      </c>
    </row>
    <row r="857" spans="1:6">
      <c r="A857" s="248" t="s">
        <v>155</v>
      </c>
      <c r="B857" s="249"/>
      <c r="C857" s="249"/>
      <c r="D857" s="249"/>
      <c r="E857" s="100" t="s">
        <v>120</v>
      </c>
      <c r="F857" s="100" t="s">
        <v>286</v>
      </c>
    </row>
    <row r="858" spans="1:6">
      <c r="A858" s="248" t="s">
        <v>156</v>
      </c>
      <c r="B858" s="249"/>
      <c r="C858" s="249"/>
      <c r="D858" s="249"/>
      <c r="E858" s="100" t="s">
        <v>120</v>
      </c>
      <c r="F858" s="100" t="s">
        <v>286</v>
      </c>
    </row>
    <row r="859" spans="1:6">
      <c r="A859" s="248" t="s">
        <v>157</v>
      </c>
      <c r="B859" s="249"/>
      <c r="C859" s="249"/>
      <c r="D859" s="249"/>
      <c r="E859" s="100" t="s">
        <v>120</v>
      </c>
      <c r="F859" s="100" t="s">
        <v>286</v>
      </c>
    </row>
    <row r="860" spans="1:6">
      <c r="A860" s="248" t="s">
        <v>158</v>
      </c>
      <c r="B860" s="249"/>
      <c r="C860" s="249"/>
      <c r="D860" s="249"/>
      <c r="E860" s="100" t="s">
        <v>120</v>
      </c>
      <c r="F860" s="100" t="s">
        <v>286</v>
      </c>
    </row>
    <row r="861" spans="1:6">
      <c r="A861" s="248" t="s">
        <v>159</v>
      </c>
      <c r="B861" s="249"/>
      <c r="C861" s="249"/>
      <c r="D861" s="249"/>
      <c r="E861" s="100" t="s">
        <v>120</v>
      </c>
      <c r="F861" s="100" t="s">
        <v>286</v>
      </c>
    </row>
    <row r="862" spans="1:6">
      <c r="A862" s="242" t="s">
        <v>148</v>
      </c>
      <c r="B862" s="235"/>
      <c r="C862" s="235"/>
      <c r="D862" s="235"/>
      <c r="E862" s="100" t="s">
        <v>120</v>
      </c>
      <c r="F862" s="100" t="s">
        <v>313</v>
      </c>
    </row>
    <row r="863" spans="1:6">
      <c r="A863" s="242" t="s">
        <v>149</v>
      </c>
      <c r="B863" s="235"/>
      <c r="C863" s="235"/>
      <c r="D863" s="235"/>
      <c r="E863" s="100" t="s">
        <v>120</v>
      </c>
      <c r="F863" s="100" t="s">
        <v>313</v>
      </c>
    </row>
    <row r="864" spans="1:6">
      <c r="A864" s="242" t="s">
        <v>150</v>
      </c>
      <c r="B864" s="235"/>
      <c r="C864" s="235"/>
      <c r="D864" s="235"/>
      <c r="E864" s="100" t="s">
        <v>120</v>
      </c>
      <c r="F864" s="100" t="s">
        <v>313</v>
      </c>
    </row>
    <row r="865" spans="1:6">
      <c r="A865" s="242" t="s">
        <v>151</v>
      </c>
      <c r="B865" s="235"/>
      <c r="C865" s="235"/>
      <c r="D865" s="235"/>
      <c r="E865" s="100" t="s">
        <v>120</v>
      </c>
      <c r="F865" s="100" t="s">
        <v>313</v>
      </c>
    </row>
    <row r="866" spans="1:6">
      <c r="A866" s="242" t="s">
        <v>152</v>
      </c>
      <c r="B866" s="235"/>
      <c r="C866" s="235"/>
      <c r="D866" s="235"/>
      <c r="E866" s="100" t="s">
        <v>120</v>
      </c>
      <c r="F866" s="100" t="s">
        <v>313</v>
      </c>
    </row>
    <row r="867" spans="1:6">
      <c r="A867" s="242" t="s">
        <v>153</v>
      </c>
      <c r="B867" s="235"/>
      <c r="C867" s="235"/>
      <c r="D867" s="235"/>
      <c r="E867" s="100" t="s">
        <v>120</v>
      </c>
      <c r="F867" s="100" t="s">
        <v>313</v>
      </c>
    </row>
    <row r="868" spans="1:6">
      <c r="A868" s="242" t="s">
        <v>154</v>
      </c>
      <c r="B868" s="235"/>
      <c r="C868" s="235"/>
      <c r="D868" s="235"/>
      <c r="E868" s="100" t="s">
        <v>120</v>
      </c>
      <c r="F868" s="100" t="s">
        <v>313</v>
      </c>
    </row>
    <row r="869" spans="1:6">
      <c r="A869" s="242" t="s">
        <v>155</v>
      </c>
      <c r="B869" s="235"/>
      <c r="C869" s="235"/>
      <c r="D869" s="235"/>
      <c r="E869" s="100" t="s">
        <v>120</v>
      </c>
      <c r="F869" s="100" t="s">
        <v>313</v>
      </c>
    </row>
    <row r="870" spans="1:6">
      <c r="A870" s="242" t="s">
        <v>156</v>
      </c>
      <c r="B870" s="235"/>
      <c r="C870" s="235"/>
      <c r="D870" s="235"/>
      <c r="E870" s="100" t="s">
        <v>120</v>
      </c>
      <c r="F870" s="100" t="s">
        <v>313</v>
      </c>
    </row>
    <row r="871" spans="1:6">
      <c r="A871" s="242" t="s">
        <v>157</v>
      </c>
      <c r="B871" s="235"/>
      <c r="C871" s="235"/>
      <c r="D871" s="235"/>
      <c r="E871" s="100" t="s">
        <v>120</v>
      </c>
      <c r="F871" s="100" t="s">
        <v>313</v>
      </c>
    </row>
    <row r="872" spans="1:6">
      <c r="A872" s="242" t="s">
        <v>158</v>
      </c>
      <c r="B872" s="235"/>
      <c r="C872" s="235"/>
      <c r="D872" s="235"/>
      <c r="E872" s="100" t="s">
        <v>120</v>
      </c>
      <c r="F872" s="100" t="s">
        <v>313</v>
      </c>
    </row>
    <row r="873" spans="1:6">
      <c r="A873" s="242" t="s">
        <v>159</v>
      </c>
      <c r="B873" s="235"/>
      <c r="C873" s="235"/>
      <c r="D873" s="235"/>
      <c r="E873" s="100" t="s">
        <v>120</v>
      </c>
      <c r="F873" s="100" t="s">
        <v>313</v>
      </c>
    </row>
    <row r="874" spans="1:6">
      <c r="A874" s="248" t="s">
        <v>148</v>
      </c>
      <c r="B874" s="249"/>
      <c r="C874" s="249"/>
      <c r="D874" s="249"/>
      <c r="E874" s="100" t="s">
        <v>120</v>
      </c>
      <c r="F874" s="100" t="s">
        <v>285</v>
      </c>
    </row>
    <row r="875" spans="1:6">
      <c r="A875" s="248" t="s">
        <v>149</v>
      </c>
      <c r="B875" s="249"/>
      <c r="C875" s="249"/>
      <c r="D875" s="249"/>
      <c r="E875" s="100" t="s">
        <v>120</v>
      </c>
      <c r="F875" s="100" t="s">
        <v>285</v>
      </c>
    </row>
    <row r="876" spans="1:6">
      <c r="A876" s="248" t="s">
        <v>150</v>
      </c>
      <c r="B876" s="249"/>
      <c r="C876" s="249"/>
      <c r="D876" s="249"/>
      <c r="E876" s="100" t="s">
        <v>120</v>
      </c>
      <c r="F876" s="100" t="s">
        <v>285</v>
      </c>
    </row>
    <row r="877" spans="1:6">
      <c r="A877" s="248" t="s">
        <v>151</v>
      </c>
      <c r="B877" s="249"/>
      <c r="C877" s="249"/>
      <c r="D877" s="249"/>
      <c r="E877" s="100" t="s">
        <v>120</v>
      </c>
      <c r="F877" s="100" t="s">
        <v>285</v>
      </c>
    </row>
    <row r="878" spans="1:6">
      <c r="A878" s="248" t="s">
        <v>152</v>
      </c>
      <c r="B878" s="249"/>
      <c r="C878" s="249"/>
      <c r="D878" s="249"/>
      <c r="E878" s="100" t="s">
        <v>120</v>
      </c>
      <c r="F878" s="100" t="s">
        <v>285</v>
      </c>
    </row>
    <row r="879" spans="1:6">
      <c r="A879" s="248" t="s">
        <v>153</v>
      </c>
      <c r="B879" s="249"/>
      <c r="C879" s="249"/>
      <c r="D879" s="249"/>
      <c r="E879" s="100" t="s">
        <v>120</v>
      </c>
      <c r="F879" s="100" t="s">
        <v>285</v>
      </c>
    </row>
    <row r="880" spans="1:6">
      <c r="A880" s="248" t="s">
        <v>154</v>
      </c>
      <c r="B880" s="249"/>
      <c r="C880" s="249"/>
      <c r="D880" s="249"/>
      <c r="E880" s="100" t="s">
        <v>120</v>
      </c>
      <c r="F880" s="100" t="s">
        <v>285</v>
      </c>
    </row>
    <row r="881" spans="1:6">
      <c r="A881" s="248" t="s">
        <v>155</v>
      </c>
      <c r="B881" s="249"/>
      <c r="C881" s="249"/>
      <c r="D881" s="249"/>
      <c r="E881" s="100" t="s">
        <v>120</v>
      </c>
      <c r="F881" s="100" t="s">
        <v>285</v>
      </c>
    </row>
    <row r="882" spans="1:6">
      <c r="A882" s="248" t="s">
        <v>156</v>
      </c>
      <c r="B882" s="249"/>
      <c r="C882" s="249"/>
      <c r="D882" s="249"/>
      <c r="E882" s="100" t="s">
        <v>120</v>
      </c>
      <c r="F882" s="100" t="s">
        <v>285</v>
      </c>
    </row>
    <row r="883" spans="1:6">
      <c r="A883" s="248" t="s">
        <v>157</v>
      </c>
      <c r="B883" s="249"/>
      <c r="C883" s="249"/>
      <c r="D883" s="249"/>
      <c r="E883" s="100" t="s">
        <v>120</v>
      </c>
      <c r="F883" s="100" t="s">
        <v>285</v>
      </c>
    </row>
    <row r="884" spans="1:6">
      <c r="A884" s="248" t="s">
        <v>158</v>
      </c>
      <c r="B884" s="249"/>
      <c r="C884" s="249"/>
      <c r="D884" s="249"/>
      <c r="E884" s="100" t="s">
        <v>120</v>
      </c>
      <c r="F884" s="100" t="s">
        <v>285</v>
      </c>
    </row>
    <row r="885" spans="1:6">
      <c r="A885" s="248" t="s">
        <v>159</v>
      </c>
      <c r="B885" s="249"/>
      <c r="C885" s="249"/>
      <c r="D885" s="249"/>
      <c r="E885" s="100" t="s">
        <v>120</v>
      </c>
      <c r="F885" s="100" t="s">
        <v>285</v>
      </c>
    </row>
    <row r="886" spans="1:6">
      <c r="A886" s="242" t="s">
        <v>148</v>
      </c>
      <c r="B886" s="235"/>
      <c r="C886" s="235"/>
      <c r="D886" s="235"/>
      <c r="E886" s="100" t="s">
        <v>120</v>
      </c>
      <c r="F886" s="100" t="s">
        <v>28</v>
      </c>
    </row>
    <row r="887" spans="1:6">
      <c r="A887" s="242" t="s">
        <v>149</v>
      </c>
      <c r="B887" s="235"/>
      <c r="C887" s="235"/>
      <c r="D887" s="235"/>
      <c r="E887" s="100" t="s">
        <v>120</v>
      </c>
      <c r="F887" s="100" t="s">
        <v>28</v>
      </c>
    </row>
    <row r="888" spans="1:6">
      <c r="A888" s="242" t="s">
        <v>150</v>
      </c>
      <c r="B888" s="235"/>
      <c r="C888" s="235"/>
      <c r="D888" s="235"/>
      <c r="E888" s="100" t="s">
        <v>120</v>
      </c>
      <c r="F888" s="100" t="s">
        <v>28</v>
      </c>
    </row>
    <row r="889" spans="1:6">
      <c r="A889" s="242" t="s">
        <v>151</v>
      </c>
      <c r="B889" s="235"/>
      <c r="C889" s="235"/>
      <c r="D889" s="235"/>
      <c r="E889" s="100" t="s">
        <v>120</v>
      </c>
      <c r="F889" s="100" t="s">
        <v>28</v>
      </c>
    </row>
    <row r="890" spans="1:6">
      <c r="A890" s="242" t="s">
        <v>152</v>
      </c>
      <c r="B890" s="235"/>
      <c r="C890" s="235"/>
      <c r="D890" s="235"/>
      <c r="E890" s="100" t="s">
        <v>120</v>
      </c>
      <c r="F890" s="100" t="s">
        <v>28</v>
      </c>
    </row>
    <row r="891" spans="1:6">
      <c r="A891" s="242" t="s">
        <v>153</v>
      </c>
      <c r="B891" s="235"/>
      <c r="C891" s="235"/>
      <c r="D891" s="235"/>
      <c r="E891" s="100" t="s">
        <v>120</v>
      </c>
      <c r="F891" s="100" t="s">
        <v>28</v>
      </c>
    </row>
    <row r="892" spans="1:6">
      <c r="A892" s="242" t="s">
        <v>154</v>
      </c>
      <c r="B892" s="235"/>
      <c r="C892" s="235"/>
      <c r="D892" s="235"/>
      <c r="E892" s="100" t="s">
        <v>120</v>
      </c>
      <c r="F892" s="100" t="s">
        <v>28</v>
      </c>
    </row>
    <row r="893" spans="1:6">
      <c r="A893" s="242" t="s">
        <v>155</v>
      </c>
      <c r="B893" s="235"/>
      <c r="C893" s="235"/>
      <c r="D893" s="235"/>
      <c r="E893" s="100" t="s">
        <v>120</v>
      </c>
      <c r="F893" s="100" t="s">
        <v>28</v>
      </c>
    </row>
    <row r="894" spans="1:6">
      <c r="A894" s="242" t="s">
        <v>156</v>
      </c>
      <c r="B894" s="235"/>
      <c r="C894" s="235"/>
      <c r="D894" s="235"/>
      <c r="E894" s="100" t="s">
        <v>120</v>
      </c>
      <c r="F894" s="100" t="s">
        <v>28</v>
      </c>
    </row>
    <row r="895" spans="1:6">
      <c r="A895" s="242" t="s">
        <v>157</v>
      </c>
      <c r="B895" s="235"/>
      <c r="C895" s="235"/>
      <c r="D895" s="235"/>
      <c r="E895" s="100" t="s">
        <v>120</v>
      </c>
      <c r="F895" s="100" t="s">
        <v>28</v>
      </c>
    </row>
    <row r="896" spans="1:6">
      <c r="A896" s="242" t="s">
        <v>158</v>
      </c>
      <c r="B896" s="235"/>
      <c r="C896" s="235"/>
      <c r="D896" s="235"/>
      <c r="E896" s="100" t="s">
        <v>120</v>
      </c>
      <c r="F896" s="100" t="s">
        <v>28</v>
      </c>
    </row>
    <row r="897" spans="1:6">
      <c r="A897" s="242" t="s">
        <v>159</v>
      </c>
      <c r="B897" s="235"/>
      <c r="C897" s="235"/>
      <c r="D897" s="235"/>
      <c r="E897" s="100" t="s">
        <v>120</v>
      </c>
      <c r="F897" s="100" t="s">
        <v>28</v>
      </c>
    </row>
    <row r="898" spans="1:6">
      <c r="A898" s="248" t="s">
        <v>148</v>
      </c>
      <c r="B898" s="249"/>
      <c r="C898" s="249"/>
      <c r="D898" s="249"/>
      <c r="E898" s="100" t="s">
        <v>120</v>
      </c>
      <c r="F898" s="250" t="s">
        <v>175</v>
      </c>
    </row>
    <row r="899" spans="1:6">
      <c r="A899" s="248" t="s">
        <v>149</v>
      </c>
      <c r="B899" s="249"/>
      <c r="C899" s="249"/>
      <c r="D899" s="249"/>
      <c r="E899" s="100" t="s">
        <v>120</v>
      </c>
      <c r="F899" s="250" t="s">
        <v>175</v>
      </c>
    </row>
    <row r="900" spans="1:6">
      <c r="A900" s="248" t="s">
        <v>150</v>
      </c>
      <c r="B900" s="249"/>
      <c r="C900" s="249"/>
      <c r="D900" s="249"/>
      <c r="E900" s="100" t="s">
        <v>120</v>
      </c>
      <c r="F900" s="250" t="s">
        <v>175</v>
      </c>
    </row>
    <row r="901" spans="1:6">
      <c r="A901" s="248" t="s">
        <v>151</v>
      </c>
      <c r="B901" s="249"/>
      <c r="C901" s="249"/>
      <c r="D901" s="249"/>
      <c r="E901" s="100" t="s">
        <v>120</v>
      </c>
      <c r="F901" s="250" t="s">
        <v>175</v>
      </c>
    </row>
    <row r="902" spans="1:6">
      <c r="A902" s="248" t="s">
        <v>152</v>
      </c>
      <c r="B902" s="249"/>
      <c r="C902" s="249"/>
      <c r="D902" s="249"/>
      <c r="E902" s="100" t="s">
        <v>120</v>
      </c>
      <c r="F902" s="250" t="s">
        <v>175</v>
      </c>
    </row>
    <row r="903" spans="1:6">
      <c r="A903" s="248" t="s">
        <v>153</v>
      </c>
      <c r="B903" s="249"/>
      <c r="C903" s="249"/>
      <c r="D903" s="249"/>
      <c r="E903" s="100" t="s">
        <v>120</v>
      </c>
      <c r="F903" s="250" t="s">
        <v>175</v>
      </c>
    </row>
    <row r="904" spans="1:6">
      <c r="A904" s="248" t="s">
        <v>154</v>
      </c>
      <c r="B904" s="249"/>
      <c r="C904" s="249"/>
      <c r="D904" s="249"/>
      <c r="E904" s="100" t="s">
        <v>120</v>
      </c>
      <c r="F904" s="250" t="s">
        <v>175</v>
      </c>
    </row>
    <row r="905" spans="1:6">
      <c r="A905" s="248" t="s">
        <v>155</v>
      </c>
      <c r="B905" s="249"/>
      <c r="C905" s="249"/>
      <c r="D905" s="249"/>
      <c r="E905" s="100" t="s">
        <v>120</v>
      </c>
      <c r="F905" s="250" t="s">
        <v>175</v>
      </c>
    </row>
    <row r="906" spans="1:6">
      <c r="A906" s="248" t="s">
        <v>156</v>
      </c>
      <c r="B906" s="249"/>
      <c r="C906" s="249"/>
      <c r="D906" s="249"/>
      <c r="E906" s="100" t="s">
        <v>120</v>
      </c>
      <c r="F906" s="250" t="s">
        <v>175</v>
      </c>
    </row>
    <row r="907" spans="1:6">
      <c r="A907" s="248" t="s">
        <v>157</v>
      </c>
      <c r="B907" s="249"/>
      <c r="C907" s="249"/>
      <c r="D907" s="249"/>
      <c r="E907" s="100" t="s">
        <v>120</v>
      </c>
      <c r="F907" s="250" t="s">
        <v>175</v>
      </c>
    </row>
    <row r="908" spans="1:6">
      <c r="A908" s="248" t="s">
        <v>158</v>
      </c>
      <c r="B908" s="249"/>
      <c r="C908" s="249"/>
      <c r="D908" s="249"/>
      <c r="E908" s="100" t="s">
        <v>120</v>
      </c>
      <c r="F908" s="250" t="s">
        <v>175</v>
      </c>
    </row>
    <row r="909" spans="1:6">
      <c r="A909" s="248" t="s">
        <v>159</v>
      </c>
      <c r="B909" s="249"/>
      <c r="C909" s="249"/>
      <c r="D909" s="249"/>
      <c r="E909" s="100" t="s">
        <v>120</v>
      </c>
      <c r="F909" s="250" t="s">
        <v>175</v>
      </c>
    </row>
    <row r="910" spans="1:6">
      <c r="A910" s="242" t="s">
        <v>148</v>
      </c>
      <c r="B910" s="235"/>
      <c r="C910" s="235"/>
      <c r="D910" s="235"/>
      <c r="E910" s="100" t="s">
        <v>121</v>
      </c>
      <c r="F910" s="100" t="s">
        <v>284</v>
      </c>
    </row>
    <row r="911" spans="1:6">
      <c r="A911" s="242" t="s">
        <v>149</v>
      </c>
      <c r="B911" s="235"/>
      <c r="C911" s="235"/>
      <c r="D911" s="235"/>
      <c r="E911" s="100" t="s">
        <v>121</v>
      </c>
      <c r="F911" s="100" t="s">
        <v>284</v>
      </c>
    </row>
    <row r="912" spans="1:6">
      <c r="A912" s="242" t="s">
        <v>150</v>
      </c>
      <c r="B912" s="235"/>
      <c r="C912" s="235"/>
      <c r="D912" s="235"/>
      <c r="E912" s="100" t="s">
        <v>121</v>
      </c>
      <c r="F912" s="100" t="s">
        <v>284</v>
      </c>
    </row>
    <row r="913" spans="1:6">
      <c r="A913" s="242" t="s">
        <v>151</v>
      </c>
      <c r="B913" s="235"/>
      <c r="C913" s="235"/>
      <c r="D913" s="235"/>
      <c r="E913" s="100" t="s">
        <v>121</v>
      </c>
      <c r="F913" s="100" t="s">
        <v>284</v>
      </c>
    </row>
    <row r="914" spans="1:6">
      <c r="A914" s="242" t="s">
        <v>152</v>
      </c>
      <c r="B914" s="235"/>
      <c r="C914" s="235"/>
      <c r="D914" s="235"/>
      <c r="E914" s="100" t="s">
        <v>121</v>
      </c>
      <c r="F914" s="100" t="s">
        <v>284</v>
      </c>
    </row>
    <row r="915" spans="1:6">
      <c r="A915" s="242" t="s">
        <v>153</v>
      </c>
      <c r="B915" s="235"/>
      <c r="C915" s="235"/>
      <c r="D915" s="235"/>
      <c r="E915" s="100" t="s">
        <v>121</v>
      </c>
      <c r="F915" s="100" t="s">
        <v>284</v>
      </c>
    </row>
    <row r="916" spans="1:6">
      <c r="A916" s="242" t="s">
        <v>154</v>
      </c>
      <c r="B916" s="235"/>
      <c r="C916" s="235"/>
      <c r="D916" s="235"/>
      <c r="E916" s="100" t="s">
        <v>121</v>
      </c>
      <c r="F916" s="100" t="s">
        <v>284</v>
      </c>
    </row>
    <row r="917" spans="1:6">
      <c r="A917" s="242" t="s">
        <v>155</v>
      </c>
      <c r="B917" s="235"/>
      <c r="C917" s="235"/>
      <c r="D917" s="235"/>
      <c r="E917" s="100" t="s">
        <v>121</v>
      </c>
      <c r="F917" s="100" t="s">
        <v>284</v>
      </c>
    </row>
    <row r="918" spans="1:6">
      <c r="A918" s="242" t="s">
        <v>156</v>
      </c>
      <c r="B918" s="235"/>
      <c r="C918" s="235"/>
      <c r="D918" s="235"/>
      <c r="E918" s="100" t="s">
        <v>121</v>
      </c>
      <c r="F918" s="100" t="s">
        <v>284</v>
      </c>
    </row>
    <row r="919" spans="1:6">
      <c r="A919" s="242" t="s">
        <v>157</v>
      </c>
      <c r="B919" s="235"/>
      <c r="C919" s="235"/>
      <c r="D919" s="235"/>
      <c r="E919" s="100" t="s">
        <v>121</v>
      </c>
      <c r="F919" s="100" t="s">
        <v>284</v>
      </c>
    </row>
    <row r="920" spans="1:6">
      <c r="A920" s="242" t="s">
        <v>158</v>
      </c>
      <c r="B920" s="235"/>
      <c r="C920" s="235"/>
      <c r="D920" s="235"/>
      <c r="E920" s="100" t="s">
        <v>121</v>
      </c>
      <c r="F920" s="100" t="s">
        <v>284</v>
      </c>
    </row>
    <row r="921" spans="1:6">
      <c r="A921" s="242" t="s">
        <v>159</v>
      </c>
      <c r="B921" s="235"/>
      <c r="C921" s="235"/>
      <c r="D921" s="235"/>
      <c r="E921" s="100" t="s">
        <v>121</v>
      </c>
      <c r="F921" s="100" t="s">
        <v>284</v>
      </c>
    </row>
    <row r="922" spans="1:6">
      <c r="A922" s="248" t="s">
        <v>148</v>
      </c>
      <c r="B922" s="249"/>
      <c r="C922" s="249"/>
      <c r="D922" s="249"/>
      <c r="E922" s="100" t="s">
        <v>121</v>
      </c>
      <c r="F922" s="100" t="s">
        <v>286</v>
      </c>
    </row>
    <row r="923" spans="1:6">
      <c r="A923" s="248" t="s">
        <v>149</v>
      </c>
      <c r="B923" s="249"/>
      <c r="C923" s="249"/>
      <c r="D923" s="249"/>
      <c r="E923" s="100" t="s">
        <v>121</v>
      </c>
      <c r="F923" s="100" t="s">
        <v>286</v>
      </c>
    </row>
    <row r="924" spans="1:6">
      <c r="A924" s="248" t="s">
        <v>150</v>
      </c>
      <c r="B924" s="249"/>
      <c r="C924" s="249"/>
      <c r="D924" s="249"/>
      <c r="E924" s="100" t="s">
        <v>121</v>
      </c>
      <c r="F924" s="100" t="s">
        <v>286</v>
      </c>
    </row>
    <row r="925" spans="1:6">
      <c r="A925" s="248" t="s">
        <v>151</v>
      </c>
      <c r="B925" s="249"/>
      <c r="C925" s="249"/>
      <c r="D925" s="249"/>
      <c r="E925" s="100" t="s">
        <v>121</v>
      </c>
      <c r="F925" s="100" t="s">
        <v>286</v>
      </c>
    </row>
    <row r="926" spans="1:6">
      <c r="A926" s="248" t="s">
        <v>152</v>
      </c>
      <c r="B926" s="249"/>
      <c r="C926" s="249"/>
      <c r="D926" s="249"/>
      <c r="E926" s="100" t="s">
        <v>121</v>
      </c>
      <c r="F926" s="100" t="s">
        <v>286</v>
      </c>
    </row>
    <row r="927" spans="1:6">
      <c r="A927" s="248" t="s">
        <v>153</v>
      </c>
      <c r="B927" s="249"/>
      <c r="C927" s="249"/>
      <c r="D927" s="249"/>
      <c r="E927" s="100" t="s">
        <v>121</v>
      </c>
      <c r="F927" s="100" t="s">
        <v>286</v>
      </c>
    </row>
    <row r="928" spans="1:6">
      <c r="A928" s="248" t="s">
        <v>154</v>
      </c>
      <c r="B928" s="249"/>
      <c r="C928" s="249"/>
      <c r="D928" s="249"/>
      <c r="E928" s="100" t="s">
        <v>121</v>
      </c>
      <c r="F928" s="100" t="s">
        <v>286</v>
      </c>
    </row>
    <row r="929" spans="1:6">
      <c r="A929" s="248" t="s">
        <v>155</v>
      </c>
      <c r="B929" s="249"/>
      <c r="C929" s="249"/>
      <c r="D929" s="249"/>
      <c r="E929" s="100" t="s">
        <v>121</v>
      </c>
      <c r="F929" s="100" t="s">
        <v>286</v>
      </c>
    </row>
    <row r="930" spans="1:6">
      <c r="A930" s="248" t="s">
        <v>156</v>
      </c>
      <c r="B930" s="249"/>
      <c r="C930" s="249"/>
      <c r="D930" s="249"/>
      <c r="E930" s="100" t="s">
        <v>121</v>
      </c>
      <c r="F930" s="100" t="s">
        <v>286</v>
      </c>
    </row>
    <row r="931" spans="1:6">
      <c r="A931" s="248" t="s">
        <v>157</v>
      </c>
      <c r="B931" s="249"/>
      <c r="C931" s="249"/>
      <c r="D931" s="249"/>
      <c r="E931" s="100" t="s">
        <v>121</v>
      </c>
      <c r="F931" s="100" t="s">
        <v>286</v>
      </c>
    </row>
    <row r="932" spans="1:6">
      <c r="A932" s="248" t="s">
        <v>158</v>
      </c>
      <c r="B932" s="249"/>
      <c r="C932" s="249"/>
      <c r="D932" s="249"/>
      <c r="E932" s="100" t="s">
        <v>121</v>
      </c>
      <c r="F932" s="100" t="s">
        <v>286</v>
      </c>
    </row>
    <row r="933" spans="1:6">
      <c r="A933" s="248" t="s">
        <v>159</v>
      </c>
      <c r="B933" s="249"/>
      <c r="C933" s="249"/>
      <c r="D933" s="249"/>
      <c r="E933" s="100" t="s">
        <v>121</v>
      </c>
      <c r="F933" s="100" t="s">
        <v>286</v>
      </c>
    </row>
    <row r="934" spans="1:6">
      <c r="A934" s="242" t="s">
        <v>148</v>
      </c>
      <c r="B934" s="235"/>
      <c r="C934" s="235"/>
      <c r="D934" s="235"/>
      <c r="E934" s="100" t="s">
        <v>121</v>
      </c>
      <c r="F934" s="100" t="s">
        <v>313</v>
      </c>
    </row>
    <row r="935" spans="1:6">
      <c r="A935" s="242" t="s">
        <v>149</v>
      </c>
      <c r="B935" s="235"/>
      <c r="C935" s="235"/>
      <c r="D935" s="235"/>
      <c r="E935" s="100" t="s">
        <v>121</v>
      </c>
      <c r="F935" s="100" t="s">
        <v>313</v>
      </c>
    </row>
    <row r="936" spans="1:6">
      <c r="A936" s="242" t="s">
        <v>150</v>
      </c>
      <c r="B936" s="235"/>
      <c r="C936" s="235"/>
      <c r="D936" s="235"/>
      <c r="E936" s="100" t="s">
        <v>121</v>
      </c>
      <c r="F936" s="100" t="s">
        <v>313</v>
      </c>
    </row>
    <row r="937" spans="1:6">
      <c r="A937" s="242" t="s">
        <v>151</v>
      </c>
      <c r="B937" s="235"/>
      <c r="C937" s="235"/>
      <c r="D937" s="235"/>
      <c r="E937" s="100" t="s">
        <v>121</v>
      </c>
      <c r="F937" s="100" t="s">
        <v>313</v>
      </c>
    </row>
    <row r="938" spans="1:6">
      <c r="A938" s="242" t="s">
        <v>152</v>
      </c>
      <c r="B938" s="235"/>
      <c r="C938" s="235"/>
      <c r="D938" s="235"/>
      <c r="E938" s="100" t="s">
        <v>121</v>
      </c>
      <c r="F938" s="100" t="s">
        <v>313</v>
      </c>
    </row>
    <row r="939" spans="1:6">
      <c r="A939" s="242" t="s">
        <v>153</v>
      </c>
      <c r="B939" s="235"/>
      <c r="C939" s="235"/>
      <c r="D939" s="235"/>
      <c r="E939" s="100" t="s">
        <v>121</v>
      </c>
      <c r="F939" s="100" t="s">
        <v>313</v>
      </c>
    </row>
    <row r="940" spans="1:6">
      <c r="A940" s="242" t="s">
        <v>154</v>
      </c>
      <c r="B940" s="235"/>
      <c r="C940" s="235"/>
      <c r="D940" s="235"/>
      <c r="E940" s="100" t="s">
        <v>121</v>
      </c>
      <c r="F940" s="100" t="s">
        <v>313</v>
      </c>
    </row>
    <row r="941" spans="1:6">
      <c r="A941" s="242" t="s">
        <v>155</v>
      </c>
      <c r="B941" s="235"/>
      <c r="C941" s="235"/>
      <c r="D941" s="235"/>
      <c r="E941" s="100" t="s">
        <v>121</v>
      </c>
      <c r="F941" s="100" t="s">
        <v>313</v>
      </c>
    </row>
    <row r="942" spans="1:6">
      <c r="A942" s="242" t="s">
        <v>156</v>
      </c>
      <c r="B942" s="235"/>
      <c r="C942" s="235"/>
      <c r="D942" s="235"/>
      <c r="E942" s="100" t="s">
        <v>121</v>
      </c>
      <c r="F942" s="100" t="s">
        <v>313</v>
      </c>
    </row>
    <row r="943" spans="1:6">
      <c r="A943" s="242" t="s">
        <v>157</v>
      </c>
      <c r="B943" s="235"/>
      <c r="C943" s="235"/>
      <c r="D943" s="235"/>
      <c r="E943" s="100" t="s">
        <v>121</v>
      </c>
      <c r="F943" s="100" t="s">
        <v>313</v>
      </c>
    </row>
    <row r="944" spans="1:6">
      <c r="A944" s="242" t="s">
        <v>158</v>
      </c>
      <c r="B944" s="235"/>
      <c r="C944" s="235"/>
      <c r="D944" s="235"/>
      <c r="E944" s="100" t="s">
        <v>121</v>
      </c>
      <c r="F944" s="100" t="s">
        <v>313</v>
      </c>
    </row>
    <row r="945" spans="1:6">
      <c r="A945" s="242" t="s">
        <v>159</v>
      </c>
      <c r="B945" s="235"/>
      <c r="C945" s="235"/>
      <c r="D945" s="235"/>
      <c r="E945" s="100" t="s">
        <v>121</v>
      </c>
      <c r="F945" s="100" t="s">
        <v>313</v>
      </c>
    </row>
    <row r="946" spans="1:6">
      <c r="A946" s="248" t="s">
        <v>148</v>
      </c>
      <c r="B946" s="249"/>
      <c r="C946" s="249"/>
      <c r="D946" s="249"/>
      <c r="E946" s="100" t="s">
        <v>121</v>
      </c>
      <c r="F946" s="100" t="s">
        <v>285</v>
      </c>
    </row>
    <row r="947" spans="1:6">
      <c r="A947" s="248" t="s">
        <v>149</v>
      </c>
      <c r="B947" s="249"/>
      <c r="C947" s="249"/>
      <c r="D947" s="249"/>
      <c r="E947" s="100" t="s">
        <v>121</v>
      </c>
      <c r="F947" s="100" t="s">
        <v>285</v>
      </c>
    </row>
    <row r="948" spans="1:6">
      <c r="A948" s="248" t="s">
        <v>150</v>
      </c>
      <c r="B948" s="249"/>
      <c r="C948" s="249"/>
      <c r="D948" s="249"/>
      <c r="E948" s="100" t="s">
        <v>121</v>
      </c>
      <c r="F948" s="100" t="s">
        <v>285</v>
      </c>
    </row>
    <row r="949" spans="1:6">
      <c r="A949" s="248" t="s">
        <v>151</v>
      </c>
      <c r="B949" s="249"/>
      <c r="C949" s="249"/>
      <c r="D949" s="249"/>
      <c r="E949" s="100" t="s">
        <v>121</v>
      </c>
      <c r="F949" s="100" t="s">
        <v>285</v>
      </c>
    </row>
    <row r="950" spans="1:6">
      <c r="A950" s="248" t="s">
        <v>152</v>
      </c>
      <c r="B950" s="249"/>
      <c r="C950" s="249"/>
      <c r="D950" s="249"/>
      <c r="E950" s="100" t="s">
        <v>121</v>
      </c>
      <c r="F950" s="100" t="s">
        <v>285</v>
      </c>
    </row>
    <row r="951" spans="1:6">
      <c r="A951" s="248" t="s">
        <v>153</v>
      </c>
      <c r="B951" s="249"/>
      <c r="C951" s="249"/>
      <c r="D951" s="249"/>
      <c r="E951" s="100" t="s">
        <v>121</v>
      </c>
      <c r="F951" s="100" t="s">
        <v>285</v>
      </c>
    </row>
    <row r="952" spans="1:6">
      <c r="A952" s="248" t="s">
        <v>154</v>
      </c>
      <c r="B952" s="249"/>
      <c r="C952" s="249"/>
      <c r="D952" s="249"/>
      <c r="E952" s="100" t="s">
        <v>121</v>
      </c>
      <c r="F952" s="100" t="s">
        <v>285</v>
      </c>
    </row>
    <row r="953" spans="1:6">
      <c r="A953" s="248" t="s">
        <v>155</v>
      </c>
      <c r="B953" s="249"/>
      <c r="C953" s="249"/>
      <c r="D953" s="249"/>
      <c r="E953" s="100" t="s">
        <v>121</v>
      </c>
      <c r="F953" s="100" t="s">
        <v>285</v>
      </c>
    </row>
    <row r="954" spans="1:6">
      <c r="A954" s="248" t="s">
        <v>156</v>
      </c>
      <c r="B954" s="249"/>
      <c r="C954" s="249"/>
      <c r="D954" s="249"/>
      <c r="E954" s="100" t="s">
        <v>121</v>
      </c>
      <c r="F954" s="100" t="s">
        <v>285</v>
      </c>
    </row>
    <row r="955" spans="1:6">
      <c r="A955" s="248" t="s">
        <v>157</v>
      </c>
      <c r="B955" s="249"/>
      <c r="C955" s="249"/>
      <c r="D955" s="249"/>
      <c r="E955" s="100" t="s">
        <v>121</v>
      </c>
      <c r="F955" s="100" t="s">
        <v>285</v>
      </c>
    </row>
    <row r="956" spans="1:6">
      <c r="A956" s="248" t="s">
        <v>158</v>
      </c>
      <c r="B956" s="249"/>
      <c r="C956" s="249"/>
      <c r="D956" s="249"/>
      <c r="E956" s="100" t="s">
        <v>121</v>
      </c>
      <c r="F956" s="100" t="s">
        <v>285</v>
      </c>
    </row>
    <row r="957" spans="1:6">
      <c r="A957" s="248" t="s">
        <v>159</v>
      </c>
      <c r="B957" s="249"/>
      <c r="C957" s="249"/>
      <c r="D957" s="249"/>
      <c r="E957" s="100" t="s">
        <v>121</v>
      </c>
      <c r="F957" s="100" t="s">
        <v>285</v>
      </c>
    </row>
    <row r="958" spans="1:6">
      <c r="A958" s="242" t="s">
        <v>148</v>
      </c>
      <c r="B958" s="235"/>
      <c r="C958" s="235"/>
      <c r="D958" s="235"/>
      <c r="E958" s="100" t="s">
        <v>121</v>
      </c>
      <c r="F958" s="100" t="s">
        <v>28</v>
      </c>
    </row>
    <row r="959" spans="1:6">
      <c r="A959" s="242" t="s">
        <v>149</v>
      </c>
      <c r="B959" s="235"/>
      <c r="C959" s="235"/>
      <c r="D959" s="235"/>
      <c r="E959" s="100" t="s">
        <v>121</v>
      </c>
      <c r="F959" s="100" t="s">
        <v>28</v>
      </c>
    </row>
    <row r="960" spans="1:6">
      <c r="A960" s="242" t="s">
        <v>150</v>
      </c>
      <c r="B960" s="235"/>
      <c r="C960" s="235"/>
      <c r="D960" s="235"/>
      <c r="E960" s="100" t="s">
        <v>121</v>
      </c>
      <c r="F960" s="100" t="s">
        <v>28</v>
      </c>
    </row>
    <row r="961" spans="1:6">
      <c r="A961" s="242" t="s">
        <v>151</v>
      </c>
      <c r="B961" s="235"/>
      <c r="C961" s="235"/>
      <c r="D961" s="235"/>
      <c r="E961" s="100" t="s">
        <v>121</v>
      </c>
      <c r="F961" s="100" t="s">
        <v>28</v>
      </c>
    </row>
    <row r="962" spans="1:6">
      <c r="A962" s="242" t="s">
        <v>152</v>
      </c>
      <c r="B962" s="235"/>
      <c r="C962" s="235"/>
      <c r="D962" s="235"/>
      <c r="E962" s="100" t="s">
        <v>121</v>
      </c>
      <c r="F962" s="100" t="s">
        <v>28</v>
      </c>
    </row>
    <row r="963" spans="1:6">
      <c r="A963" s="242" t="s">
        <v>153</v>
      </c>
      <c r="B963" s="235"/>
      <c r="C963" s="235"/>
      <c r="D963" s="235"/>
      <c r="E963" s="100" t="s">
        <v>121</v>
      </c>
      <c r="F963" s="100" t="s">
        <v>28</v>
      </c>
    </row>
    <row r="964" spans="1:6">
      <c r="A964" s="242" t="s">
        <v>154</v>
      </c>
      <c r="B964" s="235"/>
      <c r="C964" s="235"/>
      <c r="D964" s="235"/>
      <c r="E964" s="100" t="s">
        <v>121</v>
      </c>
      <c r="F964" s="100" t="s">
        <v>28</v>
      </c>
    </row>
    <row r="965" spans="1:6">
      <c r="A965" s="242" t="s">
        <v>155</v>
      </c>
      <c r="B965" s="235"/>
      <c r="C965" s="235"/>
      <c r="D965" s="235"/>
      <c r="E965" s="100" t="s">
        <v>121</v>
      </c>
      <c r="F965" s="100" t="s">
        <v>28</v>
      </c>
    </row>
    <row r="966" spans="1:6">
      <c r="A966" s="242" t="s">
        <v>156</v>
      </c>
      <c r="B966" s="235"/>
      <c r="C966" s="235"/>
      <c r="D966" s="235"/>
      <c r="E966" s="100" t="s">
        <v>121</v>
      </c>
      <c r="F966" s="100" t="s">
        <v>28</v>
      </c>
    </row>
    <row r="967" spans="1:6">
      <c r="A967" s="242" t="s">
        <v>157</v>
      </c>
      <c r="B967" s="235"/>
      <c r="C967" s="235"/>
      <c r="D967" s="235"/>
      <c r="E967" s="100" t="s">
        <v>121</v>
      </c>
      <c r="F967" s="100" t="s">
        <v>28</v>
      </c>
    </row>
    <row r="968" spans="1:6">
      <c r="A968" s="242" t="s">
        <v>158</v>
      </c>
      <c r="B968" s="235"/>
      <c r="C968" s="235"/>
      <c r="D968" s="235"/>
      <c r="E968" s="100" t="s">
        <v>121</v>
      </c>
      <c r="F968" s="100" t="s">
        <v>28</v>
      </c>
    </row>
    <row r="969" spans="1:6">
      <c r="A969" s="242" t="s">
        <v>159</v>
      </c>
      <c r="B969" s="235"/>
      <c r="C969" s="235"/>
      <c r="D969" s="235"/>
      <c r="E969" s="100" t="s">
        <v>121</v>
      </c>
      <c r="F969" s="100" t="s">
        <v>28</v>
      </c>
    </row>
    <row r="970" spans="1:6">
      <c r="A970" s="248" t="s">
        <v>148</v>
      </c>
      <c r="B970" s="249"/>
      <c r="C970" s="249"/>
      <c r="D970" s="249"/>
      <c r="E970" s="100" t="s">
        <v>121</v>
      </c>
      <c r="F970" s="250" t="s">
        <v>175</v>
      </c>
    </row>
    <row r="971" spans="1:6">
      <c r="A971" s="248" t="s">
        <v>149</v>
      </c>
      <c r="B971" s="249"/>
      <c r="C971" s="249"/>
      <c r="D971" s="249"/>
      <c r="E971" s="100" t="s">
        <v>121</v>
      </c>
      <c r="F971" s="250" t="s">
        <v>175</v>
      </c>
    </row>
    <row r="972" spans="1:6">
      <c r="A972" s="248" t="s">
        <v>150</v>
      </c>
      <c r="B972" s="249"/>
      <c r="C972" s="249"/>
      <c r="D972" s="249"/>
      <c r="E972" s="100" t="s">
        <v>121</v>
      </c>
      <c r="F972" s="250" t="s">
        <v>175</v>
      </c>
    </row>
    <row r="973" spans="1:6">
      <c r="A973" s="248" t="s">
        <v>151</v>
      </c>
      <c r="B973" s="249"/>
      <c r="C973" s="249"/>
      <c r="D973" s="249"/>
      <c r="E973" s="100" t="s">
        <v>121</v>
      </c>
      <c r="F973" s="250" t="s">
        <v>175</v>
      </c>
    </row>
    <row r="974" spans="1:6">
      <c r="A974" s="248" t="s">
        <v>152</v>
      </c>
      <c r="B974" s="249"/>
      <c r="C974" s="249"/>
      <c r="D974" s="249"/>
      <c r="E974" s="100" t="s">
        <v>121</v>
      </c>
      <c r="F974" s="250" t="s">
        <v>175</v>
      </c>
    </row>
    <row r="975" spans="1:6">
      <c r="A975" s="248" t="s">
        <v>153</v>
      </c>
      <c r="B975" s="249"/>
      <c r="C975" s="249"/>
      <c r="D975" s="249"/>
      <c r="E975" s="100" t="s">
        <v>121</v>
      </c>
      <c r="F975" s="250" t="s">
        <v>175</v>
      </c>
    </row>
    <row r="976" spans="1:6">
      <c r="A976" s="248" t="s">
        <v>154</v>
      </c>
      <c r="B976" s="249"/>
      <c r="C976" s="249"/>
      <c r="D976" s="249"/>
      <c r="E976" s="100" t="s">
        <v>121</v>
      </c>
      <c r="F976" s="250" t="s">
        <v>175</v>
      </c>
    </row>
    <row r="977" spans="1:6">
      <c r="A977" s="248" t="s">
        <v>155</v>
      </c>
      <c r="B977" s="249"/>
      <c r="C977" s="249"/>
      <c r="D977" s="249"/>
      <c r="E977" s="100" t="s">
        <v>121</v>
      </c>
      <c r="F977" s="250" t="s">
        <v>175</v>
      </c>
    </row>
    <row r="978" spans="1:6">
      <c r="A978" s="248" t="s">
        <v>156</v>
      </c>
      <c r="B978" s="249"/>
      <c r="C978" s="249"/>
      <c r="D978" s="249"/>
      <c r="E978" s="100" t="s">
        <v>121</v>
      </c>
      <c r="F978" s="250" t="s">
        <v>175</v>
      </c>
    </row>
    <row r="979" spans="1:6">
      <c r="A979" s="248" t="s">
        <v>157</v>
      </c>
      <c r="B979" s="249"/>
      <c r="C979" s="249"/>
      <c r="D979" s="249"/>
      <c r="E979" s="100" t="s">
        <v>121</v>
      </c>
      <c r="F979" s="250" t="s">
        <v>175</v>
      </c>
    </row>
    <row r="980" spans="1:6">
      <c r="A980" s="248" t="s">
        <v>158</v>
      </c>
      <c r="B980" s="249"/>
      <c r="C980" s="249"/>
      <c r="D980" s="249"/>
      <c r="E980" s="100" t="s">
        <v>121</v>
      </c>
      <c r="F980" s="250" t="s">
        <v>175</v>
      </c>
    </row>
    <row r="981" spans="1:6">
      <c r="A981" s="248" t="s">
        <v>159</v>
      </c>
      <c r="B981" s="249"/>
      <c r="C981" s="249"/>
      <c r="D981" s="249"/>
      <c r="E981" s="100" t="s">
        <v>121</v>
      </c>
      <c r="F981" s="250" t="s">
        <v>175</v>
      </c>
    </row>
    <row r="982" spans="1:6">
      <c r="A982" s="242" t="s">
        <v>148</v>
      </c>
      <c r="B982" s="235"/>
      <c r="C982" s="235"/>
      <c r="D982" s="235"/>
      <c r="E982" s="100" t="s">
        <v>122</v>
      </c>
      <c r="F982" s="100" t="s">
        <v>284</v>
      </c>
    </row>
    <row r="983" spans="1:6">
      <c r="A983" s="242" t="s">
        <v>149</v>
      </c>
      <c r="B983" s="235"/>
      <c r="C983" s="235"/>
      <c r="D983" s="235"/>
      <c r="E983" s="100" t="s">
        <v>122</v>
      </c>
      <c r="F983" s="100" t="s">
        <v>284</v>
      </c>
    </row>
    <row r="984" spans="1:6">
      <c r="A984" s="242" t="s">
        <v>150</v>
      </c>
      <c r="B984" s="235"/>
      <c r="C984" s="235"/>
      <c r="D984" s="235"/>
      <c r="E984" s="100" t="s">
        <v>122</v>
      </c>
      <c r="F984" s="100" t="s">
        <v>284</v>
      </c>
    </row>
    <row r="985" spans="1:6">
      <c r="A985" s="242" t="s">
        <v>151</v>
      </c>
      <c r="B985" s="235"/>
      <c r="C985" s="235"/>
      <c r="D985" s="235"/>
      <c r="E985" s="100" t="s">
        <v>122</v>
      </c>
      <c r="F985" s="100" t="s">
        <v>284</v>
      </c>
    </row>
    <row r="986" spans="1:6">
      <c r="A986" s="242" t="s">
        <v>152</v>
      </c>
      <c r="B986" s="235"/>
      <c r="C986" s="235"/>
      <c r="D986" s="235"/>
      <c r="E986" s="100" t="s">
        <v>122</v>
      </c>
      <c r="F986" s="100" t="s">
        <v>284</v>
      </c>
    </row>
    <row r="987" spans="1:6">
      <c r="A987" s="242" t="s">
        <v>153</v>
      </c>
      <c r="B987" s="235"/>
      <c r="C987" s="235"/>
      <c r="D987" s="235"/>
      <c r="E987" s="100" t="s">
        <v>122</v>
      </c>
      <c r="F987" s="100" t="s">
        <v>284</v>
      </c>
    </row>
    <row r="988" spans="1:6">
      <c r="A988" s="242" t="s">
        <v>154</v>
      </c>
      <c r="B988" s="235"/>
      <c r="C988" s="235"/>
      <c r="D988" s="235"/>
      <c r="E988" s="100" t="s">
        <v>122</v>
      </c>
      <c r="F988" s="100" t="s">
        <v>284</v>
      </c>
    </row>
    <row r="989" spans="1:6">
      <c r="A989" s="242" t="s">
        <v>155</v>
      </c>
      <c r="B989" s="235"/>
      <c r="C989" s="235"/>
      <c r="D989" s="235"/>
      <c r="E989" s="100" t="s">
        <v>122</v>
      </c>
      <c r="F989" s="100" t="s">
        <v>284</v>
      </c>
    </row>
    <row r="990" spans="1:6">
      <c r="A990" s="242" t="s">
        <v>156</v>
      </c>
      <c r="B990" s="235"/>
      <c r="C990" s="235"/>
      <c r="D990" s="235"/>
      <c r="E990" s="100" t="s">
        <v>122</v>
      </c>
      <c r="F990" s="100" t="s">
        <v>284</v>
      </c>
    </row>
    <row r="991" spans="1:6">
      <c r="A991" s="242" t="s">
        <v>157</v>
      </c>
      <c r="B991" s="235"/>
      <c r="C991" s="235"/>
      <c r="D991" s="235"/>
      <c r="E991" s="100" t="s">
        <v>122</v>
      </c>
      <c r="F991" s="100" t="s">
        <v>284</v>
      </c>
    </row>
    <row r="992" spans="1:6">
      <c r="A992" s="242" t="s">
        <v>158</v>
      </c>
      <c r="B992" s="235"/>
      <c r="C992" s="235"/>
      <c r="D992" s="235"/>
      <c r="E992" s="100" t="s">
        <v>122</v>
      </c>
      <c r="F992" s="100" t="s">
        <v>284</v>
      </c>
    </row>
    <row r="993" spans="1:6">
      <c r="A993" s="242" t="s">
        <v>159</v>
      </c>
      <c r="B993" s="235"/>
      <c r="C993" s="235"/>
      <c r="D993" s="235"/>
      <c r="E993" s="100" t="s">
        <v>122</v>
      </c>
      <c r="F993" s="100" t="s">
        <v>284</v>
      </c>
    </row>
    <row r="994" spans="1:6">
      <c r="A994" s="248" t="s">
        <v>148</v>
      </c>
      <c r="B994" s="249"/>
      <c r="C994" s="249"/>
      <c r="D994" s="249"/>
      <c r="E994" s="100" t="s">
        <v>122</v>
      </c>
      <c r="F994" s="100" t="s">
        <v>286</v>
      </c>
    </row>
    <row r="995" spans="1:6">
      <c r="A995" s="248" t="s">
        <v>149</v>
      </c>
      <c r="B995" s="249"/>
      <c r="C995" s="249"/>
      <c r="D995" s="249"/>
      <c r="E995" s="100" t="s">
        <v>122</v>
      </c>
      <c r="F995" s="100" t="s">
        <v>286</v>
      </c>
    </row>
    <row r="996" spans="1:6">
      <c r="A996" s="248" t="s">
        <v>150</v>
      </c>
      <c r="B996" s="249"/>
      <c r="C996" s="249"/>
      <c r="D996" s="249"/>
      <c r="E996" s="100" t="s">
        <v>122</v>
      </c>
      <c r="F996" s="100" t="s">
        <v>286</v>
      </c>
    </row>
    <row r="997" spans="1:6">
      <c r="A997" s="248" t="s">
        <v>151</v>
      </c>
      <c r="B997" s="249"/>
      <c r="C997" s="249"/>
      <c r="D997" s="249"/>
      <c r="E997" s="100" t="s">
        <v>122</v>
      </c>
      <c r="F997" s="100" t="s">
        <v>286</v>
      </c>
    </row>
    <row r="998" spans="1:6">
      <c r="A998" s="248" t="s">
        <v>152</v>
      </c>
      <c r="B998" s="249"/>
      <c r="C998" s="249"/>
      <c r="D998" s="249"/>
      <c r="E998" s="100" t="s">
        <v>122</v>
      </c>
      <c r="F998" s="100" t="s">
        <v>286</v>
      </c>
    </row>
    <row r="999" spans="1:6">
      <c r="A999" s="248" t="s">
        <v>153</v>
      </c>
      <c r="B999" s="249"/>
      <c r="C999" s="249"/>
      <c r="D999" s="249"/>
      <c r="E999" s="100" t="s">
        <v>122</v>
      </c>
      <c r="F999" s="100" t="s">
        <v>286</v>
      </c>
    </row>
    <row r="1000" spans="1:6">
      <c r="A1000" s="248" t="s">
        <v>154</v>
      </c>
      <c r="B1000" s="249"/>
      <c r="C1000" s="249"/>
      <c r="D1000" s="249"/>
      <c r="E1000" s="100" t="s">
        <v>122</v>
      </c>
      <c r="F1000" s="100" t="s">
        <v>286</v>
      </c>
    </row>
    <row r="1001" spans="1:6">
      <c r="A1001" s="248" t="s">
        <v>155</v>
      </c>
      <c r="B1001" s="249"/>
      <c r="C1001" s="249"/>
      <c r="D1001" s="249"/>
      <c r="E1001" s="100" t="s">
        <v>122</v>
      </c>
      <c r="F1001" s="100" t="s">
        <v>286</v>
      </c>
    </row>
    <row r="1002" spans="1:6">
      <c r="A1002" s="248" t="s">
        <v>156</v>
      </c>
      <c r="B1002" s="249"/>
      <c r="C1002" s="249"/>
      <c r="D1002" s="249"/>
      <c r="E1002" s="100" t="s">
        <v>122</v>
      </c>
      <c r="F1002" s="100" t="s">
        <v>286</v>
      </c>
    </row>
    <row r="1003" spans="1:6">
      <c r="A1003" s="248" t="s">
        <v>157</v>
      </c>
      <c r="B1003" s="249"/>
      <c r="C1003" s="249"/>
      <c r="D1003" s="249"/>
      <c r="E1003" s="100" t="s">
        <v>122</v>
      </c>
      <c r="F1003" s="100" t="s">
        <v>286</v>
      </c>
    </row>
    <row r="1004" spans="1:6">
      <c r="A1004" s="248" t="s">
        <v>158</v>
      </c>
      <c r="B1004" s="249"/>
      <c r="C1004" s="249"/>
      <c r="D1004" s="249"/>
      <c r="E1004" s="100" t="s">
        <v>122</v>
      </c>
      <c r="F1004" s="100" t="s">
        <v>286</v>
      </c>
    </row>
    <row r="1005" spans="1:6">
      <c r="A1005" s="248" t="s">
        <v>159</v>
      </c>
      <c r="B1005" s="249"/>
      <c r="C1005" s="249"/>
      <c r="D1005" s="249"/>
      <c r="E1005" s="100" t="s">
        <v>122</v>
      </c>
      <c r="F1005" s="100" t="s">
        <v>286</v>
      </c>
    </row>
    <row r="1006" spans="1:6">
      <c r="A1006" s="242" t="s">
        <v>148</v>
      </c>
      <c r="B1006" s="235"/>
      <c r="C1006" s="235"/>
      <c r="D1006" s="235"/>
      <c r="E1006" s="100" t="s">
        <v>122</v>
      </c>
      <c r="F1006" s="100" t="s">
        <v>313</v>
      </c>
    </row>
    <row r="1007" spans="1:6">
      <c r="A1007" s="242" t="s">
        <v>149</v>
      </c>
      <c r="B1007" s="235"/>
      <c r="C1007" s="235"/>
      <c r="D1007" s="235"/>
      <c r="E1007" s="100" t="s">
        <v>122</v>
      </c>
      <c r="F1007" s="100" t="s">
        <v>313</v>
      </c>
    </row>
    <row r="1008" spans="1:6">
      <c r="A1008" s="242" t="s">
        <v>150</v>
      </c>
      <c r="B1008" s="235"/>
      <c r="C1008" s="235"/>
      <c r="D1008" s="235"/>
      <c r="E1008" s="100" t="s">
        <v>122</v>
      </c>
      <c r="F1008" s="100" t="s">
        <v>313</v>
      </c>
    </row>
    <row r="1009" spans="1:6">
      <c r="A1009" s="242" t="s">
        <v>151</v>
      </c>
      <c r="B1009" s="235"/>
      <c r="C1009" s="235"/>
      <c r="D1009" s="235"/>
      <c r="E1009" s="100" t="s">
        <v>122</v>
      </c>
      <c r="F1009" s="100" t="s">
        <v>313</v>
      </c>
    </row>
    <row r="1010" spans="1:6">
      <c r="A1010" s="242" t="s">
        <v>152</v>
      </c>
      <c r="B1010" s="235"/>
      <c r="C1010" s="235"/>
      <c r="D1010" s="235"/>
      <c r="E1010" s="100" t="s">
        <v>122</v>
      </c>
      <c r="F1010" s="100" t="s">
        <v>313</v>
      </c>
    </row>
    <row r="1011" spans="1:6">
      <c r="A1011" s="242" t="s">
        <v>153</v>
      </c>
      <c r="B1011" s="235"/>
      <c r="C1011" s="235"/>
      <c r="D1011" s="235"/>
      <c r="E1011" s="100" t="s">
        <v>122</v>
      </c>
      <c r="F1011" s="100" t="s">
        <v>313</v>
      </c>
    </row>
    <row r="1012" spans="1:6">
      <c r="A1012" s="242" t="s">
        <v>154</v>
      </c>
      <c r="B1012" s="235"/>
      <c r="C1012" s="235"/>
      <c r="D1012" s="235"/>
      <c r="E1012" s="100" t="s">
        <v>122</v>
      </c>
      <c r="F1012" s="100" t="s">
        <v>313</v>
      </c>
    </row>
    <row r="1013" spans="1:6">
      <c r="A1013" s="242" t="s">
        <v>155</v>
      </c>
      <c r="B1013" s="235"/>
      <c r="C1013" s="235"/>
      <c r="D1013" s="235"/>
      <c r="E1013" s="100" t="s">
        <v>122</v>
      </c>
      <c r="F1013" s="100" t="s">
        <v>313</v>
      </c>
    </row>
    <row r="1014" spans="1:6">
      <c r="A1014" s="242" t="s">
        <v>156</v>
      </c>
      <c r="B1014" s="235"/>
      <c r="C1014" s="235"/>
      <c r="D1014" s="235"/>
      <c r="E1014" s="100" t="s">
        <v>122</v>
      </c>
      <c r="F1014" s="100" t="s">
        <v>313</v>
      </c>
    </row>
    <row r="1015" spans="1:6">
      <c r="A1015" s="242" t="s">
        <v>157</v>
      </c>
      <c r="B1015" s="235"/>
      <c r="C1015" s="235"/>
      <c r="D1015" s="235"/>
      <c r="E1015" s="100" t="s">
        <v>122</v>
      </c>
      <c r="F1015" s="100" t="s">
        <v>313</v>
      </c>
    </row>
    <row r="1016" spans="1:6">
      <c r="A1016" s="242" t="s">
        <v>158</v>
      </c>
      <c r="B1016" s="235"/>
      <c r="C1016" s="235"/>
      <c r="D1016" s="235"/>
      <c r="E1016" s="100" t="s">
        <v>122</v>
      </c>
      <c r="F1016" s="100" t="s">
        <v>313</v>
      </c>
    </row>
    <row r="1017" spans="1:6">
      <c r="A1017" s="242" t="s">
        <v>159</v>
      </c>
      <c r="B1017" s="235"/>
      <c r="C1017" s="235"/>
      <c r="D1017" s="235"/>
      <c r="E1017" s="100" t="s">
        <v>122</v>
      </c>
      <c r="F1017" s="100" t="s">
        <v>313</v>
      </c>
    </row>
    <row r="1018" spans="1:6">
      <c r="A1018" s="248" t="s">
        <v>148</v>
      </c>
      <c r="B1018" s="249"/>
      <c r="C1018" s="249"/>
      <c r="D1018" s="249"/>
      <c r="E1018" s="100" t="s">
        <v>122</v>
      </c>
      <c r="F1018" s="100" t="s">
        <v>285</v>
      </c>
    </row>
    <row r="1019" spans="1:6">
      <c r="A1019" s="248" t="s">
        <v>149</v>
      </c>
      <c r="B1019" s="249"/>
      <c r="C1019" s="249"/>
      <c r="D1019" s="249"/>
      <c r="E1019" s="100" t="s">
        <v>122</v>
      </c>
      <c r="F1019" s="100" t="s">
        <v>285</v>
      </c>
    </row>
    <row r="1020" spans="1:6">
      <c r="A1020" s="248" t="s">
        <v>150</v>
      </c>
      <c r="B1020" s="249"/>
      <c r="C1020" s="249"/>
      <c r="D1020" s="249"/>
      <c r="E1020" s="100" t="s">
        <v>122</v>
      </c>
      <c r="F1020" s="100" t="s">
        <v>285</v>
      </c>
    </row>
    <row r="1021" spans="1:6">
      <c r="A1021" s="248" t="s">
        <v>151</v>
      </c>
      <c r="B1021" s="249"/>
      <c r="C1021" s="249"/>
      <c r="D1021" s="249"/>
      <c r="E1021" s="100" t="s">
        <v>122</v>
      </c>
      <c r="F1021" s="100" t="s">
        <v>285</v>
      </c>
    </row>
    <row r="1022" spans="1:6">
      <c r="A1022" s="248" t="s">
        <v>152</v>
      </c>
      <c r="B1022" s="249"/>
      <c r="C1022" s="249"/>
      <c r="D1022" s="249"/>
      <c r="E1022" s="100" t="s">
        <v>122</v>
      </c>
      <c r="F1022" s="100" t="s">
        <v>285</v>
      </c>
    </row>
    <row r="1023" spans="1:6">
      <c r="A1023" s="248" t="s">
        <v>153</v>
      </c>
      <c r="B1023" s="249"/>
      <c r="C1023" s="249"/>
      <c r="D1023" s="249"/>
      <c r="E1023" s="100" t="s">
        <v>122</v>
      </c>
      <c r="F1023" s="100" t="s">
        <v>285</v>
      </c>
    </row>
    <row r="1024" spans="1:6">
      <c r="A1024" s="248" t="s">
        <v>154</v>
      </c>
      <c r="B1024" s="249"/>
      <c r="C1024" s="249"/>
      <c r="D1024" s="249"/>
      <c r="E1024" s="100" t="s">
        <v>122</v>
      </c>
      <c r="F1024" s="100" t="s">
        <v>285</v>
      </c>
    </row>
    <row r="1025" spans="1:6">
      <c r="A1025" s="248" t="s">
        <v>155</v>
      </c>
      <c r="B1025" s="249"/>
      <c r="C1025" s="249"/>
      <c r="D1025" s="249"/>
      <c r="E1025" s="100" t="s">
        <v>122</v>
      </c>
      <c r="F1025" s="100" t="s">
        <v>285</v>
      </c>
    </row>
    <row r="1026" spans="1:6">
      <c r="A1026" s="248" t="s">
        <v>156</v>
      </c>
      <c r="B1026" s="249"/>
      <c r="C1026" s="249"/>
      <c r="D1026" s="249"/>
      <c r="E1026" s="100" t="s">
        <v>122</v>
      </c>
      <c r="F1026" s="100" t="s">
        <v>285</v>
      </c>
    </row>
    <row r="1027" spans="1:6">
      <c r="A1027" s="248" t="s">
        <v>157</v>
      </c>
      <c r="B1027" s="249"/>
      <c r="C1027" s="249"/>
      <c r="D1027" s="249"/>
      <c r="E1027" s="100" t="s">
        <v>122</v>
      </c>
      <c r="F1027" s="100" t="s">
        <v>285</v>
      </c>
    </row>
    <row r="1028" spans="1:6">
      <c r="A1028" s="248" t="s">
        <v>158</v>
      </c>
      <c r="B1028" s="249"/>
      <c r="C1028" s="249"/>
      <c r="D1028" s="249"/>
      <c r="E1028" s="100" t="s">
        <v>122</v>
      </c>
      <c r="F1028" s="100" t="s">
        <v>285</v>
      </c>
    </row>
    <row r="1029" spans="1:6">
      <c r="A1029" s="248" t="s">
        <v>159</v>
      </c>
      <c r="B1029" s="249"/>
      <c r="C1029" s="249"/>
      <c r="D1029" s="249"/>
      <c r="E1029" s="100" t="s">
        <v>122</v>
      </c>
      <c r="F1029" s="100" t="s">
        <v>285</v>
      </c>
    </row>
    <row r="1030" spans="1:6">
      <c r="A1030" s="242" t="s">
        <v>148</v>
      </c>
      <c r="B1030" s="235"/>
      <c r="C1030" s="235"/>
      <c r="D1030" s="235"/>
      <c r="E1030" s="100" t="s">
        <v>122</v>
      </c>
      <c r="F1030" s="100" t="s">
        <v>28</v>
      </c>
    </row>
    <row r="1031" spans="1:6">
      <c r="A1031" s="242" t="s">
        <v>149</v>
      </c>
      <c r="B1031" s="235"/>
      <c r="C1031" s="235"/>
      <c r="D1031" s="235"/>
      <c r="E1031" s="100" t="s">
        <v>122</v>
      </c>
      <c r="F1031" s="100" t="s">
        <v>28</v>
      </c>
    </row>
    <row r="1032" spans="1:6">
      <c r="A1032" s="242" t="s">
        <v>150</v>
      </c>
      <c r="B1032" s="235"/>
      <c r="C1032" s="235"/>
      <c r="D1032" s="235"/>
      <c r="E1032" s="100" t="s">
        <v>122</v>
      </c>
      <c r="F1032" s="100" t="s">
        <v>28</v>
      </c>
    </row>
    <row r="1033" spans="1:6">
      <c r="A1033" s="242" t="s">
        <v>151</v>
      </c>
      <c r="B1033" s="235"/>
      <c r="C1033" s="235"/>
      <c r="D1033" s="235"/>
      <c r="E1033" s="100" t="s">
        <v>122</v>
      </c>
      <c r="F1033" s="100" t="s">
        <v>28</v>
      </c>
    </row>
    <row r="1034" spans="1:6">
      <c r="A1034" s="242" t="s">
        <v>152</v>
      </c>
      <c r="B1034" s="235"/>
      <c r="C1034" s="235"/>
      <c r="D1034" s="235"/>
      <c r="E1034" s="100" t="s">
        <v>122</v>
      </c>
      <c r="F1034" s="100" t="s">
        <v>28</v>
      </c>
    </row>
    <row r="1035" spans="1:6">
      <c r="A1035" s="242" t="s">
        <v>153</v>
      </c>
      <c r="B1035" s="235"/>
      <c r="C1035" s="235"/>
      <c r="D1035" s="235"/>
      <c r="E1035" s="100" t="s">
        <v>122</v>
      </c>
      <c r="F1035" s="100" t="s">
        <v>28</v>
      </c>
    </row>
    <row r="1036" spans="1:6">
      <c r="A1036" s="242" t="s">
        <v>154</v>
      </c>
      <c r="B1036" s="235"/>
      <c r="C1036" s="235"/>
      <c r="D1036" s="235"/>
      <c r="E1036" s="100" t="s">
        <v>122</v>
      </c>
      <c r="F1036" s="100" t="s">
        <v>28</v>
      </c>
    </row>
    <row r="1037" spans="1:6">
      <c r="A1037" s="242" t="s">
        <v>155</v>
      </c>
      <c r="B1037" s="235"/>
      <c r="C1037" s="235"/>
      <c r="D1037" s="235"/>
      <c r="E1037" s="100" t="s">
        <v>122</v>
      </c>
      <c r="F1037" s="100" t="s">
        <v>28</v>
      </c>
    </row>
    <row r="1038" spans="1:6">
      <c r="A1038" s="242" t="s">
        <v>156</v>
      </c>
      <c r="B1038" s="235"/>
      <c r="C1038" s="235"/>
      <c r="D1038" s="235"/>
      <c r="E1038" s="100" t="s">
        <v>122</v>
      </c>
      <c r="F1038" s="100" t="s">
        <v>28</v>
      </c>
    </row>
    <row r="1039" spans="1:6">
      <c r="A1039" s="242" t="s">
        <v>157</v>
      </c>
      <c r="B1039" s="235"/>
      <c r="C1039" s="235"/>
      <c r="D1039" s="235"/>
      <c r="E1039" s="100" t="s">
        <v>122</v>
      </c>
      <c r="F1039" s="100" t="s">
        <v>28</v>
      </c>
    </row>
    <row r="1040" spans="1:6">
      <c r="A1040" s="242" t="s">
        <v>158</v>
      </c>
      <c r="B1040" s="235"/>
      <c r="C1040" s="235"/>
      <c r="D1040" s="235"/>
      <c r="E1040" s="100" t="s">
        <v>122</v>
      </c>
      <c r="F1040" s="100" t="s">
        <v>28</v>
      </c>
    </row>
    <row r="1041" spans="1:6">
      <c r="A1041" s="242" t="s">
        <v>159</v>
      </c>
      <c r="B1041" s="235"/>
      <c r="C1041" s="235"/>
      <c r="D1041" s="235"/>
      <c r="E1041" s="100" t="s">
        <v>122</v>
      </c>
      <c r="F1041" s="100" t="s">
        <v>28</v>
      </c>
    </row>
    <row r="1042" spans="1:6">
      <c r="A1042" s="248" t="s">
        <v>148</v>
      </c>
      <c r="B1042" s="249"/>
      <c r="C1042" s="249"/>
      <c r="D1042" s="249"/>
      <c r="E1042" s="100" t="s">
        <v>122</v>
      </c>
      <c r="F1042" s="250" t="s">
        <v>175</v>
      </c>
    </row>
    <row r="1043" spans="1:6">
      <c r="A1043" s="248" t="s">
        <v>149</v>
      </c>
      <c r="B1043" s="249"/>
      <c r="C1043" s="249"/>
      <c r="D1043" s="249"/>
      <c r="E1043" s="100" t="s">
        <v>122</v>
      </c>
      <c r="F1043" s="250" t="s">
        <v>175</v>
      </c>
    </row>
    <row r="1044" spans="1:6">
      <c r="A1044" s="248" t="s">
        <v>150</v>
      </c>
      <c r="B1044" s="249"/>
      <c r="C1044" s="249"/>
      <c r="D1044" s="249"/>
      <c r="E1044" s="100" t="s">
        <v>122</v>
      </c>
      <c r="F1044" s="250" t="s">
        <v>175</v>
      </c>
    </row>
    <row r="1045" spans="1:6">
      <c r="A1045" s="248" t="s">
        <v>151</v>
      </c>
      <c r="B1045" s="249"/>
      <c r="C1045" s="249"/>
      <c r="D1045" s="249"/>
      <c r="E1045" s="100" t="s">
        <v>122</v>
      </c>
      <c r="F1045" s="250" t="s">
        <v>175</v>
      </c>
    </row>
    <row r="1046" spans="1:6">
      <c r="A1046" s="248" t="s">
        <v>152</v>
      </c>
      <c r="B1046" s="249"/>
      <c r="C1046" s="249"/>
      <c r="D1046" s="249"/>
      <c r="E1046" s="100" t="s">
        <v>122</v>
      </c>
      <c r="F1046" s="250" t="s">
        <v>175</v>
      </c>
    </row>
    <row r="1047" spans="1:6">
      <c r="A1047" s="248" t="s">
        <v>153</v>
      </c>
      <c r="B1047" s="249"/>
      <c r="C1047" s="249"/>
      <c r="D1047" s="249"/>
      <c r="E1047" s="100" t="s">
        <v>122</v>
      </c>
      <c r="F1047" s="250" t="s">
        <v>175</v>
      </c>
    </row>
    <row r="1048" spans="1:6">
      <c r="A1048" s="248" t="s">
        <v>154</v>
      </c>
      <c r="B1048" s="249"/>
      <c r="C1048" s="249"/>
      <c r="D1048" s="249"/>
      <c r="E1048" s="100" t="s">
        <v>122</v>
      </c>
      <c r="F1048" s="250" t="s">
        <v>175</v>
      </c>
    </row>
    <row r="1049" spans="1:6">
      <c r="A1049" s="248" t="s">
        <v>155</v>
      </c>
      <c r="B1049" s="249"/>
      <c r="C1049" s="249"/>
      <c r="D1049" s="249"/>
      <c r="E1049" s="100" t="s">
        <v>122</v>
      </c>
      <c r="F1049" s="250" t="s">
        <v>175</v>
      </c>
    </row>
    <row r="1050" spans="1:6">
      <c r="A1050" s="248" t="s">
        <v>156</v>
      </c>
      <c r="B1050" s="249"/>
      <c r="C1050" s="249"/>
      <c r="D1050" s="249"/>
      <c r="E1050" s="100" t="s">
        <v>122</v>
      </c>
      <c r="F1050" s="250" t="s">
        <v>175</v>
      </c>
    </row>
    <row r="1051" spans="1:6">
      <c r="A1051" s="248" t="s">
        <v>157</v>
      </c>
      <c r="B1051" s="249"/>
      <c r="C1051" s="249"/>
      <c r="D1051" s="249"/>
      <c r="E1051" s="100" t="s">
        <v>122</v>
      </c>
      <c r="F1051" s="250" t="s">
        <v>175</v>
      </c>
    </row>
    <row r="1052" spans="1:6">
      <c r="A1052" s="248" t="s">
        <v>158</v>
      </c>
      <c r="B1052" s="249"/>
      <c r="C1052" s="249"/>
      <c r="D1052" s="249"/>
      <c r="E1052" s="100" t="s">
        <v>122</v>
      </c>
      <c r="F1052" s="250" t="s">
        <v>175</v>
      </c>
    </row>
    <row r="1053" spans="1:6">
      <c r="A1053" s="248" t="s">
        <v>159</v>
      </c>
      <c r="B1053" s="249"/>
      <c r="C1053" s="249"/>
      <c r="D1053" s="249"/>
      <c r="E1053" s="100" t="s">
        <v>122</v>
      </c>
      <c r="F1053" s="250" t="s">
        <v>175</v>
      </c>
    </row>
    <row r="1054" spans="1:6">
      <c r="A1054" s="242" t="s">
        <v>148</v>
      </c>
      <c r="B1054" s="235"/>
      <c r="C1054" s="235"/>
      <c r="D1054" s="235"/>
      <c r="E1054" s="100" t="s">
        <v>123</v>
      </c>
      <c r="F1054" s="100" t="s">
        <v>284</v>
      </c>
    </row>
    <row r="1055" spans="1:6">
      <c r="A1055" s="242" t="s">
        <v>149</v>
      </c>
      <c r="B1055" s="235"/>
      <c r="C1055" s="235"/>
      <c r="D1055" s="235"/>
      <c r="E1055" s="100" t="s">
        <v>123</v>
      </c>
      <c r="F1055" s="100" t="s">
        <v>284</v>
      </c>
    </row>
    <row r="1056" spans="1:6">
      <c r="A1056" s="242" t="s">
        <v>150</v>
      </c>
      <c r="B1056" s="235"/>
      <c r="C1056" s="235"/>
      <c r="D1056" s="235"/>
      <c r="E1056" s="100" t="s">
        <v>123</v>
      </c>
      <c r="F1056" s="100" t="s">
        <v>284</v>
      </c>
    </row>
    <row r="1057" spans="1:6">
      <c r="A1057" s="242" t="s">
        <v>151</v>
      </c>
      <c r="B1057" s="235"/>
      <c r="C1057" s="235"/>
      <c r="D1057" s="235"/>
      <c r="E1057" s="100" t="s">
        <v>123</v>
      </c>
      <c r="F1057" s="100" t="s">
        <v>284</v>
      </c>
    </row>
    <row r="1058" spans="1:6">
      <c r="A1058" s="242" t="s">
        <v>152</v>
      </c>
      <c r="B1058" s="235"/>
      <c r="C1058" s="235"/>
      <c r="D1058" s="235"/>
      <c r="E1058" s="100" t="s">
        <v>123</v>
      </c>
      <c r="F1058" s="100" t="s">
        <v>284</v>
      </c>
    </row>
    <row r="1059" spans="1:6">
      <c r="A1059" s="242" t="s">
        <v>153</v>
      </c>
      <c r="B1059" s="235"/>
      <c r="C1059" s="235"/>
      <c r="D1059" s="235"/>
      <c r="E1059" s="100" t="s">
        <v>123</v>
      </c>
      <c r="F1059" s="100" t="s">
        <v>284</v>
      </c>
    </row>
    <row r="1060" spans="1:6">
      <c r="A1060" s="242" t="s">
        <v>154</v>
      </c>
      <c r="B1060" s="235"/>
      <c r="C1060" s="235"/>
      <c r="D1060" s="235"/>
      <c r="E1060" s="100" t="s">
        <v>123</v>
      </c>
      <c r="F1060" s="100" t="s">
        <v>284</v>
      </c>
    </row>
    <row r="1061" spans="1:6">
      <c r="A1061" s="242" t="s">
        <v>155</v>
      </c>
      <c r="B1061" s="235"/>
      <c r="C1061" s="235"/>
      <c r="D1061" s="235"/>
      <c r="E1061" s="100" t="s">
        <v>123</v>
      </c>
      <c r="F1061" s="100" t="s">
        <v>284</v>
      </c>
    </row>
    <row r="1062" spans="1:6">
      <c r="A1062" s="242" t="s">
        <v>156</v>
      </c>
      <c r="B1062" s="235"/>
      <c r="C1062" s="235"/>
      <c r="D1062" s="235"/>
      <c r="E1062" s="100" t="s">
        <v>123</v>
      </c>
      <c r="F1062" s="100" t="s">
        <v>284</v>
      </c>
    </row>
    <row r="1063" spans="1:6">
      <c r="A1063" s="242" t="s">
        <v>157</v>
      </c>
      <c r="B1063" s="235"/>
      <c r="C1063" s="235"/>
      <c r="D1063" s="235"/>
      <c r="E1063" s="100" t="s">
        <v>123</v>
      </c>
      <c r="F1063" s="100" t="s">
        <v>284</v>
      </c>
    </row>
    <row r="1064" spans="1:6">
      <c r="A1064" s="242" t="s">
        <v>158</v>
      </c>
      <c r="B1064" s="235"/>
      <c r="C1064" s="235"/>
      <c r="D1064" s="235"/>
      <c r="E1064" s="100" t="s">
        <v>123</v>
      </c>
      <c r="F1064" s="100" t="s">
        <v>284</v>
      </c>
    </row>
    <row r="1065" spans="1:6">
      <c r="A1065" s="242" t="s">
        <v>159</v>
      </c>
      <c r="B1065" s="235"/>
      <c r="C1065" s="235"/>
      <c r="D1065" s="235"/>
      <c r="E1065" s="100" t="s">
        <v>123</v>
      </c>
      <c r="F1065" s="100" t="s">
        <v>284</v>
      </c>
    </row>
    <row r="1066" spans="1:6">
      <c r="A1066" s="248" t="s">
        <v>148</v>
      </c>
      <c r="B1066" s="249"/>
      <c r="C1066" s="249"/>
      <c r="D1066" s="249"/>
      <c r="E1066" s="100" t="s">
        <v>123</v>
      </c>
      <c r="F1066" s="100" t="s">
        <v>286</v>
      </c>
    </row>
    <row r="1067" spans="1:6">
      <c r="A1067" s="248" t="s">
        <v>149</v>
      </c>
      <c r="B1067" s="249"/>
      <c r="C1067" s="249"/>
      <c r="D1067" s="249"/>
      <c r="E1067" s="100" t="s">
        <v>123</v>
      </c>
      <c r="F1067" s="100" t="s">
        <v>286</v>
      </c>
    </row>
    <row r="1068" spans="1:6">
      <c r="A1068" s="248" t="s">
        <v>150</v>
      </c>
      <c r="B1068" s="249"/>
      <c r="C1068" s="249"/>
      <c r="D1068" s="249"/>
      <c r="E1068" s="100" t="s">
        <v>123</v>
      </c>
      <c r="F1068" s="100" t="s">
        <v>286</v>
      </c>
    </row>
    <row r="1069" spans="1:6">
      <c r="A1069" s="248" t="s">
        <v>151</v>
      </c>
      <c r="B1069" s="249"/>
      <c r="C1069" s="249"/>
      <c r="D1069" s="249"/>
      <c r="E1069" s="100" t="s">
        <v>123</v>
      </c>
      <c r="F1069" s="100" t="s">
        <v>286</v>
      </c>
    </row>
    <row r="1070" spans="1:6">
      <c r="A1070" s="248" t="s">
        <v>152</v>
      </c>
      <c r="B1070" s="249"/>
      <c r="C1070" s="249"/>
      <c r="D1070" s="249"/>
      <c r="E1070" s="100" t="s">
        <v>123</v>
      </c>
      <c r="F1070" s="100" t="s">
        <v>286</v>
      </c>
    </row>
    <row r="1071" spans="1:6">
      <c r="A1071" s="248" t="s">
        <v>153</v>
      </c>
      <c r="B1071" s="249"/>
      <c r="C1071" s="249"/>
      <c r="D1071" s="249"/>
      <c r="E1071" s="100" t="s">
        <v>123</v>
      </c>
      <c r="F1071" s="100" t="s">
        <v>286</v>
      </c>
    </row>
    <row r="1072" spans="1:6">
      <c r="A1072" s="248" t="s">
        <v>154</v>
      </c>
      <c r="B1072" s="249"/>
      <c r="C1072" s="249"/>
      <c r="D1072" s="249"/>
      <c r="E1072" s="100" t="s">
        <v>123</v>
      </c>
      <c r="F1072" s="100" t="s">
        <v>286</v>
      </c>
    </row>
    <row r="1073" spans="1:6">
      <c r="A1073" s="248" t="s">
        <v>155</v>
      </c>
      <c r="B1073" s="249"/>
      <c r="C1073" s="249"/>
      <c r="D1073" s="249"/>
      <c r="E1073" s="100" t="s">
        <v>123</v>
      </c>
      <c r="F1073" s="100" t="s">
        <v>286</v>
      </c>
    </row>
    <row r="1074" spans="1:6">
      <c r="A1074" s="248" t="s">
        <v>156</v>
      </c>
      <c r="B1074" s="249"/>
      <c r="C1074" s="249"/>
      <c r="D1074" s="249"/>
      <c r="E1074" s="100" t="s">
        <v>123</v>
      </c>
      <c r="F1074" s="100" t="s">
        <v>286</v>
      </c>
    </row>
    <row r="1075" spans="1:6">
      <c r="A1075" s="248" t="s">
        <v>157</v>
      </c>
      <c r="B1075" s="249"/>
      <c r="C1075" s="249"/>
      <c r="D1075" s="249"/>
      <c r="E1075" s="100" t="s">
        <v>123</v>
      </c>
      <c r="F1075" s="100" t="s">
        <v>286</v>
      </c>
    </row>
    <row r="1076" spans="1:6">
      <c r="A1076" s="248" t="s">
        <v>158</v>
      </c>
      <c r="B1076" s="249"/>
      <c r="C1076" s="249"/>
      <c r="D1076" s="249"/>
      <c r="E1076" s="100" t="s">
        <v>123</v>
      </c>
      <c r="F1076" s="100" t="s">
        <v>286</v>
      </c>
    </row>
    <row r="1077" spans="1:6">
      <c r="A1077" s="248" t="s">
        <v>159</v>
      </c>
      <c r="B1077" s="249"/>
      <c r="C1077" s="249"/>
      <c r="D1077" s="249"/>
      <c r="E1077" s="100" t="s">
        <v>123</v>
      </c>
      <c r="F1077" s="100" t="s">
        <v>286</v>
      </c>
    </row>
    <row r="1078" spans="1:6">
      <c r="A1078" s="242" t="s">
        <v>148</v>
      </c>
      <c r="B1078" s="235"/>
      <c r="C1078" s="235"/>
      <c r="D1078" s="235"/>
      <c r="E1078" s="100" t="s">
        <v>123</v>
      </c>
      <c r="F1078" s="100" t="s">
        <v>313</v>
      </c>
    </row>
    <row r="1079" spans="1:6">
      <c r="A1079" s="242" t="s">
        <v>149</v>
      </c>
      <c r="B1079" s="235"/>
      <c r="C1079" s="235"/>
      <c r="D1079" s="235"/>
      <c r="E1079" s="100" t="s">
        <v>123</v>
      </c>
      <c r="F1079" s="100" t="s">
        <v>313</v>
      </c>
    </row>
    <row r="1080" spans="1:6">
      <c r="A1080" s="242" t="s">
        <v>150</v>
      </c>
      <c r="B1080" s="235"/>
      <c r="C1080" s="235"/>
      <c r="D1080" s="235"/>
      <c r="E1080" s="100" t="s">
        <v>123</v>
      </c>
      <c r="F1080" s="100" t="s">
        <v>313</v>
      </c>
    </row>
    <row r="1081" spans="1:6">
      <c r="A1081" s="242" t="s">
        <v>151</v>
      </c>
      <c r="B1081" s="235"/>
      <c r="C1081" s="235"/>
      <c r="D1081" s="235"/>
      <c r="E1081" s="100" t="s">
        <v>123</v>
      </c>
      <c r="F1081" s="100" t="s">
        <v>313</v>
      </c>
    </row>
    <row r="1082" spans="1:6">
      <c r="A1082" s="242" t="s">
        <v>152</v>
      </c>
      <c r="B1082" s="235"/>
      <c r="C1082" s="235"/>
      <c r="D1082" s="235"/>
      <c r="E1082" s="100" t="s">
        <v>123</v>
      </c>
      <c r="F1082" s="100" t="s">
        <v>313</v>
      </c>
    </row>
    <row r="1083" spans="1:6">
      <c r="A1083" s="242" t="s">
        <v>153</v>
      </c>
      <c r="B1083" s="235"/>
      <c r="C1083" s="235"/>
      <c r="D1083" s="235"/>
      <c r="E1083" s="100" t="s">
        <v>123</v>
      </c>
      <c r="F1083" s="100" t="s">
        <v>313</v>
      </c>
    </row>
    <row r="1084" spans="1:6">
      <c r="A1084" s="242" t="s">
        <v>154</v>
      </c>
      <c r="B1084" s="235"/>
      <c r="C1084" s="235"/>
      <c r="D1084" s="235"/>
      <c r="E1084" s="100" t="s">
        <v>123</v>
      </c>
      <c r="F1084" s="100" t="s">
        <v>313</v>
      </c>
    </row>
    <row r="1085" spans="1:6">
      <c r="A1085" s="242" t="s">
        <v>155</v>
      </c>
      <c r="B1085" s="235"/>
      <c r="C1085" s="235"/>
      <c r="D1085" s="235"/>
      <c r="E1085" s="100" t="s">
        <v>123</v>
      </c>
      <c r="F1085" s="100" t="s">
        <v>313</v>
      </c>
    </row>
    <row r="1086" spans="1:6">
      <c r="A1086" s="242" t="s">
        <v>156</v>
      </c>
      <c r="B1086" s="235"/>
      <c r="C1086" s="235"/>
      <c r="D1086" s="235"/>
      <c r="E1086" s="100" t="s">
        <v>123</v>
      </c>
      <c r="F1086" s="100" t="s">
        <v>313</v>
      </c>
    </row>
    <row r="1087" spans="1:6">
      <c r="A1087" s="242" t="s">
        <v>157</v>
      </c>
      <c r="B1087" s="235"/>
      <c r="C1087" s="235"/>
      <c r="D1087" s="235"/>
      <c r="E1087" s="100" t="s">
        <v>123</v>
      </c>
      <c r="F1087" s="100" t="s">
        <v>313</v>
      </c>
    </row>
    <row r="1088" spans="1:6">
      <c r="A1088" s="242" t="s">
        <v>158</v>
      </c>
      <c r="B1088" s="235"/>
      <c r="C1088" s="235"/>
      <c r="D1088" s="235"/>
      <c r="E1088" s="100" t="s">
        <v>123</v>
      </c>
      <c r="F1088" s="100" t="s">
        <v>313</v>
      </c>
    </row>
    <row r="1089" spans="1:6">
      <c r="A1089" s="242" t="s">
        <v>159</v>
      </c>
      <c r="B1089" s="235"/>
      <c r="C1089" s="235"/>
      <c r="D1089" s="235"/>
      <c r="E1089" s="100" t="s">
        <v>123</v>
      </c>
      <c r="F1089" s="100" t="s">
        <v>313</v>
      </c>
    </row>
    <row r="1090" spans="1:6">
      <c r="A1090" s="248" t="s">
        <v>148</v>
      </c>
      <c r="B1090" s="249"/>
      <c r="C1090" s="249"/>
      <c r="D1090" s="249"/>
      <c r="E1090" s="100" t="s">
        <v>123</v>
      </c>
      <c r="F1090" s="100" t="s">
        <v>285</v>
      </c>
    </row>
    <row r="1091" spans="1:6">
      <c r="A1091" s="248" t="s">
        <v>149</v>
      </c>
      <c r="B1091" s="249"/>
      <c r="C1091" s="249"/>
      <c r="D1091" s="249"/>
      <c r="E1091" s="100" t="s">
        <v>123</v>
      </c>
      <c r="F1091" s="100" t="s">
        <v>285</v>
      </c>
    </row>
    <row r="1092" spans="1:6">
      <c r="A1092" s="248" t="s">
        <v>150</v>
      </c>
      <c r="B1092" s="249"/>
      <c r="C1092" s="249"/>
      <c r="D1092" s="249"/>
      <c r="E1092" s="100" t="s">
        <v>123</v>
      </c>
      <c r="F1092" s="100" t="s">
        <v>285</v>
      </c>
    </row>
    <row r="1093" spans="1:6">
      <c r="A1093" s="248" t="s">
        <v>151</v>
      </c>
      <c r="B1093" s="249"/>
      <c r="C1093" s="249"/>
      <c r="D1093" s="249"/>
      <c r="E1093" s="100" t="s">
        <v>123</v>
      </c>
      <c r="F1093" s="100" t="s">
        <v>285</v>
      </c>
    </row>
    <row r="1094" spans="1:6">
      <c r="A1094" s="248" t="s">
        <v>152</v>
      </c>
      <c r="B1094" s="249"/>
      <c r="C1094" s="249"/>
      <c r="D1094" s="249"/>
      <c r="E1094" s="100" t="s">
        <v>123</v>
      </c>
      <c r="F1094" s="100" t="s">
        <v>285</v>
      </c>
    </row>
    <row r="1095" spans="1:6">
      <c r="A1095" s="248" t="s">
        <v>153</v>
      </c>
      <c r="B1095" s="249"/>
      <c r="C1095" s="249"/>
      <c r="D1095" s="249"/>
      <c r="E1095" s="100" t="s">
        <v>123</v>
      </c>
      <c r="F1095" s="100" t="s">
        <v>285</v>
      </c>
    </row>
    <row r="1096" spans="1:6">
      <c r="A1096" s="248" t="s">
        <v>154</v>
      </c>
      <c r="B1096" s="249"/>
      <c r="C1096" s="249"/>
      <c r="D1096" s="249"/>
      <c r="E1096" s="100" t="s">
        <v>123</v>
      </c>
      <c r="F1096" s="100" t="s">
        <v>285</v>
      </c>
    </row>
    <row r="1097" spans="1:6">
      <c r="A1097" s="248" t="s">
        <v>155</v>
      </c>
      <c r="B1097" s="249"/>
      <c r="C1097" s="249"/>
      <c r="D1097" s="249"/>
      <c r="E1097" s="100" t="s">
        <v>123</v>
      </c>
      <c r="F1097" s="100" t="s">
        <v>285</v>
      </c>
    </row>
    <row r="1098" spans="1:6">
      <c r="A1098" s="248" t="s">
        <v>156</v>
      </c>
      <c r="B1098" s="249"/>
      <c r="C1098" s="249"/>
      <c r="D1098" s="249"/>
      <c r="E1098" s="100" t="s">
        <v>123</v>
      </c>
      <c r="F1098" s="100" t="s">
        <v>285</v>
      </c>
    </row>
    <row r="1099" spans="1:6">
      <c r="A1099" s="248" t="s">
        <v>157</v>
      </c>
      <c r="B1099" s="249"/>
      <c r="C1099" s="249"/>
      <c r="D1099" s="249"/>
      <c r="E1099" s="100" t="s">
        <v>123</v>
      </c>
      <c r="F1099" s="100" t="s">
        <v>285</v>
      </c>
    </row>
    <row r="1100" spans="1:6">
      <c r="A1100" s="248" t="s">
        <v>158</v>
      </c>
      <c r="B1100" s="249"/>
      <c r="C1100" s="249"/>
      <c r="D1100" s="249"/>
      <c r="E1100" s="100" t="s">
        <v>123</v>
      </c>
      <c r="F1100" s="100" t="s">
        <v>285</v>
      </c>
    </row>
    <row r="1101" spans="1:6">
      <c r="A1101" s="248" t="s">
        <v>159</v>
      </c>
      <c r="B1101" s="249"/>
      <c r="C1101" s="249"/>
      <c r="D1101" s="249"/>
      <c r="E1101" s="100" t="s">
        <v>123</v>
      </c>
      <c r="F1101" s="100" t="s">
        <v>285</v>
      </c>
    </row>
    <row r="1102" spans="1:6">
      <c r="A1102" s="242" t="s">
        <v>148</v>
      </c>
      <c r="B1102" s="235"/>
      <c r="C1102" s="235"/>
      <c r="D1102" s="235"/>
      <c r="E1102" s="100" t="s">
        <v>123</v>
      </c>
      <c r="F1102" s="100" t="s">
        <v>28</v>
      </c>
    </row>
    <row r="1103" spans="1:6">
      <c r="A1103" s="242" t="s">
        <v>149</v>
      </c>
      <c r="B1103" s="235"/>
      <c r="C1103" s="235"/>
      <c r="D1103" s="235"/>
      <c r="E1103" s="100" t="s">
        <v>123</v>
      </c>
      <c r="F1103" s="100" t="s">
        <v>28</v>
      </c>
    </row>
    <row r="1104" spans="1:6">
      <c r="A1104" s="242" t="s">
        <v>150</v>
      </c>
      <c r="B1104" s="235"/>
      <c r="C1104" s="235"/>
      <c r="D1104" s="235"/>
      <c r="E1104" s="100" t="s">
        <v>123</v>
      </c>
      <c r="F1104" s="100" t="s">
        <v>28</v>
      </c>
    </row>
    <row r="1105" spans="1:6">
      <c r="A1105" s="242" t="s">
        <v>151</v>
      </c>
      <c r="B1105" s="235"/>
      <c r="C1105" s="235"/>
      <c r="D1105" s="235"/>
      <c r="E1105" s="100" t="s">
        <v>123</v>
      </c>
      <c r="F1105" s="100" t="s">
        <v>28</v>
      </c>
    </row>
    <row r="1106" spans="1:6">
      <c r="A1106" s="242" t="s">
        <v>152</v>
      </c>
      <c r="B1106" s="235"/>
      <c r="C1106" s="235"/>
      <c r="D1106" s="235"/>
      <c r="E1106" s="100" t="s">
        <v>123</v>
      </c>
      <c r="F1106" s="100" t="s">
        <v>28</v>
      </c>
    </row>
    <row r="1107" spans="1:6">
      <c r="A1107" s="242" t="s">
        <v>153</v>
      </c>
      <c r="B1107" s="235"/>
      <c r="C1107" s="235"/>
      <c r="D1107" s="235"/>
      <c r="E1107" s="100" t="s">
        <v>123</v>
      </c>
      <c r="F1107" s="100" t="s">
        <v>28</v>
      </c>
    </row>
    <row r="1108" spans="1:6">
      <c r="A1108" s="242" t="s">
        <v>154</v>
      </c>
      <c r="B1108" s="235"/>
      <c r="C1108" s="235"/>
      <c r="D1108" s="235"/>
      <c r="E1108" s="100" t="s">
        <v>123</v>
      </c>
      <c r="F1108" s="100" t="s">
        <v>28</v>
      </c>
    </row>
    <row r="1109" spans="1:6">
      <c r="A1109" s="242" t="s">
        <v>155</v>
      </c>
      <c r="B1109" s="235"/>
      <c r="C1109" s="235"/>
      <c r="D1109" s="235"/>
      <c r="E1109" s="100" t="s">
        <v>123</v>
      </c>
      <c r="F1109" s="100" t="s">
        <v>28</v>
      </c>
    </row>
    <row r="1110" spans="1:6">
      <c r="A1110" s="242" t="s">
        <v>156</v>
      </c>
      <c r="B1110" s="235"/>
      <c r="C1110" s="235"/>
      <c r="D1110" s="235"/>
      <c r="E1110" s="100" t="s">
        <v>123</v>
      </c>
      <c r="F1110" s="100" t="s">
        <v>28</v>
      </c>
    </row>
    <row r="1111" spans="1:6">
      <c r="A1111" s="242" t="s">
        <v>157</v>
      </c>
      <c r="B1111" s="235"/>
      <c r="C1111" s="235"/>
      <c r="D1111" s="235"/>
      <c r="E1111" s="100" t="s">
        <v>123</v>
      </c>
      <c r="F1111" s="100" t="s">
        <v>28</v>
      </c>
    </row>
    <row r="1112" spans="1:6">
      <c r="A1112" s="242" t="s">
        <v>158</v>
      </c>
      <c r="B1112" s="235"/>
      <c r="C1112" s="235"/>
      <c r="D1112" s="235"/>
      <c r="E1112" s="100" t="s">
        <v>123</v>
      </c>
      <c r="F1112" s="100" t="s">
        <v>28</v>
      </c>
    </row>
    <row r="1113" spans="1:6">
      <c r="A1113" s="242" t="s">
        <v>159</v>
      </c>
      <c r="B1113" s="235"/>
      <c r="C1113" s="235"/>
      <c r="D1113" s="235"/>
      <c r="E1113" s="100" t="s">
        <v>123</v>
      </c>
      <c r="F1113" s="100" t="s">
        <v>28</v>
      </c>
    </row>
    <row r="1114" spans="1:6">
      <c r="A1114" s="248" t="s">
        <v>148</v>
      </c>
      <c r="B1114" s="249"/>
      <c r="C1114" s="249"/>
      <c r="D1114" s="249"/>
      <c r="E1114" s="100" t="s">
        <v>123</v>
      </c>
      <c r="F1114" s="250" t="s">
        <v>175</v>
      </c>
    </row>
    <row r="1115" spans="1:6">
      <c r="A1115" s="248" t="s">
        <v>149</v>
      </c>
      <c r="B1115" s="249"/>
      <c r="C1115" s="249"/>
      <c r="D1115" s="249"/>
      <c r="E1115" s="100" t="s">
        <v>123</v>
      </c>
      <c r="F1115" s="250" t="s">
        <v>175</v>
      </c>
    </row>
    <row r="1116" spans="1:6">
      <c r="A1116" s="248" t="s">
        <v>150</v>
      </c>
      <c r="B1116" s="249"/>
      <c r="C1116" s="249"/>
      <c r="D1116" s="249"/>
      <c r="E1116" s="100" t="s">
        <v>123</v>
      </c>
      <c r="F1116" s="250" t="s">
        <v>175</v>
      </c>
    </row>
    <row r="1117" spans="1:6">
      <c r="A1117" s="248" t="s">
        <v>151</v>
      </c>
      <c r="B1117" s="249"/>
      <c r="C1117" s="249"/>
      <c r="D1117" s="249"/>
      <c r="E1117" s="100" t="s">
        <v>123</v>
      </c>
      <c r="F1117" s="250" t="s">
        <v>175</v>
      </c>
    </row>
    <row r="1118" spans="1:6">
      <c r="A1118" s="248" t="s">
        <v>152</v>
      </c>
      <c r="B1118" s="249"/>
      <c r="C1118" s="249"/>
      <c r="D1118" s="249"/>
      <c r="E1118" s="100" t="s">
        <v>123</v>
      </c>
      <c r="F1118" s="250" t="s">
        <v>175</v>
      </c>
    </row>
    <row r="1119" spans="1:6">
      <c r="A1119" s="248" t="s">
        <v>153</v>
      </c>
      <c r="B1119" s="249"/>
      <c r="C1119" s="249"/>
      <c r="D1119" s="249"/>
      <c r="E1119" s="100" t="s">
        <v>123</v>
      </c>
      <c r="F1119" s="250" t="s">
        <v>175</v>
      </c>
    </row>
    <row r="1120" spans="1:6">
      <c r="A1120" s="248" t="s">
        <v>154</v>
      </c>
      <c r="B1120" s="249"/>
      <c r="C1120" s="249"/>
      <c r="D1120" s="249"/>
      <c r="E1120" s="100" t="s">
        <v>123</v>
      </c>
      <c r="F1120" s="250" t="s">
        <v>175</v>
      </c>
    </row>
    <row r="1121" spans="1:6">
      <c r="A1121" s="248" t="s">
        <v>155</v>
      </c>
      <c r="B1121" s="249"/>
      <c r="C1121" s="249"/>
      <c r="D1121" s="249"/>
      <c r="E1121" s="100" t="s">
        <v>123</v>
      </c>
      <c r="F1121" s="250" t="s">
        <v>175</v>
      </c>
    </row>
    <row r="1122" spans="1:6">
      <c r="A1122" s="248" t="s">
        <v>156</v>
      </c>
      <c r="B1122" s="249"/>
      <c r="C1122" s="249"/>
      <c r="D1122" s="249"/>
      <c r="E1122" s="100" t="s">
        <v>123</v>
      </c>
      <c r="F1122" s="250" t="s">
        <v>175</v>
      </c>
    </row>
    <row r="1123" spans="1:6">
      <c r="A1123" s="248" t="s">
        <v>157</v>
      </c>
      <c r="B1123" s="249"/>
      <c r="C1123" s="249"/>
      <c r="D1123" s="249"/>
      <c r="E1123" s="100" t="s">
        <v>123</v>
      </c>
      <c r="F1123" s="250" t="s">
        <v>175</v>
      </c>
    </row>
    <row r="1124" spans="1:6">
      <c r="A1124" s="248" t="s">
        <v>158</v>
      </c>
      <c r="B1124" s="249"/>
      <c r="C1124" s="249"/>
      <c r="D1124" s="249"/>
      <c r="E1124" s="100" t="s">
        <v>123</v>
      </c>
      <c r="F1124" s="250" t="s">
        <v>175</v>
      </c>
    </row>
    <row r="1125" spans="1:6">
      <c r="A1125" s="248" t="s">
        <v>159</v>
      </c>
      <c r="B1125" s="249"/>
      <c r="C1125" s="249"/>
      <c r="D1125" s="249"/>
      <c r="E1125" s="100" t="s">
        <v>123</v>
      </c>
      <c r="F1125" s="250" t="s">
        <v>175</v>
      </c>
    </row>
    <row r="1126" spans="1:6">
      <c r="A1126" s="242" t="s">
        <v>148</v>
      </c>
      <c r="B1126" s="235"/>
      <c r="C1126" s="235"/>
      <c r="D1126" s="235"/>
      <c r="E1126" s="100" t="s">
        <v>124</v>
      </c>
      <c r="F1126" s="100" t="s">
        <v>284</v>
      </c>
    </row>
    <row r="1127" spans="1:6">
      <c r="A1127" s="242" t="s">
        <v>149</v>
      </c>
      <c r="B1127" s="235"/>
      <c r="C1127" s="235"/>
      <c r="D1127" s="235"/>
      <c r="E1127" s="100" t="s">
        <v>124</v>
      </c>
      <c r="F1127" s="100" t="s">
        <v>284</v>
      </c>
    </row>
    <row r="1128" spans="1:6">
      <c r="A1128" s="242" t="s">
        <v>150</v>
      </c>
      <c r="B1128" s="235"/>
      <c r="C1128" s="235"/>
      <c r="D1128" s="235"/>
      <c r="E1128" s="100" t="s">
        <v>124</v>
      </c>
      <c r="F1128" s="100" t="s">
        <v>284</v>
      </c>
    </row>
    <row r="1129" spans="1:6">
      <c r="A1129" s="242" t="s">
        <v>151</v>
      </c>
      <c r="B1129" s="235"/>
      <c r="C1129" s="235"/>
      <c r="D1129" s="235"/>
      <c r="E1129" s="100" t="s">
        <v>124</v>
      </c>
      <c r="F1129" s="100" t="s">
        <v>284</v>
      </c>
    </row>
    <row r="1130" spans="1:6">
      <c r="A1130" s="242" t="s">
        <v>152</v>
      </c>
      <c r="B1130" s="235"/>
      <c r="C1130" s="235"/>
      <c r="D1130" s="235"/>
      <c r="E1130" s="100" t="s">
        <v>124</v>
      </c>
      <c r="F1130" s="100" t="s">
        <v>284</v>
      </c>
    </row>
    <row r="1131" spans="1:6">
      <c r="A1131" s="242" t="s">
        <v>153</v>
      </c>
      <c r="B1131" s="235"/>
      <c r="C1131" s="235"/>
      <c r="D1131" s="235"/>
      <c r="E1131" s="100" t="s">
        <v>124</v>
      </c>
      <c r="F1131" s="100" t="s">
        <v>284</v>
      </c>
    </row>
    <row r="1132" spans="1:6">
      <c r="A1132" s="242" t="s">
        <v>154</v>
      </c>
      <c r="B1132" s="235"/>
      <c r="C1132" s="235"/>
      <c r="D1132" s="235"/>
      <c r="E1132" s="100" t="s">
        <v>124</v>
      </c>
      <c r="F1132" s="100" t="s">
        <v>284</v>
      </c>
    </row>
    <row r="1133" spans="1:6">
      <c r="A1133" s="242" t="s">
        <v>155</v>
      </c>
      <c r="B1133" s="235"/>
      <c r="C1133" s="235"/>
      <c r="D1133" s="235"/>
      <c r="E1133" s="100" t="s">
        <v>124</v>
      </c>
      <c r="F1133" s="100" t="s">
        <v>284</v>
      </c>
    </row>
    <row r="1134" spans="1:6">
      <c r="A1134" s="242" t="s">
        <v>156</v>
      </c>
      <c r="B1134" s="235"/>
      <c r="C1134" s="235"/>
      <c r="D1134" s="235"/>
      <c r="E1134" s="100" t="s">
        <v>124</v>
      </c>
      <c r="F1134" s="100" t="s">
        <v>284</v>
      </c>
    </row>
    <row r="1135" spans="1:6">
      <c r="A1135" s="242" t="s">
        <v>157</v>
      </c>
      <c r="B1135" s="235"/>
      <c r="C1135" s="235"/>
      <c r="D1135" s="235"/>
      <c r="E1135" s="100" t="s">
        <v>124</v>
      </c>
      <c r="F1135" s="100" t="s">
        <v>284</v>
      </c>
    </row>
    <row r="1136" spans="1:6">
      <c r="A1136" s="242" t="s">
        <v>158</v>
      </c>
      <c r="B1136" s="235"/>
      <c r="C1136" s="235"/>
      <c r="D1136" s="235"/>
      <c r="E1136" s="100" t="s">
        <v>124</v>
      </c>
      <c r="F1136" s="100" t="s">
        <v>284</v>
      </c>
    </row>
    <row r="1137" spans="1:6">
      <c r="A1137" s="242" t="s">
        <v>159</v>
      </c>
      <c r="B1137" s="235"/>
      <c r="C1137" s="235"/>
      <c r="D1137" s="235"/>
      <c r="E1137" s="100" t="s">
        <v>124</v>
      </c>
      <c r="F1137" s="100" t="s">
        <v>284</v>
      </c>
    </row>
    <row r="1138" spans="1:6">
      <c r="A1138" s="248" t="s">
        <v>148</v>
      </c>
      <c r="B1138" s="249"/>
      <c r="C1138" s="249"/>
      <c r="D1138" s="249"/>
      <c r="E1138" s="100" t="s">
        <v>124</v>
      </c>
      <c r="F1138" s="100" t="s">
        <v>286</v>
      </c>
    </row>
    <row r="1139" spans="1:6">
      <c r="A1139" s="248" t="s">
        <v>149</v>
      </c>
      <c r="B1139" s="249"/>
      <c r="C1139" s="249"/>
      <c r="D1139" s="249"/>
      <c r="E1139" s="100" t="s">
        <v>124</v>
      </c>
      <c r="F1139" s="100" t="s">
        <v>286</v>
      </c>
    </row>
    <row r="1140" spans="1:6">
      <c r="A1140" s="248" t="s">
        <v>150</v>
      </c>
      <c r="B1140" s="249"/>
      <c r="C1140" s="249"/>
      <c r="D1140" s="249"/>
      <c r="E1140" s="100" t="s">
        <v>124</v>
      </c>
      <c r="F1140" s="100" t="s">
        <v>286</v>
      </c>
    </row>
    <row r="1141" spans="1:6">
      <c r="A1141" s="248" t="s">
        <v>151</v>
      </c>
      <c r="B1141" s="249"/>
      <c r="C1141" s="249"/>
      <c r="D1141" s="249"/>
      <c r="E1141" s="100" t="s">
        <v>124</v>
      </c>
      <c r="F1141" s="100" t="s">
        <v>286</v>
      </c>
    </row>
    <row r="1142" spans="1:6">
      <c r="A1142" s="248" t="s">
        <v>152</v>
      </c>
      <c r="B1142" s="249"/>
      <c r="C1142" s="249"/>
      <c r="D1142" s="249"/>
      <c r="E1142" s="100" t="s">
        <v>124</v>
      </c>
      <c r="F1142" s="100" t="s">
        <v>286</v>
      </c>
    </row>
    <row r="1143" spans="1:6">
      <c r="A1143" s="248" t="s">
        <v>153</v>
      </c>
      <c r="B1143" s="249"/>
      <c r="C1143" s="249"/>
      <c r="D1143" s="249"/>
      <c r="E1143" s="100" t="s">
        <v>124</v>
      </c>
      <c r="F1143" s="100" t="s">
        <v>286</v>
      </c>
    </row>
    <row r="1144" spans="1:6">
      <c r="A1144" s="248" t="s">
        <v>154</v>
      </c>
      <c r="B1144" s="249"/>
      <c r="C1144" s="249"/>
      <c r="D1144" s="249"/>
      <c r="E1144" s="100" t="s">
        <v>124</v>
      </c>
      <c r="F1144" s="100" t="s">
        <v>286</v>
      </c>
    </row>
    <row r="1145" spans="1:6">
      <c r="A1145" s="248" t="s">
        <v>155</v>
      </c>
      <c r="B1145" s="249"/>
      <c r="C1145" s="249"/>
      <c r="D1145" s="249"/>
      <c r="E1145" s="100" t="s">
        <v>124</v>
      </c>
      <c r="F1145" s="100" t="s">
        <v>286</v>
      </c>
    </row>
    <row r="1146" spans="1:6">
      <c r="A1146" s="248" t="s">
        <v>156</v>
      </c>
      <c r="B1146" s="249"/>
      <c r="C1146" s="249"/>
      <c r="D1146" s="249"/>
      <c r="E1146" s="100" t="s">
        <v>124</v>
      </c>
      <c r="F1146" s="100" t="s">
        <v>286</v>
      </c>
    </row>
    <row r="1147" spans="1:6">
      <c r="A1147" s="248" t="s">
        <v>157</v>
      </c>
      <c r="B1147" s="249"/>
      <c r="C1147" s="249"/>
      <c r="D1147" s="249"/>
      <c r="E1147" s="100" t="s">
        <v>124</v>
      </c>
      <c r="F1147" s="100" t="s">
        <v>286</v>
      </c>
    </row>
    <row r="1148" spans="1:6">
      <c r="A1148" s="248" t="s">
        <v>158</v>
      </c>
      <c r="B1148" s="249"/>
      <c r="C1148" s="249"/>
      <c r="D1148" s="249"/>
      <c r="E1148" s="100" t="s">
        <v>124</v>
      </c>
      <c r="F1148" s="100" t="s">
        <v>286</v>
      </c>
    </row>
    <row r="1149" spans="1:6">
      <c r="A1149" s="248" t="s">
        <v>159</v>
      </c>
      <c r="B1149" s="249"/>
      <c r="C1149" s="249"/>
      <c r="D1149" s="249"/>
      <c r="E1149" s="100" t="s">
        <v>124</v>
      </c>
      <c r="F1149" s="100" t="s">
        <v>286</v>
      </c>
    </row>
    <row r="1150" spans="1:6">
      <c r="A1150" s="242" t="s">
        <v>148</v>
      </c>
      <c r="B1150" s="235"/>
      <c r="C1150" s="235"/>
      <c r="D1150" s="235"/>
      <c r="E1150" s="100" t="s">
        <v>124</v>
      </c>
      <c r="F1150" s="100" t="s">
        <v>313</v>
      </c>
    </row>
    <row r="1151" spans="1:6">
      <c r="A1151" s="242" t="s">
        <v>149</v>
      </c>
      <c r="B1151" s="235"/>
      <c r="C1151" s="235"/>
      <c r="D1151" s="235"/>
      <c r="E1151" s="100" t="s">
        <v>124</v>
      </c>
      <c r="F1151" s="100" t="s">
        <v>313</v>
      </c>
    </row>
    <row r="1152" spans="1:6">
      <c r="A1152" s="242" t="s">
        <v>150</v>
      </c>
      <c r="B1152" s="235"/>
      <c r="C1152" s="235"/>
      <c r="D1152" s="235"/>
      <c r="E1152" s="100" t="s">
        <v>124</v>
      </c>
      <c r="F1152" s="100" t="s">
        <v>313</v>
      </c>
    </row>
    <row r="1153" spans="1:6">
      <c r="A1153" s="242" t="s">
        <v>151</v>
      </c>
      <c r="B1153" s="235"/>
      <c r="C1153" s="235"/>
      <c r="D1153" s="235"/>
      <c r="E1153" s="100" t="s">
        <v>124</v>
      </c>
      <c r="F1153" s="100" t="s">
        <v>313</v>
      </c>
    </row>
    <row r="1154" spans="1:6">
      <c r="A1154" s="242" t="s">
        <v>152</v>
      </c>
      <c r="B1154" s="235"/>
      <c r="C1154" s="235"/>
      <c r="D1154" s="235"/>
      <c r="E1154" s="100" t="s">
        <v>124</v>
      </c>
      <c r="F1154" s="100" t="s">
        <v>313</v>
      </c>
    </row>
    <row r="1155" spans="1:6">
      <c r="A1155" s="242" t="s">
        <v>153</v>
      </c>
      <c r="B1155" s="235"/>
      <c r="C1155" s="235"/>
      <c r="D1155" s="235"/>
      <c r="E1155" s="100" t="s">
        <v>124</v>
      </c>
      <c r="F1155" s="100" t="s">
        <v>313</v>
      </c>
    </row>
    <row r="1156" spans="1:6">
      <c r="A1156" s="242" t="s">
        <v>154</v>
      </c>
      <c r="B1156" s="235"/>
      <c r="C1156" s="235"/>
      <c r="D1156" s="235"/>
      <c r="E1156" s="100" t="s">
        <v>124</v>
      </c>
      <c r="F1156" s="100" t="s">
        <v>313</v>
      </c>
    </row>
    <row r="1157" spans="1:6">
      <c r="A1157" s="242" t="s">
        <v>155</v>
      </c>
      <c r="B1157" s="235"/>
      <c r="C1157" s="235"/>
      <c r="D1157" s="235"/>
      <c r="E1157" s="100" t="s">
        <v>124</v>
      </c>
      <c r="F1157" s="100" t="s">
        <v>313</v>
      </c>
    </row>
    <row r="1158" spans="1:6">
      <c r="A1158" s="242" t="s">
        <v>156</v>
      </c>
      <c r="B1158" s="235"/>
      <c r="C1158" s="235"/>
      <c r="D1158" s="235"/>
      <c r="E1158" s="100" t="s">
        <v>124</v>
      </c>
      <c r="F1158" s="100" t="s">
        <v>313</v>
      </c>
    </row>
    <row r="1159" spans="1:6">
      <c r="A1159" s="242" t="s">
        <v>157</v>
      </c>
      <c r="B1159" s="235"/>
      <c r="C1159" s="235"/>
      <c r="D1159" s="235"/>
      <c r="E1159" s="100" t="s">
        <v>124</v>
      </c>
      <c r="F1159" s="100" t="s">
        <v>313</v>
      </c>
    </row>
    <row r="1160" spans="1:6">
      <c r="A1160" s="242" t="s">
        <v>158</v>
      </c>
      <c r="B1160" s="235"/>
      <c r="C1160" s="235"/>
      <c r="D1160" s="235"/>
      <c r="E1160" s="100" t="s">
        <v>124</v>
      </c>
      <c r="F1160" s="100" t="s">
        <v>313</v>
      </c>
    </row>
    <row r="1161" spans="1:6">
      <c r="A1161" s="242" t="s">
        <v>159</v>
      </c>
      <c r="B1161" s="235"/>
      <c r="C1161" s="235"/>
      <c r="D1161" s="235"/>
      <c r="E1161" s="100" t="s">
        <v>124</v>
      </c>
      <c r="F1161" s="100" t="s">
        <v>313</v>
      </c>
    </row>
    <row r="1162" spans="1:6">
      <c r="A1162" s="248" t="s">
        <v>148</v>
      </c>
      <c r="B1162" s="249"/>
      <c r="C1162" s="249"/>
      <c r="D1162" s="249"/>
      <c r="E1162" s="100" t="s">
        <v>124</v>
      </c>
      <c r="F1162" s="100" t="s">
        <v>285</v>
      </c>
    </row>
    <row r="1163" spans="1:6">
      <c r="A1163" s="248" t="s">
        <v>149</v>
      </c>
      <c r="B1163" s="249"/>
      <c r="C1163" s="249"/>
      <c r="D1163" s="249"/>
      <c r="E1163" s="100" t="s">
        <v>124</v>
      </c>
      <c r="F1163" s="100" t="s">
        <v>285</v>
      </c>
    </row>
    <row r="1164" spans="1:6">
      <c r="A1164" s="248" t="s">
        <v>150</v>
      </c>
      <c r="B1164" s="249"/>
      <c r="C1164" s="249"/>
      <c r="D1164" s="249"/>
      <c r="E1164" s="100" t="s">
        <v>124</v>
      </c>
      <c r="F1164" s="100" t="s">
        <v>285</v>
      </c>
    </row>
    <row r="1165" spans="1:6">
      <c r="A1165" s="248" t="s">
        <v>151</v>
      </c>
      <c r="B1165" s="249"/>
      <c r="C1165" s="249"/>
      <c r="D1165" s="249"/>
      <c r="E1165" s="100" t="s">
        <v>124</v>
      </c>
      <c r="F1165" s="100" t="s">
        <v>285</v>
      </c>
    </row>
    <row r="1166" spans="1:6">
      <c r="A1166" s="248" t="s">
        <v>152</v>
      </c>
      <c r="B1166" s="249"/>
      <c r="C1166" s="249"/>
      <c r="D1166" s="249"/>
      <c r="E1166" s="100" t="s">
        <v>124</v>
      </c>
      <c r="F1166" s="100" t="s">
        <v>285</v>
      </c>
    </row>
    <row r="1167" spans="1:6">
      <c r="A1167" s="248" t="s">
        <v>153</v>
      </c>
      <c r="B1167" s="249"/>
      <c r="C1167" s="249"/>
      <c r="D1167" s="249"/>
      <c r="E1167" s="100" t="s">
        <v>124</v>
      </c>
      <c r="F1167" s="100" t="s">
        <v>285</v>
      </c>
    </row>
    <row r="1168" spans="1:6">
      <c r="A1168" s="248" t="s">
        <v>154</v>
      </c>
      <c r="B1168" s="249"/>
      <c r="C1168" s="249"/>
      <c r="D1168" s="249"/>
      <c r="E1168" s="100" t="s">
        <v>124</v>
      </c>
      <c r="F1168" s="100" t="s">
        <v>285</v>
      </c>
    </row>
    <row r="1169" spans="1:6">
      <c r="A1169" s="248" t="s">
        <v>155</v>
      </c>
      <c r="B1169" s="249"/>
      <c r="C1169" s="249"/>
      <c r="D1169" s="249"/>
      <c r="E1169" s="100" t="s">
        <v>124</v>
      </c>
      <c r="F1169" s="100" t="s">
        <v>285</v>
      </c>
    </row>
    <row r="1170" spans="1:6">
      <c r="A1170" s="248" t="s">
        <v>156</v>
      </c>
      <c r="B1170" s="249"/>
      <c r="C1170" s="249"/>
      <c r="D1170" s="249"/>
      <c r="E1170" s="100" t="s">
        <v>124</v>
      </c>
      <c r="F1170" s="100" t="s">
        <v>285</v>
      </c>
    </row>
    <row r="1171" spans="1:6">
      <c r="A1171" s="248" t="s">
        <v>157</v>
      </c>
      <c r="B1171" s="249"/>
      <c r="C1171" s="249"/>
      <c r="D1171" s="249"/>
      <c r="E1171" s="100" t="s">
        <v>124</v>
      </c>
      <c r="F1171" s="100" t="s">
        <v>285</v>
      </c>
    </row>
    <row r="1172" spans="1:6">
      <c r="A1172" s="248" t="s">
        <v>158</v>
      </c>
      <c r="B1172" s="249"/>
      <c r="C1172" s="249"/>
      <c r="D1172" s="249"/>
      <c r="E1172" s="100" t="s">
        <v>124</v>
      </c>
      <c r="F1172" s="100" t="s">
        <v>285</v>
      </c>
    </row>
    <row r="1173" spans="1:6">
      <c r="A1173" s="248" t="s">
        <v>159</v>
      </c>
      <c r="B1173" s="249"/>
      <c r="C1173" s="249"/>
      <c r="D1173" s="249"/>
      <c r="E1173" s="100" t="s">
        <v>124</v>
      </c>
      <c r="F1173" s="100" t="s">
        <v>285</v>
      </c>
    </row>
    <row r="1174" spans="1:6">
      <c r="A1174" s="242" t="s">
        <v>148</v>
      </c>
      <c r="B1174" s="235"/>
      <c r="C1174" s="235"/>
      <c r="D1174" s="235"/>
      <c r="E1174" s="100" t="s">
        <v>124</v>
      </c>
      <c r="F1174" s="100" t="s">
        <v>28</v>
      </c>
    </row>
    <row r="1175" spans="1:6">
      <c r="A1175" s="242" t="s">
        <v>149</v>
      </c>
      <c r="B1175" s="235"/>
      <c r="C1175" s="235"/>
      <c r="D1175" s="235"/>
      <c r="E1175" s="100" t="s">
        <v>124</v>
      </c>
      <c r="F1175" s="100" t="s">
        <v>28</v>
      </c>
    </row>
    <row r="1176" spans="1:6">
      <c r="A1176" s="242" t="s">
        <v>150</v>
      </c>
      <c r="B1176" s="235"/>
      <c r="C1176" s="235"/>
      <c r="D1176" s="235"/>
      <c r="E1176" s="100" t="s">
        <v>124</v>
      </c>
      <c r="F1176" s="100" t="s">
        <v>28</v>
      </c>
    </row>
    <row r="1177" spans="1:6">
      <c r="A1177" s="242" t="s">
        <v>151</v>
      </c>
      <c r="B1177" s="235"/>
      <c r="C1177" s="235"/>
      <c r="D1177" s="235"/>
      <c r="E1177" s="100" t="s">
        <v>124</v>
      </c>
      <c r="F1177" s="100" t="s">
        <v>28</v>
      </c>
    </row>
    <row r="1178" spans="1:6">
      <c r="A1178" s="242" t="s">
        <v>152</v>
      </c>
      <c r="B1178" s="235"/>
      <c r="C1178" s="235"/>
      <c r="D1178" s="235"/>
      <c r="E1178" s="100" t="s">
        <v>124</v>
      </c>
      <c r="F1178" s="100" t="s">
        <v>28</v>
      </c>
    </row>
    <row r="1179" spans="1:6">
      <c r="A1179" s="242" t="s">
        <v>153</v>
      </c>
      <c r="B1179" s="235"/>
      <c r="C1179" s="235"/>
      <c r="D1179" s="235"/>
      <c r="E1179" s="100" t="s">
        <v>124</v>
      </c>
      <c r="F1179" s="100" t="s">
        <v>28</v>
      </c>
    </row>
    <row r="1180" spans="1:6">
      <c r="A1180" s="242" t="s">
        <v>154</v>
      </c>
      <c r="B1180" s="235"/>
      <c r="C1180" s="235"/>
      <c r="D1180" s="235"/>
      <c r="E1180" s="100" t="s">
        <v>124</v>
      </c>
      <c r="F1180" s="100" t="s">
        <v>28</v>
      </c>
    </row>
    <row r="1181" spans="1:6">
      <c r="A1181" s="242" t="s">
        <v>155</v>
      </c>
      <c r="B1181" s="235"/>
      <c r="C1181" s="235"/>
      <c r="D1181" s="235"/>
      <c r="E1181" s="100" t="s">
        <v>124</v>
      </c>
      <c r="F1181" s="100" t="s">
        <v>28</v>
      </c>
    </row>
    <row r="1182" spans="1:6">
      <c r="A1182" s="242" t="s">
        <v>156</v>
      </c>
      <c r="B1182" s="235"/>
      <c r="C1182" s="235"/>
      <c r="D1182" s="235"/>
      <c r="E1182" s="100" t="s">
        <v>124</v>
      </c>
      <c r="F1182" s="100" t="s">
        <v>28</v>
      </c>
    </row>
    <row r="1183" spans="1:6">
      <c r="A1183" s="242" t="s">
        <v>157</v>
      </c>
      <c r="B1183" s="235"/>
      <c r="C1183" s="235"/>
      <c r="D1183" s="235"/>
      <c r="E1183" s="100" t="s">
        <v>124</v>
      </c>
      <c r="F1183" s="100" t="s">
        <v>28</v>
      </c>
    </row>
    <row r="1184" spans="1:6">
      <c r="A1184" s="242" t="s">
        <v>158</v>
      </c>
      <c r="B1184" s="235"/>
      <c r="C1184" s="235"/>
      <c r="D1184" s="235"/>
      <c r="E1184" s="100" t="s">
        <v>124</v>
      </c>
      <c r="F1184" s="100" t="s">
        <v>28</v>
      </c>
    </row>
    <row r="1185" spans="1:6">
      <c r="A1185" s="242" t="s">
        <v>159</v>
      </c>
      <c r="B1185" s="235"/>
      <c r="C1185" s="235"/>
      <c r="D1185" s="235"/>
      <c r="E1185" s="100" t="s">
        <v>124</v>
      </c>
      <c r="F1185" s="100" t="s">
        <v>28</v>
      </c>
    </row>
    <row r="1186" spans="1:6">
      <c r="A1186" s="248" t="s">
        <v>148</v>
      </c>
      <c r="B1186" s="249"/>
      <c r="C1186" s="249"/>
      <c r="D1186" s="249"/>
      <c r="E1186" s="100" t="s">
        <v>124</v>
      </c>
      <c r="F1186" s="250" t="s">
        <v>175</v>
      </c>
    </row>
    <row r="1187" spans="1:6">
      <c r="A1187" s="248" t="s">
        <v>149</v>
      </c>
      <c r="B1187" s="249"/>
      <c r="C1187" s="249"/>
      <c r="D1187" s="249"/>
      <c r="E1187" s="100" t="s">
        <v>124</v>
      </c>
      <c r="F1187" s="250" t="s">
        <v>175</v>
      </c>
    </row>
    <row r="1188" spans="1:6">
      <c r="A1188" s="248" t="s">
        <v>150</v>
      </c>
      <c r="B1188" s="249"/>
      <c r="C1188" s="249"/>
      <c r="D1188" s="249"/>
      <c r="E1188" s="100" t="s">
        <v>124</v>
      </c>
      <c r="F1188" s="250" t="s">
        <v>175</v>
      </c>
    </row>
    <row r="1189" spans="1:6">
      <c r="A1189" s="248" t="s">
        <v>151</v>
      </c>
      <c r="B1189" s="249"/>
      <c r="C1189" s="249"/>
      <c r="D1189" s="249"/>
      <c r="E1189" s="100" t="s">
        <v>124</v>
      </c>
      <c r="F1189" s="250" t="s">
        <v>175</v>
      </c>
    </row>
    <row r="1190" spans="1:6">
      <c r="A1190" s="248" t="s">
        <v>152</v>
      </c>
      <c r="B1190" s="249"/>
      <c r="C1190" s="249"/>
      <c r="D1190" s="249"/>
      <c r="E1190" s="100" t="s">
        <v>124</v>
      </c>
      <c r="F1190" s="250" t="s">
        <v>175</v>
      </c>
    </row>
    <row r="1191" spans="1:6">
      <c r="A1191" s="248" t="s">
        <v>153</v>
      </c>
      <c r="B1191" s="249"/>
      <c r="C1191" s="249"/>
      <c r="D1191" s="249"/>
      <c r="E1191" s="100" t="s">
        <v>124</v>
      </c>
      <c r="F1191" s="250" t="s">
        <v>175</v>
      </c>
    </row>
    <row r="1192" spans="1:6">
      <c r="A1192" s="248" t="s">
        <v>154</v>
      </c>
      <c r="B1192" s="249"/>
      <c r="C1192" s="249"/>
      <c r="D1192" s="249"/>
      <c r="E1192" s="100" t="s">
        <v>124</v>
      </c>
      <c r="F1192" s="250" t="s">
        <v>175</v>
      </c>
    </row>
    <row r="1193" spans="1:6">
      <c r="A1193" s="248" t="s">
        <v>155</v>
      </c>
      <c r="B1193" s="249"/>
      <c r="C1193" s="249"/>
      <c r="D1193" s="249"/>
      <c r="E1193" s="100" t="s">
        <v>124</v>
      </c>
      <c r="F1193" s="250" t="s">
        <v>175</v>
      </c>
    </row>
    <row r="1194" spans="1:6">
      <c r="A1194" s="248" t="s">
        <v>156</v>
      </c>
      <c r="B1194" s="249"/>
      <c r="C1194" s="249"/>
      <c r="D1194" s="249"/>
      <c r="E1194" s="100" t="s">
        <v>124</v>
      </c>
      <c r="F1194" s="250" t="s">
        <v>175</v>
      </c>
    </row>
    <row r="1195" spans="1:6">
      <c r="A1195" s="248" t="s">
        <v>157</v>
      </c>
      <c r="B1195" s="249"/>
      <c r="C1195" s="249"/>
      <c r="D1195" s="249"/>
      <c r="E1195" s="100" t="s">
        <v>124</v>
      </c>
      <c r="F1195" s="250" t="s">
        <v>175</v>
      </c>
    </row>
    <row r="1196" spans="1:6">
      <c r="A1196" s="248" t="s">
        <v>158</v>
      </c>
      <c r="B1196" s="249"/>
      <c r="C1196" s="249"/>
      <c r="D1196" s="249"/>
      <c r="E1196" s="100" t="s">
        <v>124</v>
      </c>
      <c r="F1196" s="250" t="s">
        <v>175</v>
      </c>
    </row>
    <row r="1197" spans="1:6">
      <c r="A1197" s="248" t="s">
        <v>159</v>
      </c>
      <c r="B1197" s="249"/>
      <c r="C1197" s="249"/>
      <c r="D1197" s="249"/>
      <c r="E1197" s="100" t="s">
        <v>124</v>
      </c>
      <c r="F1197" s="250" t="s">
        <v>175</v>
      </c>
    </row>
    <row r="1198" spans="1:6">
      <c r="A1198" s="242" t="s">
        <v>148</v>
      </c>
      <c r="B1198" s="235"/>
      <c r="C1198" s="235"/>
      <c r="D1198" s="235"/>
      <c r="E1198" s="100" t="s">
        <v>125</v>
      </c>
      <c r="F1198" s="100" t="s">
        <v>284</v>
      </c>
    </row>
    <row r="1199" spans="1:6">
      <c r="A1199" s="242" t="s">
        <v>149</v>
      </c>
      <c r="B1199" s="235"/>
      <c r="C1199" s="235"/>
      <c r="D1199" s="235"/>
      <c r="E1199" s="100" t="s">
        <v>125</v>
      </c>
      <c r="F1199" s="100" t="s">
        <v>284</v>
      </c>
    </row>
    <row r="1200" spans="1:6">
      <c r="A1200" s="242" t="s">
        <v>150</v>
      </c>
      <c r="B1200" s="235"/>
      <c r="C1200" s="235"/>
      <c r="D1200" s="235"/>
      <c r="E1200" s="100" t="s">
        <v>125</v>
      </c>
      <c r="F1200" s="100" t="s">
        <v>284</v>
      </c>
    </row>
    <row r="1201" spans="1:6">
      <c r="A1201" s="242" t="s">
        <v>151</v>
      </c>
      <c r="B1201" s="235"/>
      <c r="C1201" s="235"/>
      <c r="D1201" s="235"/>
      <c r="E1201" s="100" t="s">
        <v>125</v>
      </c>
      <c r="F1201" s="100" t="s">
        <v>284</v>
      </c>
    </row>
    <row r="1202" spans="1:6">
      <c r="A1202" s="242" t="s">
        <v>152</v>
      </c>
      <c r="B1202" s="235"/>
      <c r="C1202" s="235"/>
      <c r="D1202" s="235"/>
      <c r="E1202" s="100" t="s">
        <v>125</v>
      </c>
      <c r="F1202" s="100" t="s">
        <v>284</v>
      </c>
    </row>
    <row r="1203" spans="1:6">
      <c r="A1203" s="242" t="s">
        <v>153</v>
      </c>
      <c r="B1203" s="235"/>
      <c r="C1203" s="235"/>
      <c r="D1203" s="235"/>
      <c r="E1203" s="100" t="s">
        <v>125</v>
      </c>
      <c r="F1203" s="100" t="s">
        <v>284</v>
      </c>
    </row>
    <row r="1204" spans="1:6">
      <c r="A1204" s="242" t="s">
        <v>154</v>
      </c>
      <c r="B1204" s="235"/>
      <c r="C1204" s="235"/>
      <c r="D1204" s="235"/>
      <c r="E1204" s="100" t="s">
        <v>125</v>
      </c>
      <c r="F1204" s="100" t="s">
        <v>284</v>
      </c>
    </row>
    <row r="1205" spans="1:6">
      <c r="A1205" s="242" t="s">
        <v>155</v>
      </c>
      <c r="B1205" s="235"/>
      <c r="C1205" s="235"/>
      <c r="D1205" s="235"/>
      <c r="E1205" s="100" t="s">
        <v>125</v>
      </c>
      <c r="F1205" s="100" t="s">
        <v>284</v>
      </c>
    </row>
    <row r="1206" spans="1:6">
      <c r="A1206" s="242" t="s">
        <v>156</v>
      </c>
      <c r="B1206" s="235"/>
      <c r="C1206" s="235"/>
      <c r="D1206" s="235"/>
      <c r="E1206" s="100" t="s">
        <v>125</v>
      </c>
      <c r="F1206" s="100" t="s">
        <v>284</v>
      </c>
    </row>
    <row r="1207" spans="1:6">
      <c r="A1207" s="242" t="s">
        <v>157</v>
      </c>
      <c r="B1207" s="235"/>
      <c r="C1207" s="235"/>
      <c r="D1207" s="235"/>
      <c r="E1207" s="100" t="s">
        <v>125</v>
      </c>
      <c r="F1207" s="100" t="s">
        <v>284</v>
      </c>
    </row>
    <row r="1208" spans="1:6">
      <c r="A1208" s="242" t="s">
        <v>158</v>
      </c>
      <c r="B1208" s="235"/>
      <c r="C1208" s="235"/>
      <c r="D1208" s="235"/>
      <c r="E1208" s="100" t="s">
        <v>125</v>
      </c>
      <c r="F1208" s="100" t="s">
        <v>284</v>
      </c>
    </row>
    <row r="1209" spans="1:6">
      <c r="A1209" s="242" t="s">
        <v>159</v>
      </c>
      <c r="B1209" s="235"/>
      <c r="C1209" s="235"/>
      <c r="D1209" s="235"/>
      <c r="E1209" s="100" t="s">
        <v>125</v>
      </c>
      <c r="F1209" s="100" t="s">
        <v>284</v>
      </c>
    </row>
    <row r="1210" spans="1:6">
      <c r="A1210" s="248" t="s">
        <v>148</v>
      </c>
      <c r="B1210" s="249"/>
      <c r="C1210" s="249"/>
      <c r="D1210" s="249"/>
      <c r="E1210" s="100" t="s">
        <v>125</v>
      </c>
      <c r="F1210" s="100" t="s">
        <v>286</v>
      </c>
    </row>
    <row r="1211" spans="1:6">
      <c r="A1211" s="248" t="s">
        <v>149</v>
      </c>
      <c r="B1211" s="249"/>
      <c r="C1211" s="249"/>
      <c r="D1211" s="249"/>
      <c r="E1211" s="100" t="s">
        <v>125</v>
      </c>
      <c r="F1211" s="100" t="s">
        <v>286</v>
      </c>
    </row>
    <row r="1212" spans="1:6">
      <c r="A1212" s="248" t="s">
        <v>150</v>
      </c>
      <c r="B1212" s="249"/>
      <c r="C1212" s="249"/>
      <c r="D1212" s="249"/>
      <c r="E1212" s="100" t="s">
        <v>125</v>
      </c>
      <c r="F1212" s="100" t="s">
        <v>286</v>
      </c>
    </row>
    <row r="1213" spans="1:6">
      <c r="A1213" s="248" t="s">
        <v>151</v>
      </c>
      <c r="B1213" s="249"/>
      <c r="C1213" s="249"/>
      <c r="D1213" s="249"/>
      <c r="E1213" s="100" t="s">
        <v>125</v>
      </c>
      <c r="F1213" s="100" t="s">
        <v>286</v>
      </c>
    </row>
    <row r="1214" spans="1:6">
      <c r="A1214" s="248" t="s">
        <v>152</v>
      </c>
      <c r="B1214" s="249"/>
      <c r="C1214" s="249"/>
      <c r="D1214" s="249"/>
      <c r="E1214" s="100" t="s">
        <v>125</v>
      </c>
      <c r="F1214" s="100" t="s">
        <v>286</v>
      </c>
    </row>
    <row r="1215" spans="1:6">
      <c r="A1215" s="248" t="s">
        <v>153</v>
      </c>
      <c r="B1215" s="249"/>
      <c r="C1215" s="249"/>
      <c r="D1215" s="249"/>
      <c r="E1215" s="100" t="s">
        <v>125</v>
      </c>
      <c r="F1215" s="100" t="s">
        <v>286</v>
      </c>
    </row>
    <row r="1216" spans="1:6">
      <c r="A1216" s="248" t="s">
        <v>154</v>
      </c>
      <c r="B1216" s="249"/>
      <c r="C1216" s="249"/>
      <c r="D1216" s="249"/>
      <c r="E1216" s="100" t="s">
        <v>125</v>
      </c>
      <c r="F1216" s="100" t="s">
        <v>286</v>
      </c>
    </row>
    <row r="1217" spans="1:6">
      <c r="A1217" s="248" t="s">
        <v>155</v>
      </c>
      <c r="B1217" s="249"/>
      <c r="C1217" s="249"/>
      <c r="D1217" s="249"/>
      <c r="E1217" s="100" t="s">
        <v>125</v>
      </c>
      <c r="F1217" s="100" t="s">
        <v>286</v>
      </c>
    </row>
    <row r="1218" spans="1:6">
      <c r="A1218" s="248" t="s">
        <v>156</v>
      </c>
      <c r="B1218" s="249"/>
      <c r="C1218" s="249"/>
      <c r="D1218" s="249"/>
      <c r="E1218" s="100" t="s">
        <v>125</v>
      </c>
      <c r="F1218" s="100" t="s">
        <v>286</v>
      </c>
    </row>
    <row r="1219" spans="1:6">
      <c r="A1219" s="248" t="s">
        <v>157</v>
      </c>
      <c r="B1219" s="249"/>
      <c r="C1219" s="249"/>
      <c r="D1219" s="249"/>
      <c r="E1219" s="100" t="s">
        <v>125</v>
      </c>
      <c r="F1219" s="100" t="s">
        <v>286</v>
      </c>
    </row>
    <row r="1220" spans="1:6">
      <c r="A1220" s="248" t="s">
        <v>158</v>
      </c>
      <c r="B1220" s="249"/>
      <c r="C1220" s="249"/>
      <c r="D1220" s="249"/>
      <c r="E1220" s="100" t="s">
        <v>125</v>
      </c>
      <c r="F1220" s="100" t="s">
        <v>286</v>
      </c>
    </row>
    <row r="1221" spans="1:6">
      <c r="A1221" s="248" t="s">
        <v>159</v>
      </c>
      <c r="B1221" s="249"/>
      <c r="C1221" s="249"/>
      <c r="D1221" s="249"/>
      <c r="E1221" s="100" t="s">
        <v>125</v>
      </c>
      <c r="F1221" s="100" t="s">
        <v>286</v>
      </c>
    </row>
    <row r="1222" spans="1:6">
      <c r="A1222" s="242" t="s">
        <v>148</v>
      </c>
      <c r="B1222" s="235"/>
      <c r="C1222" s="235"/>
      <c r="D1222" s="235"/>
      <c r="E1222" s="100" t="s">
        <v>125</v>
      </c>
      <c r="F1222" s="100" t="s">
        <v>313</v>
      </c>
    </row>
    <row r="1223" spans="1:6">
      <c r="A1223" s="242" t="s">
        <v>149</v>
      </c>
      <c r="B1223" s="235"/>
      <c r="C1223" s="235"/>
      <c r="D1223" s="235"/>
      <c r="E1223" s="100" t="s">
        <v>125</v>
      </c>
      <c r="F1223" s="100" t="s">
        <v>313</v>
      </c>
    </row>
    <row r="1224" spans="1:6">
      <c r="A1224" s="242" t="s">
        <v>150</v>
      </c>
      <c r="B1224" s="235"/>
      <c r="C1224" s="235"/>
      <c r="D1224" s="235"/>
      <c r="E1224" s="100" t="s">
        <v>125</v>
      </c>
      <c r="F1224" s="100" t="s">
        <v>313</v>
      </c>
    </row>
    <row r="1225" spans="1:6">
      <c r="A1225" s="242" t="s">
        <v>151</v>
      </c>
      <c r="B1225" s="235"/>
      <c r="C1225" s="235"/>
      <c r="D1225" s="235"/>
      <c r="E1225" s="100" t="s">
        <v>125</v>
      </c>
      <c r="F1225" s="100" t="s">
        <v>313</v>
      </c>
    </row>
    <row r="1226" spans="1:6">
      <c r="A1226" s="242" t="s">
        <v>152</v>
      </c>
      <c r="B1226" s="235"/>
      <c r="C1226" s="235"/>
      <c r="D1226" s="235"/>
      <c r="E1226" s="100" t="s">
        <v>125</v>
      </c>
      <c r="F1226" s="100" t="s">
        <v>313</v>
      </c>
    </row>
    <row r="1227" spans="1:6">
      <c r="A1227" s="242" t="s">
        <v>153</v>
      </c>
      <c r="B1227" s="235"/>
      <c r="C1227" s="235"/>
      <c r="D1227" s="235"/>
      <c r="E1227" s="100" t="s">
        <v>125</v>
      </c>
      <c r="F1227" s="100" t="s">
        <v>313</v>
      </c>
    </row>
    <row r="1228" spans="1:6">
      <c r="A1228" s="242" t="s">
        <v>154</v>
      </c>
      <c r="B1228" s="235"/>
      <c r="C1228" s="235"/>
      <c r="D1228" s="235"/>
      <c r="E1228" s="100" t="s">
        <v>125</v>
      </c>
      <c r="F1228" s="100" t="s">
        <v>313</v>
      </c>
    </row>
    <row r="1229" spans="1:6">
      <c r="A1229" s="242" t="s">
        <v>155</v>
      </c>
      <c r="B1229" s="235"/>
      <c r="C1229" s="235"/>
      <c r="D1229" s="235"/>
      <c r="E1229" s="100" t="s">
        <v>125</v>
      </c>
      <c r="F1229" s="100" t="s">
        <v>313</v>
      </c>
    </row>
    <row r="1230" spans="1:6">
      <c r="A1230" s="242" t="s">
        <v>156</v>
      </c>
      <c r="B1230" s="235"/>
      <c r="C1230" s="235"/>
      <c r="D1230" s="235"/>
      <c r="E1230" s="100" t="s">
        <v>125</v>
      </c>
      <c r="F1230" s="100" t="s">
        <v>313</v>
      </c>
    </row>
    <row r="1231" spans="1:6">
      <c r="A1231" s="242" t="s">
        <v>157</v>
      </c>
      <c r="B1231" s="235"/>
      <c r="C1231" s="235"/>
      <c r="D1231" s="235"/>
      <c r="E1231" s="100" t="s">
        <v>125</v>
      </c>
      <c r="F1231" s="100" t="s">
        <v>313</v>
      </c>
    </row>
    <row r="1232" spans="1:6">
      <c r="A1232" s="242" t="s">
        <v>158</v>
      </c>
      <c r="B1232" s="235"/>
      <c r="C1232" s="235"/>
      <c r="D1232" s="235"/>
      <c r="E1232" s="100" t="s">
        <v>125</v>
      </c>
      <c r="F1232" s="100" t="s">
        <v>313</v>
      </c>
    </row>
    <row r="1233" spans="1:6">
      <c r="A1233" s="242" t="s">
        <v>159</v>
      </c>
      <c r="B1233" s="235"/>
      <c r="C1233" s="235"/>
      <c r="D1233" s="235"/>
      <c r="E1233" s="100" t="s">
        <v>125</v>
      </c>
      <c r="F1233" s="100" t="s">
        <v>313</v>
      </c>
    </row>
    <row r="1234" spans="1:6">
      <c r="A1234" s="248" t="s">
        <v>148</v>
      </c>
      <c r="B1234" s="249"/>
      <c r="C1234" s="249"/>
      <c r="D1234" s="249"/>
      <c r="E1234" s="100" t="s">
        <v>125</v>
      </c>
      <c r="F1234" s="100" t="s">
        <v>285</v>
      </c>
    </row>
    <row r="1235" spans="1:6">
      <c r="A1235" s="248" t="s">
        <v>149</v>
      </c>
      <c r="B1235" s="249"/>
      <c r="C1235" s="249"/>
      <c r="D1235" s="249"/>
      <c r="E1235" s="100" t="s">
        <v>125</v>
      </c>
      <c r="F1235" s="100" t="s">
        <v>285</v>
      </c>
    </row>
    <row r="1236" spans="1:6">
      <c r="A1236" s="248" t="s">
        <v>150</v>
      </c>
      <c r="B1236" s="249"/>
      <c r="C1236" s="249"/>
      <c r="D1236" s="249"/>
      <c r="E1236" s="100" t="s">
        <v>125</v>
      </c>
      <c r="F1236" s="100" t="s">
        <v>285</v>
      </c>
    </row>
    <row r="1237" spans="1:6">
      <c r="A1237" s="248" t="s">
        <v>151</v>
      </c>
      <c r="B1237" s="249"/>
      <c r="C1237" s="249"/>
      <c r="D1237" s="249"/>
      <c r="E1237" s="100" t="s">
        <v>125</v>
      </c>
      <c r="F1237" s="100" t="s">
        <v>285</v>
      </c>
    </row>
    <row r="1238" spans="1:6">
      <c r="A1238" s="248" t="s">
        <v>152</v>
      </c>
      <c r="B1238" s="249"/>
      <c r="C1238" s="249"/>
      <c r="D1238" s="249"/>
      <c r="E1238" s="100" t="s">
        <v>125</v>
      </c>
      <c r="F1238" s="100" t="s">
        <v>285</v>
      </c>
    </row>
    <row r="1239" spans="1:6">
      <c r="A1239" s="248" t="s">
        <v>153</v>
      </c>
      <c r="B1239" s="249"/>
      <c r="C1239" s="249"/>
      <c r="D1239" s="249"/>
      <c r="E1239" s="100" t="s">
        <v>125</v>
      </c>
      <c r="F1239" s="100" t="s">
        <v>285</v>
      </c>
    </row>
    <row r="1240" spans="1:6">
      <c r="A1240" s="248" t="s">
        <v>154</v>
      </c>
      <c r="B1240" s="249"/>
      <c r="C1240" s="249"/>
      <c r="D1240" s="249"/>
      <c r="E1240" s="100" t="s">
        <v>125</v>
      </c>
      <c r="F1240" s="100" t="s">
        <v>285</v>
      </c>
    </row>
    <row r="1241" spans="1:6">
      <c r="A1241" s="248" t="s">
        <v>155</v>
      </c>
      <c r="B1241" s="249"/>
      <c r="C1241" s="249"/>
      <c r="D1241" s="249"/>
      <c r="E1241" s="100" t="s">
        <v>125</v>
      </c>
      <c r="F1241" s="100" t="s">
        <v>285</v>
      </c>
    </row>
    <row r="1242" spans="1:6">
      <c r="A1242" s="248" t="s">
        <v>156</v>
      </c>
      <c r="B1242" s="249"/>
      <c r="C1242" s="249"/>
      <c r="D1242" s="249"/>
      <c r="E1242" s="100" t="s">
        <v>125</v>
      </c>
      <c r="F1242" s="100" t="s">
        <v>285</v>
      </c>
    </row>
    <row r="1243" spans="1:6">
      <c r="A1243" s="248" t="s">
        <v>157</v>
      </c>
      <c r="B1243" s="249"/>
      <c r="C1243" s="249"/>
      <c r="D1243" s="249"/>
      <c r="E1243" s="100" t="s">
        <v>125</v>
      </c>
      <c r="F1243" s="100" t="s">
        <v>285</v>
      </c>
    </row>
    <row r="1244" spans="1:6">
      <c r="A1244" s="248" t="s">
        <v>158</v>
      </c>
      <c r="B1244" s="249"/>
      <c r="C1244" s="249"/>
      <c r="D1244" s="249"/>
      <c r="E1244" s="100" t="s">
        <v>125</v>
      </c>
      <c r="F1244" s="100" t="s">
        <v>285</v>
      </c>
    </row>
    <row r="1245" spans="1:6">
      <c r="A1245" s="248" t="s">
        <v>159</v>
      </c>
      <c r="B1245" s="249"/>
      <c r="C1245" s="249"/>
      <c r="D1245" s="249"/>
      <c r="E1245" s="100" t="s">
        <v>125</v>
      </c>
      <c r="F1245" s="100" t="s">
        <v>285</v>
      </c>
    </row>
    <row r="1246" spans="1:6">
      <c r="A1246" s="242" t="s">
        <v>148</v>
      </c>
      <c r="B1246" s="235"/>
      <c r="C1246" s="235"/>
      <c r="D1246" s="235"/>
      <c r="E1246" s="100" t="s">
        <v>125</v>
      </c>
      <c r="F1246" s="100" t="s">
        <v>28</v>
      </c>
    </row>
    <row r="1247" spans="1:6">
      <c r="A1247" s="242" t="s">
        <v>149</v>
      </c>
      <c r="B1247" s="235"/>
      <c r="C1247" s="235"/>
      <c r="D1247" s="235"/>
      <c r="E1247" s="100" t="s">
        <v>125</v>
      </c>
      <c r="F1247" s="100" t="s">
        <v>28</v>
      </c>
    </row>
    <row r="1248" spans="1:6">
      <c r="A1248" s="242" t="s">
        <v>150</v>
      </c>
      <c r="B1248" s="235"/>
      <c r="C1248" s="235"/>
      <c r="D1248" s="235"/>
      <c r="E1248" s="100" t="s">
        <v>125</v>
      </c>
      <c r="F1248" s="100" t="s">
        <v>28</v>
      </c>
    </row>
    <row r="1249" spans="1:6">
      <c r="A1249" s="242" t="s">
        <v>151</v>
      </c>
      <c r="B1249" s="235"/>
      <c r="C1249" s="235"/>
      <c r="D1249" s="235"/>
      <c r="E1249" s="100" t="s">
        <v>125</v>
      </c>
      <c r="F1249" s="100" t="s">
        <v>28</v>
      </c>
    </row>
    <row r="1250" spans="1:6">
      <c r="A1250" s="242" t="s">
        <v>152</v>
      </c>
      <c r="B1250" s="235"/>
      <c r="C1250" s="235"/>
      <c r="D1250" s="235"/>
      <c r="E1250" s="100" t="s">
        <v>125</v>
      </c>
      <c r="F1250" s="100" t="s">
        <v>28</v>
      </c>
    </row>
    <row r="1251" spans="1:6">
      <c r="A1251" s="242" t="s">
        <v>153</v>
      </c>
      <c r="B1251" s="235"/>
      <c r="C1251" s="235"/>
      <c r="D1251" s="235"/>
      <c r="E1251" s="100" t="s">
        <v>125</v>
      </c>
      <c r="F1251" s="100" t="s">
        <v>28</v>
      </c>
    </row>
    <row r="1252" spans="1:6">
      <c r="A1252" s="242" t="s">
        <v>154</v>
      </c>
      <c r="B1252" s="235"/>
      <c r="C1252" s="235"/>
      <c r="D1252" s="235"/>
      <c r="E1252" s="100" t="s">
        <v>125</v>
      </c>
      <c r="F1252" s="100" t="s">
        <v>28</v>
      </c>
    </row>
    <row r="1253" spans="1:6">
      <c r="A1253" s="242" t="s">
        <v>155</v>
      </c>
      <c r="B1253" s="235"/>
      <c r="C1253" s="235"/>
      <c r="D1253" s="235"/>
      <c r="E1253" s="100" t="s">
        <v>125</v>
      </c>
      <c r="F1253" s="100" t="s">
        <v>28</v>
      </c>
    </row>
    <row r="1254" spans="1:6">
      <c r="A1254" s="242" t="s">
        <v>156</v>
      </c>
      <c r="B1254" s="235"/>
      <c r="C1254" s="235"/>
      <c r="D1254" s="235"/>
      <c r="E1254" s="100" t="s">
        <v>125</v>
      </c>
      <c r="F1254" s="100" t="s">
        <v>28</v>
      </c>
    </row>
    <row r="1255" spans="1:6">
      <c r="A1255" s="242" t="s">
        <v>157</v>
      </c>
      <c r="B1255" s="235"/>
      <c r="C1255" s="235"/>
      <c r="D1255" s="235"/>
      <c r="E1255" s="100" t="s">
        <v>125</v>
      </c>
      <c r="F1255" s="100" t="s">
        <v>28</v>
      </c>
    </row>
    <row r="1256" spans="1:6">
      <c r="A1256" s="242" t="s">
        <v>158</v>
      </c>
      <c r="B1256" s="235"/>
      <c r="C1256" s="235"/>
      <c r="D1256" s="235"/>
      <c r="E1256" s="100" t="s">
        <v>125</v>
      </c>
      <c r="F1256" s="100" t="s">
        <v>28</v>
      </c>
    </row>
    <row r="1257" spans="1:6">
      <c r="A1257" s="242" t="s">
        <v>159</v>
      </c>
      <c r="B1257" s="235"/>
      <c r="C1257" s="235"/>
      <c r="D1257" s="235"/>
      <c r="E1257" s="100" t="s">
        <v>125</v>
      </c>
      <c r="F1257" s="100" t="s">
        <v>28</v>
      </c>
    </row>
    <row r="1258" spans="1:6">
      <c r="A1258" s="248" t="s">
        <v>148</v>
      </c>
      <c r="B1258" s="249"/>
      <c r="C1258" s="249"/>
      <c r="D1258" s="249"/>
      <c r="E1258" s="100" t="s">
        <v>125</v>
      </c>
      <c r="F1258" s="250" t="s">
        <v>175</v>
      </c>
    </row>
    <row r="1259" spans="1:6">
      <c r="A1259" s="248" t="s">
        <v>149</v>
      </c>
      <c r="B1259" s="249"/>
      <c r="C1259" s="249"/>
      <c r="D1259" s="249"/>
      <c r="E1259" s="100" t="s">
        <v>125</v>
      </c>
      <c r="F1259" s="250" t="s">
        <v>175</v>
      </c>
    </row>
    <row r="1260" spans="1:6">
      <c r="A1260" s="248" t="s">
        <v>150</v>
      </c>
      <c r="B1260" s="249"/>
      <c r="C1260" s="249"/>
      <c r="D1260" s="249"/>
      <c r="E1260" s="100" t="s">
        <v>125</v>
      </c>
      <c r="F1260" s="250" t="s">
        <v>175</v>
      </c>
    </row>
    <row r="1261" spans="1:6">
      <c r="A1261" s="248" t="s">
        <v>151</v>
      </c>
      <c r="B1261" s="249"/>
      <c r="C1261" s="249"/>
      <c r="D1261" s="249"/>
      <c r="E1261" s="100" t="s">
        <v>125</v>
      </c>
      <c r="F1261" s="250" t="s">
        <v>175</v>
      </c>
    </row>
    <row r="1262" spans="1:6">
      <c r="A1262" s="248" t="s">
        <v>152</v>
      </c>
      <c r="B1262" s="249"/>
      <c r="C1262" s="249"/>
      <c r="D1262" s="249"/>
      <c r="E1262" s="100" t="s">
        <v>125</v>
      </c>
      <c r="F1262" s="250" t="s">
        <v>175</v>
      </c>
    </row>
    <row r="1263" spans="1:6">
      <c r="A1263" s="248" t="s">
        <v>153</v>
      </c>
      <c r="B1263" s="249"/>
      <c r="C1263" s="249"/>
      <c r="D1263" s="249"/>
      <c r="E1263" s="100" t="s">
        <v>125</v>
      </c>
      <c r="F1263" s="250" t="s">
        <v>175</v>
      </c>
    </row>
    <row r="1264" spans="1:6">
      <c r="A1264" s="248" t="s">
        <v>154</v>
      </c>
      <c r="B1264" s="249"/>
      <c r="C1264" s="249"/>
      <c r="D1264" s="249"/>
      <c r="E1264" s="100" t="s">
        <v>125</v>
      </c>
      <c r="F1264" s="250" t="s">
        <v>175</v>
      </c>
    </row>
    <row r="1265" spans="1:6">
      <c r="A1265" s="248" t="s">
        <v>155</v>
      </c>
      <c r="B1265" s="249"/>
      <c r="C1265" s="249"/>
      <c r="D1265" s="249"/>
      <c r="E1265" s="100" t="s">
        <v>125</v>
      </c>
      <c r="F1265" s="250" t="s">
        <v>175</v>
      </c>
    </row>
    <row r="1266" spans="1:6">
      <c r="A1266" s="248" t="s">
        <v>156</v>
      </c>
      <c r="B1266" s="249"/>
      <c r="C1266" s="249"/>
      <c r="D1266" s="249"/>
      <c r="E1266" s="100" t="s">
        <v>125</v>
      </c>
      <c r="F1266" s="250" t="s">
        <v>175</v>
      </c>
    </row>
    <row r="1267" spans="1:6">
      <c r="A1267" s="248" t="s">
        <v>157</v>
      </c>
      <c r="B1267" s="249"/>
      <c r="C1267" s="249"/>
      <c r="D1267" s="249"/>
      <c r="E1267" s="100" t="s">
        <v>125</v>
      </c>
      <c r="F1267" s="250" t="s">
        <v>175</v>
      </c>
    </row>
    <row r="1268" spans="1:6">
      <c r="A1268" s="248" t="s">
        <v>158</v>
      </c>
      <c r="B1268" s="249"/>
      <c r="C1268" s="249"/>
      <c r="D1268" s="249"/>
      <c r="E1268" s="100" t="s">
        <v>125</v>
      </c>
      <c r="F1268" s="250" t="s">
        <v>175</v>
      </c>
    </row>
    <row r="1269" spans="1:6">
      <c r="A1269" s="248" t="s">
        <v>159</v>
      </c>
      <c r="B1269" s="249"/>
      <c r="C1269" s="249"/>
      <c r="D1269" s="249"/>
      <c r="E1269" s="100" t="s">
        <v>125</v>
      </c>
      <c r="F1269" s="250" t="s">
        <v>175</v>
      </c>
    </row>
    <row r="1270" spans="1:6">
      <c r="A1270" s="242" t="s">
        <v>148</v>
      </c>
      <c r="B1270" s="235"/>
      <c r="C1270" s="235"/>
      <c r="D1270" s="235"/>
      <c r="E1270" s="100" t="s">
        <v>126</v>
      </c>
      <c r="F1270" s="100" t="s">
        <v>284</v>
      </c>
    </row>
    <row r="1271" spans="1:6">
      <c r="A1271" s="242" t="s">
        <v>149</v>
      </c>
      <c r="B1271" s="235"/>
      <c r="C1271" s="235"/>
      <c r="D1271" s="235"/>
      <c r="E1271" s="100" t="s">
        <v>126</v>
      </c>
      <c r="F1271" s="100" t="s">
        <v>284</v>
      </c>
    </row>
    <row r="1272" spans="1:6">
      <c r="A1272" s="242" t="s">
        <v>150</v>
      </c>
      <c r="B1272" s="235"/>
      <c r="C1272" s="235"/>
      <c r="D1272" s="235"/>
      <c r="E1272" s="100" t="s">
        <v>126</v>
      </c>
      <c r="F1272" s="100" t="s">
        <v>284</v>
      </c>
    </row>
    <row r="1273" spans="1:6">
      <c r="A1273" s="242" t="s">
        <v>151</v>
      </c>
      <c r="B1273" s="235"/>
      <c r="C1273" s="235"/>
      <c r="D1273" s="235"/>
      <c r="E1273" s="100" t="s">
        <v>126</v>
      </c>
      <c r="F1273" s="100" t="s">
        <v>284</v>
      </c>
    </row>
    <row r="1274" spans="1:6">
      <c r="A1274" s="242" t="s">
        <v>152</v>
      </c>
      <c r="B1274" s="235"/>
      <c r="C1274" s="235"/>
      <c r="D1274" s="235"/>
      <c r="E1274" s="100" t="s">
        <v>126</v>
      </c>
      <c r="F1274" s="100" t="s">
        <v>284</v>
      </c>
    </row>
    <row r="1275" spans="1:6">
      <c r="A1275" s="242" t="s">
        <v>153</v>
      </c>
      <c r="B1275" s="235"/>
      <c r="C1275" s="235"/>
      <c r="D1275" s="235"/>
      <c r="E1275" s="100" t="s">
        <v>126</v>
      </c>
      <c r="F1275" s="100" t="s">
        <v>284</v>
      </c>
    </row>
    <row r="1276" spans="1:6">
      <c r="A1276" s="242" t="s">
        <v>154</v>
      </c>
      <c r="B1276" s="235"/>
      <c r="C1276" s="235"/>
      <c r="D1276" s="235"/>
      <c r="E1276" s="100" t="s">
        <v>126</v>
      </c>
      <c r="F1276" s="100" t="s">
        <v>284</v>
      </c>
    </row>
    <row r="1277" spans="1:6">
      <c r="A1277" s="242" t="s">
        <v>155</v>
      </c>
      <c r="B1277" s="235"/>
      <c r="C1277" s="235"/>
      <c r="D1277" s="235"/>
      <c r="E1277" s="100" t="s">
        <v>126</v>
      </c>
      <c r="F1277" s="100" t="s">
        <v>284</v>
      </c>
    </row>
    <row r="1278" spans="1:6">
      <c r="A1278" s="242" t="s">
        <v>156</v>
      </c>
      <c r="B1278" s="235"/>
      <c r="C1278" s="235"/>
      <c r="D1278" s="235"/>
      <c r="E1278" s="100" t="s">
        <v>126</v>
      </c>
      <c r="F1278" s="100" t="s">
        <v>284</v>
      </c>
    </row>
    <row r="1279" spans="1:6">
      <c r="A1279" s="242" t="s">
        <v>157</v>
      </c>
      <c r="B1279" s="235"/>
      <c r="C1279" s="235"/>
      <c r="D1279" s="235"/>
      <c r="E1279" s="100" t="s">
        <v>126</v>
      </c>
      <c r="F1279" s="100" t="s">
        <v>284</v>
      </c>
    </row>
    <row r="1280" spans="1:6">
      <c r="A1280" s="242" t="s">
        <v>158</v>
      </c>
      <c r="B1280" s="235"/>
      <c r="C1280" s="235"/>
      <c r="D1280" s="235"/>
      <c r="E1280" s="100" t="s">
        <v>126</v>
      </c>
      <c r="F1280" s="100" t="s">
        <v>284</v>
      </c>
    </row>
    <row r="1281" spans="1:6">
      <c r="A1281" s="242" t="s">
        <v>159</v>
      </c>
      <c r="B1281" s="235"/>
      <c r="C1281" s="235"/>
      <c r="D1281" s="235"/>
      <c r="E1281" s="100" t="s">
        <v>126</v>
      </c>
      <c r="F1281" s="100" t="s">
        <v>284</v>
      </c>
    </row>
    <row r="1282" spans="1:6">
      <c r="A1282" s="248" t="s">
        <v>148</v>
      </c>
      <c r="B1282" s="249"/>
      <c r="C1282" s="249"/>
      <c r="D1282" s="249"/>
      <c r="E1282" s="100" t="s">
        <v>126</v>
      </c>
      <c r="F1282" s="100" t="s">
        <v>286</v>
      </c>
    </row>
    <row r="1283" spans="1:6">
      <c r="A1283" s="248" t="s">
        <v>149</v>
      </c>
      <c r="B1283" s="249"/>
      <c r="C1283" s="249"/>
      <c r="D1283" s="249"/>
      <c r="E1283" s="100" t="s">
        <v>126</v>
      </c>
      <c r="F1283" s="100" t="s">
        <v>286</v>
      </c>
    </row>
    <row r="1284" spans="1:6">
      <c r="A1284" s="248" t="s">
        <v>150</v>
      </c>
      <c r="B1284" s="249"/>
      <c r="C1284" s="249"/>
      <c r="D1284" s="249"/>
      <c r="E1284" s="100" t="s">
        <v>126</v>
      </c>
      <c r="F1284" s="100" t="s">
        <v>286</v>
      </c>
    </row>
    <row r="1285" spans="1:6">
      <c r="A1285" s="248" t="s">
        <v>151</v>
      </c>
      <c r="B1285" s="249"/>
      <c r="C1285" s="249"/>
      <c r="D1285" s="249"/>
      <c r="E1285" s="100" t="s">
        <v>126</v>
      </c>
      <c r="F1285" s="100" t="s">
        <v>286</v>
      </c>
    </row>
    <row r="1286" spans="1:6">
      <c r="A1286" s="248" t="s">
        <v>152</v>
      </c>
      <c r="B1286" s="249"/>
      <c r="C1286" s="249"/>
      <c r="D1286" s="249"/>
      <c r="E1286" s="100" t="s">
        <v>126</v>
      </c>
      <c r="F1286" s="100" t="s">
        <v>286</v>
      </c>
    </row>
    <row r="1287" spans="1:6">
      <c r="A1287" s="248" t="s">
        <v>153</v>
      </c>
      <c r="B1287" s="249"/>
      <c r="C1287" s="249"/>
      <c r="D1287" s="249"/>
      <c r="E1287" s="100" t="s">
        <v>126</v>
      </c>
      <c r="F1287" s="100" t="s">
        <v>286</v>
      </c>
    </row>
    <row r="1288" spans="1:6">
      <c r="A1288" s="248" t="s">
        <v>154</v>
      </c>
      <c r="B1288" s="249"/>
      <c r="C1288" s="249"/>
      <c r="D1288" s="249"/>
      <c r="E1288" s="100" t="s">
        <v>126</v>
      </c>
      <c r="F1288" s="100" t="s">
        <v>286</v>
      </c>
    </row>
    <row r="1289" spans="1:6">
      <c r="A1289" s="248" t="s">
        <v>155</v>
      </c>
      <c r="B1289" s="249"/>
      <c r="C1289" s="249"/>
      <c r="D1289" s="249"/>
      <c r="E1289" s="100" t="s">
        <v>126</v>
      </c>
      <c r="F1289" s="100" t="s">
        <v>286</v>
      </c>
    </row>
    <row r="1290" spans="1:6">
      <c r="A1290" s="248" t="s">
        <v>156</v>
      </c>
      <c r="B1290" s="249"/>
      <c r="C1290" s="249"/>
      <c r="D1290" s="249"/>
      <c r="E1290" s="100" t="s">
        <v>126</v>
      </c>
      <c r="F1290" s="100" t="s">
        <v>286</v>
      </c>
    </row>
    <row r="1291" spans="1:6">
      <c r="A1291" s="248" t="s">
        <v>157</v>
      </c>
      <c r="B1291" s="249"/>
      <c r="C1291" s="249"/>
      <c r="D1291" s="249"/>
      <c r="E1291" s="100" t="s">
        <v>126</v>
      </c>
      <c r="F1291" s="100" t="s">
        <v>286</v>
      </c>
    </row>
    <row r="1292" spans="1:6">
      <c r="A1292" s="248" t="s">
        <v>158</v>
      </c>
      <c r="B1292" s="249"/>
      <c r="C1292" s="249"/>
      <c r="D1292" s="249"/>
      <c r="E1292" s="100" t="s">
        <v>126</v>
      </c>
      <c r="F1292" s="100" t="s">
        <v>286</v>
      </c>
    </row>
    <row r="1293" spans="1:6">
      <c r="A1293" s="248" t="s">
        <v>159</v>
      </c>
      <c r="B1293" s="249"/>
      <c r="C1293" s="249"/>
      <c r="D1293" s="249"/>
      <c r="E1293" s="100" t="s">
        <v>126</v>
      </c>
      <c r="F1293" s="100" t="s">
        <v>286</v>
      </c>
    </row>
    <row r="1294" spans="1:6">
      <c r="A1294" s="242" t="s">
        <v>148</v>
      </c>
      <c r="B1294" s="235"/>
      <c r="C1294" s="235"/>
      <c r="D1294" s="235"/>
      <c r="E1294" s="100" t="s">
        <v>126</v>
      </c>
      <c r="F1294" s="100" t="s">
        <v>313</v>
      </c>
    </row>
    <row r="1295" spans="1:6">
      <c r="A1295" s="242" t="s">
        <v>149</v>
      </c>
      <c r="B1295" s="235"/>
      <c r="C1295" s="235"/>
      <c r="D1295" s="235"/>
      <c r="E1295" s="100" t="s">
        <v>126</v>
      </c>
      <c r="F1295" s="100" t="s">
        <v>313</v>
      </c>
    </row>
    <row r="1296" spans="1:6">
      <c r="A1296" s="242" t="s">
        <v>150</v>
      </c>
      <c r="B1296" s="235"/>
      <c r="C1296" s="235"/>
      <c r="D1296" s="235"/>
      <c r="E1296" s="100" t="s">
        <v>126</v>
      </c>
      <c r="F1296" s="100" t="s">
        <v>313</v>
      </c>
    </row>
    <row r="1297" spans="1:6">
      <c r="A1297" s="242" t="s">
        <v>151</v>
      </c>
      <c r="B1297" s="235"/>
      <c r="C1297" s="235"/>
      <c r="D1297" s="235"/>
      <c r="E1297" s="100" t="s">
        <v>126</v>
      </c>
      <c r="F1297" s="100" t="s">
        <v>313</v>
      </c>
    </row>
    <row r="1298" spans="1:6">
      <c r="A1298" s="242" t="s">
        <v>152</v>
      </c>
      <c r="B1298" s="235"/>
      <c r="C1298" s="235"/>
      <c r="D1298" s="235"/>
      <c r="E1298" s="100" t="s">
        <v>126</v>
      </c>
      <c r="F1298" s="100" t="s">
        <v>313</v>
      </c>
    </row>
    <row r="1299" spans="1:6">
      <c r="A1299" s="242" t="s">
        <v>153</v>
      </c>
      <c r="B1299" s="235"/>
      <c r="C1299" s="235"/>
      <c r="D1299" s="235"/>
      <c r="E1299" s="100" t="s">
        <v>126</v>
      </c>
      <c r="F1299" s="100" t="s">
        <v>313</v>
      </c>
    </row>
    <row r="1300" spans="1:6">
      <c r="A1300" s="242" t="s">
        <v>154</v>
      </c>
      <c r="B1300" s="235"/>
      <c r="C1300" s="235"/>
      <c r="D1300" s="235"/>
      <c r="E1300" s="100" t="s">
        <v>126</v>
      </c>
      <c r="F1300" s="100" t="s">
        <v>313</v>
      </c>
    </row>
    <row r="1301" spans="1:6">
      <c r="A1301" s="242" t="s">
        <v>155</v>
      </c>
      <c r="B1301" s="235"/>
      <c r="C1301" s="235"/>
      <c r="D1301" s="235"/>
      <c r="E1301" s="100" t="s">
        <v>126</v>
      </c>
      <c r="F1301" s="100" t="s">
        <v>313</v>
      </c>
    </row>
    <row r="1302" spans="1:6">
      <c r="A1302" s="242" t="s">
        <v>156</v>
      </c>
      <c r="B1302" s="235"/>
      <c r="C1302" s="235"/>
      <c r="D1302" s="235"/>
      <c r="E1302" s="100" t="s">
        <v>126</v>
      </c>
      <c r="F1302" s="100" t="s">
        <v>313</v>
      </c>
    </row>
    <row r="1303" spans="1:6">
      <c r="A1303" s="242" t="s">
        <v>157</v>
      </c>
      <c r="B1303" s="235"/>
      <c r="C1303" s="235"/>
      <c r="D1303" s="235"/>
      <c r="E1303" s="100" t="s">
        <v>126</v>
      </c>
      <c r="F1303" s="100" t="s">
        <v>313</v>
      </c>
    </row>
    <row r="1304" spans="1:6">
      <c r="A1304" s="242" t="s">
        <v>158</v>
      </c>
      <c r="B1304" s="235"/>
      <c r="C1304" s="235"/>
      <c r="D1304" s="235"/>
      <c r="E1304" s="100" t="s">
        <v>126</v>
      </c>
      <c r="F1304" s="100" t="s">
        <v>313</v>
      </c>
    </row>
    <row r="1305" spans="1:6">
      <c r="A1305" s="242" t="s">
        <v>159</v>
      </c>
      <c r="B1305" s="235"/>
      <c r="C1305" s="235"/>
      <c r="D1305" s="235"/>
      <c r="E1305" s="100" t="s">
        <v>126</v>
      </c>
      <c r="F1305" s="100" t="s">
        <v>313</v>
      </c>
    </row>
    <row r="1306" spans="1:6">
      <c r="A1306" s="248" t="s">
        <v>148</v>
      </c>
      <c r="B1306" s="249"/>
      <c r="C1306" s="249"/>
      <c r="D1306" s="249"/>
      <c r="E1306" s="100" t="s">
        <v>126</v>
      </c>
      <c r="F1306" s="100" t="s">
        <v>285</v>
      </c>
    </row>
    <row r="1307" spans="1:6">
      <c r="A1307" s="248" t="s">
        <v>149</v>
      </c>
      <c r="B1307" s="249"/>
      <c r="C1307" s="249"/>
      <c r="D1307" s="249"/>
      <c r="E1307" s="100" t="s">
        <v>126</v>
      </c>
      <c r="F1307" s="100" t="s">
        <v>285</v>
      </c>
    </row>
    <row r="1308" spans="1:6">
      <c r="A1308" s="248" t="s">
        <v>150</v>
      </c>
      <c r="B1308" s="249"/>
      <c r="C1308" s="249"/>
      <c r="D1308" s="249"/>
      <c r="E1308" s="100" t="s">
        <v>126</v>
      </c>
      <c r="F1308" s="100" t="s">
        <v>285</v>
      </c>
    </row>
    <row r="1309" spans="1:6">
      <c r="A1309" s="248" t="s">
        <v>151</v>
      </c>
      <c r="B1309" s="249"/>
      <c r="C1309" s="249"/>
      <c r="D1309" s="249"/>
      <c r="E1309" s="100" t="s">
        <v>126</v>
      </c>
      <c r="F1309" s="100" t="s">
        <v>285</v>
      </c>
    </row>
    <row r="1310" spans="1:6">
      <c r="A1310" s="248" t="s">
        <v>152</v>
      </c>
      <c r="B1310" s="249"/>
      <c r="C1310" s="249"/>
      <c r="D1310" s="249"/>
      <c r="E1310" s="100" t="s">
        <v>126</v>
      </c>
      <c r="F1310" s="100" t="s">
        <v>285</v>
      </c>
    </row>
    <row r="1311" spans="1:6">
      <c r="A1311" s="248" t="s">
        <v>153</v>
      </c>
      <c r="B1311" s="249"/>
      <c r="C1311" s="249"/>
      <c r="D1311" s="249"/>
      <c r="E1311" s="100" t="s">
        <v>126</v>
      </c>
      <c r="F1311" s="100" t="s">
        <v>285</v>
      </c>
    </row>
    <row r="1312" spans="1:6">
      <c r="A1312" s="248" t="s">
        <v>154</v>
      </c>
      <c r="B1312" s="249"/>
      <c r="C1312" s="249"/>
      <c r="D1312" s="249"/>
      <c r="E1312" s="100" t="s">
        <v>126</v>
      </c>
      <c r="F1312" s="100" t="s">
        <v>285</v>
      </c>
    </row>
    <row r="1313" spans="1:6">
      <c r="A1313" s="248" t="s">
        <v>155</v>
      </c>
      <c r="B1313" s="249"/>
      <c r="C1313" s="249"/>
      <c r="D1313" s="249"/>
      <c r="E1313" s="100" t="s">
        <v>126</v>
      </c>
      <c r="F1313" s="100" t="s">
        <v>285</v>
      </c>
    </row>
    <row r="1314" spans="1:6">
      <c r="A1314" s="248" t="s">
        <v>156</v>
      </c>
      <c r="B1314" s="249"/>
      <c r="C1314" s="249"/>
      <c r="D1314" s="249"/>
      <c r="E1314" s="100" t="s">
        <v>126</v>
      </c>
      <c r="F1314" s="100" t="s">
        <v>285</v>
      </c>
    </row>
    <row r="1315" spans="1:6">
      <c r="A1315" s="248" t="s">
        <v>157</v>
      </c>
      <c r="B1315" s="249"/>
      <c r="C1315" s="249"/>
      <c r="D1315" s="249"/>
      <c r="E1315" s="100" t="s">
        <v>126</v>
      </c>
      <c r="F1315" s="100" t="s">
        <v>285</v>
      </c>
    </row>
    <row r="1316" spans="1:6">
      <c r="A1316" s="248" t="s">
        <v>158</v>
      </c>
      <c r="B1316" s="249"/>
      <c r="C1316" s="249"/>
      <c r="D1316" s="249"/>
      <c r="E1316" s="100" t="s">
        <v>126</v>
      </c>
      <c r="F1316" s="100" t="s">
        <v>285</v>
      </c>
    </row>
    <row r="1317" spans="1:6">
      <c r="A1317" s="248" t="s">
        <v>159</v>
      </c>
      <c r="B1317" s="249"/>
      <c r="C1317" s="249"/>
      <c r="D1317" s="249"/>
      <c r="E1317" s="100" t="s">
        <v>126</v>
      </c>
      <c r="F1317" s="100" t="s">
        <v>285</v>
      </c>
    </row>
    <row r="1318" spans="1:6">
      <c r="A1318" s="242" t="s">
        <v>148</v>
      </c>
      <c r="B1318" s="235"/>
      <c r="C1318" s="235"/>
      <c r="D1318" s="235"/>
      <c r="E1318" s="100" t="s">
        <v>126</v>
      </c>
      <c r="F1318" s="100" t="s">
        <v>28</v>
      </c>
    </row>
    <row r="1319" spans="1:6">
      <c r="A1319" s="242" t="s">
        <v>149</v>
      </c>
      <c r="B1319" s="235"/>
      <c r="C1319" s="235"/>
      <c r="D1319" s="235"/>
      <c r="E1319" s="100" t="s">
        <v>126</v>
      </c>
      <c r="F1319" s="100" t="s">
        <v>28</v>
      </c>
    </row>
    <row r="1320" spans="1:6">
      <c r="A1320" s="242" t="s">
        <v>150</v>
      </c>
      <c r="B1320" s="235"/>
      <c r="C1320" s="235"/>
      <c r="D1320" s="235"/>
      <c r="E1320" s="100" t="s">
        <v>126</v>
      </c>
      <c r="F1320" s="100" t="s">
        <v>28</v>
      </c>
    </row>
    <row r="1321" spans="1:6">
      <c r="A1321" s="242" t="s">
        <v>151</v>
      </c>
      <c r="B1321" s="235"/>
      <c r="C1321" s="235"/>
      <c r="D1321" s="235"/>
      <c r="E1321" s="100" t="s">
        <v>126</v>
      </c>
      <c r="F1321" s="100" t="s">
        <v>28</v>
      </c>
    </row>
    <row r="1322" spans="1:6">
      <c r="A1322" s="242" t="s">
        <v>152</v>
      </c>
      <c r="B1322" s="235"/>
      <c r="C1322" s="235"/>
      <c r="D1322" s="235"/>
      <c r="E1322" s="100" t="s">
        <v>126</v>
      </c>
      <c r="F1322" s="100" t="s">
        <v>28</v>
      </c>
    </row>
    <row r="1323" spans="1:6">
      <c r="A1323" s="242" t="s">
        <v>153</v>
      </c>
      <c r="B1323" s="235"/>
      <c r="C1323" s="235"/>
      <c r="D1323" s="235"/>
      <c r="E1323" s="100" t="s">
        <v>126</v>
      </c>
      <c r="F1323" s="100" t="s">
        <v>28</v>
      </c>
    </row>
    <row r="1324" spans="1:6">
      <c r="A1324" s="242" t="s">
        <v>154</v>
      </c>
      <c r="B1324" s="235"/>
      <c r="C1324" s="235"/>
      <c r="D1324" s="235"/>
      <c r="E1324" s="100" t="s">
        <v>126</v>
      </c>
      <c r="F1324" s="100" t="s">
        <v>28</v>
      </c>
    </row>
    <row r="1325" spans="1:6">
      <c r="A1325" s="242" t="s">
        <v>155</v>
      </c>
      <c r="B1325" s="235"/>
      <c r="C1325" s="235"/>
      <c r="D1325" s="235"/>
      <c r="E1325" s="100" t="s">
        <v>126</v>
      </c>
      <c r="F1325" s="100" t="s">
        <v>28</v>
      </c>
    </row>
    <row r="1326" spans="1:6">
      <c r="A1326" s="242" t="s">
        <v>156</v>
      </c>
      <c r="B1326" s="235"/>
      <c r="C1326" s="235"/>
      <c r="D1326" s="235"/>
      <c r="E1326" s="100" t="s">
        <v>126</v>
      </c>
      <c r="F1326" s="100" t="s">
        <v>28</v>
      </c>
    </row>
    <row r="1327" spans="1:6">
      <c r="A1327" s="242" t="s">
        <v>157</v>
      </c>
      <c r="B1327" s="235"/>
      <c r="C1327" s="235"/>
      <c r="D1327" s="235"/>
      <c r="E1327" s="100" t="s">
        <v>126</v>
      </c>
      <c r="F1327" s="100" t="s">
        <v>28</v>
      </c>
    </row>
    <row r="1328" spans="1:6">
      <c r="A1328" s="242" t="s">
        <v>158</v>
      </c>
      <c r="B1328" s="235"/>
      <c r="C1328" s="235"/>
      <c r="D1328" s="235"/>
      <c r="E1328" s="100" t="s">
        <v>126</v>
      </c>
      <c r="F1328" s="100" t="s">
        <v>28</v>
      </c>
    </row>
    <row r="1329" spans="1:6">
      <c r="A1329" s="242" t="s">
        <v>159</v>
      </c>
      <c r="B1329" s="235"/>
      <c r="C1329" s="235"/>
      <c r="D1329" s="235"/>
      <c r="E1329" s="100" t="s">
        <v>126</v>
      </c>
      <c r="F1329" s="100" t="s">
        <v>28</v>
      </c>
    </row>
    <row r="1330" spans="1:6">
      <c r="A1330" s="248" t="s">
        <v>148</v>
      </c>
      <c r="B1330" s="249"/>
      <c r="C1330" s="249"/>
      <c r="D1330" s="249"/>
      <c r="E1330" s="100" t="s">
        <v>126</v>
      </c>
      <c r="F1330" s="250" t="s">
        <v>175</v>
      </c>
    </row>
    <row r="1331" spans="1:6">
      <c r="A1331" s="248" t="s">
        <v>149</v>
      </c>
      <c r="B1331" s="249"/>
      <c r="C1331" s="249"/>
      <c r="D1331" s="249"/>
      <c r="E1331" s="100" t="s">
        <v>126</v>
      </c>
      <c r="F1331" s="250" t="s">
        <v>175</v>
      </c>
    </row>
    <row r="1332" spans="1:6">
      <c r="A1332" s="248" t="s">
        <v>150</v>
      </c>
      <c r="B1332" s="249"/>
      <c r="C1332" s="249"/>
      <c r="D1332" s="249"/>
      <c r="E1332" s="100" t="s">
        <v>126</v>
      </c>
      <c r="F1332" s="250" t="s">
        <v>175</v>
      </c>
    </row>
    <row r="1333" spans="1:6">
      <c r="A1333" s="248" t="s">
        <v>151</v>
      </c>
      <c r="B1333" s="249"/>
      <c r="C1333" s="249"/>
      <c r="D1333" s="249"/>
      <c r="E1333" s="100" t="s">
        <v>126</v>
      </c>
      <c r="F1333" s="250" t="s">
        <v>175</v>
      </c>
    </row>
    <row r="1334" spans="1:6">
      <c r="A1334" s="248" t="s">
        <v>152</v>
      </c>
      <c r="B1334" s="249"/>
      <c r="C1334" s="249"/>
      <c r="D1334" s="249"/>
      <c r="E1334" s="100" t="s">
        <v>126</v>
      </c>
      <c r="F1334" s="250" t="s">
        <v>175</v>
      </c>
    </row>
    <row r="1335" spans="1:6">
      <c r="A1335" s="248" t="s">
        <v>153</v>
      </c>
      <c r="B1335" s="249"/>
      <c r="C1335" s="249"/>
      <c r="D1335" s="249"/>
      <c r="E1335" s="100" t="s">
        <v>126</v>
      </c>
      <c r="F1335" s="250" t="s">
        <v>175</v>
      </c>
    </row>
    <row r="1336" spans="1:6">
      <c r="A1336" s="248" t="s">
        <v>154</v>
      </c>
      <c r="B1336" s="249"/>
      <c r="C1336" s="249"/>
      <c r="D1336" s="249"/>
      <c r="E1336" s="100" t="s">
        <v>126</v>
      </c>
      <c r="F1336" s="250" t="s">
        <v>175</v>
      </c>
    </row>
    <row r="1337" spans="1:6">
      <c r="A1337" s="248" t="s">
        <v>155</v>
      </c>
      <c r="B1337" s="249"/>
      <c r="C1337" s="249"/>
      <c r="D1337" s="249"/>
      <c r="E1337" s="100" t="s">
        <v>126</v>
      </c>
      <c r="F1337" s="250" t="s">
        <v>175</v>
      </c>
    </row>
    <row r="1338" spans="1:6">
      <c r="A1338" s="248" t="s">
        <v>156</v>
      </c>
      <c r="B1338" s="249"/>
      <c r="C1338" s="249"/>
      <c r="D1338" s="249"/>
      <c r="E1338" s="100" t="s">
        <v>126</v>
      </c>
      <c r="F1338" s="250" t="s">
        <v>175</v>
      </c>
    </row>
    <row r="1339" spans="1:6">
      <c r="A1339" s="248" t="s">
        <v>157</v>
      </c>
      <c r="B1339" s="249"/>
      <c r="C1339" s="249"/>
      <c r="D1339" s="249"/>
      <c r="E1339" s="100" t="s">
        <v>126</v>
      </c>
      <c r="F1339" s="250" t="s">
        <v>175</v>
      </c>
    </row>
    <row r="1340" spans="1:6">
      <c r="A1340" s="248" t="s">
        <v>158</v>
      </c>
      <c r="B1340" s="249"/>
      <c r="C1340" s="249"/>
      <c r="D1340" s="249"/>
      <c r="E1340" s="100" t="s">
        <v>126</v>
      </c>
      <c r="F1340" s="250" t="s">
        <v>175</v>
      </c>
    </row>
    <row r="1341" spans="1:6">
      <c r="A1341" s="248" t="s">
        <v>159</v>
      </c>
      <c r="B1341" s="249"/>
      <c r="C1341" s="249"/>
      <c r="D1341" s="249"/>
      <c r="E1341" s="100" t="s">
        <v>126</v>
      </c>
      <c r="F1341" s="250" t="s">
        <v>175</v>
      </c>
    </row>
    <row r="1342" spans="1:6">
      <c r="A1342" s="242" t="s">
        <v>148</v>
      </c>
      <c r="B1342" s="235"/>
      <c r="C1342" s="235"/>
      <c r="D1342" s="235"/>
      <c r="E1342" s="100" t="s">
        <v>127</v>
      </c>
      <c r="F1342" s="100" t="s">
        <v>284</v>
      </c>
    </row>
    <row r="1343" spans="1:6">
      <c r="A1343" s="242" t="s">
        <v>149</v>
      </c>
      <c r="B1343" s="235"/>
      <c r="C1343" s="235"/>
      <c r="D1343" s="235"/>
      <c r="E1343" s="100" t="s">
        <v>127</v>
      </c>
      <c r="F1343" s="100" t="s">
        <v>284</v>
      </c>
    </row>
    <row r="1344" spans="1:6">
      <c r="A1344" s="242" t="s">
        <v>150</v>
      </c>
      <c r="B1344" s="235"/>
      <c r="C1344" s="235"/>
      <c r="D1344" s="235"/>
      <c r="E1344" s="100" t="s">
        <v>127</v>
      </c>
      <c r="F1344" s="100" t="s">
        <v>284</v>
      </c>
    </row>
    <row r="1345" spans="1:6">
      <c r="A1345" s="242" t="s">
        <v>151</v>
      </c>
      <c r="B1345" s="235"/>
      <c r="C1345" s="235"/>
      <c r="D1345" s="235"/>
      <c r="E1345" s="100" t="s">
        <v>127</v>
      </c>
      <c r="F1345" s="100" t="s">
        <v>284</v>
      </c>
    </row>
    <row r="1346" spans="1:6">
      <c r="A1346" s="242" t="s">
        <v>152</v>
      </c>
      <c r="B1346" s="235"/>
      <c r="C1346" s="235"/>
      <c r="D1346" s="235"/>
      <c r="E1346" s="100" t="s">
        <v>127</v>
      </c>
      <c r="F1346" s="100" t="s">
        <v>284</v>
      </c>
    </row>
    <row r="1347" spans="1:6">
      <c r="A1347" s="242" t="s">
        <v>153</v>
      </c>
      <c r="B1347" s="235"/>
      <c r="C1347" s="235"/>
      <c r="D1347" s="235"/>
      <c r="E1347" s="100" t="s">
        <v>127</v>
      </c>
      <c r="F1347" s="100" t="s">
        <v>284</v>
      </c>
    </row>
    <row r="1348" spans="1:6">
      <c r="A1348" s="242" t="s">
        <v>154</v>
      </c>
      <c r="B1348" s="235"/>
      <c r="C1348" s="235"/>
      <c r="D1348" s="235"/>
      <c r="E1348" s="100" t="s">
        <v>127</v>
      </c>
      <c r="F1348" s="100" t="s">
        <v>284</v>
      </c>
    </row>
    <row r="1349" spans="1:6">
      <c r="A1349" s="242" t="s">
        <v>155</v>
      </c>
      <c r="B1349" s="235"/>
      <c r="C1349" s="235"/>
      <c r="D1349" s="235"/>
      <c r="E1349" s="100" t="s">
        <v>127</v>
      </c>
      <c r="F1349" s="100" t="s">
        <v>284</v>
      </c>
    </row>
    <row r="1350" spans="1:6">
      <c r="A1350" s="242" t="s">
        <v>156</v>
      </c>
      <c r="B1350" s="235"/>
      <c r="C1350" s="235"/>
      <c r="D1350" s="235"/>
      <c r="E1350" s="100" t="s">
        <v>127</v>
      </c>
      <c r="F1350" s="100" t="s">
        <v>284</v>
      </c>
    </row>
    <row r="1351" spans="1:6">
      <c r="A1351" s="242" t="s">
        <v>157</v>
      </c>
      <c r="B1351" s="235"/>
      <c r="C1351" s="235"/>
      <c r="D1351" s="235"/>
      <c r="E1351" s="100" t="s">
        <v>127</v>
      </c>
      <c r="F1351" s="100" t="s">
        <v>284</v>
      </c>
    </row>
    <row r="1352" spans="1:6">
      <c r="A1352" s="242" t="s">
        <v>158</v>
      </c>
      <c r="B1352" s="235"/>
      <c r="C1352" s="235"/>
      <c r="D1352" s="235"/>
      <c r="E1352" s="100" t="s">
        <v>127</v>
      </c>
      <c r="F1352" s="100" t="s">
        <v>284</v>
      </c>
    </row>
    <row r="1353" spans="1:6">
      <c r="A1353" s="242" t="s">
        <v>159</v>
      </c>
      <c r="B1353" s="235"/>
      <c r="C1353" s="235"/>
      <c r="D1353" s="235"/>
      <c r="E1353" s="100" t="s">
        <v>127</v>
      </c>
      <c r="F1353" s="100" t="s">
        <v>284</v>
      </c>
    </row>
    <row r="1354" spans="1:6">
      <c r="A1354" s="248" t="s">
        <v>148</v>
      </c>
      <c r="B1354" s="249"/>
      <c r="C1354" s="249"/>
      <c r="D1354" s="249"/>
      <c r="E1354" s="100" t="s">
        <v>127</v>
      </c>
      <c r="F1354" s="100" t="s">
        <v>286</v>
      </c>
    </row>
    <row r="1355" spans="1:6">
      <c r="A1355" s="248" t="s">
        <v>149</v>
      </c>
      <c r="B1355" s="249"/>
      <c r="C1355" s="249"/>
      <c r="D1355" s="249"/>
      <c r="E1355" s="100" t="s">
        <v>127</v>
      </c>
      <c r="F1355" s="100" t="s">
        <v>286</v>
      </c>
    </row>
    <row r="1356" spans="1:6">
      <c r="A1356" s="248" t="s">
        <v>150</v>
      </c>
      <c r="B1356" s="249"/>
      <c r="C1356" s="249"/>
      <c r="D1356" s="249"/>
      <c r="E1356" s="100" t="s">
        <v>127</v>
      </c>
      <c r="F1356" s="100" t="s">
        <v>286</v>
      </c>
    </row>
    <row r="1357" spans="1:6">
      <c r="A1357" s="248" t="s">
        <v>151</v>
      </c>
      <c r="B1357" s="249"/>
      <c r="C1357" s="249"/>
      <c r="D1357" s="249"/>
      <c r="E1357" s="100" t="s">
        <v>127</v>
      </c>
      <c r="F1357" s="100" t="s">
        <v>286</v>
      </c>
    </row>
    <row r="1358" spans="1:6">
      <c r="A1358" s="248" t="s">
        <v>152</v>
      </c>
      <c r="B1358" s="249"/>
      <c r="C1358" s="249"/>
      <c r="D1358" s="249"/>
      <c r="E1358" s="100" t="s">
        <v>127</v>
      </c>
      <c r="F1358" s="100" t="s">
        <v>286</v>
      </c>
    </row>
    <row r="1359" spans="1:6">
      <c r="A1359" s="248" t="s">
        <v>153</v>
      </c>
      <c r="B1359" s="249"/>
      <c r="C1359" s="249"/>
      <c r="D1359" s="249"/>
      <c r="E1359" s="100" t="s">
        <v>127</v>
      </c>
      <c r="F1359" s="100" t="s">
        <v>286</v>
      </c>
    </row>
    <row r="1360" spans="1:6">
      <c r="A1360" s="248" t="s">
        <v>154</v>
      </c>
      <c r="B1360" s="249"/>
      <c r="C1360" s="249"/>
      <c r="D1360" s="249"/>
      <c r="E1360" s="100" t="s">
        <v>127</v>
      </c>
      <c r="F1360" s="100" t="s">
        <v>286</v>
      </c>
    </row>
    <row r="1361" spans="1:6">
      <c r="A1361" s="248" t="s">
        <v>155</v>
      </c>
      <c r="B1361" s="249"/>
      <c r="C1361" s="249"/>
      <c r="D1361" s="249"/>
      <c r="E1361" s="100" t="s">
        <v>127</v>
      </c>
      <c r="F1361" s="100" t="s">
        <v>286</v>
      </c>
    </row>
    <row r="1362" spans="1:6">
      <c r="A1362" s="248" t="s">
        <v>156</v>
      </c>
      <c r="B1362" s="249"/>
      <c r="C1362" s="249"/>
      <c r="D1362" s="249"/>
      <c r="E1362" s="100" t="s">
        <v>127</v>
      </c>
      <c r="F1362" s="100" t="s">
        <v>286</v>
      </c>
    </row>
    <row r="1363" spans="1:6">
      <c r="A1363" s="248" t="s">
        <v>157</v>
      </c>
      <c r="B1363" s="249"/>
      <c r="C1363" s="249"/>
      <c r="D1363" s="249"/>
      <c r="E1363" s="100" t="s">
        <v>127</v>
      </c>
      <c r="F1363" s="100" t="s">
        <v>286</v>
      </c>
    </row>
    <row r="1364" spans="1:6">
      <c r="A1364" s="248" t="s">
        <v>158</v>
      </c>
      <c r="B1364" s="249"/>
      <c r="C1364" s="249"/>
      <c r="D1364" s="249"/>
      <c r="E1364" s="100" t="s">
        <v>127</v>
      </c>
      <c r="F1364" s="100" t="s">
        <v>286</v>
      </c>
    </row>
    <row r="1365" spans="1:6">
      <c r="A1365" s="248" t="s">
        <v>159</v>
      </c>
      <c r="B1365" s="249"/>
      <c r="C1365" s="249"/>
      <c r="D1365" s="249"/>
      <c r="E1365" s="100" t="s">
        <v>127</v>
      </c>
      <c r="F1365" s="100" t="s">
        <v>286</v>
      </c>
    </row>
    <row r="1366" spans="1:6">
      <c r="A1366" s="242" t="s">
        <v>148</v>
      </c>
      <c r="B1366" s="235"/>
      <c r="C1366" s="235"/>
      <c r="D1366" s="235"/>
      <c r="E1366" s="100" t="s">
        <v>127</v>
      </c>
      <c r="F1366" s="100" t="s">
        <v>313</v>
      </c>
    </row>
    <row r="1367" spans="1:6">
      <c r="A1367" s="242" t="s">
        <v>149</v>
      </c>
      <c r="B1367" s="235"/>
      <c r="C1367" s="235"/>
      <c r="D1367" s="235"/>
      <c r="E1367" s="100" t="s">
        <v>127</v>
      </c>
      <c r="F1367" s="100" t="s">
        <v>313</v>
      </c>
    </row>
    <row r="1368" spans="1:6">
      <c r="A1368" s="242" t="s">
        <v>150</v>
      </c>
      <c r="B1368" s="235"/>
      <c r="C1368" s="235"/>
      <c r="D1368" s="235"/>
      <c r="E1368" s="100" t="s">
        <v>127</v>
      </c>
      <c r="F1368" s="100" t="s">
        <v>313</v>
      </c>
    </row>
    <row r="1369" spans="1:6">
      <c r="A1369" s="242" t="s">
        <v>151</v>
      </c>
      <c r="B1369" s="235"/>
      <c r="C1369" s="235"/>
      <c r="D1369" s="235"/>
      <c r="E1369" s="100" t="s">
        <v>127</v>
      </c>
      <c r="F1369" s="100" t="s">
        <v>313</v>
      </c>
    </row>
    <row r="1370" spans="1:6">
      <c r="A1370" s="242" t="s">
        <v>152</v>
      </c>
      <c r="B1370" s="235"/>
      <c r="C1370" s="235"/>
      <c r="D1370" s="235"/>
      <c r="E1370" s="100" t="s">
        <v>127</v>
      </c>
      <c r="F1370" s="100" t="s">
        <v>313</v>
      </c>
    </row>
    <row r="1371" spans="1:6">
      <c r="A1371" s="242" t="s">
        <v>153</v>
      </c>
      <c r="B1371" s="235"/>
      <c r="C1371" s="235"/>
      <c r="D1371" s="235"/>
      <c r="E1371" s="100" t="s">
        <v>127</v>
      </c>
      <c r="F1371" s="100" t="s">
        <v>313</v>
      </c>
    </row>
    <row r="1372" spans="1:6">
      <c r="A1372" s="242" t="s">
        <v>154</v>
      </c>
      <c r="B1372" s="235"/>
      <c r="C1372" s="235"/>
      <c r="D1372" s="235"/>
      <c r="E1372" s="100" t="s">
        <v>127</v>
      </c>
      <c r="F1372" s="100" t="s">
        <v>313</v>
      </c>
    </row>
    <row r="1373" spans="1:6">
      <c r="A1373" s="242" t="s">
        <v>155</v>
      </c>
      <c r="B1373" s="235"/>
      <c r="C1373" s="235"/>
      <c r="D1373" s="235"/>
      <c r="E1373" s="100" t="s">
        <v>127</v>
      </c>
      <c r="F1373" s="100" t="s">
        <v>313</v>
      </c>
    </row>
    <row r="1374" spans="1:6">
      <c r="A1374" s="242" t="s">
        <v>156</v>
      </c>
      <c r="B1374" s="235"/>
      <c r="C1374" s="235"/>
      <c r="D1374" s="235"/>
      <c r="E1374" s="100" t="s">
        <v>127</v>
      </c>
      <c r="F1374" s="100" t="s">
        <v>313</v>
      </c>
    </row>
    <row r="1375" spans="1:6">
      <c r="A1375" s="242" t="s">
        <v>157</v>
      </c>
      <c r="B1375" s="235"/>
      <c r="C1375" s="235"/>
      <c r="D1375" s="235"/>
      <c r="E1375" s="100" t="s">
        <v>127</v>
      </c>
      <c r="F1375" s="100" t="s">
        <v>313</v>
      </c>
    </row>
    <row r="1376" spans="1:6">
      <c r="A1376" s="242" t="s">
        <v>158</v>
      </c>
      <c r="B1376" s="235"/>
      <c r="C1376" s="235"/>
      <c r="D1376" s="235"/>
      <c r="E1376" s="100" t="s">
        <v>127</v>
      </c>
      <c r="F1376" s="100" t="s">
        <v>313</v>
      </c>
    </row>
    <row r="1377" spans="1:6">
      <c r="A1377" s="242" t="s">
        <v>159</v>
      </c>
      <c r="B1377" s="235"/>
      <c r="C1377" s="235"/>
      <c r="D1377" s="235"/>
      <c r="E1377" s="100" t="s">
        <v>127</v>
      </c>
      <c r="F1377" s="100" t="s">
        <v>313</v>
      </c>
    </row>
    <row r="1378" spans="1:6">
      <c r="A1378" s="248" t="s">
        <v>148</v>
      </c>
      <c r="B1378" s="249"/>
      <c r="C1378" s="249"/>
      <c r="D1378" s="249"/>
      <c r="E1378" s="100" t="s">
        <v>127</v>
      </c>
      <c r="F1378" s="100" t="s">
        <v>285</v>
      </c>
    </row>
    <row r="1379" spans="1:6">
      <c r="A1379" s="248" t="s">
        <v>149</v>
      </c>
      <c r="B1379" s="249"/>
      <c r="C1379" s="249"/>
      <c r="D1379" s="249"/>
      <c r="E1379" s="100" t="s">
        <v>127</v>
      </c>
      <c r="F1379" s="100" t="s">
        <v>285</v>
      </c>
    </row>
    <row r="1380" spans="1:6">
      <c r="A1380" s="248" t="s">
        <v>150</v>
      </c>
      <c r="B1380" s="249"/>
      <c r="C1380" s="249"/>
      <c r="D1380" s="249"/>
      <c r="E1380" s="100" t="s">
        <v>127</v>
      </c>
      <c r="F1380" s="100" t="s">
        <v>285</v>
      </c>
    </row>
    <row r="1381" spans="1:6">
      <c r="A1381" s="248" t="s">
        <v>151</v>
      </c>
      <c r="B1381" s="249"/>
      <c r="C1381" s="249"/>
      <c r="D1381" s="249"/>
      <c r="E1381" s="100" t="s">
        <v>127</v>
      </c>
      <c r="F1381" s="100" t="s">
        <v>285</v>
      </c>
    </row>
    <row r="1382" spans="1:6">
      <c r="A1382" s="248" t="s">
        <v>152</v>
      </c>
      <c r="B1382" s="249"/>
      <c r="C1382" s="249"/>
      <c r="D1382" s="249"/>
      <c r="E1382" s="100" t="s">
        <v>127</v>
      </c>
      <c r="F1382" s="100" t="s">
        <v>285</v>
      </c>
    </row>
    <row r="1383" spans="1:6">
      <c r="A1383" s="248" t="s">
        <v>153</v>
      </c>
      <c r="B1383" s="249"/>
      <c r="C1383" s="249"/>
      <c r="D1383" s="249"/>
      <c r="E1383" s="100" t="s">
        <v>127</v>
      </c>
      <c r="F1383" s="100" t="s">
        <v>285</v>
      </c>
    </row>
    <row r="1384" spans="1:6">
      <c r="A1384" s="248" t="s">
        <v>154</v>
      </c>
      <c r="B1384" s="249"/>
      <c r="C1384" s="249"/>
      <c r="D1384" s="249"/>
      <c r="E1384" s="100" t="s">
        <v>127</v>
      </c>
      <c r="F1384" s="100" t="s">
        <v>285</v>
      </c>
    </row>
    <row r="1385" spans="1:6">
      <c r="A1385" s="248" t="s">
        <v>155</v>
      </c>
      <c r="B1385" s="249"/>
      <c r="C1385" s="249"/>
      <c r="D1385" s="249"/>
      <c r="E1385" s="100" t="s">
        <v>127</v>
      </c>
      <c r="F1385" s="100" t="s">
        <v>285</v>
      </c>
    </row>
    <row r="1386" spans="1:6">
      <c r="A1386" s="248" t="s">
        <v>156</v>
      </c>
      <c r="B1386" s="249"/>
      <c r="C1386" s="249"/>
      <c r="D1386" s="249"/>
      <c r="E1386" s="100" t="s">
        <v>127</v>
      </c>
      <c r="F1386" s="100" t="s">
        <v>285</v>
      </c>
    </row>
    <row r="1387" spans="1:6">
      <c r="A1387" s="248" t="s">
        <v>157</v>
      </c>
      <c r="B1387" s="249"/>
      <c r="C1387" s="249"/>
      <c r="D1387" s="249"/>
      <c r="E1387" s="100" t="s">
        <v>127</v>
      </c>
      <c r="F1387" s="100" t="s">
        <v>285</v>
      </c>
    </row>
    <row r="1388" spans="1:6">
      <c r="A1388" s="248" t="s">
        <v>158</v>
      </c>
      <c r="B1388" s="249"/>
      <c r="C1388" s="249"/>
      <c r="D1388" s="249"/>
      <c r="E1388" s="100" t="s">
        <v>127</v>
      </c>
      <c r="F1388" s="100" t="s">
        <v>285</v>
      </c>
    </row>
    <row r="1389" spans="1:6">
      <c r="A1389" s="248" t="s">
        <v>159</v>
      </c>
      <c r="B1389" s="249"/>
      <c r="C1389" s="249"/>
      <c r="D1389" s="249"/>
      <c r="E1389" s="100" t="s">
        <v>127</v>
      </c>
      <c r="F1389" s="100" t="s">
        <v>285</v>
      </c>
    </row>
    <row r="1390" spans="1:6">
      <c r="A1390" s="242" t="s">
        <v>148</v>
      </c>
      <c r="B1390" s="235"/>
      <c r="C1390" s="235"/>
      <c r="D1390" s="235"/>
      <c r="E1390" s="100" t="s">
        <v>127</v>
      </c>
      <c r="F1390" s="100" t="s">
        <v>28</v>
      </c>
    </row>
    <row r="1391" spans="1:6">
      <c r="A1391" s="242" t="s">
        <v>149</v>
      </c>
      <c r="B1391" s="235"/>
      <c r="C1391" s="235"/>
      <c r="D1391" s="235"/>
      <c r="E1391" s="100" t="s">
        <v>127</v>
      </c>
      <c r="F1391" s="100" t="s">
        <v>28</v>
      </c>
    </row>
    <row r="1392" spans="1:6">
      <c r="A1392" s="242" t="s">
        <v>150</v>
      </c>
      <c r="B1392" s="235"/>
      <c r="C1392" s="235"/>
      <c r="D1392" s="235"/>
      <c r="E1392" s="100" t="s">
        <v>127</v>
      </c>
      <c r="F1392" s="100" t="s">
        <v>28</v>
      </c>
    </row>
    <row r="1393" spans="1:6">
      <c r="A1393" s="242" t="s">
        <v>151</v>
      </c>
      <c r="B1393" s="235"/>
      <c r="C1393" s="235"/>
      <c r="D1393" s="235"/>
      <c r="E1393" s="100" t="s">
        <v>127</v>
      </c>
      <c r="F1393" s="100" t="s">
        <v>28</v>
      </c>
    </row>
    <row r="1394" spans="1:6">
      <c r="A1394" s="242" t="s">
        <v>152</v>
      </c>
      <c r="B1394" s="235"/>
      <c r="C1394" s="235"/>
      <c r="D1394" s="235"/>
      <c r="E1394" s="100" t="s">
        <v>127</v>
      </c>
      <c r="F1394" s="100" t="s">
        <v>28</v>
      </c>
    </row>
    <row r="1395" spans="1:6">
      <c r="A1395" s="242" t="s">
        <v>153</v>
      </c>
      <c r="B1395" s="235"/>
      <c r="C1395" s="235"/>
      <c r="D1395" s="235"/>
      <c r="E1395" s="100" t="s">
        <v>127</v>
      </c>
      <c r="F1395" s="100" t="s">
        <v>28</v>
      </c>
    </row>
    <row r="1396" spans="1:6">
      <c r="A1396" s="242" t="s">
        <v>154</v>
      </c>
      <c r="B1396" s="235"/>
      <c r="C1396" s="235"/>
      <c r="D1396" s="235"/>
      <c r="E1396" s="100" t="s">
        <v>127</v>
      </c>
      <c r="F1396" s="100" t="s">
        <v>28</v>
      </c>
    </row>
    <row r="1397" spans="1:6">
      <c r="A1397" s="242" t="s">
        <v>155</v>
      </c>
      <c r="B1397" s="235"/>
      <c r="C1397" s="235"/>
      <c r="D1397" s="235"/>
      <c r="E1397" s="100" t="s">
        <v>127</v>
      </c>
      <c r="F1397" s="100" t="s">
        <v>28</v>
      </c>
    </row>
    <row r="1398" spans="1:6">
      <c r="A1398" s="242" t="s">
        <v>156</v>
      </c>
      <c r="B1398" s="235"/>
      <c r="C1398" s="235"/>
      <c r="D1398" s="235"/>
      <c r="E1398" s="100" t="s">
        <v>127</v>
      </c>
      <c r="F1398" s="100" t="s">
        <v>28</v>
      </c>
    </row>
    <row r="1399" spans="1:6">
      <c r="A1399" s="242" t="s">
        <v>157</v>
      </c>
      <c r="B1399" s="235"/>
      <c r="C1399" s="235"/>
      <c r="D1399" s="235"/>
      <c r="E1399" s="100" t="s">
        <v>127</v>
      </c>
      <c r="F1399" s="100" t="s">
        <v>28</v>
      </c>
    </row>
    <row r="1400" spans="1:6">
      <c r="A1400" s="242" t="s">
        <v>158</v>
      </c>
      <c r="B1400" s="235"/>
      <c r="C1400" s="235"/>
      <c r="D1400" s="235"/>
      <c r="E1400" s="100" t="s">
        <v>127</v>
      </c>
      <c r="F1400" s="100" t="s">
        <v>28</v>
      </c>
    </row>
    <row r="1401" spans="1:6">
      <c r="A1401" s="242" t="s">
        <v>159</v>
      </c>
      <c r="B1401" s="235"/>
      <c r="C1401" s="235"/>
      <c r="D1401" s="235"/>
      <c r="E1401" s="100" t="s">
        <v>127</v>
      </c>
      <c r="F1401" s="100" t="s">
        <v>28</v>
      </c>
    </row>
    <row r="1402" spans="1:6">
      <c r="A1402" s="248" t="s">
        <v>148</v>
      </c>
      <c r="B1402" s="249"/>
      <c r="C1402" s="249"/>
      <c r="D1402" s="249"/>
      <c r="E1402" s="100" t="s">
        <v>127</v>
      </c>
      <c r="F1402" s="250" t="s">
        <v>175</v>
      </c>
    </row>
    <row r="1403" spans="1:6">
      <c r="A1403" s="248" t="s">
        <v>149</v>
      </c>
      <c r="B1403" s="249"/>
      <c r="C1403" s="249"/>
      <c r="D1403" s="249"/>
      <c r="E1403" s="100" t="s">
        <v>127</v>
      </c>
      <c r="F1403" s="250" t="s">
        <v>175</v>
      </c>
    </row>
    <row r="1404" spans="1:6">
      <c r="A1404" s="248" t="s">
        <v>150</v>
      </c>
      <c r="B1404" s="249"/>
      <c r="C1404" s="249"/>
      <c r="D1404" s="249"/>
      <c r="E1404" s="100" t="s">
        <v>127</v>
      </c>
      <c r="F1404" s="250" t="s">
        <v>175</v>
      </c>
    </row>
    <row r="1405" spans="1:6">
      <c r="A1405" s="248" t="s">
        <v>151</v>
      </c>
      <c r="B1405" s="249"/>
      <c r="C1405" s="249"/>
      <c r="D1405" s="249"/>
      <c r="E1405" s="100" t="s">
        <v>127</v>
      </c>
      <c r="F1405" s="250" t="s">
        <v>175</v>
      </c>
    </row>
    <row r="1406" spans="1:6">
      <c r="A1406" s="248" t="s">
        <v>152</v>
      </c>
      <c r="B1406" s="249"/>
      <c r="C1406" s="249"/>
      <c r="D1406" s="249"/>
      <c r="E1406" s="100" t="s">
        <v>127</v>
      </c>
      <c r="F1406" s="250" t="s">
        <v>175</v>
      </c>
    </row>
    <row r="1407" spans="1:6">
      <c r="A1407" s="248" t="s">
        <v>153</v>
      </c>
      <c r="B1407" s="249"/>
      <c r="C1407" s="249"/>
      <c r="D1407" s="249"/>
      <c r="E1407" s="100" t="s">
        <v>127</v>
      </c>
      <c r="F1407" s="250" t="s">
        <v>175</v>
      </c>
    </row>
    <row r="1408" spans="1:6">
      <c r="A1408" s="248" t="s">
        <v>154</v>
      </c>
      <c r="B1408" s="249"/>
      <c r="C1408" s="249"/>
      <c r="D1408" s="249"/>
      <c r="E1408" s="100" t="s">
        <v>127</v>
      </c>
      <c r="F1408" s="250" t="s">
        <v>175</v>
      </c>
    </row>
    <row r="1409" spans="1:6">
      <c r="A1409" s="248" t="s">
        <v>155</v>
      </c>
      <c r="B1409" s="249"/>
      <c r="C1409" s="249"/>
      <c r="D1409" s="249"/>
      <c r="E1409" s="100" t="s">
        <v>127</v>
      </c>
      <c r="F1409" s="250" t="s">
        <v>175</v>
      </c>
    </row>
    <row r="1410" spans="1:6">
      <c r="A1410" s="248" t="s">
        <v>156</v>
      </c>
      <c r="B1410" s="249"/>
      <c r="C1410" s="249"/>
      <c r="D1410" s="249"/>
      <c r="E1410" s="100" t="s">
        <v>127</v>
      </c>
      <c r="F1410" s="250" t="s">
        <v>175</v>
      </c>
    </row>
    <row r="1411" spans="1:6">
      <c r="A1411" s="248" t="s">
        <v>157</v>
      </c>
      <c r="B1411" s="249"/>
      <c r="C1411" s="249"/>
      <c r="D1411" s="249"/>
      <c r="E1411" s="100" t="s">
        <v>127</v>
      </c>
      <c r="F1411" s="250" t="s">
        <v>175</v>
      </c>
    </row>
    <row r="1412" spans="1:6">
      <c r="A1412" s="248" t="s">
        <v>158</v>
      </c>
      <c r="B1412" s="249"/>
      <c r="C1412" s="249"/>
      <c r="D1412" s="249"/>
      <c r="E1412" s="100" t="s">
        <v>127</v>
      </c>
      <c r="F1412" s="250" t="s">
        <v>175</v>
      </c>
    </row>
    <row r="1413" spans="1:6">
      <c r="A1413" s="248" t="s">
        <v>159</v>
      </c>
      <c r="B1413" s="249"/>
      <c r="C1413" s="249"/>
      <c r="D1413" s="249"/>
      <c r="E1413" s="100" t="s">
        <v>127</v>
      </c>
      <c r="F1413" s="250" t="s">
        <v>175</v>
      </c>
    </row>
    <row r="1414" spans="1:6">
      <c r="A1414" s="242" t="s">
        <v>148</v>
      </c>
      <c r="B1414" s="235"/>
      <c r="C1414" s="235"/>
      <c r="D1414" s="235"/>
      <c r="E1414" s="100" t="s">
        <v>128</v>
      </c>
      <c r="F1414" s="100" t="s">
        <v>284</v>
      </c>
    </row>
    <row r="1415" spans="1:6">
      <c r="A1415" s="242" t="s">
        <v>149</v>
      </c>
      <c r="B1415" s="235"/>
      <c r="C1415" s="235"/>
      <c r="D1415" s="235"/>
      <c r="E1415" s="100" t="s">
        <v>128</v>
      </c>
      <c r="F1415" s="100" t="s">
        <v>284</v>
      </c>
    </row>
    <row r="1416" spans="1:6">
      <c r="A1416" s="242" t="s">
        <v>150</v>
      </c>
      <c r="B1416" s="235"/>
      <c r="C1416" s="235"/>
      <c r="D1416" s="235"/>
      <c r="E1416" s="100" t="s">
        <v>128</v>
      </c>
      <c r="F1416" s="100" t="s">
        <v>284</v>
      </c>
    </row>
    <row r="1417" spans="1:6">
      <c r="A1417" s="242" t="s">
        <v>151</v>
      </c>
      <c r="B1417" s="235"/>
      <c r="C1417" s="235"/>
      <c r="D1417" s="235"/>
      <c r="E1417" s="100" t="s">
        <v>128</v>
      </c>
      <c r="F1417" s="100" t="s">
        <v>284</v>
      </c>
    </row>
    <row r="1418" spans="1:6">
      <c r="A1418" s="242" t="s">
        <v>152</v>
      </c>
      <c r="B1418" s="235"/>
      <c r="C1418" s="235"/>
      <c r="D1418" s="235"/>
      <c r="E1418" s="100" t="s">
        <v>128</v>
      </c>
      <c r="F1418" s="100" t="s">
        <v>284</v>
      </c>
    </row>
    <row r="1419" spans="1:6">
      <c r="A1419" s="242" t="s">
        <v>153</v>
      </c>
      <c r="B1419" s="235"/>
      <c r="C1419" s="235"/>
      <c r="D1419" s="235"/>
      <c r="E1419" s="100" t="s">
        <v>128</v>
      </c>
      <c r="F1419" s="100" t="s">
        <v>284</v>
      </c>
    </row>
    <row r="1420" spans="1:6">
      <c r="A1420" s="242" t="s">
        <v>154</v>
      </c>
      <c r="B1420" s="235"/>
      <c r="C1420" s="235"/>
      <c r="D1420" s="235"/>
      <c r="E1420" s="100" t="s">
        <v>128</v>
      </c>
      <c r="F1420" s="100" t="s">
        <v>284</v>
      </c>
    </row>
    <row r="1421" spans="1:6">
      <c r="A1421" s="242" t="s">
        <v>155</v>
      </c>
      <c r="B1421" s="235"/>
      <c r="C1421" s="235"/>
      <c r="D1421" s="235"/>
      <c r="E1421" s="100" t="s">
        <v>128</v>
      </c>
      <c r="F1421" s="100" t="s">
        <v>284</v>
      </c>
    </row>
    <row r="1422" spans="1:6">
      <c r="A1422" s="242" t="s">
        <v>156</v>
      </c>
      <c r="B1422" s="235"/>
      <c r="C1422" s="235"/>
      <c r="D1422" s="235"/>
      <c r="E1422" s="100" t="s">
        <v>128</v>
      </c>
      <c r="F1422" s="100" t="s">
        <v>284</v>
      </c>
    </row>
    <row r="1423" spans="1:6">
      <c r="A1423" s="242" t="s">
        <v>157</v>
      </c>
      <c r="B1423" s="235"/>
      <c r="C1423" s="235"/>
      <c r="D1423" s="235"/>
      <c r="E1423" s="100" t="s">
        <v>128</v>
      </c>
      <c r="F1423" s="100" t="s">
        <v>284</v>
      </c>
    </row>
    <row r="1424" spans="1:6">
      <c r="A1424" s="242" t="s">
        <v>158</v>
      </c>
      <c r="B1424" s="235"/>
      <c r="C1424" s="235"/>
      <c r="D1424" s="235"/>
      <c r="E1424" s="100" t="s">
        <v>128</v>
      </c>
      <c r="F1424" s="100" t="s">
        <v>284</v>
      </c>
    </row>
    <row r="1425" spans="1:6">
      <c r="A1425" s="242" t="s">
        <v>159</v>
      </c>
      <c r="B1425" s="235"/>
      <c r="C1425" s="235"/>
      <c r="D1425" s="235"/>
      <c r="E1425" s="100" t="s">
        <v>128</v>
      </c>
      <c r="F1425" s="100" t="s">
        <v>284</v>
      </c>
    </row>
    <row r="1426" spans="1:6">
      <c r="A1426" s="248" t="s">
        <v>148</v>
      </c>
      <c r="B1426" s="249"/>
      <c r="C1426" s="249"/>
      <c r="D1426" s="249"/>
      <c r="E1426" s="100" t="s">
        <v>128</v>
      </c>
      <c r="F1426" s="100" t="s">
        <v>286</v>
      </c>
    </row>
    <row r="1427" spans="1:6">
      <c r="A1427" s="248" t="s">
        <v>149</v>
      </c>
      <c r="B1427" s="249"/>
      <c r="C1427" s="249"/>
      <c r="D1427" s="249"/>
      <c r="E1427" s="100" t="s">
        <v>128</v>
      </c>
      <c r="F1427" s="100" t="s">
        <v>286</v>
      </c>
    </row>
    <row r="1428" spans="1:6">
      <c r="A1428" s="248" t="s">
        <v>150</v>
      </c>
      <c r="B1428" s="249"/>
      <c r="C1428" s="249"/>
      <c r="D1428" s="249"/>
      <c r="E1428" s="100" t="s">
        <v>128</v>
      </c>
      <c r="F1428" s="100" t="s">
        <v>286</v>
      </c>
    </row>
    <row r="1429" spans="1:6">
      <c r="A1429" s="248" t="s">
        <v>151</v>
      </c>
      <c r="B1429" s="249"/>
      <c r="C1429" s="249"/>
      <c r="D1429" s="249"/>
      <c r="E1429" s="100" t="s">
        <v>128</v>
      </c>
      <c r="F1429" s="100" t="s">
        <v>286</v>
      </c>
    </row>
    <row r="1430" spans="1:6">
      <c r="A1430" s="248" t="s">
        <v>152</v>
      </c>
      <c r="B1430" s="249"/>
      <c r="C1430" s="249"/>
      <c r="D1430" s="249"/>
      <c r="E1430" s="100" t="s">
        <v>128</v>
      </c>
      <c r="F1430" s="100" t="s">
        <v>286</v>
      </c>
    </row>
    <row r="1431" spans="1:6">
      <c r="A1431" s="248" t="s">
        <v>153</v>
      </c>
      <c r="B1431" s="249"/>
      <c r="C1431" s="249"/>
      <c r="D1431" s="249"/>
      <c r="E1431" s="100" t="s">
        <v>128</v>
      </c>
      <c r="F1431" s="100" t="s">
        <v>286</v>
      </c>
    </row>
    <row r="1432" spans="1:6">
      <c r="A1432" s="248" t="s">
        <v>154</v>
      </c>
      <c r="B1432" s="249"/>
      <c r="C1432" s="249"/>
      <c r="D1432" s="249"/>
      <c r="E1432" s="100" t="s">
        <v>128</v>
      </c>
      <c r="F1432" s="100" t="s">
        <v>286</v>
      </c>
    </row>
    <row r="1433" spans="1:6">
      <c r="A1433" s="248" t="s">
        <v>155</v>
      </c>
      <c r="B1433" s="249"/>
      <c r="C1433" s="249"/>
      <c r="D1433" s="249"/>
      <c r="E1433" s="100" t="s">
        <v>128</v>
      </c>
      <c r="F1433" s="100" t="s">
        <v>286</v>
      </c>
    </row>
    <row r="1434" spans="1:6">
      <c r="A1434" s="248" t="s">
        <v>156</v>
      </c>
      <c r="B1434" s="249"/>
      <c r="C1434" s="249"/>
      <c r="D1434" s="249"/>
      <c r="E1434" s="100" t="s">
        <v>128</v>
      </c>
      <c r="F1434" s="100" t="s">
        <v>286</v>
      </c>
    </row>
    <row r="1435" spans="1:6">
      <c r="A1435" s="248" t="s">
        <v>157</v>
      </c>
      <c r="B1435" s="249"/>
      <c r="C1435" s="249"/>
      <c r="D1435" s="249"/>
      <c r="E1435" s="100" t="s">
        <v>128</v>
      </c>
      <c r="F1435" s="100" t="s">
        <v>286</v>
      </c>
    </row>
    <row r="1436" spans="1:6">
      <c r="A1436" s="248" t="s">
        <v>158</v>
      </c>
      <c r="B1436" s="249"/>
      <c r="C1436" s="249"/>
      <c r="D1436" s="249"/>
      <c r="E1436" s="100" t="s">
        <v>128</v>
      </c>
      <c r="F1436" s="100" t="s">
        <v>286</v>
      </c>
    </row>
    <row r="1437" spans="1:6">
      <c r="A1437" s="248" t="s">
        <v>159</v>
      </c>
      <c r="B1437" s="249"/>
      <c r="C1437" s="249"/>
      <c r="D1437" s="249"/>
      <c r="E1437" s="100" t="s">
        <v>128</v>
      </c>
      <c r="F1437" s="100" t="s">
        <v>286</v>
      </c>
    </row>
    <row r="1438" spans="1:6">
      <c r="A1438" s="242" t="s">
        <v>148</v>
      </c>
      <c r="B1438" s="235"/>
      <c r="C1438" s="235"/>
      <c r="D1438" s="235"/>
      <c r="E1438" s="100" t="s">
        <v>128</v>
      </c>
      <c r="F1438" s="100" t="s">
        <v>313</v>
      </c>
    </row>
    <row r="1439" spans="1:6">
      <c r="A1439" s="242" t="s">
        <v>149</v>
      </c>
      <c r="B1439" s="235"/>
      <c r="C1439" s="235"/>
      <c r="D1439" s="235"/>
      <c r="E1439" s="100" t="s">
        <v>128</v>
      </c>
      <c r="F1439" s="100" t="s">
        <v>313</v>
      </c>
    </row>
    <row r="1440" spans="1:6">
      <c r="A1440" s="242" t="s">
        <v>150</v>
      </c>
      <c r="B1440" s="235"/>
      <c r="C1440" s="235"/>
      <c r="D1440" s="235"/>
      <c r="E1440" s="100" t="s">
        <v>128</v>
      </c>
      <c r="F1440" s="100" t="s">
        <v>313</v>
      </c>
    </row>
    <row r="1441" spans="1:6">
      <c r="A1441" s="242" t="s">
        <v>151</v>
      </c>
      <c r="B1441" s="235"/>
      <c r="C1441" s="235"/>
      <c r="D1441" s="235"/>
      <c r="E1441" s="100" t="s">
        <v>128</v>
      </c>
      <c r="F1441" s="100" t="s">
        <v>313</v>
      </c>
    </row>
    <row r="1442" spans="1:6">
      <c r="A1442" s="242" t="s">
        <v>152</v>
      </c>
      <c r="B1442" s="235"/>
      <c r="C1442" s="235"/>
      <c r="D1442" s="235"/>
      <c r="E1442" s="100" t="s">
        <v>128</v>
      </c>
      <c r="F1442" s="100" t="s">
        <v>313</v>
      </c>
    </row>
    <row r="1443" spans="1:6">
      <c r="A1443" s="242" t="s">
        <v>153</v>
      </c>
      <c r="B1443" s="235"/>
      <c r="C1443" s="235"/>
      <c r="D1443" s="235"/>
      <c r="E1443" s="100" t="s">
        <v>128</v>
      </c>
      <c r="F1443" s="100" t="s">
        <v>313</v>
      </c>
    </row>
    <row r="1444" spans="1:6">
      <c r="A1444" s="242" t="s">
        <v>154</v>
      </c>
      <c r="B1444" s="235"/>
      <c r="C1444" s="235"/>
      <c r="D1444" s="235"/>
      <c r="E1444" s="100" t="s">
        <v>128</v>
      </c>
      <c r="F1444" s="100" t="s">
        <v>313</v>
      </c>
    </row>
    <row r="1445" spans="1:6">
      <c r="A1445" s="242" t="s">
        <v>155</v>
      </c>
      <c r="B1445" s="235"/>
      <c r="C1445" s="235"/>
      <c r="D1445" s="235"/>
      <c r="E1445" s="100" t="s">
        <v>128</v>
      </c>
      <c r="F1445" s="100" t="s">
        <v>313</v>
      </c>
    </row>
    <row r="1446" spans="1:6">
      <c r="A1446" s="242" t="s">
        <v>156</v>
      </c>
      <c r="B1446" s="235"/>
      <c r="C1446" s="235"/>
      <c r="D1446" s="235"/>
      <c r="E1446" s="100" t="s">
        <v>128</v>
      </c>
      <c r="F1446" s="100" t="s">
        <v>313</v>
      </c>
    </row>
    <row r="1447" spans="1:6">
      <c r="A1447" s="242" t="s">
        <v>157</v>
      </c>
      <c r="B1447" s="235"/>
      <c r="C1447" s="235"/>
      <c r="D1447" s="235"/>
      <c r="E1447" s="100" t="s">
        <v>128</v>
      </c>
      <c r="F1447" s="100" t="s">
        <v>313</v>
      </c>
    </row>
    <row r="1448" spans="1:6">
      <c r="A1448" s="242" t="s">
        <v>158</v>
      </c>
      <c r="B1448" s="235"/>
      <c r="C1448" s="235"/>
      <c r="D1448" s="235"/>
      <c r="E1448" s="100" t="s">
        <v>128</v>
      </c>
      <c r="F1448" s="100" t="s">
        <v>313</v>
      </c>
    </row>
    <row r="1449" spans="1:6">
      <c r="A1449" s="242" t="s">
        <v>159</v>
      </c>
      <c r="B1449" s="235"/>
      <c r="C1449" s="235"/>
      <c r="D1449" s="235"/>
      <c r="E1449" s="100" t="s">
        <v>128</v>
      </c>
      <c r="F1449" s="100" t="s">
        <v>313</v>
      </c>
    </row>
    <row r="1450" spans="1:6">
      <c r="A1450" s="248" t="s">
        <v>148</v>
      </c>
      <c r="B1450" s="249"/>
      <c r="C1450" s="249"/>
      <c r="D1450" s="249"/>
      <c r="E1450" s="100" t="s">
        <v>128</v>
      </c>
      <c r="F1450" s="100" t="s">
        <v>285</v>
      </c>
    </row>
    <row r="1451" spans="1:6">
      <c r="A1451" s="248" t="s">
        <v>149</v>
      </c>
      <c r="B1451" s="249"/>
      <c r="C1451" s="249"/>
      <c r="D1451" s="249"/>
      <c r="E1451" s="100" t="s">
        <v>128</v>
      </c>
      <c r="F1451" s="100" t="s">
        <v>285</v>
      </c>
    </row>
    <row r="1452" spans="1:6">
      <c r="A1452" s="248" t="s">
        <v>150</v>
      </c>
      <c r="B1452" s="249"/>
      <c r="C1452" s="249"/>
      <c r="D1452" s="249"/>
      <c r="E1452" s="100" t="s">
        <v>128</v>
      </c>
      <c r="F1452" s="100" t="s">
        <v>285</v>
      </c>
    </row>
    <row r="1453" spans="1:6">
      <c r="A1453" s="248" t="s">
        <v>151</v>
      </c>
      <c r="B1453" s="249"/>
      <c r="C1453" s="249"/>
      <c r="D1453" s="249"/>
      <c r="E1453" s="100" t="s">
        <v>128</v>
      </c>
      <c r="F1453" s="100" t="s">
        <v>285</v>
      </c>
    </row>
    <row r="1454" spans="1:6">
      <c r="A1454" s="248" t="s">
        <v>152</v>
      </c>
      <c r="B1454" s="249"/>
      <c r="C1454" s="249"/>
      <c r="D1454" s="249"/>
      <c r="E1454" s="100" t="s">
        <v>128</v>
      </c>
      <c r="F1454" s="100" t="s">
        <v>285</v>
      </c>
    </row>
    <row r="1455" spans="1:6">
      <c r="A1455" s="248" t="s">
        <v>153</v>
      </c>
      <c r="B1455" s="249"/>
      <c r="C1455" s="249"/>
      <c r="D1455" s="249"/>
      <c r="E1455" s="100" t="s">
        <v>128</v>
      </c>
      <c r="F1455" s="100" t="s">
        <v>285</v>
      </c>
    </row>
    <row r="1456" spans="1:6">
      <c r="A1456" s="248" t="s">
        <v>154</v>
      </c>
      <c r="B1456" s="249"/>
      <c r="C1456" s="249"/>
      <c r="D1456" s="249"/>
      <c r="E1456" s="100" t="s">
        <v>128</v>
      </c>
      <c r="F1456" s="100" t="s">
        <v>285</v>
      </c>
    </row>
    <row r="1457" spans="1:6">
      <c r="A1457" s="248" t="s">
        <v>155</v>
      </c>
      <c r="B1457" s="249"/>
      <c r="C1457" s="249"/>
      <c r="D1457" s="249"/>
      <c r="E1457" s="100" t="s">
        <v>128</v>
      </c>
      <c r="F1457" s="100" t="s">
        <v>285</v>
      </c>
    </row>
    <row r="1458" spans="1:6">
      <c r="A1458" s="248" t="s">
        <v>156</v>
      </c>
      <c r="B1458" s="249"/>
      <c r="C1458" s="249"/>
      <c r="D1458" s="249"/>
      <c r="E1458" s="100" t="s">
        <v>128</v>
      </c>
      <c r="F1458" s="100" t="s">
        <v>285</v>
      </c>
    </row>
    <row r="1459" spans="1:6">
      <c r="A1459" s="248" t="s">
        <v>157</v>
      </c>
      <c r="B1459" s="249"/>
      <c r="C1459" s="249"/>
      <c r="D1459" s="249"/>
      <c r="E1459" s="100" t="s">
        <v>128</v>
      </c>
      <c r="F1459" s="100" t="s">
        <v>285</v>
      </c>
    </row>
    <row r="1460" spans="1:6">
      <c r="A1460" s="248" t="s">
        <v>158</v>
      </c>
      <c r="B1460" s="249"/>
      <c r="C1460" s="249"/>
      <c r="D1460" s="249"/>
      <c r="E1460" s="100" t="s">
        <v>128</v>
      </c>
      <c r="F1460" s="100" t="s">
        <v>285</v>
      </c>
    </row>
    <row r="1461" spans="1:6">
      <c r="A1461" s="248" t="s">
        <v>159</v>
      </c>
      <c r="B1461" s="249"/>
      <c r="C1461" s="249"/>
      <c r="D1461" s="249"/>
      <c r="E1461" s="100" t="s">
        <v>128</v>
      </c>
      <c r="F1461" s="100" t="s">
        <v>285</v>
      </c>
    </row>
    <row r="1462" spans="1:6">
      <c r="A1462" s="242" t="s">
        <v>148</v>
      </c>
      <c r="B1462" s="235"/>
      <c r="C1462" s="235"/>
      <c r="D1462" s="235"/>
      <c r="E1462" s="100" t="s">
        <v>128</v>
      </c>
      <c r="F1462" s="100" t="s">
        <v>28</v>
      </c>
    </row>
    <row r="1463" spans="1:6">
      <c r="A1463" s="242" t="s">
        <v>149</v>
      </c>
      <c r="B1463" s="235"/>
      <c r="C1463" s="235"/>
      <c r="D1463" s="235"/>
      <c r="E1463" s="100" t="s">
        <v>128</v>
      </c>
      <c r="F1463" s="100" t="s">
        <v>28</v>
      </c>
    </row>
    <row r="1464" spans="1:6">
      <c r="A1464" s="242" t="s">
        <v>150</v>
      </c>
      <c r="B1464" s="235"/>
      <c r="C1464" s="235"/>
      <c r="D1464" s="235"/>
      <c r="E1464" s="100" t="s">
        <v>128</v>
      </c>
      <c r="F1464" s="100" t="s">
        <v>28</v>
      </c>
    </row>
    <row r="1465" spans="1:6">
      <c r="A1465" s="242" t="s">
        <v>151</v>
      </c>
      <c r="B1465" s="235"/>
      <c r="C1465" s="235"/>
      <c r="D1465" s="235"/>
      <c r="E1465" s="100" t="s">
        <v>128</v>
      </c>
      <c r="F1465" s="100" t="s">
        <v>28</v>
      </c>
    </row>
    <row r="1466" spans="1:6">
      <c r="A1466" s="242" t="s">
        <v>152</v>
      </c>
      <c r="B1466" s="235"/>
      <c r="C1466" s="235"/>
      <c r="D1466" s="235"/>
      <c r="E1466" s="100" t="s">
        <v>128</v>
      </c>
      <c r="F1466" s="100" t="s">
        <v>28</v>
      </c>
    </row>
    <row r="1467" spans="1:6">
      <c r="A1467" s="242" t="s">
        <v>153</v>
      </c>
      <c r="B1467" s="235"/>
      <c r="C1467" s="235"/>
      <c r="D1467" s="235"/>
      <c r="E1467" s="100" t="s">
        <v>128</v>
      </c>
      <c r="F1467" s="100" t="s">
        <v>28</v>
      </c>
    </row>
    <row r="1468" spans="1:6">
      <c r="A1468" s="242" t="s">
        <v>154</v>
      </c>
      <c r="B1468" s="235"/>
      <c r="C1468" s="235"/>
      <c r="D1468" s="235"/>
      <c r="E1468" s="100" t="s">
        <v>128</v>
      </c>
      <c r="F1468" s="100" t="s">
        <v>28</v>
      </c>
    </row>
    <row r="1469" spans="1:6">
      <c r="A1469" s="242" t="s">
        <v>155</v>
      </c>
      <c r="B1469" s="235"/>
      <c r="C1469" s="235"/>
      <c r="D1469" s="235"/>
      <c r="E1469" s="100" t="s">
        <v>128</v>
      </c>
      <c r="F1469" s="100" t="s">
        <v>28</v>
      </c>
    </row>
    <row r="1470" spans="1:6">
      <c r="A1470" s="242" t="s">
        <v>156</v>
      </c>
      <c r="B1470" s="235"/>
      <c r="C1470" s="235"/>
      <c r="D1470" s="235"/>
      <c r="E1470" s="100" t="s">
        <v>128</v>
      </c>
      <c r="F1470" s="100" t="s">
        <v>28</v>
      </c>
    </row>
    <row r="1471" spans="1:6">
      <c r="A1471" s="242" t="s">
        <v>157</v>
      </c>
      <c r="B1471" s="235"/>
      <c r="C1471" s="235"/>
      <c r="D1471" s="235"/>
      <c r="E1471" s="100" t="s">
        <v>128</v>
      </c>
      <c r="F1471" s="100" t="s">
        <v>28</v>
      </c>
    </row>
    <row r="1472" spans="1:6">
      <c r="A1472" s="242" t="s">
        <v>158</v>
      </c>
      <c r="B1472" s="235"/>
      <c r="C1472" s="235"/>
      <c r="D1472" s="235"/>
      <c r="E1472" s="100" t="s">
        <v>128</v>
      </c>
      <c r="F1472" s="100" t="s">
        <v>28</v>
      </c>
    </row>
    <row r="1473" spans="1:6">
      <c r="A1473" s="242" t="s">
        <v>159</v>
      </c>
      <c r="B1473" s="235"/>
      <c r="C1473" s="235"/>
      <c r="D1473" s="235"/>
      <c r="E1473" s="100" t="s">
        <v>128</v>
      </c>
      <c r="F1473" s="100" t="s">
        <v>28</v>
      </c>
    </row>
    <row r="1474" spans="1:6">
      <c r="A1474" s="248" t="s">
        <v>148</v>
      </c>
      <c r="B1474" s="249"/>
      <c r="C1474" s="249"/>
      <c r="D1474" s="249"/>
      <c r="E1474" s="100" t="s">
        <v>128</v>
      </c>
      <c r="F1474" s="250" t="s">
        <v>175</v>
      </c>
    </row>
    <row r="1475" spans="1:6">
      <c r="A1475" s="248" t="s">
        <v>149</v>
      </c>
      <c r="B1475" s="249"/>
      <c r="C1475" s="249"/>
      <c r="D1475" s="249"/>
      <c r="E1475" s="100" t="s">
        <v>128</v>
      </c>
      <c r="F1475" s="250" t="s">
        <v>175</v>
      </c>
    </row>
    <row r="1476" spans="1:6">
      <c r="A1476" s="248" t="s">
        <v>150</v>
      </c>
      <c r="B1476" s="249"/>
      <c r="C1476" s="249"/>
      <c r="D1476" s="249"/>
      <c r="E1476" s="100" t="s">
        <v>128</v>
      </c>
      <c r="F1476" s="250" t="s">
        <v>175</v>
      </c>
    </row>
    <row r="1477" spans="1:6">
      <c r="A1477" s="248" t="s">
        <v>151</v>
      </c>
      <c r="B1477" s="249"/>
      <c r="C1477" s="249"/>
      <c r="D1477" s="249"/>
      <c r="E1477" s="100" t="s">
        <v>128</v>
      </c>
      <c r="F1477" s="250" t="s">
        <v>175</v>
      </c>
    </row>
    <row r="1478" spans="1:6">
      <c r="A1478" s="248" t="s">
        <v>152</v>
      </c>
      <c r="B1478" s="249"/>
      <c r="C1478" s="249"/>
      <c r="D1478" s="249"/>
      <c r="E1478" s="100" t="s">
        <v>128</v>
      </c>
      <c r="F1478" s="250" t="s">
        <v>175</v>
      </c>
    </row>
    <row r="1479" spans="1:6">
      <c r="A1479" s="248" t="s">
        <v>153</v>
      </c>
      <c r="B1479" s="249"/>
      <c r="C1479" s="249"/>
      <c r="D1479" s="249"/>
      <c r="E1479" s="100" t="s">
        <v>128</v>
      </c>
      <c r="F1479" s="250" t="s">
        <v>175</v>
      </c>
    </row>
    <row r="1480" spans="1:6">
      <c r="A1480" s="248" t="s">
        <v>154</v>
      </c>
      <c r="B1480" s="249"/>
      <c r="C1480" s="249"/>
      <c r="D1480" s="249"/>
      <c r="E1480" s="100" t="s">
        <v>128</v>
      </c>
      <c r="F1480" s="250" t="s">
        <v>175</v>
      </c>
    </row>
    <row r="1481" spans="1:6">
      <c r="A1481" s="248" t="s">
        <v>155</v>
      </c>
      <c r="B1481" s="249"/>
      <c r="C1481" s="249"/>
      <c r="D1481" s="249"/>
      <c r="E1481" s="100" t="s">
        <v>128</v>
      </c>
      <c r="F1481" s="250" t="s">
        <v>175</v>
      </c>
    </row>
    <row r="1482" spans="1:6">
      <c r="A1482" s="248" t="s">
        <v>156</v>
      </c>
      <c r="B1482" s="249"/>
      <c r="C1482" s="249"/>
      <c r="D1482" s="249"/>
      <c r="E1482" s="100" t="s">
        <v>128</v>
      </c>
      <c r="F1482" s="250" t="s">
        <v>175</v>
      </c>
    </row>
    <row r="1483" spans="1:6">
      <c r="A1483" s="248" t="s">
        <v>157</v>
      </c>
      <c r="B1483" s="249"/>
      <c r="C1483" s="249"/>
      <c r="D1483" s="249"/>
      <c r="E1483" s="100" t="s">
        <v>128</v>
      </c>
      <c r="F1483" s="250" t="s">
        <v>175</v>
      </c>
    </row>
    <row r="1484" spans="1:6">
      <c r="A1484" s="248" t="s">
        <v>158</v>
      </c>
      <c r="B1484" s="249"/>
      <c r="C1484" s="249"/>
      <c r="D1484" s="249"/>
      <c r="E1484" s="100" t="s">
        <v>128</v>
      </c>
      <c r="F1484" s="250" t="s">
        <v>175</v>
      </c>
    </row>
    <row r="1485" spans="1:6">
      <c r="A1485" s="248" t="s">
        <v>159</v>
      </c>
      <c r="B1485" s="249"/>
      <c r="C1485" s="249"/>
      <c r="D1485" s="249"/>
      <c r="E1485" s="100" t="s">
        <v>128</v>
      </c>
      <c r="F1485" s="250" t="s">
        <v>175</v>
      </c>
    </row>
    <row r="1486" spans="1:6">
      <c r="A1486" s="242" t="s">
        <v>148</v>
      </c>
      <c r="B1486" s="235"/>
      <c r="C1486" s="235"/>
      <c r="D1486" s="235"/>
      <c r="E1486" s="100" t="s">
        <v>129</v>
      </c>
      <c r="F1486" s="100" t="s">
        <v>284</v>
      </c>
    </row>
    <row r="1487" spans="1:6">
      <c r="A1487" s="242" t="s">
        <v>149</v>
      </c>
      <c r="B1487" s="235"/>
      <c r="C1487" s="235"/>
      <c r="D1487" s="235"/>
      <c r="E1487" s="100" t="s">
        <v>129</v>
      </c>
      <c r="F1487" s="100" t="s">
        <v>284</v>
      </c>
    </row>
    <row r="1488" spans="1:6">
      <c r="A1488" s="242" t="s">
        <v>150</v>
      </c>
      <c r="B1488" s="235"/>
      <c r="C1488" s="235"/>
      <c r="D1488" s="235"/>
      <c r="E1488" s="100" t="s">
        <v>129</v>
      </c>
      <c r="F1488" s="100" t="s">
        <v>284</v>
      </c>
    </row>
    <row r="1489" spans="1:6">
      <c r="A1489" s="242" t="s">
        <v>151</v>
      </c>
      <c r="B1489" s="235"/>
      <c r="C1489" s="235"/>
      <c r="D1489" s="235"/>
      <c r="E1489" s="100" t="s">
        <v>129</v>
      </c>
      <c r="F1489" s="100" t="s">
        <v>284</v>
      </c>
    </row>
    <row r="1490" spans="1:6">
      <c r="A1490" s="242" t="s">
        <v>152</v>
      </c>
      <c r="B1490" s="235"/>
      <c r="C1490" s="235"/>
      <c r="D1490" s="235"/>
      <c r="E1490" s="100" t="s">
        <v>129</v>
      </c>
      <c r="F1490" s="100" t="s">
        <v>284</v>
      </c>
    </row>
    <row r="1491" spans="1:6">
      <c r="A1491" s="242" t="s">
        <v>153</v>
      </c>
      <c r="B1491" s="235"/>
      <c r="C1491" s="235"/>
      <c r="D1491" s="235"/>
      <c r="E1491" s="100" t="s">
        <v>129</v>
      </c>
      <c r="F1491" s="100" t="s">
        <v>284</v>
      </c>
    </row>
    <row r="1492" spans="1:6">
      <c r="A1492" s="242" t="s">
        <v>154</v>
      </c>
      <c r="B1492" s="235"/>
      <c r="C1492" s="235"/>
      <c r="D1492" s="235"/>
      <c r="E1492" s="100" t="s">
        <v>129</v>
      </c>
      <c r="F1492" s="100" t="s">
        <v>284</v>
      </c>
    </row>
    <row r="1493" spans="1:6">
      <c r="A1493" s="242" t="s">
        <v>155</v>
      </c>
      <c r="B1493" s="235"/>
      <c r="C1493" s="235"/>
      <c r="D1493" s="235"/>
      <c r="E1493" s="100" t="s">
        <v>129</v>
      </c>
      <c r="F1493" s="100" t="s">
        <v>284</v>
      </c>
    </row>
    <row r="1494" spans="1:6">
      <c r="A1494" s="242" t="s">
        <v>156</v>
      </c>
      <c r="B1494" s="235"/>
      <c r="C1494" s="235"/>
      <c r="D1494" s="235"/>
      <c r="E1494" s="100" t="s">
        <v>129</v>
      </c>
      <c r="F1494" s="100" t="s">
        <v>284</v>
      </c>
    </row>
    <row r="1495" spans="1:6">
      <c r="A1495" s="242" t="s">
        <v>157</v>
      </c>
      <c r="B1495" s="235"/>
      <c r="C1495" s="235"/>
      <c r="D1495" s="235"/>
      <c r="E1495" s="100" t="s">
        <v>129</v>
      </c>
      <c r="F1495" s="100" t="s">
        <v>284</v>
      </c>
    </row>
    <row r="1496" spans="1:6">
      <c r="A1496" s="242" t="s">
        <v>158</v>
      </c>
      <c r="B1496" s="235"/>
      <c r="C1496" s="235"/>
      <c r="D1496" s="235"/>
      <c r="E1496" s="100" t="s">
        <v>129</v>
      </c>
      <c r="F1496" s="100" t="s">
        <v>284</v>
      </c>
    </row>
    <row r="1497" spans="1:6">
      <c r="A1497" s="242" t="s">
        <v>159</v>
      </c>
      <c r="B1497" s="235"/>
      <c r="C1497" s="235"/>
      <c r="D1497" s="235"/>
      <c r="E1497" s="100" t="s">
        <v>129</v>
      </c>
      <c r="F1497" s="100" t="s">
        <v>284</v>
      </c>
    </row>
    <row r="1498" spans="1:6">
      <c r="A1498" s="248" t="s">
        <v>148</v>
      </c>
      <c r="B1498" s="249"/>
      <c r="C1498" s="249"/>
      <c r="D1498" s="249"/>
      <c r="E1498" s="100" t="s">
        <v>129</v>
      </c>
      <c r="F1498" s="100" t="s">
        <v>286</v>
      </c>
    </row>
    <row r="1499" spans="1:6">
      <c r="A1499" s="248" t="s">
        <v>149</v>
      </c>
      <c r="B1499" s="249"/>
      <c r="C1499" s="249"/>
      <c r="D1499" s="249"/>
      <c r="E1499" s="100" t="s">
        <v>129</v>
      </c>
      <c r="F1499" s="100" t="s">
        <v>286</v>
      </c>
    </row>
    <row r="1500" spans="1:6">
      <c r="A1500" s="248" t="s">
        <v>150</v>
      </c>
      <c r="B1500" s="249"/>
      <c r="C1500" s="249"/>
      <c r="D1500" s="249"/>
      <c r="E1500" s="100" t="s">
        <v>129</v>
      </c>
      <c r="F1500" s="100" t="s">
        <v>286</v>
      </c>
    </row>
    <row r="1501" spans="1:6">
      <c r="A1501" s="248" t="s">
        <v>151</v>
      </c>
      <c r="B1501" s="249"/>
      <c r="C1501" s="249"/>
      <c r="D1501" s="249"/>
      <c r="E1501" s="100" t="s">
        <v>129</v>
      </c>
      <c r="F1501" s="100" t="s">
        <v>286</v>
      </c>
    </row>
    <row r="1502" spans="1:6">
      <c r="A1502" s="248" t="s">
        <v>152</v>
      </c>
      <c r="B1502" s="249"/>
      <c r="C1502" s="249"/>
      <c r="D1502" s="249"/>
      <c r="E1502" s="100" t="s">
        <v>129</v>
      </c>
      <c r="F1502" s="100" t="s">
        <v>286</v>
      </c>
    </row>
    <row r="1503" spans="1:6">
      <c r="A1503" s="248" t="s">
        <v>153</v>
      </c>
      <c r="B1503" s="249"/>
      <c r="C1503" s="249"/>
      <c r="D1503" s="249"/>
      <c r="E1503" s="100" t="s">
        <v>129</v>
      </c>
      <c r="F1503" s="100" t="s">
        <v>286</v>
      </c>
    </row>
    <row r="1504" spans="1:6">
      <c r="A1504" s="248" t="s">
        <v>154</v>
      </c>
      <c r="B1504" s="249"/>
      <c r="C1504" s="249"/>
      <c r="D1504" s="249"/>
      <c r="E1504" s="100" t="s">
        <v>129</v>
      </c>
      <c r="F1504" s="100" t="s">
        <v>286</v>
      </c>
    </row>
    <row r="1505" spans="1:6">
      <c r="A1505" s="248" t="s">
        <v>155</v>
      </c>
      <c r="B1505" s="249"/>
      <c r="C1505" s="249"/>
      <c r="D1505" s="249"/>
      <c r="E1505" s="100" t="s">
        <v>129</v>
      </c>
      <c r="F1505" s="100" t="s">
        <v>286</v>
      </c>
    </row>
    <row r="1506" spans="1:6">
      <c r="A1506" s="248" t="s">
        <v>156</v>
      </c>
      <c r="B1506" s="249"/>
      <c r="C1506" s="249"/>
      <c r="D1506" s="249"/>
      <c r="E1506" s="100" t="s">
        <v>129</v>
      </c>
      <c r="F1506" s="100" t="s">
        <v>286</v>
      </c>
    </row>
    <row r="1507" spans="1:6">
      <c r="A1507" s="248" t="s">
        <v>157</v>
      </c>
      <c r="B1507" s="249"/>
      <c r="C1507" s="249"/>
      <c r="D1507" s="249"/>
      <c r="E1507" s="100" t="s">
        <v>129</v>
      </c>
      <c r="F1507" s="100" t="s">
        <v>286</v>
      </c>
    </row>
    <row r="1508" spans="1:6">
      <c r="A1508" s="248" t="s">
        <v>158</v>
      </c>
      <c r="B1508" s="249"/>
      <c r="C1508" s="249"/>
      <c r="D1508" s="249"/>
      <c r="E1508" s="100" t="s">
        <v>129</v>
      </c>
      <c r="F1508" s="100" t="s">
        <v>286</v>
      </c>
    </row>
    <row r="1509" spans="1:6">
      <c r="A1509" s="248" t="s">
        <v>159</v>
      </c>
      <c r="B1509" s="249"/>
      <c r="C1509" s="249"/>
      <c r="D1509" s="249"/>
      <c r="E1509" s="100" t="s">
        <v>129</v>
      </c>
      <c r="F1509" s="100" t="s">
        <v>286</v>
      </c>
    </row>
    <row r="1510" spans="1:6">
      <c r="A1510" s="242" t="s">
        <v>148</v>
      </c>
      <c r="B1510" s="235"/>
      <c r="C1510" s="235"/>
      <c r="D1510" s="235"/>
      <c r="E1510" s="100" t="s">
        <v>129</v>
      </c>
      <c r="F1510" s="100" t="s">
        <v>313</v>
      </c>
    </row>
    <row r="1511" spans="1:6">
      <c r="A1511" s="242" t="s">
        <v>149</v>
      </c>
      <c r="B1511" s="235"/>
      <c r="C1511" s="235"/>
      <c r="D1511" s="235"/>
      <c r="E1511" s="100" t="s">
        <v>129</v>
      </c>
      <c r="F1511" s="100" t="s">
        <v>313</v>
      </c>
    </row>
    <row r="1512" spans="1:6">
      <c r="A1512" s="242" t="s">
        <v>150</v>
      </c>
      <c r="B1512" s="235"/>
      <c r="C1512" s="235"/>
      <c r="D1512" s="235"/>
      <c r="E1512" s="100" t="s">
        <v>129</v>
      </c>
      <c r="F1512" s="100" t="s">
        <v>313</v>
      </c>
    </row>
    <row r="1513" spans="1:6">
      <c r="A1513" s="242" t="s">
        <v>151</v>
      </c>
      <c r="B1513" s="235"/>
      <c r="C1513" s="235"/>
      <c r="D1513" s="235"/>
      <c r="E1513" s="100" t="s">
        <v>129</v>
      </c>
      <c r="F1513" s="100" t="s">
        <v>313</v>
      </c>
    </row>
    <row r="1514" spans="1:6">
      <c r="A1514" s="242" t="s">
        <v>152</v>
      </c>
      <c r="B1514" s="235"/>
      <c r="C1514" s="235"/>
      <c r="D1514" s="235"/>
      <c r="E1514" s="100" t="s">
        <v>129</v>
      </c>
      <c r="F1514" s="100" t="s">
        <v>313</v>
      </c>
    </row>
    <row r="1515" spans="1:6">
      <c r="A1515" s="242" t="s">
        <v>153</v>
      </c>
      <c r="B1515" s="235"/>
      <c r="C1515" s="235"/>
      <c r="D1515" s="235"/>
      <c r="E1515" s="100" t="s">
        <v>129</v>
      </c>
      <c r="F1515" s="100" t="s">
        <v>313</v>
      </c>
    </row>
    <row r="1516" spans="1:6">
      <c r="A1516" s="242" t="s">
        <v>154</v>
      </c>
      <c r="B1516" s="235"/>
      <c r="C1516" s="235"/>
      <c r="D1516" s="235"/>
      <c r="E1516" s="100" t="s">
        <v>129</v>
      </c>
      <c r="F1516" s="100" t="s">
        <v>313</v>
      </c>
    </row>
    <row r="1517" spans="1:6">
      <c r="A1517" s="242" t="s">
        <v>155</v>
      </c>
      <c r="B1517" s="235"/>
      <c r="C1517" s="235"/>
      <c r="D1517" s="235"/>
      <c r="E1517" s="100" t="s">
        <v>129</v>
      </c>
      <c r="F1517" s="100" t="s">
        <v>313</v>
      </c>
    </row>
    <row r="1518" spans="1:6">
      <c r="A1518" s="242" t="s">
        <v>156</v>
      </c>
      <c r="B1518" s="235"/>
      <c r="C1518" s="235"/>
      <c r="D1518" s="235"/>
      <c r="E1518" s="100" t="s">
        <v>129</v>
      </c>
      <c r="F1518" s="100" t="s">
        <v>313</v>
      </c>
    </row>
    <row r="1519" spans="1:6">
      <c r="A1519" s="242" t="s">
        <v>157</v>
      </c>
      <c r="B1519" s="235"/>
      <c r="C1519" s="235"/>
      <c r="D1519" s="235"/>
      <c r="E1519" s="100" t="s">
        <v>129</v>
      </c>
      <c r="F1519" s="100" t="s">
        <v>313</v>
      </c>
    </row>
    <row r="1520" spans="1:6">
      <c r="A1520" s="242" t="s">
        <v>158</v>
      </c>
      <c r="B1520" s="235"/>
      <c r="C1520" s="235"/>
      <c r="D1520" s="235"/>
      <c r="E1520" s="100" t="s">
        <v>129</v>
      </c>
      <c r="F1520" s="100" t="s">
        <v>313</v>
      </c>
    </row>
    <row r="1521" spans="1:6">
      <c r="A1521" s="242" t="s">
        <v>159</v>
      </c>
      <c r="B1521" s="235"/>
      <c r="C1521" s="235"/>
      <c r="D1521" s="235"/>
      <c r="E1521" s="100" t="s">
        <v>129</v>
      </c>
      <c r="F1521" s="100" t="s">
        <v>313</v>
      </c>
    </row>
    <row r="1522" spans="1:6">
      <c r="A1522" s="248" t="s">
        <v>148</v>
      </c>
      <c r="B1522" s="249"/>
      <c r="C1522" s="249"/>
      <c r="D1522" s="249"/>
      <c r="E1522" s="100" t="s">
        <v>129</v>
      </c>
      <c r="F1522" s="100" t="s">
        <v>285</v>
      </c>
    </row>
    <row r="1523" spans="1:6">
      <c r="A1523" s="248" t="s">
        <v>149</v>
      </c>
      <c r="B1523" s="249"/>
      <c r="C1523" s="249"/>
      <c r="D1523" s="249"/>
      <c r="E1523" s="100" t="s">
        <v>129</v>
      </c>
      <c r="F1523" s="100" t="s">
        <v>285</v>
      </c>
    </row>
    <row r="1524" spans="1:6">
      <c r="A1524" s="248" t="s">
        <v>150</v>
      </c>
      <c r="B1524" s="249"/>
      <c r="C1524" s="249"/>
      <c r="D1524" s="249"/>
      <c r="E1524" s="100" t="s">
        <v>129</v>
      </c>
      <c r="F1524" s="100" t="s">
        <v>285</v>
      </c>
    </row>
    <row r="1525" spans="1:6">
      <c r="A1525" s="248" t="s">
        <v>151</v>
      </c>
      <c r="B1525" s="249"/>
      <c r="C1525" s="249"/>
      <c r="D1525" s="249"/>
      <c r="E1525" s="100" t="s">
        <v>129</v>
      </c>
      <c r="F1525" s="100" t="s">
        <v>285</v>
      </c>
    </row>
    <row r="1526" spans="1:6">
      <c r="A1526" s="248" t="s">
        <v>152</v>
      </c>
      <c r="B1526" s="249"/>
      <c r="C1526" s="249"/>
      <c r="D1526" s="249"/>
      <c r="E1526" s="100" t="s">
        <v>129</v>
      </c>
      <c r="F1526" s="100" t="s">
        <v>285</v>
      </c>
    </row>
    <row r="1527" spans="1:6">
      <c r="A1527" s="248" t="s">
        <v>153</v>
      </c>
      <c r="B1527" s="249"/>
      <c r="C1527" s="249"/>
      <c r="D1527" s="249"/>
      <c r="E1527" s="100" t="s">
        <v>129</v>
      </c>
      <c r="F1527" s="100" t="s">
        <v>285</v>
      </c>
    </row>
    <row r="1528" spans="1:6">
      <c r="A1528" s="248" t="s">
        <v>154</v>
      </c>
      <c r="B1528" s="249"/>
      <c r="C1528" s="249"/>
      <c r="D1528" s="249"/>
      <c r="E1528" s="100" t="s">
        <v>129</v>
      </c>
      <c r="F1528" s="100" t="s">
        <v>285</v>
      </c>
    </row>
    <row r="1529" spans="1:6">
      <c r="A1529" s="248" t="s">
        <v>155</v>
      </c>
      <c r="B1529" s="249"/>
      <c r="C1529" s="249"/>
      <c r="D1529" s="249"/>
      <c r="E1529" s="100" t="s">
        <v>129</v>
      </c>
      <c r="F1529" s="100" t="s">
        <v>285</v>
      </c>
    </row>
    <row r="1530" spans="1:6">
      <c r="A1530" s="248" t="s">
        <v>156</v>
      </c>
      <c r="B1530" s="249"/>
      <c r="C1530" s="249"/>
      <c r="D1530" s="249"/>
      <c r="E1530" s="100" t="s">
        <v>129</v>
      </c>
      <c r="F1530" s="100" t="s">
        <v>285</v>
      </c>
    </row>
    <row r="1531" spans="1:6">
      <c r="A1531" s="248" t="s">
        <v>157</v>
      </c>
      <c r="B1531" s="249"/>
      <c r="C1531" s="249"/>
      <c r="D1531" s="249"/>
      <c r="E1531" s="100" t="s">
        <v>129</v>
      </c>
      <c r="F1531" s="100" t="s">
        <v>285</v>
      </c>
    </row>
    <row r="1532" spans="1:6">
      <c r="A1532" s="248" t="s">
        <v>158</v>
      </c>
      <c r="B1532" s="249"/>
      <c r="C1532" s="249"/>
      <c r="D1532" s="249"/>
      <c r="E1532" s="100" t="s">
        <v>129</v>
      </c>
      <c r="F1532" s="100" t="s">
        <v>285</v>
      </c>
    </row>
    <row r="1533" spans="1:6">
      <c r="A1533" s="248" t="s">
        <v>159</v>
      </c>
      <c r="B1533" s="249"/>
      <c r="C1533" s="249"/>
      <c r="D1533" s="249"/>
      <c r="E1533" s="100" t="s">
        <v>129</v>
      </c>
      <c r="F1533" s="100" t="s">
        <v>285</v>
      </c>
    </row>
    <row r="1534" spans="1:6">
      <c r="A1534" s="242" t="s">
        <v>148</v>
      </c>
      <c r="B1534" s="235"/>
      <c r="C1534" s="235"/>
      <c r="D1534" s="235"/>
      <c r="E1534" s="100" t="s">
        <v>129</v>
      </c>
      <c r="F1534" s="100" t="s">
        <v>28</v>
      </c>
    </row>
    <row r="1535" spans="1:6">
      <c r="A1535" s="242" t="s">
        <v>149</v>
      </c>
      <c r="B1535" s="235"/>
      <c r="C1535" s="235"/>
      <c r="D1535" s="235"/>
      <c r="E1535" s="100" t="s">
        <v>129</v>
      </c>
      <c r="F1535" s="100" t="s">
        <v>28</v>
      </c>
    </row>
    <row r="1536" spans="1:6">
      <c r="A1536" s="242" t="s">
        <v>150</v>
      </c>
      <c r="B1536" s="235"/>
      <c r="C1536" s="235"/>
      <c r="D1536" s="235"/>
      <c r="E1536" s="100" t="s">
        <v>129</v>
      </c>
      <c r="F1536" s="100" t="s">
        <v>28</v>
      </c>
    </row>
    <row r="1537" spans="1:6">
      <c r="A1537" s="242" t="s">
        <v>151</v>
      </c>
      <c r="B1537" s="235"/>
      <c r="C1537" s="235"/>
      <c r="D1537" s="235"/>
      <c r="E1537" s="100" t="s">
        <v>129</v>
      </c>
      <c r="F1537" s="100" t="s">
        <v>28</v>
      </c>
    </row>
    <row r="1538" spans="1:6">
      <c r="A1538" s="242" t="s">
        <v>152</v>
      </c>
      <c r="B1538" s="235"/>
      <c r="C1538" s="235"/>
      <c r="D1538" s="235"/>
      <c r="E1538" s="100" t="s">
        <v>129</v>
      </c>
      <c r="F1538" s="100" t="s">
        <v>28</v>
      </c>
    </row>
    <row r="1539" spans="1:6">
      <c r="A1539" s="242" t="s">
        <v>153</v>
      </c>
      <c r="B1539" s="235"/>
      <c r="C1539" s="235"/>
      <c r="D1539" s="235"/>
      <c r="E1539" s="100" t="s">
        <v>129</v>
      </c>
      <c r="F1539" s="100" t="s">
        <v>28</v>
      </c>
    </row>
    <row r="1540" spans="1:6">
      <c r="A1540" s="242" t="s">
        <v>154</v>
      </c>
      <c r="B1540" s="235"/>
      <c r="C1540" s="235"/>
      <c r="D1540" s="235"/>
      <c r="E1540" s="100" t="s">
        <v>129</v>
      </c>
      <c r="F1540" s="100" t="s">
        <v>28</v>
      </c>
    </row>
    <row r="1541" spans="1:6">
      <c r="A1541" s="242" t="s">
        <v>155</v>
      </c>
      <c r="B1541" s="235"/>
      <c r="C1541" s="235"/>
      <c r="D1541" s="235"/>
      <c r="E1541" s="100" t="s">
        <v>129</v>
      </c>
      <c r="F1541" s="100" t="s">
        <v>28</v>
      </c>
    </row>
    <row r="1542" spans="1:6">
      <c r="A1542" s="242" t="s">
        <v>156</v>
      </c>
      <c r="B1542" s="235"/>
      <c r="C1542" s="235"/>
      <c r="D1542" s="235"/>
      <c r="E1542" s="100" t="s">
        <v>129</v>
      </c>
      <c r="F1542" s="100" t="s">
        <v>28</v>
      </c>
    </row>
    <row r="1543" spans="1:6">
      <c r="A1543" s="242" t="s">
        <v>157</v>
      </c>
      <c r="B1543" s="235"/>
      <c r="C1543" s="235"/>
      <c r="D1543" s="235"/>
      <c r="E1543" s="100" t="s">
        <v>129</v>
      </c>
      <c r="F1543" s="100" t="s">
        <v>28</v>
      </c>
    </row>
    <row r="1544" spans="1:6">
      <c r="A1544" s="242" t="s">
        <v>158</v>
      </c>
      <c r="B1544" s="235"/>
      <c r="C1544" s="235"/>
      <c r="D1544" s="235"/>
      <c r="E1544" s="100" t="s">
        <v>129</v>
      </c>
      <c r="F1544" s="100" t="s">
        <v>28</v>
      </c>
    </row>
    <row r="1545" spans="1:6">
      <c r="A1545" s="242" t="s">
        <v>159</v>
      </c>
      <c r="B1545" s="235"/>
      <c r="C1545" s="235"/>
      <c r="D1545" s="235"/>
      <c r="E1545" s="100" t="s">
        <v>129</v>
      </c>
      <c r="F1545" s="100" t="s">
        <v>28</v>
      </c>
    </row>
    <row r="1546" spans="1:6">
      <c r="A1546" s="248" t="s">
        <v>148</v>
      </c>
      <c r="B1546" s="249"/>
      <c r="C1546" s="249"/>
      <c r="D1546" s="249"/>
      <c r="E1546" s="100" t="s">
        <v>129</v>
      </c>
      <c r="F1546" s="250" t="s">
        <v>175</v>
      </c>
    </row>
    <row r="1547" spans="1:6">
      <c r="A1547" s="248" t="s">
        <v>149</v>
      </c>
      <c r="B1547" s="249"/>
      <c r="C1547" s="249"/>
      <c r="D1547" s="249"/>
      <c r="E1547" s="100" t="s">
        <v>129</v>
      </c>
      <c r="F1547" s="250" t="s">
        <v>175</v>
      </c>
    </row>
    <row r="1548" spans="1:6">
      <c r="A1548" s="248" t="s">
        <v>150</v>
      </c>
      <c r="B1548" s="249"/>
      <c r="C1548" s="249"/>
      <c r="D1548" s="249"/>
      <c r="E1548" s="100" t="s">
        <v>129</v>
      </c>
      <c r="F1548" s="250" t="s">
        <v>175</v>
      </c>
    </row>
    <row r="1549" spans="1:6">
      <c r="A1549" s="248" t="s">
        <v>151</v>
      </c>
      <c r="B1549" s="249"/>
      <c r="C1549" s="249"/>
      <c r="D1549" s="249"/>
      <c r="E1549" s="100" t="s">
        <v>129</v>
      </c>
      <c r="F1549" s="250" t="s">
        <v>175</v>
      </c>
    </row>
    <row r="1550" spans="1:6">
      <c r="A1550" s="248" t="s">
        <v>152</v>
      </c>
      <c r="B1550" s="249"/>
      <c r="C1550" s="249"/>
      <c r="D1550" s="249"/>
      <c r="E1550" s="100" t="s">
        <v>129</v>
      </c>
      <c r="F1550" s="250" t="s">
        <v>175</v>
      </c>
    </row>
    <row r="1551" spans="1:6">
      <c r="A1551" s="248" t="s">
        <v>153</v>
      </c>
      <c r="B1551" s="249"/>
      <c r="C1551" s="249"/>
      <c r="D1551" s="249"/>
      <c r="E1551" s="100" t="s">
        <v>129</v>
      </c>
      <c r="F1551" s="250" t="s">
        <v>175</v>
      </c>
    </row>
    <row r="1552" spans="1:6">
      <c r="A1552" s="248" t="s">
        <v>154</v>
      </c>
      <c r="B1552" s="249"/>
      <c r="C1552" s="249"/>
      <c r="D1552" s="249"/>
      <c r="E1552" s="100" t="s">
        <v>129</v>
      </c>
      <c r="F1552" s="250" t="s">
        <v>175</v>
      </c>
    </row>
    <row r="1553" spans="1:6">
      <c r="A1553" s="248" t="s">
        <v>155</v>
      </c>
      <c r="B1553" s="249"/>
      <c r="C1553" s="249"/>
      <c r="D1553" s="249"/>
      <c r="E1553" s="100" t="s">
        <v>129</v>
      </c>
      <c r="F1553" s="250" t="s">
        <v>175</v>
      </c>
    </row>
    <row r="1554" spans="1:6">
      <c r="A1554" s="248" t="s">
        <v>156</v>
      </c>
      <c r="B1554" s="249"/>
      <c r="C1554" s="249"/>
      <c r="D1554" s="249"/>
      <c r="E1554" s="100" t="s">
        <v>129</v>
      </c>
      <c r="F1554" s="250" t="s">
        <v>175</v>
      </c>
    </row>
    <row r="1555" spans="1:6">
      <c r="A1555" s="248" t="s">
        <v>157</v>
      </c>
      <c r="B1555" s="249"/>
      <c r="C1555" s="249"/>
      <c r="D1555" s="249"/>
      <c r="E1555" s="100" t="s">
        <v>129</v>
      </c>
      <c r="F1555" s="250" t="s">
        <v>175</v>
      </c>
    </row>
    <row r="1556" spans="1:6">
      <c r="A1556" s="248" t="s">
        <v>158</v>
      </c>
      <c r="B1556" s="249"/>
      <c r="C1556" s="249"/>
      <c r="D1556" s="249"/>
      <c r="E1556" s="100" t="s">
        <v>129</v>
      </c>
      <c r="F1556" s="250" t="s">
        <v>175</v>
      </c>
    </row>
    <row r="1557" spans="1:6">
      <c r="A1557" s="248" t="s">
        <v>159</v>
      </c>
      <c r="B1557" s="249"/>
      <c r="C1557" s="249"/>
      <c r="D1557" s="249"/>
      <c r="E1557" s="100" t="s">
        <v>129</v>
      </c>
      <c r="F1557" s="250" t="s">
        <v>175</v>
      </c>
    </row>
    <row r="1558" spans="1:6">
      <c r="A1558" s="242" t="s">
        <v>148</v>
      </c>
      <c r="B1558" s="235"/>
      <c r="C1558" s="235"/>
      <c r="D1558" s="235"/>
      <c r="E1558" s="100" t="s">
        <v>130</v>
      </c>
      <c r="F1558" s="100" t="s">
        <v>284</v>
      </c>
    </row>
    <row r="1559" spans="1:6">
      <c r="A1559" s="242" t="s">
        <v>149</v>
      </c>
      <c r="B1559" s="235"/>
      <c r="C1559" s="235"/>
      <c r="D1559" s="235"/>
      <c r="E1559" s="100" t="s">
        <v>130</v>
      </c>
      <c r="F1559" s="100" t="s">
        <v>284</v>
      </c>
    </row>
    <row r="1560" spans="1:6">
      <c r="A1560" s="242" t="s">
        <v>150</v>
      </c>
      <c r="B1560" s="235"/>
      <c r="C1560" s="235"/>
      <c r="D1560" s="235"/>
      <c r="E1560" s="100" t="s">
        <v>130</v>
      </c>
      <c r="F1560" s="100" t="s">
        <v>284</v>
      </c>
    </row>
    <row r="1561" spans="1:6">
      <c r="A1561" s="242" t="s">
        <v>151</v>
      </c>
      <c r="B1561" s="235"/>
      <c r="C1561" s="235"/>
      <c r="D1561" s="235"/>
      <c r="E1561" s="100" t="s">
        <v>130</v>
      </c>
      <c r="F1561" s="100" t="s">
        <v>284</v>
      </c>
    </row>
    <row r="1562" spans="1:6">
      <c r="A1562" s="242" t="s">
        <v>152</v>
      </c>
      <c r="B1562" s="235"/>
      <c r="C1562" s="235"/>
      <c r="D1562" s="235"/>
      <c r="E1562" s="100" t="s">
        <v>130</v>
      </c>
      <c r="F1562" s="100" t="s">
        <v>284</v>
      </c>
    </row>
    <row r="1563" spans="1:6">
      <c r="A1563" s="242" t="s">
        <v>153</v>
      </c>
      <c r="B1563" s="235"/>
      <c r="C1563" s="235"/>
      <c r="D1563" s="235"/>
      <c r="E1563" s="100" t="s">
        <v>130</v>
      </c>
      <c r="F1563" s="100" t="s">
        <v>284</v>
      </c>
    </row>
    <row r="1564" spans="1:6">
      <c r="A1564" s="242" t="s">
        <v>154</v>
      </c>
      <c r="B1564" s="235"/>
      <c r="C1564" s="235"/>
      <c r="D1564" s="235"/>
      <c r="E1564" s="100" t="s">
        <v>130</v>
      </c>
      <c r="F1564" s="100" t="s">
        <v>284</v>
      </c>
    </row>
    <row r="1565" spans="1:6">
      <c r="A1565" s="242" t="s">
        <v>155</v>
      </c>
      <c r="B1565" s="235"/>
      <c r="C1565" s="235"/>
      <c r="D1565" s="235"/>
      <c r="E1565" s="100" t="s">
        <v>130</v>
      </c>
      <c r="F1565" s="100" t="s">
        <v>284</v>
      </c>
    </row>
    <row r="1566" spans="1:6">
      <c r="A1566" s="242" t="s">
        <v>156</v>
      </c>
      <c r="B1566" s="235"/>
      <c r="C1566" s="235"/>
      <c r="D1566" s="235"/>
      <c r="E1566" s="100" t="s">
        <v>130</v>
      </c>
      <c r="F1566" s="100" t="s">
        <v>284</v>
      </c>
    </row>
    <row r="1567" spans="1:6">
      <c r="A1567" s="242" t="s">
        <v>157</v>
      </c>
      <c r="B1567" s="235"/>
      <c r="C1567" s="235"/>
      <c r="D1567" s="235"/>
      <c r="E1567" s="100" t="s">
        <v>130</v>
      </c>
      <c r="F1567" s="100" t="s">
        <v>284</v>
      </c>
    </row>
    <row r="1568" spans="1:6">
      <c r="A1568" s="242" t="s">
        <v>158</v>
      </c>
      <c r="B1568" s="235"/>
      <c r="C1568" s="235"/>
      <c r="D1568" s="235"/>
      <c r="E1568" s="100" t="s">
        <v>130</v>
      </c>
      <c r="F1568" s="100" t="s">
        <v>284</v>
      </c>
    </row>
    <row r="1569" spans="1:6">
      <c r="A1569" s="242" t="s">
        <v>159</v>
      </c>
      <c r="B1569" s="235"/>
      <c r="C1569" s="235"/>
      <c r="D1569" s="235"/>
      <c r="E1569" s="100" t="s">
        <v>130</v>
      </c>
      <c r="F1569" s="100" t="s">
        <v>284</v>
      </c>
    </row>
    <row r="1570" spans="1:6">
      <c r="A1570" s="248" t="s">
        <v>148</v>
      </c>
      <c r="B1570" s="249"/>
      <c r="C1570" s="249"/>
      <c r="D1570" s="249"/>
      <c r="E1570" s="100" t="s">
        <v>130</v>
      </c>
      <c r="F1570" s="100" t="s">
        <v>286</v>
      </c>
    </row>
    <row r="1571" spans="1:6">
      <c r="A1571" s="248" t="s">
        <v>149</v>
      </c>
      <c r="B1571" s="249"/>
      <c r="C1571" s="249"/>
      <c r="D1571" s="249"/>
      <c r="E1571" s="100" t="s">
        <v>130</v>
      </c>
      <c r="F1571" s="100" t="s">
        <v>286</v>
      </c>
    </row>
    <row r="1572" spans="1:6">
      <c r="A1572" s="248" t="s">
        <v>150</v>
      </c>
      <c r="B1572" s="249"/>
      <c r="C1572" s="249"/>
      <c r="D1572" s="249"/>
      <c r="E1572" s="100" t="s">
        <v>130</v>
      </c>
      <c r="F1572" s="100" t="s">
        <v>286</v>
      </c>
    </row>
    <row r="1573" spans="1:6">
      <c r="A1573" s="248" t="s">
        <v>151</v>
      </c>
      <c r="B1573" s="249"/>
      <c r="C1573" s="249"/>
      <c r="D1573" s="249"/>
      <c r="E1573" s="100" t="s">
        <v>130</v>
      </c>
      <c r="F1573" s="100" t="s">
        <v>286</v>
      </c>
    </row>
    <row r="1574" spans="1:6">
      <c r="A1574" s="248" t="s">
        <v>152</v>
      </c>
      <c r="B1574" s="249"/>
      <c r="C1574" s="249"/>
      <c r="D1574" s="249"/>
      <c r="E1574" s="100" t="s">
        <v>130</v>
      </c>
      <c r="F1574" s="100" t="s">
        <v>286</v>
      </c>
    </row>
    <row r="1575" spans="1:6">
      <c r="A1575" s="248" t="s">
        <v>153</v>
      </c>
      <c r="B1575" s="249"/>
      <c r="C1575" s="249"/>
      <c r="D1575" s="249"/>
      <c r="E1575" s="100" t="s">
        <v>130</v>
      </c>
      <c r="F1575" s="100" t="s">
        <v>286</v>
      </c>
    </row>
    <row r="1576" spans="1:6">
      <c r="A1576" s="248" t="s">
        <v>154</v>
      </c>
      <c r="B1576" s="249"/>
      <c r="C1576" s="249"/>
      <c r="D1576" s="249"/>
      <c r="E1576" s="100" t="s">
        <v>130</v>
      </c>
      <c r="F1576" s="100" t="s">
        <v>286</v>
      </c>
    </row>
    <row r="1577" spans="1:6">
      <c r="A1577" s="248" t="s">
        <v>155</v>
      </c>
      <c r="B1577" s="249"/>
      <c r="C1577" s="249"/>
      <c r="D1577" s="249"/>
      <c r="E1577" s="100" t="s">
        <v>130</v>
      </c>
      <c r="F1577" s="100" t="s">
        <v>286</v>
      </c>
    </row>
    <row r="1578" spans="1:6">
      <c r="A1578" s="248" t="s">
        <v>156</v>
      </c>
      <c r="B1578" s="249"/>
      <c r="C1578" s="249"/>
      <c r="D1578" s="249"/>
      <c r="E1578" s="100" t="s">
        <v>130</v>
      </c>
      <c r="F1578" s="100" t="s">
        <v>286</v>
      </c>
    </row>
    <row r="1579" spans="1:6">
      <c r="A1579" s="248" t="s">
        <v>157</v>
      </c>
      <c r="B1579" s="249"/>
      <c r="C1579" s="249"/>
      <c r="D1579" s="249"/>
      <c r="E1579" s="100" t="s">
        <v>130</v>
      </c>
      <c r="F1579" s="100" t="s">
        <v>286</v>
      </c>
    </row>
    <row r="1580" spans="1:6">
      <c r="A1580" s="248" t="s">
        <v>158</v>
      </c>
      <c r="B1580" s="249"/>
      <c r="C1580" s="249"/>
      <c r="D1580" s="249"/>
      <c r="E1580" s="100" t="s">
        <v>130</v>
      </c>
      <c r="F1580" s="100" t="s">
        <v>286</v>
      </c>
    </row>
    <row r="1581" spans="1:6">
      <c r="A1581" s="248" t="s">
        <v>159</v>
      </c>
      <c r="B1581" s="249"/>
      <c r="C1581" s="249"/>
      <c r="D1581" s="249"/>
      <c r="E1581" s="100" t="s">
        <v>130</v>
      </c>
      <c r="F1581" s="100" t="s">
        <v>286</v>
      </c>
    </row>
    <row r="1582" spans="1:6">
      <c r="A1582" s="242" t="s">
        <v>148</v>
      </c>
      <c r="B1582" s="235"/>
      <c r="C1582" s="235"/>
      <c r="D1582" s="235"/>
      <c r="E1582" s="100" t="s">
        <v>130</v>
      </c>
      <c r="F1582" s="100" t="s">
        <v>313</v>
      </c>
    </row>
    <row r="1583" spans="1:6">
      <c r="A1583" s="242" t="s">
        <v>149</v>
      </c>
      <c r="B1583" s="235"/>
      <c r="C1583" s="235"/>
      <c r="D1583" s="235"/>
      <c r="E1583" s="100" t="s">
        <v>130</v>
      </c>
      <c r="F1583" s="100" t="s">
        <v>313</v>
      </c>
    </row>
    <row r="1584" spans="1:6">
      <c r="A1584" s="242" t="s">
        <v>150</v>
      </c>
      <c r="B1584" s="235"/>
      <c r="C1584" s="235"/>
      <c r="D1584" s="235"/>
      <c r="E1584" s="100" t="s">
        <v>130</v>
      </c>
      <c r="F1584" s="100" t="s">
        <v>313</v>
      </c>
    </row>
    <row r="1585" spans="1:6">
      <c r="A1585" s="242" t="s">
        <v>151</v>
      </c>
      <c r="B1585" s="235"/>
      <c r="C1585" s="235"/>
      <c r="D1585" s="235"/>
      <c r="E1585" s="100" t="s">
        <v>130</v>
      </c>
      <c r="F1585" s="100" t="s">
        <v>313</v>
      </c>
    </row>
    <row r="1586" spans="1:6">
      <c r="A1586" s="242" t="s">
        <v>152</v>
      </c>
      <c r="B1586" s="235"/>
      <c r="C1586" s="235"/>
      <c r="D1586" s="235"/>
      <c r="E1586" s="100" t="s">
        <v>130</v>
      </c>
      <c r="F1586" s="100" t="s">
        <v>313</v>
      </c>
    </row>
    <row r="1587" spans="1:6">
      <c r="A1587" s="242" t="s">
        <v>153</v>
      </c>
      <c r="B1587" s="235"/>
      <c r="C1587" s="235"/>
      <c r="D1587" s="235"/>
      <c r="E1587" s="100" t="s">
        <v>130</v>
      </c>
      <c r="F1587" s="100" t="s">
        <v>313</v>
      </c>
    </row>
    <row r="1588" spans="1:6">
      <c r="A1588" s="242" t="s">
        <v>154</v>
      </c>
      <c r="B1588" s="235"/>
      <c r="C1588" s="235"/>
      <c r="D1588" s="235"/>
      <c r="E1588" s="100" t="s">
        <v>130</v>
      </c>
      <c r="F1588" s="100" t="s">
        <v>313</v>
      </c>
    </row>
    <row r="1589" spans="1:6">
      <c r="A1589" s="242" t="s">
        <v>155</v>
      </c>
      <c r="B1589" s="235"/>
      <c r="C1589" s="235"/>
      <c r="D1589" s="235"/>
      <c r="E1589" s="100" t="s">
        <v>130</v>
      </c>
      <c r="F1589" s="100" t="s">
        <v>313</v>
      </c>
    </row>
    <row r="1590" spans="1:6">
      <c r="A1590" s="242" t="s">
        <v>156</v>
      </c>
      <c r="B1590" s="235"/>
      <c r="C1590" s="235"/>
      <c r="D1590" s="235"/>
      <c r="E1590" s="100" t="s">
        <v>130</v>
      </c>
      <c r="F1590" s="100" t="s">
        <v>313</v>
      </c>
    </row>
    <row r="1591" spans="1:6">
      <c r="A1591" s="242" t="s">
        <v>157</v>
      </c>
      <c r="B1591" s="235"/>
      <c r="C1591" s="235"/>
      <c r="D1591" s="235"/>
      <c r="E1591" s="100" t="s">
        <v>130</v>
      </c>
      <c r="F1591" s="100" t="s">
        <v>313</v>
      </c>
    </row>
    <row r="1592" spans="1:6">
      <c r="A1592" s="242" t="s">
        <v>158</v>
      </c>
      <c r="B1592" s="235"/>
      <c r="C1592" s="235"/>
      <c r="D1592" s="235"/>
      <c r="E1592" s="100" t="s">
        <v>130</v>
      </c>
      <c r="F1592" s="100" t="s">
        <v>313</v>
      </c>
    </row>
    <row r="1593" spans="1:6">
      <c r="A1593" s="242" t="s">
        <v>159</v>
      </c>
      <c r="B1593" s="235"/>
      <c r="C1593" s="235"/>
      <c r="D1593" s="235"/>
      <c r="E1593" s="100" t="s">
        <v>130</v>
      </c>
      <c r="F1593" s="100" t="s">
        <v>313</v>
      </c>
    </row>
    <row r="1594" spans="1:6">
      <c r="A1594" s="248" t="s">
        <v>148</v>
      </c>
      <c r="B1594" s="249"/>
      <c r="C1594" s="249"/>
      <c r="D1594" s="249"/>
      <c r="E1594" s="100" t="s">
        <v>130</v>
      </c>
      <c r="F1594" s="100" t="s">
        <v>285</v>
      </c>
    </row>
    <row r="1595" spans="1:6">
      <c r="A1595" s="248" t="s">
        <v>149</v>
      </c>
      <c r="B1595" s="249"/>
      <c r="C1595" s="249"/>
      <c r="D1595" s="249"/>
      <c r="E1595" s="100" t="s">
        <v>130</v>
      </c>
      <c r="F1595" s="100" t="s">
        <v>285</v>
      </c>
    </row>
    <row r="1596" spans="1:6">
      <c r="A1596" s="248" t="s">
        <v>150</v>
      </c>
      <c r="B1596" s="249"/>
      <c r="C1596" s="249"/>
      <c r="D1596" s="249"/>
      <c r="E1596" s="100" t="s">
        <v>130</v>
      </c>
      <c r="F1596" s="100" t="s">
        <v>285</v>
      </c>
    </row>
    <row r="1597" spans="1:6">
      <c r="A1597" s="248" t="s">
        <v>151</v>
      </c>
      <c r="B1597" s="249"/>
      <c r="C1597" s="249"/>
      <c r="D1597" s="249"/>
      <c r="E1597" s="100" t="s">
        <v>130</v>
      </c>
      <c r="F1597" s="100" t="s">
        <v>285</v>
      </c>
    </row>
    <row r="1598" spans="1:6">
      <c r="A1598" s="248" t="s">
        <v>152</v>
      </c>
      <c r="B1598" s="249"/>
      <c r="C1598" s="249"/>
      <c r="D1598" s="249"/>
      <c r="E1598" s="100" t="s">
        <v>130</v>
      </c>
      <c r="F1598" s="100" t="s">
        <v>285</v>
      </c>
    </row>
    <row r="1599" spans="1:6">
      <c r="A1599" s="248" t="s">
        <v>153</v>
      </c>
      <c r="B1599" s="249"/>
      <c r="C1599" s="249"/>
      <c r="D1599" s="249"/>
      <c r="E1599" s="100" t="s">
        <v>130</v>
      </c>
      <c r="F1599" s="100" t="s">
        <v>285</v>
      </c>
    </row>
    <row r="1600" spans="1:6">
      <c r="A1600" s="248" t="s">
        <v>154</v>
      </c>
      <c r="B1600" s="249"/>
      <c r="C1600" s="249"/>
      <c r="D1600" s="249"/>
      <c r="E1600" s="100" t="s">
        <v>130</v>
      </c>
      <c r="F1600" s="100" t="s">
        <v>285</v>
      </c>
    </row>
    <row r="1601" spans="1:6">
      <c r="A1601" s="248" t="s">
        <v>155</v>
      </c>
      <c r="B1601" s="249"/>
      <c r="C1601" s="249"/>
      <c r="D1601" s="249"/>
      <c r="E1601" s="100" t="s">
        <v>130</v>
      </c>
      <c r="F1601" s="100" t="s">
        <v>285</v>
      </c>
    </row>
    <row r="1602" spans="1:6">
      <c r="A1602" s="248" t="s">
        <v>156</v>
      </c>
      <c r="B1602" s="249"/>
      <c r="C1602" s="249"/>
      <c r="D1602" s="249"/>
      <c r="E1602" s="100" t="s">
        <v>130</v>
      </c>
      <c r="F1602" s="100" t="s">
        <v>285</v>
      </c>
    </row>
    <row r="1603" spans="1:6">
      <c r="A1603" s="248" t="s">
        <v>157</v>
      </c>
      <c r="B1603" s="249"/>
      <c r="C1603" s="249"/>
      <c r="D1603" s="249"/>
      <c r="E1603" s="100" t="s">
        <v>130</v>
      </c>
      <c r="F1603" s="100" t="s">
        <v>285</v>
      </c>
    </row>
    <row r="1604" spans="1:6">
      <c r="A1604" s="248" t="s">
        <v>158</v>
      </c>
      <c r="B1604" s="249"/>
      <c r="C1604" s="249"/>
      <c r="D1604" s="249"/>
      <c r="E1604" s="100" t="s">
        <v>130</v>
      </c>
      <c r="F1604" s="100" t="s">
        <v>285</v>
      </c>
    </row>
    <row r="1605" spans="1:6">
      <c r="A1605" s="248" t="s">
        <v>159</v>
      </c>
      <c r="B1605" s="249"/>
      <c r="C1605" s="249"/>
      <c r="D1605" s="249"/>
      <c r="E1605" s="100" t="s">
        <v>130</v>
      </c>
      <c r="F1605" s="100" t="s">
        <v>285</v>
      </c>
    </row>
    <row r="1606" spans="1:6">
      <c r="A1606" s="242" t="s">
        <v>148</v>
      </c>
      <c r="B1606" s="235"/>
      <c r="C1606" s="235"/>
      <c r="D1606" s="235"/>
      <c r="E1606" s="100" t="s">
        <v>130</v>
      </c>
      <c r="F1606" s="100" t="s">
        <v>28</v>
      </c>
    </row>
    <row r="1607" spans="1:6">
      <c r="A1607" s="242" t="s">
        <v>149</v>
      </c>
      <c r="B1607" s="235"/>
      <c r="C1607" s="235"/>
      <c r="D1607" s="235"/>
      <c r="E1607" s="100" t="s">
        <v>130</v>
      </c>
      <c r="F1607" s="100" t="s">
        <v>28</v>
      </c>
    </row>
    <row r="1608" spans="1:6">
      <c r="A1608" s="242" t="s">
        <v>150</v>
      </c>
      <c r="B1608" s="235"/>
      <c r="C1608" s="235"/>
      <c r="D1608" s="235"/>
      <c r="E1608" s="100" t="s">
        <v>130</v>
      </c>
      <c r="F1608" s="100" t="s">
        <v>28</v>
      </c>
    </row>
    <row r="1609" spans="1:6">
      <c r="A1609" s="242" t="s">
        <v>151</v>
      </c>
      <c r="B1609" s="235"/>
      <c r="C1609" s="235"/>
      <c r="D1609" s="235"/>
      <c r="E1609" s="100" t="s">
        <v>130</v>
      </c>
      <c r="F1609" s="100" t="s">
        <v>28</v>
      </c>
    </row>
    <row r="1610" spans="1:6">
      <c r="A1610" s="242" t="s">
        <v>152</v>
      </c>
      <c r="B1610" s="235"/>
      <c r="C1610" s="235"/>
      <c r="D1610" s="235"/>
      <c r="E1610" s="100" t="s">
        <v>130</v>
      </c>
      <c r="F1610" s="100" t="s">
        <v>28</v>
      </c>
    </row>
    <row r="1611" spans="1:6">
      <c r="A1611" s="242" t="s">
        <v>153</v>
      </c>
      <c r="B1611" s="235"/>
      <c r="C1611" s="235"/>
      <c r="D1611" s="235"/>
      <c r="E1611" s="100" t="s">
        <v>130</v>
      </c>
      <c r="F1611" s="100" t="s">
        <v>28</v>
      </c>
    </row>
    <row r="1612" spans="1:6">
      <c r="A1612" s="242" t="s">
        <v>154</v>
      </c>
      <c r="B1612" s="235"/>
      <c r="C1612" s="235"/>
      <c r="D1612" s="235"/>
      <c r="E1612" s="100" t="s">
        <v>130</v>
      </c>
      <c r="F1612" s="100" t="s">
        <v>28</v>
      </c>
    </row>
    <row r="1613" spans="1:6">
      <c r="A1613" s="242" t="s">
        <v>155</v>
      </c>
      <c r="B1613" s="235"/>
      <c r="C1613" s="235"/>
      <c r="D1613" s="235"/>
      <c r="E1613" s="100" t="s">
        <v>130</v>
      </c>
      <c r="F1613" s="100" t="s">
        <v>28</v>
      </c>
    </row>
    <row r="1614" spans="1:6">
      <c r="A1614" s="242" t="s">
        <v>156</v>
      </c>
      <c r="B1614" s="235"/>
      <c r="C1614" s="235"/>
      <c r="D1614" s="235"/>
      <c r="E1614" s="100" t="s">
        <v>130</v>
      </c>
      <c r="F1614" s="100" t="s">
        <v>28</v>
      </c>
    </row>
    <row r="1615" spans="1:6">
      <c r="A1615" s="242" t="s">
        <v>157</v>
      </c>
      <c r="B1615" s="235"/>
      <c r="C1615" s="235"/>
      <c r="D1615" s="235"/>
      <c r="E1615" s="100" t="s">
        <v>130</v>
      </c>
      <c r="F1615" s="100" t="s">
        <v>28</v>
      </c>
    </row>
    <row r="1616" spans="1:6">
      <c r="A1616" s="242" t="s">
        <v>158</v>
      </c>
      <c r="B1616" s="235"/>
      <c r="C1616" s="235"/>
      <c r="D1616" s="235"/>
      <c r="E1616" s="100" t="s">
        <v>130</v>
      </c>
      <c r="F1616" s="100" t="s">
        <v>28</v>
      </c>
    </row>
    <row r="1617" spans="1:6">
      <c r="A1617" s="242" t="s">
        <v>159</v>
      </c>
      <c r="B1617" s="235"/>
      <c r="C1617" s="235"/>
      <c r="D1617" s="235"/>
      <c r="E1617" s="100" t="s">
        <v>130</v>
      </c>
      <c r="F1617" s="100" t="s">
        <v>28</v>
      </c>
    </row>
    <row r="1618" spans="1:6">
      <c r="A1618" s="248" t="s">
        <v>148</v>
      </c>
      <c r="B1618" s="249"/>
      <c r="C1618" s="249"/>
      <c r="D1618" s="249"/>
      <c r="E1618" s="100" t="s">
        <v>130</v>
      </c>
      <c r="F1618" s="250" t="s">
        <v>175</v>
      </c>
    </row>
    <row r="1619" spans="1:6">
      <c r="A1619" s="248" t="s">
        <v>149</v>
      </c>
      <c r="B1619" s="249"/>
      <c r="C1619" s="249"/>
      <c r="D1619" s="249"/>
      <c r="E1619" s="100" t="s">
        <v>130</v>
      </c>
      <c r="F1619" s="250" t="s">
        <v>175</v>
      </c>
    </row>
    <row r="1620" spans="1:6">
      <c r="A1620" s="248" t="s">
        <v>150</v>
      </c>
      <c r="B1620" s="249"/>
      <c r="C1620" s="249"/>
      <c r="D1620" s="249"/>
      <c r="E1620" s="100" t="s">
        <v>130</v>
      </c>
      <c r="F1620" s="250" t="s">
        <v>175</v>
      </c>
    </row>
    <row r="1621" spans="1:6">
      <c r="A1621" s="248" t="s">
        <v>151</v>
      </c>
      <c r="B1621" s="249"/>
      <c r="C1621" s="249"/>
      <c r="D1621" s="249"/>
      <c r="E1621" s="100" t="s">
        <v>130</v>
      </c>
      <c r="F1621" s="250" t="s">
        <v>175</v>
      </c>
    </row>
    <row r="1622" spans="1:6">
      <c r="A1622" s="248" t="s">
        <v>152</v>
      </c>
      <c r="B1622" s="249"/>
      <c r="C1622" s="249"/>
      <c r="D1622" s="249"/>
      <c r="E1622" s="100" t="s">
        <v>130</v>
      </c>
      <c r="F1622" s="250" t="s">
        <v>175</v>
      </c>
    </row>
    <row r="1623" spans="1:6">
      <c r="A1623" s="248" t="s">
        <v>153</v>
      </c>
      <c r="B1623" s="249"/>
      <c r="C1623" s="249"/>
      <c r="D1623" s="249"/>
      <c r="E1623" s="100" t="s">
        <v>130</v>
      </c>
      <c r="F1623" s="250" t="s">
        <v>175</v>
      </c>
    </row>
    <row r="1624" spans="1:6">
      <c r="A1624" s="248" t="s">
        <v>154</v>
      </c>
      <c r="B1624" s="249"/>
      <c r="C1624" s="249"/>
      <c r="D1624" s="249"/>
      <c r="E1624" s="100" t="s">
        <v>130</v>
      </c>
      <c r="F1624" s="250" t="s">
        <v>175</v>
      </c>
    </row>
    <row r="1625" spans="1:6">
      <c r="A1625" s="248" t="s">
        <v>155</v>
      </c>
      <c r="B1625" s="249"/>
      <c r="C1625" s="249"/>
      <c r="D1625" s="249"/>
      <c r="E1625" s="100" t="s">
        <v>130</v>
      </c>
      <c r="F1625" s="250" t="s">
        <v>175</v>
      </c>
    </row>
    <row r="1626" spans="1:6">
      <c r="A1626" s="248" t="s">
        <v>156</v>
      </c>
      <c r="B1626" s="249"/>
      <c r="C1626" s="249"/>
      <c r="D1626" s="249"/>
      <c r="E1626" s="100" t="s">
        <v>130</v>
      </c>
      <c r="F1626" s="250" t="s">
        <v>175</v>
      </c>
    </row>
    <row r="1627" spans="1:6">
      <c r="A1627" s="248" t="s">
        <v>157</v>
      </c>
      <c r="B1627" s="249"/>
      <c r="C1627" s="249"/>
      <c r="D1627" s="249"/>
      <c r="E1627" s="100" t="s">
        <v>130</v>
      </c>
      <c r="F1627" s="250" t="s">
        <v>175</v>
      </c>
    </row>
    <row r="1628" spans="1:6">
      <c r="A1628" s="248" t="s">
        <v>158</v>
      </c>
      <c r="B1628" s="249"/>
      <c r="C1628" s="249"/>
      <c r="D1628" s="249"/>
      <c r="E1628" s="100" t="s">
        <v>130</v>
      </c>
      <c r="F1628" s="250" t="s">
        <v>175</v>
      </c>
    </row>
    <row r="1629" spans="1:6">
      <c r="A1629" s="248" t="s">
        <v>159</v>
      </c>
      <c r="B1629" s="249"/>
      <c r="C1629" s="249"/>
      <c r="D1629" s="249"/>
      <c r="E1629" s="100" t="s">
        <v>130</v>
      </c>
      <c r="F1629" s="250" t="s">
        <v>175</v>
      </c>
    </row>
    <row r="1630" spans="1:6">
      <c r="A1630" s="242" t="s">
        <v>148</v>
      </c>
      <c r="B1630" s="235"/>
      <c r="C1630" s="235"/>
      <c r="D1630" s="235"/>
      <c r="E1630" s="100" t="s">
        <v>131</v>
      </c>
      <c r="F1630" s="100" t="s">
        <v>284</v>
      </c>
    </row>
    <row r="1631" spans="1:6">
      <c r="A1631" s="242" t="s">
        <v>149</v>
      </c>
      <c r="B1631" s="235"/>
      <c r="C1631" s="235"/>
      <c r="D1631" s="235"/>
      <c r="E1631" s="100" t="s">
        <v>131</v>
      </c>
      <c r="F1631" s="100" t="s">
        <v>284</v>
      </c>
    </row>
    <row r="1632" spans="1:6">
      <c r="A1632" s="242" t="s">
        <v>150</v>
      </c>
      <c r="B1632" s="235"/>
      <c r="C1632" s="235"/>
      <c r="D1632" s="235"/>
      <c r="E1632" s="100" t="s">
        <v>131</v>
      </c>
      <c r="F1632" s="100" t="s">
        <v>284</v>
      </c>
    </row>
    <row r="1633" spans="1:6">
      <c r="A1633" s="242" t="s">
        <v>151</v>
      </c>
      <c r="B1633" s="235"/>
      <c r="C1633" s="235"/>
      <c r="D1633" s="235"/>
      <c r="E1633" s="100" t="s">
        <v>131</v>
      </c>
      <c r="F1633" s="100" t="s">
        <v>284</v>
      </c>
    </row>
    <row r="1634" spans="1:6">
      <c r="A1634" s="242" t="s">
        <v>152</v>
      </c>
      <c r="B1634" s="235"/>
      <c r="C1634" s="235"/>
      <c r="D1634" s="235"/>
      <c r="E1634" s="100" t="s">
        <v>131</v>
      </c>
      <c r="F1634" s="100" t="s">
        <v>284</v>
      </c>
    </row>
    <row r="1635" spans="1:6">
      <c r="A1635" s="242" t="s">
        <v>153</v>
      </c>
      <c r="B1635" s="235"/>
      <c r="C1635" s="235"/>
      <c r="D1635" s="235"/>
      <c r="E1635" s="100" t="s">
        <v>131</v>
      </c>
      <c r="F1635" s="100" t="s">
        <v>284</v>
      </c>
    </row>
    <row r="1636" spans="1:6">
      <c r="A1636" s="242" t="s">
        <v>154</v>
      </c>
      <c r="B1636" s="235"/>
      <c r="C1636" s="235"/>
      <c r="D1636" s="235"/>
      <c r="E1636" s="100" t="s">
        <v>131</v>
      </c>
      <c r="F1636" s="100" t="s">
        <v>284</v>
      </c>
    </row>
    <row r="1637" spans="1:6">
      <c r="A1637" s="242" t="s">
        <v>155</v>
      </c>
      <c r="B1637" s="235"/>
      <c r="C1637" s="235"/>
      <c r="D1637" s="235"/>
      <c r="E1637" s="100" t="s">
        <v>131</v>
      </c>
      <c r="F1637" s="100" t="s">
        <v>284</v>
      </c>
    </row>
    <row r="1638" spans="1:6">
      <c r="A1638" s="242" t="s">
        <v>156</v>
      </c>
      <c r="B1638" s="235"/>
      <c r="C1638" s="235"/>
      <c r="D1638" s="235"/>
      <c r="E1638" s="100" t="s">
        <v>131</v>
      </c>
      <c r="F1638" s="100" t="s">
        <v>284</v>
      </c>
    </row>
    <row r="1639" spans="1:6">
      <c r="A1639" s="242" t="s">
        <v>157</v>
      </c>
      <c r="B1639" s="235"/>
      <c r="C1639" s="235"/>
      <c r="D1639" s="235"/>
      <c r="E1639" s="100" t="s">
        <v>131</v>
      </c>
      <c r="F1639" s="100" t="s">
        <v>284</v>
      </c>
    </row>
    <row r="1640" spans="1:6">
      <c r="A1640" s="242" t="s">
        <v>158</v>
      </c>
      <c r="B1640" s="235"/>
      <c r="C1640" s="235"/>
      <c r="D1640" s="235"/>
      <c r="E1640" s="100" t="s">
        <v>131</v>
      </c>
      <c r="F1640" s="100" t="s">
        <v>284</v>
      </c>
    </row>
    <row r="1641" spans="1:6">
      <c r="A1641" s="242" t="s">
        <v>159</v>
      </c>
      <c r="B1641" s="235"/>
      <c r="C1641" s="235"/>
      <c r="D1641" s="235"/>
      <c r="E1641" s="100" t="s">
        <v>131</v>
      </c>
      <c r="F1641" s="100" t="s">
        <v>284</v>
      </c>
    </row>
    <row r="1642" spans="1:6">
      <c r="A1642" s="248" t="s">
        <v>148</v>
      </c>
      <c r="B1642" s="249"/>
      <c r="C1642" s="249"/>
      <c r="D1642" s="249"/>
      <c r="E1642" s="100" t="s">
        <v>131</v>
      </c>
      <c r="F1642" s="100" t="s">
        <v>286</v>
      </c>
    </row>
    <row r="1643" spans="1:6">
      <c r="A1643" s="248" t="s">
        <v>149</v>
      </c>
      <c r="B1643" s="249"/>
      <c r="C1643" s="249"/>
      <c r="D1643" s="249"/>
      <c r="E1643" s="100" t="s">
        <v>131</v>
      </c>
      <c r="F1643" s="100" t="s">
        <v>286</v>
      </c>
    </row>
    <row r="1644" spans="1:6">
      <c r="A1644" s="248" t="s">
        <v>150</v>
      </c>
      <c r="B1644" s="249"/>
      <c r="C1644" s="249"/>
      <c r="D1644" s="249"/>
      <c r="E1644" s="100" t="s">
        <v>131</v>
      </c>
      <c r="F1644" s="100" t="s">
        <v>286</v>
      </c>
    </row>
    <row r="1645" spans="1:6">
      <c r="A1645" s="248" t="s">
        <v>151</v>
      </c>
      <c r="B1645" s="249"/>
      <c r="C1645" s="249"/>
      <c r="D1645" s="249"/>
      <c r="E1645" s="100" t="s">
        <v>131</v>
      </c>
      <c r="F1645" s="100" t="s">
        <v>286</v>
      </c>
    </row>
    <row r="1646" spans="1:6">
      <c r="A1646" s="248" t="s">
        <v>152</v>
      </c>
      <c r="B1646" s="249"/>
      <c r="C1646" s="249"/>
      <c r="D1646" s="249"/>
      <c r="E1646" s="100" t="s">
        <v>131</v>
      </c>
      <c r="F1646" s="100" t="s">
        <v>286</v>
      </c>
    </row>
    <row r="1647" spans="1:6">
      <c r="A1647" s="248" t="s">
        <v>153</v>
      </c>
      <c r="B1647" s="249"/>
      <c r="C1647" s="249"/>
      <c r="D1647" s="249"/>
      <c r="E1647" s="100" t="s">
        <v>131</v>
      </c>
      <c r="F1647" s="100" t="s">
        <v>286</v>
      </c>
    </row>
    <row r="1648" spans="1:6">
      <c r="A1648" s="248" t="s">
        <v>154</v>
      </c>
      <c r="B1648" s="249"/>
      <c r="C1648" s="249"/>
      <c r="D1648" s="249"/>
      <c r="E1648" s="100" t="s">
        <v>131</v>
      </c>
      <c r="F1648" s="100" t="s">
        <v>286</v>
      </c>
    </row>
    <row r="1649" spans="1:6">
      <c r="A1649" s="248" t="s">
        <v>155</v>
      </c>
      <c r="B1649" s="249"/>
      <c r="C1649" s="249"/>
      <c r="D1649" s="249"/>
      <c r="E1649" s="100" t="s">
        <v>131</v>
      </c>
      <c r="F1649" s="100" t="s">
        <v>286</v>
      </c>
    </row>
    <row r="1650" spans="1:6">
      <c r="A1650" s="248" t="s">
        <v>156</v>
      </c>
      <c r="B1650" s="249"/>
      <c r="C1650" s="249"/>
      <c r="D1650" s="249"/>
      <c r="E1650" s="100" t="s">
        <v>131</v>
      </c>
      <c r="F1650" s="100" t="s">
        <v>286</v>
      </c>
    </row>
    <row r="1651" spans="1:6">
      <c r="A1651" s="248" t="s">
        <v>157</v>
      </c>
      <c r="B1651" s="249"/>
      <c r="C1651" s="249"/>
      <c r="D1651" s="249"/>
      <c r="E1651" s="100" t="s">
        <v>131</v>
      </c>
      <c r="F1651" s="100" t="s">
        <v>286</v>
      </c>
    </row>
    <row r="1652" spans="1:6">
      <c r="A1652" s="248" t="s">
        <v>158</v>
      </c>
      <c r="B1652" s="249"/>
      <c r="C1652" s="249"/>
      <c r="D1652" s="249"/>
      <c r="E1652" s="100" t="s">
        <v>131</v>
      </c>
      <c r="F1652" s="100" t="s">
        <v>286</v>
      </c>
    </row>
    <row r="1653" spans="1:6">
      <c r="A1653" s="248" t="s">
        <v>159</v>
      </c>
      <c r="B1653" s="249"/>
      <c r="C1653" s="249"/>
      <c r="D1653" s="249"/>
      <c r="E1653" s="100" t="s">
        <v>131</v>
      </c>
      <c r="F1653" s="100" t="s">
        <v>286</v>
      </c>
    </row>
    <row r="1654" spans="1:6">
      <c r="A1654" s="242" t="s">
        <v>148</v>
      </c>
      <c r="B1654" s="235"/>
      <c r="C1654" s="235"/>
      <c r="D1654" s="235"/>
      <c r="E1654" s="100" t="s">
        <v>131</v>
      </c>
      <c r="F1654" s="100" t="s">
        <v>313</v>
      </c>
    </row>
    <row r="1655" spans="1:6">
      <c r="A1655" s="242" t="s">
        <v>149</v>
      </c>
      <c r="B1655" s="235"/>
      <c r="C1655" s="235"/>
      <c r="D1655" s="235"/>
      <c r="E1655" s="100" t="s">
        <v>131</v>
      </c>
      <c r="F1655" s="100" t="s">
        <v>313</v>
      </c>
    </row>
    <row r="1656" spans="1:6">
      <c r="A1656" s="242" t="s">
        <v>150</v>
      </c>
      <c r="B1656" s="235"/>
      <c r="C1656" s="235"/>
      <c r="D1656" s="235"/>
      <c r="E1656" s="100" t="s">
        <v>131</v>
      </c>
      <c r="F1656" s="100" t="s">
        <v>313</v>
      </c>
    </row>
    <row r="1657" spans="1:6">
      <c r="A1657" s="242" t="s">
        <v>151</v>
      </c>
      <c r="B1657" s="235"/>
      <c r="C1657" s="235"/>
      <c r="D1657" s="235"/>
      <c r="E1657" s="100" t="s">
        <v>131</v>
      </c>
      <c r="F1657" s="100" t="s">
        <v>313</v>
      </c>
    </row>
    <row r="1658" spans="1:6">
      <c r="A1658" s="242" t="s">
        <v>152</v>
      </c>
      <c r="B1658" s="235"/>
      <c r="C1658" s="235"/>
      <c r="D1658" s="235"/>
      <c r="E1658" s="100" t="s">
        <v>131</v>
      </c>
      <c r="F1658" s="100" t="s">
        <v>313</v>
      </c>
    </row>
    <row r="1659" spans="1:6">
      <c r="A1659" s="242" t="s">
        <v>153</v>
      </c>
      <c r="B1659" s="235"/>
      <c r="C1659" s="235"/>
      <c r="D1659" s="235"/>
      <c r="E1659" s="100" t="s">
        <v>131</v>
      </c>
      <c r="F1659" s="100" t="s">
        <v>313</v>
      </c>
    </row>
    <row r="1660" spans="1:6">
      <c r="A1660" s="242" t="s">
        <v>154</v>
      </c>
      <c r="B1660" s="235"/>
      <c r="C1660" s="235"/>
      <c r="D1660" s="235"/>
      <c r="E1660" s="100" t="s">
        <v>131</v>
      </c>
      <c r="F1660" s="100" t="s">
        <v>313</v>
      </c>
    </row>
    <row r="1661" spans="1:6">
      <c r="A1661" s="242" t="s">
        <v>155</v>
      </c>
      <c r="B1661" s="235"/>
      <c r="C1661" s="235"/>
      <c r="D1661" s="235"/>
      <c r="E1661" s="100" t="s">
        <v>131</v>
      </c>
      <c r="F1661" s="100" t="s">
        <v>313</v>
      </c>
    </row>
    <row r="1662" spans="1:6">
      <c r="A1662" s="242" t="s">
        <v>156</v>
      </c>
      <c r="B1662" s="235"/>
      <c r="C1662" s="235"/>
      <c r="D1662" s="235"/>
      <c r="E1662" s="100" t="s">
        <v>131</v>
      </c>
      <c r="F1662" s="100" t="s">
        <v>313</v>
      </c>
    </row>
    <row r="1663" spans="1:6">
      <c r="A1663" s="242" t="s">
        <v>157</v>
      </c>
      <c r="B1663" s="235"/>
      <c r="C1663" s="235"/>
      <c r="D1663" s="235"/>
      <c r="E1663" s="100" t="s">
        <v>131</v>
      </c>
      <c r="F1663" s="100" t="s">
        <v>313</v>
      </c>
    </row>
    <row r="1664" spans="1:6">
      <c r="A1664" s="242" t="s">
        <v>158</v>
      </c>
      <c r="B1664" s="235"/>
      <c r="C1664" s="235"/>
      <c r="D1664" s="235"/>
      <c r="E1664" s="100" t="s">
        <v>131</v>
      </c>
      <c r="F1664" s="100" t="s">
        <v>313</v>
      </c>
    </row>
    <row r="1665" spans="1:6">
      <c r="A1665" s="242" t="s">
        <v>159</v>
      </c>
      <c r="B1665" s="235"/>
      <c r="C1665" s="235"/>
      <c r="D1665" s="235"/>
      <c r="E1665" s="100" t="s">
        <v>131</v>
      </c>
      <c r="F1665" s="100" t="s">
        <v>313</v>
      </c>
    </row>
    <row r="1666" spans="1:6">
      <c r="A1666" s="248" t="s">
        <v>148</v>
      </c>
      <c r="B1666" s="249"/>
      <c r="C1666" s="249"/>
      <c r="D1666" s="249"/>
      <c r="E1666" s="100" t="s">
        <v>131</v>
      </c>
      <c r="F1666" s="100" t="s">
        <v>285</v>
      </c>
    </row>
    <row r="1667" spans="1:6">
      <c r="A1667" s="248" t="s">
        <v>149</v>
      </c>
      <c r="B1667" s="249"/>
      <c r="C1667" s="249"/>
      <c r="D1667" s="249"/>
      <c r="E1667" s="100" t="s">
        <v>131</v>
      </c>
      <c r="F1667" s="100" t="s">
        <v>285</v>
      </c>
    </row>
    <row r="1668" spans="1:6">
      <c r="A1668" s="248" t="s">
        <v>150</v>
      </c>
      <c r="B1668" s="249"/>
      <c r="C1668" s="249"/>
      <c r="D1668" s="249"/>
      <c r="E1668" s="100" t="s">
        <v>131</v>
      </c>
      <c r="F1668" s="100" t="s">
        <v>285</v>
      </c>
    </row>
    <row r="1669" spans="1:6">
      <c r="A1669" s="248" t="s">
        <v>151</v>
      </c>
      <c r="B1669" s="249"/>
      <c r="C1669" s="249"/>
      <c r="D1669" s="249"/>
      <c r="E1669" s="100" t="s">
        <v>131</v>
      </c>
      <c r="F1669" s="100" t="s">
        <v>285</v>
      </c>
    </row>
    <row r="1670" spans="1:6">
      <c r="A1670" s="248" t="s">
        <v>152</v>
      </c>
      <c r="B1670" s="249"/>
      <c r="C1670" s="249"/>
      <c r="D1670" s="249"/>
      <c r="E1670" s="100" t="s">
        <v>131</v>
      </c>
      <c r="F1670" s="100" t="s">
        <v>285</v>
      </c>
    </row>
    <row r="1671" spans="1:6">
      <c r="A1671" s="248" t="s">
        <v>153</v>
      </c>
      <c r="B1671" s="249"/>
      <c r="C1671" s="249"/>
      <c r="D1671" s="249"/>
      <c r="E1671" s="100" t="s">
        <v>131</v>
      </c>
      <c r="F1671" s="100" t="s">
        <v>285</v>
      </c>
    </row>
    <row r="1672" spans="1:6">
      <c r="A1672" s="248" t="s">
        <v>154</v>
      </c>
      <c r="B1672" s="249"/>
      <c r="C1672" s="249"/>
      <c r="D1672" s="249"/>
      <c r="E1672" s="100" t="s">
        <v>131</v>
      </c>
      <c r="F1672" s="100" t="s">
        <v>285</v>
      </c>
    </row>
    <row r="1673" spans="1:6">
      <c r="A1673" s="248" t="s">
        <v>155</v>
      </c>
      <c r="B1673" s="249"/>
      <c r="C1673" s="249"/>
      <c r="D1673" s="249"/>
      <c r="E1673" s="100" t="s">
        <v>131</v>
      </c>
      <c r="F1673" s="100" t="s">
        <v>285</v>
      </c>
    </row>
    <row r="1674" spans="1:6">
      <c r="A1674" s="248" t="s">
        <v>156</v>
      </c>
      <c r="B1674" s="249"/>
      <c r="C1674" s="249"/>
      <c r="D1674" s="249"/>
      <c r="E1674" s="100" t="s">
        <v>131</v>
      </c>
      <c r="F1674" s="100" t="s">
        <v>285</v>
      </c>
    </row>
    <row r="1675" spans="1:6">
      <c r="A1675" s="248" t="s">
        <v>157</v>
      </c>
      <c r="B1675" s="249"/>
      <c r="C1675" s="249"/>
      <c r="D1675" s="249"/>
      <c r="E1675" s="100" t="s">
        <v>131</v>
      </c>
      <c r="F1675" s="100" t="s">
        <v>285</v>
      </c>
    </row>
    <row r="1676" spans="1:6">
      <c r="A1676" s="248" t="s">
        <v>158</v>
      </c>
      <c r="B1676" s="249"/>
      <c r="C1676" s="249"/>
      <c r="D1676" s="249"/>
      <c r="E1676" s="100" t="s">
        <v>131</v>
      </c>
      <c r="F1676" s="100" t="s">
        <v>285</v>
      </c>
    </row>
    <row r="1677" spans="1:6">
      <c r="A1677" s="248" t="s">
        <v>159</v>
      </c>
      <c r="B1677" s="249"/>
      <c r="C1677" s="249"/>
      <c r="D1677" s="249"/>
      <c r="E1677" s="100" t="s">
        <v>131</v>
      </c>
      <c r="F1677" s="100" t="s">
        <v>285</v>
      </c>
    </row>
    <row r="1678" spans="1:6">
      <c r="A1678" s="242" t="s">
        <v>148</v>
      </c>
      <c r="B1678" s="235"/>
      <c r="C1678" s="235"/>
      <c r="D1678" s="235"/>
      <c r="E1678" s="100" t="s">
        <v>131</v>
      </c>
      <c r="F1678" s="100" t="s">
        <v>28</v>
      </c>
    </row>
    <row r="1679" spans="1:6">
      <c r="A1679" s="242" t="s">
        <v>149</v>
      </c>
      <c r="B1679" s="235"/>
      <c r="C1679" s="235"/>
      <c r="D1679" s="235"/>
      <c r="E1679" s="100" t="s">
        <v>131</v>
      </c>
      <c r="F1679" s="100" t="s">
        <v>28</v>
      </c>
    </row>
    <row r="1680" spans="1:6">
      <c r="A1680" s="242" t="s">
        <v>150</v>
      </c>
      <c r="B1680" s="235"/>
      <c r="C1680" s="235"/>
      <c r="D1680" s="235"/>
      <c r="E1680" s="100" t="s">
        <v>131</v>
      </c>
      <c r="F1680" s="100" t="s">
        <v>28</v>
      </c>
    </row>
    <row r="1681" spans="1:6">
      <c r="A1681" s="242" t="s">
        <v>151</v>
      </c>
      <c r="B1681" s="235"/>
      <c r="C1681" s="235"/>
      <c r="D1681" s="235"/>
      <c r="E1681" s="100" t="s">
        <v>131</v>
      </c>
      <c r="F1681" s="100" t="s">
        <v>28</v>
      </c>
    </row>
    <row r="1682" spans="1:6">
      <c r="A1682" s="242" t="s">
        <v>152</v>
      </c>
      <c r="B1682" s="235"/>
      <c r="C1682" s="235"/>
      <c r="D1682" s="235"/>
      <c r="E1682" s="100" t="s">
        <v>131</v>
      </c>
      <c r="F1682" s="100" t="s">
        <v>28</v>
      </c>
    </row>
    <row r="1683" spans="1:6">
      <c r="A1683" s="242" t="s">
        <v>153</v>
      </c>
      <c r="B1683" s="235"/>
      <c r="C1683" s="235"/>
      <c r="D1683" s="235"/>
      <c r="E1683" s="100" t="s">
        <v>131</v>
      </c>
      <c r="F1683" s="100" t="s">
        <v>28</v>
      </c>
    </row>
    <row r="1684" spans="1:6">
      <c r="A1684" s="242" t="s">
        <v>154</v>
      </c>
      <c r="B1684" s="235"/>
      <c r="C1684" s="235"/>
      <c r="D1684" s="235"/>
      <c r="E1684" s="100" t="s">
        <v>131</v>
      </c>
      <c r="F1684" s="100" t="s">
        <v>28</v>
      </c>
    </row>
    <row r="1685" spans="1:6">
      <c r="A1685" s="242" t="s">
        <v>155</v>
      </c>
      <c r="B1685" s="235"/>
      <c r="C1685" s="235"/>
      <c r="D1685" s="235"/>
      <c r="E1685" s="100" t="s">
        <v>131</v>
      </c>
      <c r="F1685" s="100" t="s">
        <v>28</v>
      </c>
    </row>
    <row r="1686" spans="1:6">
      <c r="A1686" s="242" t="s">
        <v>156</v>
      </c>
      <c r="B1686" s="235"/>
      <c r="C1686" s="235"/>
      <c r="D1686" s="235"/>
      <c r="E1686" s="100" t="s">
        <v>131</v>
      </c>
      <c r="F1686" s="100" t="s">
        <v>28</v>
      </c>
    </row>
    <row r="1687" spans="1:6">
      <c r="A1687" s="242" t="s">
        <v>157</v>
      </c>
      <c r="B1687" s="235"/>
      <c r="C1687" s="235"/>
      <c r="D1687" s="235"/>
      <c r="E1687" s="100" t="s">
        <v>131</v>
      </c>
      <c r="F1687" s="100" t="s">
        <v>28</v>
      </c>
    </row>
    <row r="1688" spans="1:6">
      <c r="A1688" s="242" t="s">
        <v>158</v>
      </c>
      <c r="B1688" s="235"/>
      <c r="C1688" s="235"/>
      <c r="D1688" s="235"/>
      <c r="E1688" s="100" t="s">
        <v>131</v>
      </c>
      <c r="F1688" s="100" t="s">
        <v>28</v>
      </c>
    </row>
    <row r="1689" spans="1:6">
      <c r="A1689" s="242" t="s">
        <v>159</v>
      </c>
      <c r="B1689" s="235"/>
      <c r="C1689" s="235"/>
      <c r="D1689" s="235"/>
      <c r="E1689" s="100" t="s">
        <v>131</v>
      </c>
      <c r="F1689" s="100" t="s">
        <v>28</v>
      </c>
    </row>
    <row r="1690" spans="1:6">
      <c r="A1690" s="248" t="s">
        <v>148</v>
      </c>
      <c r="B1690" s="249"/>
      <c r="C1690" s="249"/>
      <c r="D1690" s="249"/>
      <c r="E1690" s="100" t="s">
        <v>131</v>
      </c>
      <c r="F1690" s="250" t="s">
        <v>175</v>
      </c>
    </row>
    <row r="1691" spans="1:6">
      <c r="A1691" s="248" t="s">
        <v>149</v>
      </c>
      <c r="B1691" s="249"/>
      <c r="C1691" s="249"/>
      <c r="D1691" s="249"/>
      <c r="E1691" s="100" t="s">
        <v>131</v>
      </c>
      <c r="F1691" s="250" t="s">
        <v>175</v>
      </c>
    </row>
    <row r="1692" spans="1:6">
      <c r="A1692" s="248" t="s">
        <v>150</v>
      </c>
      <c r="B1692" s="249"/>
      <c r="C1692" s="249"/>
      <c r="D1692" s="249"/>
      <c r="E1692" s="100" t="s">
        <v>131</v>
      </c>
      <c r="F1692" s="250" t="s">
        <v>175</v>
      </c>
    </row>
    <row r="1693" spans="1:6">
      <c r="A1693" s="248" t="s">
        <v>151</v>
      </c>
      <c r="B1693" s="249"/>
      <c r="C1693" s="249"/>
      <c r="D1693" s="249"/>
      <c r="E1693" s="100" t="s">
        <v>131</v>
      </c>
      <c r="F1693" s="250" t="s">
        <v>175</v>
      </c>
    </row>
    <row r="1694" spans="1:6">
      <c r="A1694" s="248" t="s">
        <v>152</v>
      </c>
      <c r="B1694" s="249"/>
      <c r="C1694" s="249"/>
      <c r="D1694" s="249"/>
      <c r="E1694" s="100" t="s">
        <v>131</v>
      </c>
      <c r="F1694" s="250" t="s">
        <v>175</v>
      </c>
    </row>
    <row r="1695" spans="1:6">
      <c r="A1695" s="248" t="s">
        <v>153</v>
      </c>
      <c r="B1695" s="249"/>
      <c r="C1695" s="249"/>
      <c r="D1695" s="249"/>
      <c r="E1695" s="100" t="s">
        <v>131</v>
      </c>
      <c r="F1695" s="250" t="s">
        <v>175</v>
      </c>
    </row>
    <row r="1696" spans="1:6">
      <c r="A1696" s="248" t="s">
        <v>154</v>
      </c>
      <c r="B1696" s="249"/>
      <c r="C1696" s="249"/>
      <c r="D1696" s="249"/>
      <c r="E1696" s="100" t="s">
        <v>131</v>
      </c>
      <c r="F1696" s="250" t="s">
        <v>175</v>
      </c>
    </row>
    <row r="1697" spans="1:6">
      <c r="A1697" s="248" t="s">
        <v>155</v>
      </c>
      <c r="B1697" s="249"/>
      <c r="C1697" s="249"/>
      <c r="D1697" s="249"/>
      <c r="E1697" s="100" t="s">
        <v>131</v>
      </c>
      <c r="F1697" s="250" t="s">
        <v>175</v>
      </c>
    </row>
    <row r="1698" spans="1:6">
      <c r="A1698" s="248" t="s">
        <v>156</v>
      </c>
      <c r="B1698" s="249"/>
      <c r="C1698" s="249"/>
      <c r="D1698" s="249"/>
      <c r="E1698" s="100" t="s">
        <v>131</v>
      </c>
      <c r="F1698" s="250" t="s">
        <v>175</v>
      </c>
    </row>
    <row r="1699" spans="1:6">
      <c r="A1699" s="248" t="s">
        <v>157</v>
      </c>
      <c r="B1699" s="249"/>
      <c r="C1699" s="249"/>
      <c r="D1699" s="249"/>
      <c r="E1699" s="100" t="s">
        <v>131</v>
      </c>
      <c r="F1699" s="250" t="s">
        <v>175</v>
      </c>
    </row>
    <row r="1700" spans="1:6">
      <c r="A1700" s="248" t="s">
        <v>158</v>
      </c>
      <c r="B1700" s="249"/>
      <c r="C1700" s="249"/>
      <c r="D1700" s="249"/>
      <c r="E1700" s="100" t="s">
        <v>131</v>
      </c>
      <c r="F1700" s="250" t="s">
        <v>175</v>
      </c>
    </row>
    <row r="1701" spans="1:6">
      <c r="A1701" s="248" t="s">
        <v>159</v>
      </c>
      <c r="B1701" s="249"/>
      <c r="C1701" s="249"/>
      <c r="D1701" s="249"/>
      <c r="E1701" s="100" t="s">
        <v>131</v>
      </c>
      <c r="F1701" s="250" t="s">
        <v>175</v>
      </c>
    </row>
    <row r="1702" spans="1:6">
      <c r="A1702" s="242" t="s">
        <v>148</v>
      </c>
      <c r="B1702" s="235"/>
      <c r="C1702" s="235"/>
      <c r="D1702" s="235"/>
      <c r="E1702" s="100" t="s">
        <v>132</v>
      </c>
      <c r="F1702" s="100" t="s">
        <v>284</v>
      </c>
    </row>
    <row r="1703" spans="1:6">
      <c r="A1703" s="242" t="s">
        <v>149</v>
      </c>
      <c r="B1703" s="235"/>
      <c r="C1703" s="235"/>
      <c r="D1703" s="235"/>
      <c r="E1703" s="100" t="s">
        <v>132</v>
      </c>
      <c r="F1703" s="100" t="s">
        <v>284</v>
      </c>
    </row>
    <row r="1704" spans="1:6">
      <c r="A1704" s="242" t="s">
        <v>150</v>
      </c>
      <c r="B1704" s="235"/>
      <c r="C1704" s="235"/>
      <c r="D1704" s="235"/>
      <c r="E1704" s="100" t="s">
        <v>132</v>
      </c>
      <c r="F1704" s="100" t="s">
        <v>284</v>
      </c>
    </row>
    <row r="1705" spans="1:6">
      <c r="A1705" s="242" t="s">
        <v>151</v>
      </c>
      <c r="B1705" s="235"/>
      <c r="C1705" s="235"/>
      <c r="D1705" s="235"/>
      <c r="E1705" s="100" t="s">
        <v>132</v>
      </c>
      <c r="F1705" s="100" t="s">
        <v>284</v>
      </c>
    </row>
    <row r="1706" spans="1:6">
      <c r="A1706" s="242" t="s">
        <v>152</v>
      </c>
      <c r="B1706" s="235"/>
      <c r="C1706" s="235"/>
      <c r="D1706" s="235"/>
      <c r="E1706" s="100" t="s">
        <v>132</v>
      </c>
      <c r="F1706" s="100" t="s">
        <v>284</v>
      </c>
    </row>
    <row r="1707" spans="1:6">
      <c r="A1707" s="242" t="s">
        <v>153</v>
      </c>
      <c r="B1707" s="235"/>
      <c r="C1707" s="235"/>
      <c r="D1707" s="235"/>
      <c r="E1707" s="100" t="s">
        <v>132</v>
      </c>
      <c r="F1707" s="100" t="s">
        <v>284</v>
      </c>
    </row>
    <row r="1708" spans="1:6">
      <c r="A1708" s="242" t="s">
        <v>154</v>
      </c>
      <c r="B1708" s="235"/>
      <c r="C1708" s="235"/>
      <c r="D1708" s="235"/>
      <c r="E1708" s="100" t="s">
        <v>132</v>
      </c>
      <c r="F1708" s="100" t="s">
        <v>284</v>
      </c>
    </row>
    <row r="1709" spans="1:6">
      <c r="A1709" s="242" t="s">
        <v>155</v>
      </c>
      <c r="B1709" s="235"/>
      <c r="C1709" s="235"/>
      <c r="D1709" s="235"/>
      <c r="E1709" s="100" t="s">
        <v>132</v>
      </c>
      <c r="F1709" s="100" t="s">
        <v>284</v>
      </c>
    </row>
    <row r="1710" spans="1:6">
      <c r="A1710" s="242" t="s">
        <v>156</v>
      </c>
      <c r="B1710" s="235"/>
      <c r="C1710" s="235"/>
      <c r="D1710" s="235"/>
      <c r="E1710" s="100" t="s">
        <v>132</v>
      </c>
      <c r="F1710" s="100" t="s">
        <v>284</v>
      </c>
    </row>
    <row r="1711" spans="1:6">
      <c r="A1711" s="242" t="s">
        <v>157</v>
      </c>
      <c r="B1711" s="235"/>
      <c r="C1711" s="235"/>
      <c r="D1711" s="235"/>
      <c r="E1711" s="100" t="s">
        <v>132</v>
      </c>
      <c r="F1711" s="100" t="s">
        <v>284</v>
      </c>
    </row>
    <row r="1712" spans="1:6">
      <c r="A1712" s="242" t="s">
        <v>158</v>
      </c>
      <c r="B1712" s="235"/>
      <c r="C1712" s="235"/>
      <c r="D1712" s="235"/>
      <c r="E1712" s="100" t="s">
        <v>132</v>
      </c>
      <c r="F1712" s="100" t="s">
        <v>284</v>
      </c>
    </row>
    <row r="1713" spans="1:6">
      <c r="A1713" s="242" t="s">
        <v>159</v>
      </c>
      <c r="B1713" s="235"/>
      <c r="C1713" s="235"/>
      <c r="D1713" s="235"/>
      <c r="E1713" s="100" t="s">
        <v>132</v>
      </c>
      <c r="F1713" s="100" t="s">
        <v>284</v>
      </c>
    </row>
    <row r="1714" spans="1:6">
      <c r="A1714" s="248" t="s">
        <v>148</v>
      </c>
      <c r="B1714" s="249"/>
      <c r="C1714" s="249"/>
      <c r="D1714" s="249"/>
      <c r="E1714" s="100" t="s">
        <v>132</v>
      </c>
      <c r="F1714" s="100" t="s">
        <v>286</v>
      </c>
    </row>
    <row r="1715" spans="1:6">
      <c r="A1715" s="248" t="s">
        <v>149</v>
      </c>
      <c r="B1715" s="249"/>
      <c r="C1715" s="249"/>
      <c r="D1715" s="249"/>
      <c r="E1715" s="100" t="s">
        <v>132</v>
      </c>
      <c r="F1715" s="100" t="s">
        <v>286</v>
      </c>
    </row>
    <row r="1716" spans="1:6">
      <c r="A1716" s="248" t="s">
        <v>150</v>
      </c>
      <c r="B1716" s="249"/>
      <c r="C1716" s="249"/>
      <c r="D1716" s="249"/>
      <c r="E1716" s="100" t="s">
        <v>132</v>
      </c>
      <c r="F1716" s="100" t="s">
        <v>286</v>
      </c>
    </row>
    <row r="1717" spans="1:6">
      <c r="A1717" s="248" t="s">
        <v>151</v>
      </c>
      <c r="B1717" s="249"/>
      <c r="C1717" s="249"/>
      <c r="D1717" s="249"/>
      <c r="E1717" s="100" t="s">
        <v>132</v>
      </c>
      <c r="F1717" s="100" t="s">
        <v>286</v>
      </c>
    </row>
    <row r="1718" spans="1:6">
      <c r="A1718" s="248" t="s">
        <v>152</v>
      </c>
      <c r="B1718" s="249"/>
      <c r="C1718" s="249"/>
      <c r="D1718" s="249"/>
      <c r="E1718" s="100" t="s">
        <v>132</v>
      </c>
      <c r="F1718" s="100" t="s">
        <v>286</v>
      </c>
    </row>
    <row r="1719" spans="1:6">
      <c r="A1719" s="248" t="s">
        <v>153</v>
      </c>
      <c r="B1719" s="249"/>
      <c r="C1719" s="249"/>
      <c r="D1719" s="249"/>
      <c r="E1719" s="100" t="s">
        <v>132</v>
      </c>
      <c r="F1719" s="100" t="s">
        <v>286</v>
      </c>
    </row>
    <row r="1720" spans="1:6">
      <c r="A1720" s="248" t="s">
        <v>154</v>
      </c>
      <c r="B1720" s="249"/>
      <c r="C1720" s="249"/>
      <c r="D1720" s="249"/>
      <c r="E1720" s="100" t="s">
        <v>132</v>
      </c>
      <c r="F1720" s="100" t="s">
        <v>286</v>
      </c>
    </row>
    <row r="1721" spans="1:6">
      <c r="A1721" s="248" t="s">
        <v>155</v>
      </c>
      <c r="B1721" s="249"/>
      <c r="C1721" s="249"/>
      <c r="D1721" s="249"/>
      <c r="E1721" s="100" t="s">
        <v>132</v>
      </c>
      <c r="F1721" s="100" t="s">
        <v>286</v>
      </c>
    </row>
    <row r="1722" spans="1:6">
      <c r="A1722" s="248" t="s">
        <v>156</v>
      </c>
      <c r="B1722" s="249"/>
      <c r="C1722" s="249"/>
      <c r="D1722" s="249"/>
      <c r="E1722" s="100" t="s">
        <v>132</v>
      </c>
      <c r="F1722" s="100" t="s">
        <v>286</v>
      </c>
    </row>
    <row r="1723" spans="1:6">
      <c r="A1723" s="248" t="s">
        <v>157</v>
      </c>
      <c r="B1723" s="249"/>
      <c r="C1723" s="249"/>
      <c r="D1723" s="249"/>
      <c r="E1723" s="100" t="s">
        <v>132</v>
      </c>
      <c r="F1723" s="100" t="s">
        <v>286</v>
      </c>
    </row>
    <row r="1724" spans="1:6">
      <c r="A1724" s="248" t="s">
        <v>158</v>
      </c>
      <c r="B1724" s="249"/>
      <c r="C1724" s="249"/>
      <c r="D1724" s="249"/>
      <c r="E1724" s="100" t="s">
        <v>132</v>
      </c>
      <c r="F1724" s="100" t="s">
        <v>286</v>
      </c>
    </row>
    <row r="1725" spans="1:6">
      <c r="A1725" s="248" t="s">
        <v>159</v>
      </c>
      <c r="B1725" s="249"/>
      <c r="C1725" s="249"/>
      <c r="D1725" s="249"/>
      <c r="E1725" s="100" t="s">
        <v>132</v>
      </c>
      <c r="F1725" s="100" t="s">
        <v>286</v>
      </c>
    </row>
    <row r="1726" spans="1:6">
      <c r="A1726" s="242" t="s">
        <v>148</v>
      </c>
      <c r="B1726" s="235"/>
      <c r="C1726" s="235"/>
      <c r="D1726" s="235"/>
      <c r="E1726" s="100" t="s">
        <v>132</v>
      </c>
      <c r="F1726" s="100" t="s">
        <v>313</v>
      </c>
    </row>
    <row r="1727" spans="1:6">
      <c r="A1727" s="242" t="s">
        <v>149</v>
      </c>
      <c r="B1727" s="235"/>
      <c r="C1727" s="235"/>
      <c r="D1727" s="235"/>
      <c r="E1727" s="100" t="s">
        <v>132</v>
      </c>
      <c r="F1727" s="100" t="s">
        <v>313</v>
      </c>
    </row>
    <row r="1728" spans="1:6">
      <c r="A1728" s="242" t="s">
        <v>150</v>
      </c>
      <c r="B1728" s="235"/>
      <c r="C1728" s="235"/>
      <c r="D1728" s="235"/>
      <c r="E1728" s="100" t="s">
        <v>132</v>
      </c>
      <c r="F1728" s="100" t="s">
        <v>313</v>
      </c>
    </row>
    <row r="1729" spans="1:6">
      <c r="A1729" s="242" t="s">
        <v>151</v>
      </c>
      <c r="B1729" s="235"/>
      <c r="C1729" s="235"/>
      <c r="D1729" s="235"/>
      <c r="E1729" s="100" t="s">
        <v>132</v>
      </c>
      <c r="F1729" s="100" t="s">
        <v>313</v>
      </c>
    </row>
    <row r="1730" spans="1:6">
      <c r="A1730" s="242" t="s">
        <v>152</v>
      </c>
      <c r="B1730" s="235"/>
      <c r="C1730" s="235"/>
      <c r="D1730" s="235"/>
      <c r="E1730" s="100" t="s">
        <v>132</v>
      </c>
      <c r="F1730" s="100" t="s">
        <v>313</v>
      </c>
    </row>
    <row r="1731" spans="1:6">
      <c r="A1731" s="242" t="s">
        <v>153</v>
      </c>
      <c r="B1731" s="235"/>
      <c r="C1731" s="235"/>
      <c r="D1731" s="235"/>
      <c r="E1731" s="100" t="s">
        <v>132</v>
      </c>
      <c r="F1731" s="100" t="s">
        <v>313</v>
      </c>
    </row>
    <row r="1732" spans="1:6">
      <c r="A1732" s="242" t="s">
        <v>154</v>
      </c>
      <c r="B1732" s="235"/>
      <c r="C1732" s="235"/>
      <c r="D1732" s="235"/>
      <c r="E1732" s="100" t="s">
        <v>132</v>
      </c>
      <c r="F1732" s="100" t="s">
        <v>313</v>
      </c>
    </row>
    <row r="1733" spans="1:6">
      <c r="A1733" s="242" t="s">
        <v>155</v>
      </c>
      <c r="B1733" s="235"/>
      <c r="C1733" s="235"/>
      <c r="D1733" s="235"/>
      <c r="E1733" s="100" t="s">
        <v>132</v>
      </c>
      <c r="F1733" s="100" t="s">
        <v>313</v>
      </c>
    </row>
    <row r="1734" spans="1:6">
      <c r="A1734" s="242" t="s">
        <v>156</v>
      </c>
      <c r="B1734" s="235"/>
      <c r="C1734" s="235"/>
      <c r="D1734" s="235"/>
      <c r="E1734" s="100" t="s">
        <v>132</v>
      </c>
      <c r="F1734" s="100" t="s">
        <v>313</v>
      </c>
    </row>
    <row r="1735" spans="1:6">
      <c r="A1735" s="242" t="s">
        <v>157</v>
      </c>
      <c r="B1735" s="235"/>
      <c r="C1735" s="235"/>
      <c r="D1735" s="235"/>
      <c r="E1735" s="100" t="s">
        <v>132</v>
      </c>
      <c r="F1735" s="100" t="s">
        <v>313</v>
      </c>
    </row>
    <row r="1736" spans="1:6">
      <c r="A1736" s="242" t="s">
        <v>158</v>
      </c>
      <c r="B1736" s="235"/>
      <c r="C1736" s="235"/>
      <c r="D1736" s="235"/>
      <c r="E1736" s="100" t="s">
        <v>132</v>
      </c>
      <c r="F1736" s="100" t="s">
        <v>313</v>
      </c>
    </row>
    <row r="1737" spans="1:6">
      <c r="A1737" s="242" t="s">
        <v>159</v>
      </c>
      <c r="B1737" s="235"/>
      <c r="C1737" s="235"/>
      <c r="D1737" s="235"/>
      <c r="E1737" s="100" t="s">
        <v>132</v>
      </c>
      <c r="F1737" s="100" t="s">
        <v>313</v>
      </c>
    </row>
    <row r="1738" spans="1:6">
      <c r="A1738" s="248" t="s">
        <v>148</v>
      </c>
      <c r="B1738" s="249"/>
      <c r="C1738" s="249"/>
      <c r="D1738" s="249"/>
      <c r="E1738" s="100" t="s">
        <v>132</v>
      </c>
      <c r="F1738" s="100" t="s">
        <v>285</v>
      </c>
    </row>
    <row r="1739" spans="1:6">
      <c r="A1739" s="248" t="s">
        <v>149</v>
      </c>
      <c r="B1739" s="249"/>
      <c r="C1739" s="249"/>
      <c r="D1739" s="249"/>
      <c r="E1739" s="100" t="s">
        <v>132</v>
      </c>
      <c r="F1739" s="100" t="s">
        <v>285</v>
      </c>
    </row>
    <row r="1740" spans="1:6">
      <c r="A1740" s="248" t="s">
        <v>150</v>
      </c>
      <c r="B1740" s="249"/>
      <c r="C1740" s="249"/>
      <c r="D1740" s="249"/>
      <c r="E1740" s="100" t="s">
        <v>132</v>
      </c>
      <c r="F1740" s="100" t="s">
        <v>285</v>
      </c>
    </row>
    <row r="1741" spans="1:6">
      <c r="A1741" s="248" t="s">
        <v>151</v>
      </c>
      <c r="B1741" s="249"/>
      <c r="C1741" s="249"/>
      <c r="D1741" s="249"/>
      <c r="E1741" s="100" t="s">
        <v>132</v>
      </c>
      <c r="F1741" s="100" t="s">
        <v>285</v>
      </c>
    </row>
    <row r="1742" spans="1:6">
      <c r="A1742" s="248" t="s">
        <v>152</v>
      </c>
      <c r="B1742" s="249"/>
      <c r="C1742" s="249"/>
      <c r="D1742" s="249"/>
      <c r="E1742" s="100" t="s">
        <v>132</v>
      </c>
      <c r="F1742" s="100" t="s">
        <v>285</v>
      </c>
    </row>
    <row r="1743" spans="1:6">
      <c r="A1743" s="248" t="s">
        <v>153</v>
      </c>
      <c r="B1743" s="249"/>
      <c r="C1743" s="249"/>
      <c r="D1743" s="249"/>
      <c r="E1743" s="100" t="s">
        <v>132</v>
      </c>
      <c r="F1743" s="100" t="s">
        <v>285</v>
      </c>
    </row>
    <row r="1744" spans="1:6">
      <c r="A1744" s="248" t="s">
        <v>154</v>
      </c>
      <c r="B1744" s="249"/>
      <c r="C1744" s="249"/>
      <c r="D1744" s="249"/>
      <c r="E1744" s="100" t="s">
        <v>132</v>
      </c>
      <c r="F1744" s="100" t="s">
        <v>285</v>
      </c>
    </row>
    <row r="1745" spans="1:6">
      <c r="A1745" s="248" t="s">
        <v>155</v>
      </c>
      <c r="B1745" s="249"/>
      <c r="C1745" s="249"/>
      <c r="D1745" s="249"/>
      <c r="E1745" s="100" t="s">
        <v>132</v>
      </c>
      <c r="F1745" s="100" t="s">
        <v>285</v>
      </c>
    </row>
    <row r="1746" spans="1:6">
      <c r="A1746" s="248" t="s">
        <v>156</v>
      </c>
      <c r="B1746" s="249"/>
      <c r="C1746" s="249"/>
      <c r="D1746" s="249"/>
      <c r="E1746" s="100" t="s">
        <v>132</v>
      </c>
      <c r="F1746" s="100" t="s">
        <v>285</v>
      </c>
    </row>
    <row r="1747" spans="1:6">
      <c r="A1747" s="248" t="s">
        <v>157</v>
      </c>
      <c r="B1747" s="249"/>
      <c r="C1747" s="249"/>
      <c r="D1747" s="249"/>
      <c r="E1747" s="100" t="s">
        <v>132</v>
      </c>
      <c r="F1747" s="100" t="s">
        <v>285</v>
      </c>
    </row>
    <row r="1748" spans="1:6">
      <c r="A1748" s="248" t="s">
        <v>158</v>
      </c>
      <c r="B1748" s="249"/>
      <c r="C1748" s="249"/>
      <c r="D1748" s="249"/>
      <c r="E1748" s="100" t="s">
        <v>132</v>
      </c>
      <c r="F1748" s="100" t="s">
        <v>285</v>
      </c>
    </row>
    <row r="1749" spans="1:6">
      <c r="A1749" s="248" t="s">
        <v>159</v>
      </c>
      <c r="B1749" s="249"/>
      <c r="C1749" s="249"/>
      <c r="D1749" s="249"/>
      <c r="E1749" s="100" t="s">
        <v>132</v>
      </c>
      <c r="F1749" s="100" t="s">
        <v>285</v>
      </c>
    </row>
    <row r="1750" spans="1:6">
      <c r="A1750" s="242" t="s">
        <v>148</v>
      </c>
      <c r="B1750" s="235"/>
      <c r="C1750" s="235"/>
      <c r="D1750" s="235"/>
      <c r="E1750" s="100" t="s">
        <v>132</v>
      </c>
      <c r="F1750" s="100" t="s">
        <v>28</v>
      </c>
    </row>
    <row r="1751" spans="1:6">
      <c r="A1751" s="242" t="s">
        <v>149</v>
      </c>
      <c r="B1751" s="235"/>
      <c r="C1751" s="235"/>
      <c r="D1751" s="235"/>
      <c r="E1751" s="100" t="s">
        <v>132</v>
      </c>
      <c r="F1751" s="100" t="s">
        <v>28</v>
      </c>
    </row>
    <row r="1752" spans="1:6">
      <c r="A1752" s="242" t="s">
        <v>150</v>
      </c>
      <c r="B1752" s="235"/>
      <c r="C1752" s="235"/>
      <c r="D1752" s="235"/>
      <c r="E1752" s="100" t="s">
        <v>132</v>
      </c>
      <c r="F1752" s="100" t="s">
        <v>28</v>
      </c>
    </row>
    <row r="1753" spans="1:6">
      <c r="A1753" s="242" t="s">
        <v>151</v>
      </c>
      <c r="B1753" s="235"/>
      <c r="C1753" s="235"/>
      <c r="D1753" s="235"/>
      <c r="E1753" s="100" t="s">
        <v>132</v>
      </c>
      <c r="F1753" s="100" t="s">
        <v>28</v>
      </c>
    </row>
    <row r="1754" spans="1:6">
      <c r="A1754" s="242" t="s">
        <v>152</v>
      </c>
      <c r="B1754" s="235"/>
      <c r="C1754" s="235"/>
      <c r="D1754" s="235"/>
      <c r="E1754" s="100" t="s">
        <v>132</v>
      </c>
      <c r="F1754" s="100" t="s">
        <v>28</v>
      </c>
    </row>
    <row r="1755" spans="1:6">
      <c r="A1755" s="242" t="s">
        <v>153</v>
      </c>
      <c r="B1755" s="235"/>
      <c r="C1755" s="235"/>
      <c r="D1755" s="235"/>
      <c r="E1755" s="100" t="s">
        <v>132</v>
      </c>
      <c r="F1755" s="100" t="s">
        <v>28</v>
      </c>
    </row>
    <row r="1756" spans="1:6">
      <c r="A1756" s="242" t="s">
        <v>154</v>
      </c>
      <c r="B1756" s="235"/>
      <c r="C1756" s="235"/>
      <c r="D1756" s="235"/>
      <c r="E1756" s="100" t="s">
        <v>132</v>
      </c>
      <c r="F1756" s="100" t="s">
        <v>28</v>
      </c>
    </row>
    <row r="1757" spans="1:6">
      <c r="A1757" s="242" t="s">
        <v>155</v>
      </c>
      <c r="B1757" s="235"/>
      <c r="C1757" s="235"/>
      <c r="D1757" s="235"/>
      <c r="E1757" s="100" t="s">
        <v>132</v>
      </c>
      <c r="F1757" s="100" t="s">
        <v>28</v>
      </c>
    </row>
    <row r="1758" spans="1:6">
      <c r="A1758" s="242" t="s">
        <v>156</v>
      </c>
      <c r="B1758" s="235"/>
      <c r="C1758" s="235"/>
      <c r="D1758" s="235"/>
      <c r="E1758" s="100" t="s">
        <v>132</v>
      </c>
      <c r="F1758" s="100" t="s">
        <v>28</v>
      </c>
    </row>
    <row r="1759" spans="1:6">
      <c r="A1759" s="242" t="s">
        <v>157</v>
      </c>
      <c r="B1759" s="235"/>
      <c r="C1759" s="235"/>
      <c r="D1759" s="235"/>
      <c r="E1759" s="100" t="s">
        <v>132</v>
      </c>
      <c r="F1759" s="100" t="s">
        <v>28</v>
      </c>
    </row>
    <row r="1760" spans="1:6">
      <c r="A1760" s="242" t="s">
        <v>158</v>
      </c>
      <c r="B1760" s="235"/>
      <c r="C1760" s="235"/>
      <c r="D1760" s="235"/>
      <c r="E1760" s="100" t="s">
        <v>132</v>
      </c>
      <c r="F1760" s="100" t="s">
        <v>28</v>
      </c>
    </row>
    <row r="1761" spans="1:6">
      <c r="A1761" s="242" t="s">
        <v>159</v>
      </c>
      <c r="B1761" s="235"/>
      <c r="C1761" s="235"/>
      <c r="D1761" s="235"/>
      <c r="E1761" s="100" t="s">
        <v>132</v>
      </c>
      <c r="F1761" s="100" t="s">
        <v>28</v>
      </c>
    </row>
    <row r="1762" spans="1:6">
      <c r="A1762" s="248" t="s">
        <v>148</v>
      </c>
      <c r="B1762" s="249"/>
      <c r="C1762" s="249"/>
      <c r="D1762" s="249"/>
      <c r="E1762" s="100" t="s">
        <v>132</v>
      </c>
      <c r="F1762" s="250" t="s">
        <v>175</v>
      </c>
    </row>
    <row r="1763" spans="1:6">
      <c r="A1763" s="248" t="s">
        <v>149</v>
      </c>
      <c r="B1763" s="249"/>
      <c r="C1763" s="249"/>
      <c r="D1763" s="249"/>
      <c r="E1763" s="100" t="s">
        <v>132</v>
      </c>
      <c r="F1763" s="250" t="s">
        <v>175</v>
      </c>
    </row>
    <row r="1764" spans="1:6">
      <c r="A1764" s="248" t="s">
        <v>150</v>
      </c>
      <c r="B1764" s="249"/>
      <c r="C1764" s="249"/>
      <c r="D1764" s="249"/>
      <c r="E1764" s="100" t="s">
        <v>132</v>
      </c>
      <c r="F1764" s="250" t="s">
        <v>175</v>
      </c>
    </row>
    <row r="1765" spans="1:6">
      <c r="A1765" s="248" t="s">
        <v>151</v>
      </c>
      <c r="B1765" s="249"/>
      <c r="C1765" s="249"/>
      <c r="D1765" s="249"/>
      <c r="E1765" s="100" t="s">
        <v>132</v>
      </c>
      <c r="F1765" s="250" t="s">
        <v>175</v>
      </c>
    </row>
    <row r="1766" spans="1:6">
      <c r="A1766" s="248" t="s">
        <v>152</v>
      </c>
      <c r="B1766" s="249"/>
      <c r="C1766" s="249"/>
      <c r="D1766" s="249"/>
      <c r="E1766" s="100" t="s">
        <v>132</v>
      </c>
      <c r="F1766" s="250" t="s">
        <v>175</v>
      </c>
    </row>
    <row r="1767" spans="1:6">
      <c r="A1767" s="248" t="s">
        <v>153</v>
      </c>
      <c r="B1767" s="249"/>
      <c r="C1767" s="249"/>
      <c r="D1767" s="249"/>
      <c r="E1767" s="100" t="s">
        <v>132</v>
      </c>
      <c r="F1767" s="250" t="s">
        <v>175</v>
      </c>
    </row>
    <row r="1768" spans="1:6">
      <c r="A1768" s="248" t="s">
        <v>154</v>
      </c>
      <c r="B1768" s="249"/>
      <c r="C1768" s="249"/>
      <c r="D1768" s="249"/>
      <c r="E1768" s="100" t="s">
        <v>132</v>
      </c>
      <c r="F1768" s="250" t="s">
        <v>175</v>
      </c>
    </row>
    <row r="1769" spans="1:6">
      <c r="A1769" s="248" t="s">
        <v>155</v>
      </c>
      <c r="B1769" s="249"/>
      <c r="C1769" s="249"/>
      <c r="D1769" s="249"/>
      <c r="E1769" s="100" t="s">
        <v>132</v>
      </c>
      <c r="F1769" s="250" t="s">
        <v>175</v>
      </c>
    </row>
    <row r="1770" spans="1:6">
      <c r="A1770" s="248" t="s">
        <v>156</v>
      </c>
      <c r="B1770" s="249"/>
      <c r="C1770" s="249"/>
      <c r="D1770" s="249"/>
      <c r="E1770" s="100" t="s">
        <v>132</v>
      </c>
      <c r="F1770" s="250" t="s">
        <v>175</v>
      </c>
    </row>
    <row r="1771" spans="1:6">
      <c r="A1771" s="248" t="s">
        <v>157</v>
      </c>
      <c r="B1771" s="249"/>
      <c r="C1771" s="249"/>
      <c r="D1771" s="249"/>
      <c r="E1771" s="100" t="s">
        <v>132</v>
      </c>
      <c r="F1771" s="250" t="s">
        <v>175</v>
      </c>
    </row>
    <row r="1772" spans="1:6">
      <c r="A1772" s="248" t="s">
        <v>158</v>
      </c>
      <c r="B1772" s="249"/>
      <c r="C1772" s="249"/>
      <c r="D1772" s="249"/>
      <c r="E1772" s="100" t="s">
        <v>132</v>
      </c>
      <c r="F1772" s="250" t="s">
        <v>175</v>
      </c>
    </row>
    <row r="1773" spans="1:6">
      <c r="A1773" s="248" t="s">
        <v>159</v>
      </c>
      <c r="B1773" s="249"/>
      <c r="C1773" s="249"/>
      <c r="D1773" s="249"/>
      <c r="E1773" s="100" t="s">
        <v>132</v>
      </c>
      <c r="F1773" s="250" t="s">
        <v>175</v>
      </c>
    </row>
    <row r="1774" spans="1:6">
      <c r="A1774" s="242" t="s">
        <v>148</v>
      </c>
      <c r="B1774" s="235"/>
      <c r="C1774" s="235"/>
      <c r="D1774" s="235"/>
      <c r="E1774" s="100" t="s">
        <v>133</v>
      </c>
      <c r="F1774" s="100" t="s">
        <v>284</v>
      </c>
    </row>
    <row r="1775" spans="1:6">
      <c r="A1775" s="242" t="s">
        <v>149</v>
      </c>
      <c r="B1775" s="235"/>
      <c r="C1775" s="235"/>
      <c r="D1775" s="235"/>
      <c r="E1775" s="100" t="s">
        <v>133</v>
      </c>
      <c r="F1775" s="100" t="s">
        <v>284</v>
      </c>
    </row>
    <row r="1776" spans="1:6">
      <c r="A1776" s="242" t="s">
        <v>150</v>
      </c>
      <c r="B1776" s="235"/>
      <c r="C1776" s="235"/>
      <c r="D1776" s="235"/>
      <c r="E1776" s="100" t="s">
        <v>133</v>
      </c>
      <c r="F1776" s="100" t="s">
        <v>284</v>
      </c>
    </row>
    <row r="1777" spans="1:6">
      <c r="A1777" s="242" t="s">
        <v>151</v>
      </c>
      <c r="B1777" s="235"/>
      <c r="C1777" s="235"/>
      <c r="D1777" s="235"/>
      <c r="E1777" s="100" t="s">
        <v>133</v>
      </c>
      <c r="F1777" s="100" t="s">
        <v>284</v>
      </c>
    </row>
    <row r="1778" spans="1:6">
      <c r="A1778" s="242" t="s">
        <v>152</v>
      </c>
      <c r="B1778" s="235"/>
      <c r="C1778" s="235"/>
      <c r="D1778" s="235"/>
      <c r="E1778" s="100" t="s">
        <v>133</v>
      </c>
      <c r="F1778" s="100" t="s">
        <v>284</v>
      </c>
    </row>
    <row r="1779" spans="1:6">
      <c r="A1779" s="242" t="s">
        <v>153</v>
      </c>
      <c r="B1779" s="235"/>
      <c r="C1779" s="235"/>
      <c r="D1779" s="235"/>
      <c r="E1779" s="100" t="s">
        <v>133</v>
      </c>
      <c r="F1779" s="100" t="s">
        <v>284</v>
      </c>
    </row>
    <row r="1780" spans="1:6">
      <c r="A1780" s="242" t="s">
        <v>154</v>
      </c>
      <c r="B1780" s="235"/>
      <c r="C1780" s="235"/>
      <c r="D1780" s="235"/>
      <c r="E1780" s="100" t="s">
        <v>133</v>
      </c>
      <c r="F1780" s="100" t="s">
        <v>284</v>
      </c>
    </row>
    <row r="1781" spans="1:6">
      <c r="A1781" s="242" t="s">
        <v>155</v>
      </c>
      <c r="B1781" s="235"/>
      <c r="C1781" s="235"/>
      <c r="D1781" s="235"/>
      <c r="E1781" s="100" t="s">
        <v>133</v>
      </c>
      <c r="F1781" s="100" t="s">
        <v>284</v>
      </c>
    </row>
    <row r="1782" spans="1:6">
      <c r="A1782" s="242" t="s">
        <v>156</v>
      </c>
      <c r="B1782" s="235"/>
      <c r="C1782" s="235"/>
      <c r="D1782" s="235"/>
      <c r="E1782" s="100" t="s">
        <v>133</v>
      </c>
      <c r="F1782" s="100" t="s">
        <v>284</v>
      </c>
    </row>
    <row r="1783" spans="1:6">
      <c r="A1783" s="242" t="s">
        <v>157</v>
      </c>
      <c r="B1783" s="235"/>
      <c r="C1783" s="235"/>
      <c r="D1783" s="235"/>
      <c r="E1783" s="100" t="s">
        <v>133</v>
      </c>
      <c r="F1783" s="100" t="s">
        <v>284</v>
      </c>
    </row>
    <row r="1784" spans="1:6">
      <c r="A1784" s="242" t="s">
        <v>158</v>
      </c>
      <c r="B1784" s="235"/>
      <c r="C1784" s="235"/>
      <c r="D1784" s="235"/>
      <c r="E1784" s="100" t="s">
        <v>133</v>
      </c>
      <c r="F1784" s="100" t="s">
        <v>284</v>
      </c>
    </row>
    <row r="1785" spans="1:6">
      <c r="A1785" s="242" t="s">
        <v>159</v>
      </c>
      <c r="B1785" s="235"/>
      <c r="C1785" s="235"/>
      <c r="D1785" s="235"/>
      <c r="E1785" s="100" t="s">
        <v>133</v>
      </c>
      <c r="F1785" s="100" t="s">
        <v>284</v>
      </c>
    </row>
    <row r="1786" spans="1:6">
      <c r="A1786" s="248" t="s">
        <v>148</v>
      </c>
      <c r="B1786" s="249"/>
      <c r="C1786" s="249"/>
      <c r="D1786" s="249"/>
      <c r="E1786" s="100" t="s">
        <v>133</v>
      </c>
      <c r="F1786" s="100" t="s">
        <v>286</v>
      </c>
    </row>
    <row r="1787" spans="1:6">
      <c r="A1787" s="248" t="s">
        <v>149</v>
      </c>
      <c r="B1787" s="249"/>
      <c r="C1787" s="249"/>
      <c r="D1787" s="249"/>
      <c r="E1787" s="100" t="s">
        <v>133</v>
      </c>
      <c r="F1787" s="100" t="s">
        <v>286</v>
      </c>
    </row>
    <row r="1788" spans="1:6">
      <c r="A1788" s="248" t="s">
        <v>150</v>
      </c>
      <c r="B1788" s="249"/>
      <c r="C1788" s="249"/>
      <c r="D1788" s="249"/>
      <c r="E1788" s="100" t="s">
        <v>133</v>
      </c>
      <c r="F1788" s="100" t="s">
        <v>286</v>
      </c>
    </row>
    <row r="1789" spans="1:6">
      <c r="A1789" s="248" t="s">
        <v>151</v>
      </c>
      <c r="B1789" s="249"/>
      <c r="C1789" s="249"/>
      <c r="D1789" s="249"/>
      <c r="E1789" s="100" t="s">
        <v>133</v>
      </c>
      <c r="F1789" s="100" t="s">
        <v>286</v>
      </c>
    </row>
    <row r="1790" spans="1:6">
      <c r="A1790" s="248" t="s">
        <v>152</v>
      </c>
      <c r="B1790" s="249"/>
      <c r="C1790" s="249"/>
      <c r="D1790" s="249"/>
      <c r="E1790" s="100" t="s">
        <v>133</v>
      </c>
      <c r="F1790" s="100" t="s">
        <v>286</v>
      </c>
    </row>
    <row r="1791" spans="1:6">
      <c r="A1791" s="248" t="s">
        <v>153</v>
      </c>
      <c r="B1791" s="249"/>
      <c r="C1791" s="249"/>
      <c r="D1791" s="249"/>
      <c r="E1791" s="100" t="s">
        <v>133</v>
      </c>
      <c r="F1791" s="100" t="s">
        <v>286</v>
      </c>
    </row>
    <row r="1792" spans="1:6">
      <c r="A1792" s="248" t="s">
        <v>154</v>
      </c>
      <c r="B1792" s="249"/>
      <c r="C1792" s="249"/>
      <c r="D1792" s="249"/>
      <c r="E1792" s="100" t="s">
        <v>133</v>
      </c>
      <c r="F1792" s="100" t="s">
        <v>286</v>
      </c>
    </row>
    <row r="1793" spans="1:6">
      <c r="A1793" s="248" t="s">
        <v>155</v>
      </c>
      <c r="B1793" s="249"/>
      <c r="C1793" s="249"/>
      <c r="D1793" s="249"/>
      <c r="E1793" s="100" t="s">
        <v>133</v>
      </c>
      <c r="F1793" s="100" t="s">
        <v>286</v>
      </c>
    </row>
    <row r="1794" spans="1:6">
      <c r="A1794" s="248" t="s">
        <v>156</v>
      </c>
      <c r="B1794" s="249"/>
      <c r="C1794" s="249"/>
      <c r="D1794" s="249"/>
      <c r="E1794" s="100" t="s">
        <v>133</v>
      </c>
      <c r="F1794" s="100" t="s">
        <v>286</v>
      </c>
    </row>
    <row r="1795" spans="1:6">
      <c r="A1795" s="248" t="s">
        <v>157</v>
      </c>
      <c r="B1795" s="249"/>
      <c r="C1795" s="249"/>
      <c r="D1795" s="249"/>
      <c r="E1795" s="100" t="s">
        <v>133</v>
      </c>
      <c r="F1795" s="100" t="s">
        <v>286</v>
      </c>
    </row>
    <row r="1796" spans="1:6">
      <c r="A1796" s="248" t="s">
        <v>158</v>
      </c>
      <c r="B1796" s="249"/>
      <c r="C1796" s="249"/>
      <c r="D1796" s="249"/>
      <c r="E1796" s="100" t="s">
        <v>133</v>
      </c>
      <c r="F1796" s="100" t="s">
        <v>286</v>
      </c>
    </row>
    <row r="1797" spans="1:6">
      <c r="A1797" s="248" t="s">
        <v>159</v>
      </c>
      <c r="B1797" s="249"/>
      <c r="C1797" s="249"/>
      <c r="D1797" s="249"/>
      <c r="E1797" s="100" t="s">
        <v>133</v>
      </c>
      <c r="F1797" s="100" t="s">
        <v>286</v>
      </c>
    </row>
    <row r="1798" spans="1:6">
      <c r="A1798" s="242" t="s">
        <v>148</v>
      </c>
      <c r="B1798" s="235"/>
      <c r="C1798" s="235"/>
      <c r="D1798" s="235"/>
      <c r="E1798" s="100" t="s">
        <v>133</v>
      </c>
      <c r="F1798" s="100" t="s">
        <v>313</v>
      </c>
    </row>
    <row r="1799" spans="1:6">
      <c r="A1799" s="242" t="s">
        <v>149</v>
      </c>
      <c r="B1799" s="235"/>
      <c r="C1799" s="235"/>
      <c r="D1799" s="235"/>
      <c r="E1799" s="100" t="s">
        <v>133</v>
      </c>
      <c r="F1799" s="100" t="s">
        <v>313</v>
      </c>
    </row>
    <row r="1800" spans="1:6">
      <c r="A1800" s="242" t="s">
        <v>150</v>
      </c>
      <c r="B1800" s="235"/>
      <c r="C1800" s="235"/>
      <c r="D1800" s="235"/>
      <c r="E1800" s="100" t="s">
        <v>133</v>
      </c>
      <c r="F1800" s="100" t="s">
        <v>313</v>
      </c>
    </row>
    <row r="1801" spans="1:6">
      <c r="A1801" s="242" t="s">
        <v>151</v>
      </c>
      <c r="B1801" s="235"/>
      <c r="C1801" s="235"/>
      <c r="D1801" s="235"/>
      <c r="E1801" s="100" t="s">
        <v>133</v>
      </c>
      <c r="F1801" s="100" t="s">
        <v>313</v>
      </c>
    </row>
    <row r="1802" spans="1:6">
      <c r="A1802" s="242" t="s">
        <v>152</v>
      </c>
      <c r="B1802" s="235"/>
      <c r="C1802" s="235"/>
      <c r="D1802" s="235"/>
      <c r="E1802" s="100" t="s">
        <v>133</v>
      </c>
      <c r="F1802" s="100" t="s">
        <v>313</v>
      </c>
    </row>
    <row r="1803" spans="1:6">
      <c r="A1803" s="242" t="s">
        <v>153</v>
      </c>
      <c r="B1803" s="235"/>
      <c r="C1803" s="235"/>
      <c r="D1803" s="235"/>
      <c r="E1803" s="100" t="s">
        <v>133</v>
      </c>
      <c r="F1803" s="100" t="s">
        <v>313</v>
      </c>
    </row>
    <row r="1804" spans="1:6">
      <c r="A1804" s="242" t="s">
        <v>154</v>
      </c>
      <c r="B1804" s="235"/>
      <c r="C1804" s="235"/>
      <c r="D1804" s="235"/>
      <c r="E1804" s="100" t="s">
        <v>133</v>
      </c>
      <c r="F1804" s="100" t="s">
        <v>313</v>
      </c>
    </row>
    <row r="1805" spans="1:6">
      <c r="A1805" s="242" t="s">
        <v>155</v>
      </c>
      <c r="B1805" s="235"/>
      <c r="C1805" s="235"/>
      <c r="D1805" s="235"/>
      <c r="E1805" s="100" t="s">
        <v>133</v>
      </c>
      <c r="F1805" s="100" t="s">
        <v>313</v>
      </c>
    </row>
    <row r="1806" spans="1:6">
      <c r="A1806" s="242" t="s">
        <v>156</v>
      </c>
      <c r="B1806" s="235"/>
      <c r="C1806" s="235"/>
      <c r="D1806" s="235"/>
      <c r="E1806" s="100" t="s">
        <v>133</v>
      </c>
      <c r="F1806" s="100" t="s">
        <v>313</v>
      </c>
    </row>
    <row r="1807" spans="1:6">
      <c r="A1807" s="242" t="s">
        <v>157</v>
      </c>
      <c r="B1807" s="235"/>
      <c r="C1807" s="235"/>
      <c r="D1807" s="235"/>
      <c r="E1807" s="100" t="s">
        <v>133</v>
      </c>
      <c r="F1807" s="100" t="s">
        <v>313</v>
      </c>
    </row>
    <row r="1808" spans="1:6">
      <c r="A1808" s="242" t="s">
        <v>158</v>
      </c>
      <c r="B1808" s="235"/>
      <c r="C1808" s="235"/>
      <c r="D1808" s="235"/>
      <c r="E1808" s="100" t="s">
        <v>133</v>
      </c>
      <c r="F1808" s="100" t="s">
        <v>313</v>
      </c>
    </row>
    <row r="1809" spans="1:6">
      <c r="A1809" s="242" t="s">
        <v>159</v>
      </c>
      <c r="B1809" s="235"/>
      <c r="C1809" s="235"/>
      <c r="D1809" s="235"/>
      <c r="E1809" s="100" t="s">
        <v>133</v>
      </c>
      <c r="F1809" s="100" t="s">
        <v>313</v>
      </c>
    </row>
    <row r="1810" spans="1:6">
      <c r="A1810" s="248" t="s">
        <v>148</v>
      </c>
      <c r="B1810" s="249"/>
      <c r="C1810" s="249"/>
      <c r="D1810" s="249"/>
      <c r="E1810" s="100" t="s">
        <v>133</v>
      </c>
      <c r="F1810" s="100" t="s">
        <v>285</v>
      </c>
    </row>
    <row r="1811" spans="1:6">
      <c r="A1811" s="248" t="s">
        <v>149</v>
      </c>
      <c r="B1811" s="249"/>
      <c r="C1811" s="249"/>
      <c r="D1811" s="249"/>
      <c r="E1811" s="100" t="s">
        <v>133</v>
      </c>
      <c r="F1811" s="100" t="s">
        <v>285</v>
      </c>
    </row>
    <row r="1812" spans="1:6">
      <c r="A1812" s="248" t="s">
        <v>150</v>
      </c>
      <c r="B1812" s="249"/>
      <c r="C1812" s="249"/>
      <c r="D1812" s="249"/>
      <c r="E1812" s="100" t="s">
        <v>133</v>
      </c>
      <c r="F1812" s="100" t="s">
        <v>285</v>
      </c>
    </row>
    <row r="1813" spans="1:6">
      <c r="A1813" s="248" t="s">
        <v>151</v>
      </c>
      <c r="B1813" s="249"/>
      <c r="C1813" s="249"/>
      <c r="D1813" s="249"/>
      <c r="E1813" s="100" t="s">
        <v>133</v>
      </c>
      <c r="F1813" s="100" t="s">
        <v>285</v>
      </c>
    </row>
    <row r="1814" spans="1:6">
      <c r="A1814" s="248" t="s">
        <v>152</v>
      </c>
      <c r="B1814" s="249"/>
      <c r="C1814" s="249"/>
      <c r="D1814" s="249"/>
      <c r="E1814" s="100" t="s">
        <v>133</v>
      </c>
      <c r="F1814" s="100" t="s">
        <v>285</v>
      </c>
    </row>
    <row r="1815" spans="1:6">
      <c r="A1815" s="248" t="s">
        <v>153</v>
      </c>
      <c r="B1815" s="249"/>
      <c r="C1815" s="249"/>
      <c r="D1815" s="249"/>
      <c r="E1815" s="100" t="s">
        <v>133</v>
      </c>
      <c r="F1815" s="100" t="s">
        <v>285</v>
      </c>
    </row>
    <row r="1816" spans="1:6">
      <c r="A1816" s="248" t="s">
        <v>154</v>
      </c>
      <c r="B1816" s="249"/>
      <c r="C1816" s="249"/>
      <c r="D1816" s="249"/>
      <c r="E1816" s="100" t="s">
        <v>133</v>
      </c>
      <c r="F1816" s="100" t="s">
        <v>285</v>
      </c>
    </row>
    <row r="1817" spans="1:6">
      <c r="A1817" s="248" t="s">
        <v>155</v>
      </c>
      <c r="B1817" s="249"/>
      <c r="C1817" s="249"/>
      <c r="D1817" s="249"/>
      <c r="E1817" s="100" t="s">
        <v>133</v>
      </c>
      <c r="F1817" s="100" t="s">
        <v>285</v>
      </c>
    </row>
    <row r="1818" spans="1:6">
      <c r="A1818" s="248" t="s">
        <v>156</v>
      </c>
      <c r="B1818" s="249"/>
      <c r="C1818" s="249"/>
      <c r="D1818" s="249"/>
      <c r="E1818" s="100" t="s">
        <v>133</v>
      </c>
      <c r="F1818" s="100" t="s">
        <v>285</v>
      </c>
    </row>
    <row r="1819" spans="1:6">
      <c r="A1819" s="248" t="s">
        <v>157</v>
      </c>
      <c r="B1819" s="249"/>
      <c r="C1819" s="249"/>
      <c r="D1819" s="249"/>
      <c r="E1819" s="100" t="s">
        <v>133</v>
      </c>
      <c r="F1819" s="100" t="s">
        <v>285</v>
      </c>
    </row>
    <row r="1820" spans="1:6">
      <c r="A1820" s="248" t="s">
        <v>158</v>
      </c>
      <c r="B1820" s="249"/>
      <c r="C1820" s="249"/>
      <c r="D1820" s="249"/>
      <c r="E1820" s="100" t="s">
        <v>133</v>
      </c>
      <c r="F1820" s="100" t="s">
        <v>285</v>
      </c>
    </row>
    <row r="1821" spans="1:6">
      <c r="A1821" s="248" t="s">
        <v>159</v>
      </c>
      <c r="B1821" s="249"/>
      <c r="C1821" s="249"/>
      <c r="D1821" s="249"/>
      <c r="E1821" s="100" t="s">
        <v>133</v>
      </c>
      <c r="F1821" s="100" t="s">
        <v>285</v>
      </c>
    </row>
    <row r="1822" spans="1:6">
      <c r="A1822" s="242" t="s">
        <v>148</v>
      </c>
      <c r="B1822" s="235"/>
      <c r="C1822" s="235"/>
      <c r="D1822" s="235"/>
      <c r="E1822" s="100" t="s">
        <v>133</v>
      </c>
      <c r="F1822" s="100" t="s">
        <v>28</v>
      </c>
    </row>
    <row r="1823" spans="1:6">
      <c r="A1823" s="242" t="s">
        <v>149</v>
      </c>
      <c r="B1823" s="235"/>
      <c r="C1823" s="235"/>
      <c r="D1823" s="235"/>
      <c r="E1823" s="100" t="s">
        <v>133</v>
      </c>
      <c r="F1823" s="100" t="s">
        <v>28</v>
      </c>
    </row>
    <row r="1824" spans="1:6">
      <c r="A1824" s="242" t="s">
        <v>150</v>
      </c>
      <c r="B1824" s="235"/>
      <c r="C1824" s="235"/>
      <c r="D1824" s="235"/>
      <c r="E1824" s="100" t="s">
        <v>133</v>
      </c>
      <c r="F1824" s="100" t="s">
        <v>28</v>
      </c>
    </row>
    <row r="1825" spans="1:6">
      <c r="A1825" s="242" t="s">
        <v>151</v>
      </c>
      <c r="B1825" s="235"/>
      <c r="C1825" s="235"/>
      <c r="D1825" s="235"/>
      <c r="E1825" s="100" t="s">
        <v>133</v>
      </c>
      <c r="F1825" s="100" t="s">
        <v>28</v>
      </c>
    </row>
    <row r="1826" spans="1:6">
      <c r="A1826" s="242" t="s">
        <v>152</v>
      </c>
      <c r="B1826" s="235"/>
      <c r="C1826" s="235"/>
      <c r="D1826" s="235"/>
      <c r="E1826" s="100" t="s">
        <v>133</v>
      </c>
      <c r="F1826" s="100" t="s">
        <v>28</v>
      </c>
    </row>
    <row r="1827" spans="1:6">
      <c r="A1827" s="242" t="s">
        <v>153</v>
      </c>
      <c r="B1827" s="235"/>
      <c r="C1827" s="235"/>
      <c r="D1827" s="235"/>
      <c r="E1827" s="100" t="s">
        <v>133</v>
      </c>
      <c r="F1827" s="100" t="s">
        <v>28</v>
      </c>
    </row>
    <row r="1828" spans="1:6">
      <c r="A1828" s="242" t="s">
        <v>154</v>
      </c>
      <c r="B1828" s="235"/>
      <c r="C1828" s="235"/>
      <c r="D1828" s="235"/>
      <c r="E1828" s="100" t="s">
        <v>133</v>
      </c>
      <c r="F1828" s="100" t="s">
        <v>28</v>
      </c>
    </row>
    <row r="1829" spans="1:6">
      <c r="A1829" s="242" t="s">
        <v>155</v>
      </c>
      <c r="B1829" s="235"/>
      <c r="C1829" s="235"/>
      <c r="D1829" s="235"/>
      <c r="E1829" s="100" t="s">
        <v>133</v>
      </c>
      <c r="F1829" s="100" t="s">
        <v>28</v>
      </c>
    </row>
    <row r="1830" spans="1:6">
      <c r="A1830" s="242" t="s">
        <v>156</v>
      </c>
      <c r="B1830" s="235"/>
      <c r="C1830" s="235"/>
      <c r="D1830" s="235"/>
      <c r="E1830" s="100" t="s">
        <v>133</v>
      </c>
      <c r="F1830" s="100" t="s">
        <v>28</v>
      </c>
    </row>
    <row r="1831" spans="1:6">
      <c r="A1831" s="242" t="s">
        <v>157</v>
      </c>
      <c r="B1831" s="235"/>
      <c r="C1831" s="235"/>
      <c r="D1831" s="235"/>
      <c r="E1831" s="100" t="s">
        <v>133</v>
      </c>
      <c r="F1831" s="100" t="s">
        <v>28</v>
      </c>
    </row>
    <row r="1832" spans="1:6">
      <c r="A1832" s="242" t="s">
        <v>158</v>
      </c>
      <c r="B1832" s="235"/>
      <c r="C1832" s="235"/>
      <c r="D1832" s="235"/>
      <c r="E1832" s="100" t="s">
        <v>133</v>
      </c>
      <c r="F1832" s="100" t="s">
        <v>28</v>
      </c>
    </row>
    <row r="1833" spans="1:6">
      <c r="A1833" s="242" t="s">
        <v>159</v>
      </c>
      <c r="B1833" s="235"/>
      <c r="C1833" s="235"/>
      <c r="D1833" s="235"/>
      <c r="E1833" s="100" t="s">
        <v>133</v>
      </c>
      <c r="F1833" s="100" t="s">
        <v>28</v>
      </c>
    </row>
    <row r="1834" spans="1:6">
      <c r="A1834" s="248" t="s">
        <v>148</v>
      </c>
      <c r="B1834" s="249"/>
      <c r="C1834" s="249"/>
      <c r="D1834" s="249"/>
      <c r="E1834" s="100" t="s">
        <v>133</v>
      </c>
      <c r="F1834" s="250" t="s">
        <v>175</v>
      </c>
    </row>
    <row r="1835" spans="1:6">
      <c r="A1835" s="248" t="s">
        <v>149</v>
      </c>
      <c r="B1835" s="249"/>
      <c r="C1835" s="249"/>
      <c r="D1835" s="249"/>
      <c r="E1835" s="100" t="s">
        <v>133</v>
      </c>
      <c r="F1835" s="250" t="s">
        <v>175</v>
      </c>
    </row>
    <row r="1836" spans="1:6">
      <c r="A1836" s="248" t="s">
        <v>150</v>
      </c>
      <c r="B1836" s="249"/>
      <c r="C1836" s="249"/>
      <c r="D1836" s="249"/>
      <c r="E1836" s="100" t="s">
        <v>133</v>
      </c>
      <c r="F1836" s="250" t="s">
        <v>175</v>
      </c>
    </row>
    <row r="1837" spans="1:6">
      <c r="A1837" s="248" t="s">
        <v>151</v>
      </c>
      <c r="B1837" s="249"/>
      <c r="C1837" s="249"/>
      <c r="D1837" s="249"/>
      <c r="E1837" s="100" t="s">
        <v>133</v>
      </c>
      <c r="F1837" s="250" t="s">
        <v>175</v>
      </c>
    </row>
    <row r="1838" spans="1:6">
      <c r="A1838" s="248" t="s">
        <v>152</v>
      </c>
      <c r="B1838" s="249"/>
      <c r="C1838" s="249"/>
      <c r="D1838" s="249"/>
      <c r="E1838" s="100" t="s">
        <v>133</v>
      </c>
      <c r="F1838" s="250" t="s">
        <v>175</v>
      </c>
    </row>
    <row r="1839" spans="1:6">
      <c r="A1839" s="248" t="s">
        <v>153</v>
      </c>
      <c r="B1839" s="249"/>
      <c r="C1839" s="249"/>
      <c r="D1839" s="249"/>
      <c r="E1839" s="100" t="s">
        <v>133</v>
      </c>
      <c r="F1839" s="250" t="s">
        <v>175</v>
      </c>
    </row>
    <row r="1840" spans="1:6">
      <c r="A1840" s="248" t="s">
        <v>154</v>
      </c>
      <c r="B1840" s="249"/>
      <c r="C1840" s="249"/>
      <c r="D1840" s="249"/>
      <c r="E1840" s="100" t="s">
        <v>133</v>
      </c>
      <c r="F1840" s="250" t="s">
        <v>175</v>
      </c>
    </row>
    <row r="1841" spans="1:6">
      <c r="A1841" s="248" t="s">
        <v>155</v>
      </c>
      <c r="B1841" s="249"/>
      <c r="C1841" s="249"/>
      <c r="D1841" s="249"/>
      <c r="E1841" s="100" t="s">
        <v>133</v>
      </c>
      <c r="F1841" s="250" t="s">
        <v>175</v>
      </c>
    </row>
    <row r="1842" spans="1:6">
      <c r="A1842" s="248" t="s">
        <v>156</v>
      </c>
      <c r="B1842" s="249"/>
      <c r="C1842" s="249"/>
      <c r="D1842" s="249"/>
      <c r="E1842" s="100" t="s">
        <v>133</v>
      </c>
      <c r="F1842" s="250" t="s">
        <v>175</v>
      </c>
    </row>
    <row r="1843" spans="1:6">
      <c r="A1843" s="248" t="s">
        <v>157</v>
      </c>
      <c r="B1843" s="249"/>
      <c r="C1843" s="249"/>
      <c r="D1843" s="249"/>
      <c r="E1843" s="100" t="s">
        <v>133</v>
      </c>
      <c r="F1843" s="250" t="s">
        <v>175</v>
      </c>
    </row>
    <row r="1844" spans="1:6">
      <c r="A1844" s="248" t="s">
        <v>158</v>
      </c>
      <c r="B1844" s="249"/>
      <c r="C1844" s="249"/>
      <c r="D1844" s="249"/>
      <c r="E1844" s="100" t="s">
        <v>133</v>
      </c>
      <c r="F1844" s="250" t="s">
        <v>175</v>
      </c>
    </row>
    <row r="1845" spans="1:6">
      <c r="A1845" s="248" t="s">
        <v>159</v>
      </c>
      <c r="B1845" s="249"/>
      <c r="C1845" s="249"/>
      <c r="D1845" s="249"/>
      <c r="E1845" s="100" t="s">
        <v>133</v>
      </c>
      <c r="F1845" s="250" t="s">
        <v>175</v>
      </c>
    </row>
    <row r="1846" spans="1:6">
      <c r="A1846" s="242" t="s">
        <v>148</v>
      </c>
      <c r="B1846" s="235"/>
      <c r="C1846" s="235"/>
      <c r="D1846" s="235"/>
      <c r="E1846" s="100" t="s">
        <v>134</v>
      </c>
      <c r="F1846" s="100" t="s">
        <v>284</v>
      </c>
    </row>
    <row r="1847" spans="1:6">
      <c r="A1847" s="242" t="s">
        <v>149</v>
      </c>
      <c r="B1847" s="235"/>
      <c r="C1847" s="235"/>
      <c r="D1847" s="235"/>
      <c r="E1847" s="100" t="s">
        <v>134</v>
      </c>
      <c r="F1847" s="100" t="s">
        <v>284</v>
      </c>
    </row>
    <row r="1848" spans="1:6">
      <c r="A1848" s="242" t="s">
        <v>150</v>
      </c>
      <c r="B1848" s="235"/>
      <c r="C1848" s="235"/>
      <c r="D1848" s="235"/>
      <c r="E1848" s="100" t="s">
        <v>134</v>
      </c>
      <c r="F1848" s="100" t="s">
        <v>284</v>
      </c>
    </row>
    <row r="1849" spans="1:6">
      <c r="A1849" s="242" t="s">
        <v>151</v>
      </c>
      <c r="B1849" s="235"/>
      <c r="C1849" s="235"/>
      <c r="D1849" s="235"/>
      <c r="E1849" s="100" t="s">
        <v>134</v>
      </c>
      <c r="F1849" s="100" t="s">
        <v>284</v>
      </c>
    </row>
    <row r="1850" spans="1:6">
      <c r="A1850" s="242" t="s">
        <v>152</v>
      </c>
      <c r="B1850" s="235"/>
      <c r="C1850" s="235"/>
      <c r="D1850" s="235"/>
      <c r="E1850" s="100" t="s">
        <v>134</v>
      </c>
      <c r="F1850" s="100" t="s">
        <v>284</v>
      </c>
    </row>
    <row r="1851" spans="1:6">
      <c r="A1851" s="242" t="s">
        <v>153</v>
      </c>
      <c r="B1851" s="235"/>
      <c r="C1851" s="235"/>
      <c r="D1851" s="235"/>
      <c r="E1851" s="100" t="s">
        <v>134</v>
      </c>
      <c r="F1851" s="100" t="s">
        <v>284</v>
      </c>
    </row>
    <row r="1852" spans="1:6">
      <c r="A1852" s="242" t="s">
        <v>154</v>
      </c>
      <c r="B1852" s="235"/>
      <c r="C1852" s="235"/>
      <c r="D1852" s="235"/>
      <c r="E1852" s="100" t="s">
        <v>134</v>
      </c>
      <c r="F1852" s="100" t="s">
        <v>284</v>
      </c>
    </row>
    <row r="1853" spans="1:6">
      <c r="A1853" s="242" t="s">
        <v>155</v>
      </c>
      <c r="B1853" s="235"/>
      <c r="C1853" s="235"/>
      <c r="D1853" s="235"/>
      <c r="E1853" s="100" t="s">
        <v>134</v>
      </c>
      <c r="F1853" s="100" t="s">
        <v>284</v>
      </c>
    </row>
    <row r="1854" spans="1:6">
      <c r="A1854" s="242" t="s">
        <v>156</v>
      </c>
      <c r="B1854" s="235"/>
      <c r="C1854" s="235"/>
      <c r="D1854" s="235"/>
      <c r="E1854" s="100" t="s">
        <v>134</v>
      </c>
      <c r="F1854" s="100" t="s">
        <v>284</v>
      </c>
    </row>
    <row r="1855" spans="1:6">
      <c r="A1855" s="242" t="s">
        <v>157</v>
      </c>
      <c r="B1855" s="235"/>
      <c r="C1855" s="235"/>
      <c r="D1855" s="235"/>
      <c r="E1855" s="100" t="s">
        <v>134</v>
      </c>
      <c r="F1855" s="100" t="s">
        <v>284</v>
      </c>
    </row>
    <row r="1856" spans="1:6">
      <c r="A1856" s="242" t="s">
        <v>158</v>
      </c>
      <c r="B1856" s="235"/>
      <c r="C1856" s="235"/>
      <c r="D1856" s="235"/>
      <c r="E1856" s="100" t="s">
        <v>134</v>
      </c>
      <c r="F1856" s="100" t="s">
        <v>284</v>
      </c>
    </row>
    <row r="1857" spans="1:6">
      <c r="A1857" s="242" t="s">
        <v>159</v>
      </c>
      <c r="B1857" s="235"/>
      <c r="C1857" s="235"/>
      <c r="D1857" s="235"/>
      <c r="E1857" s="100" t="s">
        <v>134</v>
      </c>
      <c r="F1857" s="100" t="s">
        <v>284</v>
      </c>
    </row>
    <row r="1858" spans="1:6">
      <c r="A1858" s="248" t="s">
        <v>148</v>
      </c>
      <c r="B1858" s="249"/>
      <c r="C1858" s="249"/>
      <c r="D1858" s="249"/>
      <c r="E1858" s="100" t="s">
        <v>134</v>
      </c>
      <c r="F1858" s="100" t="s">
        <v>286</v>
      </c>
    </row>
    <row r="1859" spans="1:6">
      <c r="A1859" s="248" t="s">
        <v>149</v>
      </c>
      <c r="B1859" s="249"/>
      <c r="C1859" s="249"/>
      <c r="D1859" s="249"/>
      <c r="E1859" s="100" t="s">
        <v>134</v>
      </c>
      <c r="F1859" s="100" t="s">
        <v>286</v>
      </c>
    </row>
    <row r="1860" spans="1:6">
      <c r="A1860" s="248" t="s">
        <v>150</v>
      </c>
      <c r="B1860" s="249"/>
      <c r="C1860" s="249"/>
      <c r="D1860" s="249"/>
      <c r="E1860" s="100" t="s">
        <v>134</v>
      </c>
      <c r="F1860" s="100" t="s">
        <v>286</v>
      </c>
    </row>
    <row r="1861" spans="1:6">
      <c r="A1861" s="248" t="s">
        <v>151</v>
      </c>
      <c r="B1861" s="249"/>
      <c r="C1861" s="249"/>
      <c r="D1861" s="249"/>
      <c r="E1861" s="100" t="s">
        <v>134</v>
      </c>
      <c r="F1861" s="100" t="s">
        <v>286</v>
      </c>
    </row>
    <row r="1862" spans="1:6">
      <c r="A1862" s="248" t="s">
        <v>152</v>
      </c>
      <c r="B1862" s="249"/>
      <c r="C1862" s="249"/>
      <c r="D1862" s="249"/>
      <c r="E1862" s="100" t="s">
        <v>134</v>
      </c>
      <c r="F1862" s="100" t="s">
        <v>286</v>
      </c>
    </row>
    <row r="1863" spans="1:6">
      <c r="A1863" s="248" t="s">
        <v>153</v>
      </c>
      <c r="B1863" s="249"/>
      <c r="C1863" s="249"/>
      <c r="D1863" s="249"/>
      <c r="E1863" s="100" t="s">
        <v>134</v>
      </c>
      <c r="F1863" s="100" t="s">
        <v>286</v>
      </c>
    </row>
    <row r="1864" spans="1:6">
      <c r="A1864" s="248" t="s">
        <v>154</v>
      </c>
      <c r="B1864" s="249"/>
      <c r="C1864" s="249"/>
      <c r="D1864" s="249"/>
      <c r="E1864" s="100" t="s">
        <v>134</v>
      </c>
      <c r="F1864" s="100" t="s">
        <v>286</v>
      </c>
    </row>
    <row r="1865" spans="1:6">
      <c r="A1865" s="248" t="s">
        <v>155</v>
      </c>
      <c r="B1865" s="249"/>
      <c r="C1865" s="249"/>
      <c r="D1865" s="249"/>
      <c r="E1865" s="100" t="s">
        <v>134</v>
      </c>
      <c r="F1865" s="100" t="s">
        <v>286</v>
      </c>
    </row>
    <row r="1866" spans="1:6">
      <c r="A1866" s="248" t="s">
        <v>156</v>
      </c>
      <c r="B1866" s="249"/>
      <c r="C1866" s="249"/>
      <c r="D1866" s="249"/>
      <c r="E1866" s="100" t="s">
        <v>134</v>
      </c>
      <c r="F1866" s="100" t="s">
        <v>286</v>
      </c>
    </row>
    <row r="1867" spans="1:6">
      <c r="A1867" s="248" t="s">
        <v>157</v>
      </c>
      <c r="B1867" s="249"/>
      <c r="C1867" s="249"/>
      <c r="D1867" s="249"/>
      <c r="E1867" s="100" t="s">
        <v>134</v>
      </c>
      <c r="F1867" s="100" t="s">
        <v>286</v>
      </c>
    </row>
    <row r="1868" spans="1:6">
      <c r="A1868" s="248" t="s">
        <v>158</v>
      </c>
      <c r="B1868" s="249"/>
      <c r="C1868" s="249"/>
      <c r="D1868" s="249"/>
      <c r="E1868" s="100" t="s">
        <v>134</v>
      </c>
      <c r="F1868" s="100" t="s">
        <v>286</v>
      </c>
    </row>
    <row r="1869" spans="1:6">
      <c r="A1869" s="248" t="s">
        <v>159</v>
      </c>
      <c r="B1869" s="249"/>
      <c r="C1869" s="249"/>
      <c r="D1869" s="249"/>
      <c r="E1869" s="100" t="s">
        <v>134</v>
      </c>
      <c r="F1869" s="100" t="s">
        <v>286</v>
      </c>
    </row>
    <row r="1870" spans="1:6">
      <c r="A1870" s="242" t="s">
        <v>148</v>
      </c>
      <c r="B1870" s="235"/>
      <c r="C1870" s="235"/>
      <c r="D1870" s="235"/>
      <c r="E1870" s="100" t="s">
        <v>134</v>
      </c>
      <c r="F1870" s="100" t="s">
        <v>313</v>
      </c>
    </row>
    <row r="1871" spans="1:6">
      <c r="A1871" s="242" t="s">
        <v>149</v>
      </c>
      <c r="B1871" s="235"/>
      <c r="C1871" s="235"/>
      <c r="D1871" s="235"/>
      <c r="E1871" s="100" t="s">
        <v>134</v>
      </c>
      <c r="F1871" s="100" t="s">
        <v>313</v>
      </c>
    </row>
    <row r="1872" spans="1:6">
      <c r="A1872" s="242" t="s">
        <v>150</v>
      </c>
      <c r="B1872" s="235"/>
      <c r="C1872" s="235"/>
      <c r="D1872" s="235"/>
      <c r="E1872" s="100" t="s">
        <v>134</v>
      </c>
      <c r="F1872" s="100" t="s">
        <v>313</v>
      </c>
    </row>
    <row r="1873" spans="1:6">
      <c r="A1873" s="242" t="s">
        <v>151</v>
      </c>
      <c r="B1873" s="235"/>
      <c r="C1873" s="235"/>
      <c r="D1873" s="235"/>
      <c r="E1873" s="100" t="s">
        <v>134</v>
      </c>
      <c r="F1873" s="100" t="s">
        <v>313</v>
      </c>
    </row>
    <row r="1874" spans="1:6">
      <c r="A1874" s="242" t="s">
        <v>152</v>
      </c>
      <c r="B1874" s="235"/>
      <c r="C1874" s="235"/>
      <c r="D1874" s="235"/>
      <c r="E1874" s="100" t="s">
        <v>134</v>
      </c>
      <c r="F1874" s="100" t="s">
        <v>313</v>
      </c>
    </row>
    <row r="1875" spans="1:6">
      <c r="A1875" s="242" t="s">
        <v>153</v>
      </c>
      <c r="B1875" s="235"/>
      <c r="C1875" s="235"/>
      <c r="D1875" s="235"/>
      <c r="E1875" s="100" t="s">
        <v>134</v>
      </c>
      <c r="F1875" s="100" t="s">
        <v>313</v>
      </c>
    </row>
    <row r="1876" spans="1:6">
      <c r="A1876" s="242" t="s">
        <v>154</v>
      </c>
      <c r="B1876" s="235"/>
      <c r="C1876" s="235"/>
      <c r="D1876" s="235"/>
      <c r="E1876" s="100" t="s">
        <v>134</v>
      </c>
      <c r="F1876" s="100" t="s">
        <v>313</v>
      </c>
    </row>
    <row r="1877" spans="1:6">
      <c r="A1877" s="242" t="s">
        <v>155</v>
      </c>
      <c r="B1877" s="235"/>
      <c r="C1877" s="235"/>
      <c r="D1877" s="235"/>
      <c r="E1877" s="100" t="s">
        <v>134</v>
      </c>
      <c r="F1877" s="100" t="s">
        <v>313</v>
      </c>
    </row>
    <row r="1878" spans="1:6">
      <c r="A1878" s="242" t="s">
        <v>156</v>
      </c>
      <c r="B1878" s="235"/>
      <c r="C1878" s="235"/>
      <c r="D1878" s="235"/>
      <c r="E1878" s="100" t="s">
        <v>134</v>
      </c>
      <c r="F1878" s="100" t="s">
        <v>313</v>
      </c>
    </row>
    <row r="1879" spans="1:6">
      <c r="A1879" s="242" t="s">
        <v>157</v>
      </c>
      <c r="B1879" s="235"/>
      <c r="C1879" s="235"/>
      <c r="D1879" s="235"/>
      <c r="E1879" s="100" t="s">
        <v>134</v>
      </c>
      <c r="F1879" s="100" t="s">
        <v>313</v>
      </c>
    </row>
    <row r="1880" spans="1:6">
      <c r="A1880" s="242" t="s">
        <v>158</v>
      </c>
      <c r="B1880" s="235"/>
      <c r="C1880" s="235"/>
      <c r="D1880" s="235"/>
      <c r="E1880" s="100" t="s">
        <v>134</v>
      </c>
      <c r="F1880" s="100" t="s">
        <v>313</v>
      </c>
    </row>
    <row r="1881" spans="1:6">
      <c r="A1881" s="242" t="s">
        <v>159</v>
      </c>
      <c r="B1881" s="235"/>
      <c r="C1881" s="235"/>
      <c r="D1881" s="235"/>
      <c r="E1881" s="100" t="s">
        <v>134</v>
      </c>
      <c r="F1881" s="100" t="s">
        <v>313</v>
      </c>
    </row>
    <row r="1882" spans="1:6">
      <c r="A1882" s="248" t="s">
        <v>148</v>
      </c>
      <c r="B1882" s="249"/>
      <c r="C1882" s="249"/>
      <c r="D1882" s="249"/>
      <c r="E1882" s="100" t="s">
        <v>134</v>
      </c>
      <c r="F1882" s="100" t="s">
        <v>285</v>
      </c>
    </row>
    <row r="1883" spans="1:6">
      <c r="A1883" s="248" t="s">
        <v>149</v>
      </c>
      <c r="B1883" s="249"/>
      <c r="C1883" s="249"/>
      <c r="D1883" s="249"/>
      <c r="E1883" s="100" t="s">
        <v>134</v>
      </c>
      <c r="F1883" s="100" t="s">
        <v>285</v>
      </c>
    </row>
    <row r="1884" spans="1:6">
      <c r="A1884" s="248" t="s">
        <v>150</v>
      </c>
      <c r="B1884" s="249"/>
      <c r="C1884" s="249"/>
      <c r="D1884" s="249"/>
      <c r="E1884" s="100" t="s">
        <v>134</v>
      </c>
      <c r="F1884" s="100" t="s">
        <v>285</v>
      </c>
    </row>
    <row r="1885" spans="1:6">
      <c r="A1885" s="248" t="s">
        <v>151</v>
      </c>
      <c r="B1885" s="249"/>
      <c r="C1885" s="249"/>
      <c r="D1885" s="249"/>
      <c r="E1885" s="100" t="s">
        <v>134</v>
      </c>
      <c r="F1885" s="100" t="s">
        <v>285</v>
      </c>
    </row>
    <row r="1886" spans="1:6">
      <c r="A1886" s="248" t="s">
        <v>152</v>
      </c>
      <c r="B1886" s="249"/>
      <c r="C1886" s="249"/>
      <c r="D1886" s="249"/>
      <c r="E1886" s="100" t="s">
        <v>134</v>
      </c>
      <c r="F1886" s="100" t="s">
        <v>285</v>
      </c>
    </row>
    <row r="1887" spans="1:6">
      <c r="A1887" s="248" t="s">
        <v>153</v>
      </c>
      <c r="B1887" s="249"/>
      <c r="C1887" s="249"/>
      <c r="D1887" s="249"/>
      <c r="E1887" s="100" t="s">
        <v>134</v>
      </c>
      <c r="F1887" s="100" t="s">
        <v>285</v>
      </c>
    </row>
    <row r="1888" spans="1:6">
      <c r="A1888" s="248" t="s">
        <v>154</v>
      </c>
      <c r="B1888" s="249"/>
      <c r="C1888" s="249"/>
      <c r="D1888" s="249"/>
      <c r="E1888" s="100" t="s">
        <v>134</v>
      </c>
      <c r="F1888" s="100" t="s">
        <v>285</v>
      </c>
    </row>
    <row r="1889" spans="1:6">
      <c r="A1889" s="248" t="s">
        <v>155</v>
      </c>
      <c r="B1889" s="249"/>
      <c r="C1889" s="249"/>
      <c r="D1889" s="249"/>
      <c r="E1889" s="100" t="s">
        <v>134</v>
      </c>
      <c r="F1889" s="100" t="s">
        <v>285</v>
      </c>
    </row>
    <row r="1890" spans="1:6">
      <c r="A1890" s="248" t="s">
        <v>156</v>
      </c>
      <c r="B1890" s="249"/>
      <c r="C1890" s="249"/>
      <c r="D1890" s="249"/>
      <c r="E1890" s="100" t="s">
        <v>134</v>
      </c>
      <c r="F1890" s="100" t="s">
        <v>285</v>
      </c>
    </row>
    <row r="1891" spans="1:6">
      <c r="A1891" s="248" t="s">
        <v>157</v>
      </c>
      <c r="B1891" s="249"/>
      <c r="C1891" s="249"/>
      <c r="D1891" s="249"/>
      <c r="E1891" s="100" t="s">
        <v>134</v>
      </c>
      <c r="F1891" s="100" t="s">
        <v>285</v>
      </c>
    </row>
    <row r="1892" spans="1:6">
      <c r="A1892" s="248" t="s">
        <v>158</v>
      </c>
      <c r="B1892" s="249"/>
      <c r="C1892" s="249"/>
      <c r="D1892" s="249"/>
      <c r="E1892" s="100" t="s">
        <v>134</v>
      </c>
      <c r="F1892" s="100" t="s">
        <v>285</v>
      </c>
    </row>
    <row r="1893" spans="1:6">
      <c r="A1893" s="248" t="s">
        <v>159</v>
      </c>
      <c r="B1893" s="249"/>
      <c r="C1893" s="249"/>
      <c r="D1893" s="249"/>
      <c r="E1893" s="100" t="s">
        <v>134</v>
      </c>
      <c r="F1893" s="100" t="s">
        <v>285</v>
      </c>
    </row>
    <row r="1894" spans="1:6">
      <c r="A1894" s="242" t="s">
        <v>148</v>
      </c>
      <c r="B1894" s="235"/>
      <c r="C1894" s="235"/>
      <c r="D1894" s="235"/>
      <c r="E1894" s="100" t="s">
        <v>134</v>
      </c>
      <c r="F1894" s="100" t="s">
        <v>28</v>
      </c>
    </row>
    <row r="1895" spans="1:6">
      <c r="A1895" s="242" t="s">
        <v>149</v>
      </c>
      <c r="B1895" s="235"/>
      <c r="C1895" s="235"/>
      <c r="D1895" s="235"/>
      <c r="E1895" s="100" t="s">
        <v>134</v>
      </c>
      <c r="F1895" s="100" t="s">
        <v>28</v>
      </c>
    </row>
    <row r="1896" spans="1:6">
      <c r="A1896" s="242" t="s">
        <v>150</v>
      </c>
      <c r="B1896" s="235"/>
      <c r="C1896" s="235"/>
      <c r="D1896" s="235"/>
      <c r="E1896" s="100" t="s">
        <v>134</v>
      </c>
      <c r="F1896" s="100" t="s">
        <v>28</v>
      </c>
    </row>
    <row r="1897" spans="1:6">
      <c r="A1897" s="242" t="s">
        <v>151</v>
      </c>
      <c r="B1897" s="235"/>
      <c r="C1897" s="235"/>
      <c r="D1897" s="235"/>
      <c r="E1897" s="100" t="s">
        <v>134</v>
      </c>
      <c r="F1897" s="100" t="s">
        <v>28</v>
      </c>
    </row>
    <row r="1898" spans="1:6">
      <c r="A1898" s="242" t="s">
        <v>152</v>
      </c>
      <c r="B1898" s="235"/>
      <c r="C1898" s="235"/>
      <c r="D1898" s="235"/>
      <c r="E1898" s="100" t="s">
        <v>134</v>
      </c>
      <c r="F1898" s="100" t="s">
        <v>28</v>
      </c>
    </row>
    <row r="1899" spans="1:6">
      <c r="A1899" s="242" t="s">
        <v>153</v>
      </c>
      <c r="B1899" s="235"/>
      <c r="C1899" s="235"/>
      <c r="D1899" s="235"/>
      <c r="E1899" s="100" t="s">
        <v>134</v>
      </c>
      <c r="F1899" s="100" t="s">
        <v>28</v>
      </c>
    </row>
    <row r="1900" spans="1:6">
      <c r="A1900" s="242" t="s">
        <v>154</v>
      </c>
      <c r="B1900" s="235"/>
      <c r="C1900" s="235"/>
      <c r="D1900" s="235"/>
      <c r="E1900" s="100" t="s">
        <v>134</v>
      </c>
      <c r="F1900" s="100" t="s">
        <v>28</v>
      </c>
    </row>
    <row r="1901" spans="1:6">
      <c r="A1901" s="242" t="s">
        <v>155</v>
      </c>
      <c r="B1901" s="235"/>
      <c r="C1901" s="235"/>
      <c r="D1901" s="235"/>
      <c r="E1901" s="100" t="s">
        <v>134</v>
      </c>
      <c r="F1901" s="100" t="s">
        <v>28</v>
      </c>
    </row>
    <row r="1902" spans="1:6">
      <c r="A1902" s="242" t="s">
        <v>156</v>
      </c>
      <c r="B1902" s="235"/>
      <c r="C1902" s="235"/>
      <c r="D1902" s="235"/>
      <c r="E1902" s="100" t="s">
        <v>134</v>
      </c>
      <c r="F1902" s="100" t="s">
        <v>28</v>
      </c>
    </row>
    <row r="1903" spans="1:6">
      <c r="A1903" s="242" t="s">
        <v>157</v>
      </c>
      <c r="B1903" s="235"/>
      <c r="C1903" s="235"/>
      <c r="D1903" s="235"/>
      <c r="E1903" s="100" t="s">
        <v>134</v>
      </c>
      <c r="F1903" s="100" t="s">
        <v>28</v>
      </c>
    </row>
    <row r="1904" spans="1:6">
      <c r="A1904" s="242" t="s">
        <v>158</v>
      </c>
      <c r="B1904" s="235"/>
      <c r="C1904" s="235"/>
      <c r="D1904" s="235"/>
      <c r="E1904" s="100" t="s">
        <v>134</v>
      </c>
      <c r="F1904" s="100" t="s">
        <v>28</v>
      </c>
    </row>
    <row r="1905" spans="1:6">
      <c r="A1905" s="242" t="s">
        <v>159</v>
      </c>
      <c r="B1905" s="235"/>
      <c r="C1905" s="235"/>
      <c r="D1905" s="235"/>
      <c r="E1905" s="100" t="s">
        <v>134</v>
      </c>
      <c r="F1905" s="100" t="s">
        <v>28</v>
      </c>
    </row>
    <row r="1906" spans="1:6">
      <c r="A1906" s="248" t="s">
        <v>148</v>
      </c>
      <c r="B1906" s="249"/>
      <c r="C1906" s="249"/>
      <c r="D1906" s="249"/>
      <c r="E1906" s="100" t="s">
        <v>134</v>
      </c>
      <c r="F1906" s="250" t="s">
        <v>175</v>
      </c>
    </row>
    <row r="1907" spans="1:6">
      <c r="A1907" s="248" t="s">
        <v>149</v>
      </c>
      <c r="B1907" s="249"/>
      <c r="C1907" s="249"/>
      <c r="D1907" s="249"/>
      <c r="E1907" s="100" t="s">
        <v>134</v>
      </c>
      <c r="F1907" s="250" t="s">
        <v>175</v>
      </c>
    </row>
    <row r="1908" spans="1:6">
      <c r="A1908" s="248" t="s">
        <v>150</v>
      </c>
      <c r="B1908" s="249"/>
      <c r="C1908" s="249"/>
      <c r="D1908" s="249"/>
      <c r="E1908" s="100" t="s">
        <v>134</v>
      </c>
      <c r="F1908" s="250" t="s">
        <v>175</v>
      </c>
    </row>
    <row r="1909" spans="1:6">
      <c r="A1909" s="248" t="s">
        <v>151</v>
      </c>
      <c r="B1909" s="249"/>
      <c r="C1909" s="249"/>
      <c r="D1909" s="249"/>
      <c r="E1909" s="100" t="s">
        <v>134</v>
      </c>
      <c r="F1909" s="250" t="s">
        <v>175</v>
      </c>
    </row>
    <row r="1910" spans="1:6">
      <c r="A1910" s="248" t="s">
        <v>152</v>
      </c>
      <c r="B1910" s="249"/>
      <c r="C1910" s="249"/>
      <c r="D1910" s="249"/>
      <c r="E1910" s="100" t="s">
        <v>134</v>
      </c>
      <c r="F1910" s="250" t="s">
        <v>175</v>
      </c>
    </row>
    <row r="1911" spans="1:6">
      <c r="A1911" s="248" t="s">
        <v>153</v>
      </c>
      <c r="B1911" s="249"/>
      <c r="C1911" s="249"/>
      <c r="D1911" s="249"/>
      <c r="E1911" s="100" t="s">
        <v>134</v>
      </c>
      <c r="F1911" s="250" t="s">
        <v>175</v>
      </c>
    </row>
    <row r="1912" spans="1:6">
      <c r="A1912" s="248" t="s">
        <v>154</v>
      </c>
      <c r="B1912" s="249"/>
      <c r="C1912" s="249"/>
      <c r="D1912" s="249"/>
      <c r="E1912" s="100" t="s">
        <v>134</v>
      </c>
      <c r="F1912" s="250" t="s">
        <v>175</v>
      </c>
    </row>
    <row r="1913" spans="1:6">
      <c r="A1913" s="248" t="s">
        <v>155</v>
      </c>
      <c r="B1913" s="249"/>
      <c r="C1913" s="249"/>
      <c r="D1913" s="249"/>
      <c r="E1913" s="100" t="s">
        <v>134</v>
      </c>
      <c r="F1913" s="250" t="s">
        <v>175</v>
      </c>
    </row>
    <row r="1914" spans="1:6">
      <c r="A1914" s="248" t="s">
        <v>156</v>
      </c>
      <c r="B1914" s="249"/>
      <c r="C1914" s="249"/>
      <c r="D1914" s="249"/>
      <c r="E1914" s="100" t="s">
        <v>134</v>
      </c>
      <c r="F1914" s="250" t="s">
        <v>175</v>
      </c>
    </row>
    <row r="1915" spans="1:6">
      <c r="A1915" s="248" t="s">
        <v>157</v>
      </c>
      <c r="B1915" s="249"/>
      <c r="C1915" s="249"/>
      <c r="D1915" s="249"/>
      <c r="E1915" s="100" t="s">
        <v>134</v>
      </c>
      <c r="F1915" s="250" t="s">
        <v>175</v>
      </c>
    </row>
    <row r="1916" spans="1:6">
      <c r="A1916" s="248" t="s">
        <v>158</v>
      </c>
      <c r="B1916" s="249"/>
      <c r="C1916" s="249"/>
      <c r="D1916" s="249"/>
      <c r="E1916" s="100" t="s">
        <v>134</v>
      </c>
      <c r="F1916" s="250" t="s">
        <v>175</v>
      </c>
    </row>
    <row r="1917" spans="1:6">
      <c r="A1917" s="248" t="s">
        <v>159</v>
      </c>
      <c r="B1917" s="249"/>
      <c r="C1917" s="249"/>
      <c r="D1917" s="249"/>
      <c r="E1917" s="100" t="s">
        <v>134</v>
      </c>
      <c r="F1917" s="250" t="s">
        <v>175</v>
      </c>
    </row>
    <row r="1918" spans="1:6">
      <c r="A1918" s="242" t="s">
        <v>148</v>
      </c>
      <c r="B1918" s="235"/>
      <c r="C1918" s="235"/>
      <c r="D1918" s="235"/>
      <c r="E1918" s="100" t="s">
        <v>135</v>
      </c>
      <c r="F1918" s="100" t="s">
        <v>284</v>
      </c>
    </row>
    <row r="1919" spans="1:6">
      <c r="A1919" s="242" t="s">
        <v>149</v>
      </c>
      <c r="B1919" s="235"/>
      <c r="C1919" s="235"/>
      <c r="D1919" s="235"/>
      <c r="E1919" s="100" t="s">
        <v>135</v>
      </c>
      <c r="F1919" s="100" t="s">
        <v>284</v>
      </c>
    </row>
    <row r="1920" spans="1:6">
      <c r="A1920" s="242" t="s">
        <v>150</v>
      </c>
      <c r="B1920" s="235"/>
      <c r="C1920" s="235"/>
      <c r="D1920" s="235"/>
      <c r="E1920" s="100" t="s">
        <v>135</v>
      </c>
      <c r="F1920" s="100" t="s">
        <v>284</v>
      </c>
    </row>
    <row r="1921" spans="1:6">
      <c r="A1921" s="242" t="s">
        <v>151</v>
      </c>
      <c r="B1921" s="235"/>
      <c r="C1921" s="235"/>
      <c r="D1921" s="235"/>
      <c r="E1921" s="100" t="s">
        <v>135</v>
      </c>
      <c r="F1921" s="100" t="s">
        <v>284</v>
      </c>
    </row>
    <row r="1922" spans="1:6">
      <c r="A1922" s="242" t="s">
        <v>152</v>
      </c>
      <c r="B1922" s="235"/>
      <c r="C1922" s="235"/>
      <c r="D1922" s="235"/>
      <c r="E1922" s="100" t="s">
        <v>135</v>
      </c>
      <c r="F1922" s="100" t="s">
        <v>284</v>
      </c>
    </row>
    <row r="1923" spans="1:6">
      <c r="A1923" s="242" t="s">
        <v>153</v>
      </c>
      <c r="B1923" s="235"/>
      <c r="C1923" s="235"/>
      <c r="D1923" s="235"/>
      <c r="E1923" s="100" t="s">
        <v>135</v>
      </c>
      <c r="F1923" s="100" t="s">
        <v>284</v>
      </c>
    </row>
    <row r="1924" spans="1:6">
      <c r="A1924" s="242" t="s">
        <v>154</v>
      </c>
      <c r="B1924" s="235"/>
      <c r="C1924" s="235"/>
      <c r="D1924" s="235"/>
      <c r="E1924" s="100" t="s">
        <v>135</v>
      </c>
      <c r="F1924" s="100" t="s">
        <v>284</v>
      </c>
    </row>
    <row r="1925" spans="1:6">
      <c r="A1925" s="242" t="s">
        <v>155</v>
      </c>
      <c r="B1925" s="235"/>
      <c r="C1925" s="235"/>
      <c r="D1925" s="235"/>
      <c r="E1925" s="100" t="s">
        <v>135</v>
      </c>
      <c r="F1925" s="100" t="s">
        <v>284</v>
      </c>
    </row>
    <row r="1926" spans="1:6">
      <c r="A1926" s="242" t="s">
        <v>156</v>
      </c>
      <c r="B1926" s="235"/>
      <c r="C1926" s="235"/>
      <c r="D1926" s="235"/>
      <c r="E1926" s="100" t="s">
        <v>135</v>
      </c>
      <c r="F1926" s="100" t="s">
        <v>284</v>
      </c>
    </row>
    <row r="1927" spans="1:6">
      <c r="A1927" s="242" t="s">
        <v>157</v>
      </c>
      <c r="B1927" s="235"/>
      <c r="C1927" s="235"/>
      <c r="D1927" s="235"/>
      <c r="E1927" s="100" t="s">
        <v>135</v>
      </c>
      <c r="F1927" s="100" t="s">
        <v>284</v>
      </c>
    </row>
    <row r="1928" spans="1:6">
      <c r="A1928" s="242" t="s">
        <v>158</v>
      </c>
      <c r="B1928" s="235"/>
      <c r="C1928" s="235"/>
      <c r="D1928" s="235"/>
      <c r="E1928" s="100" t="s">
        <v>135</v>
      </c>
      <c r="F1928" s="100" t="s">
        <v>284</v>
      </c>
    </row>
    <row r="1929" spans="1:6">
      <c r="A1929" s="242" t="s">
        <v>159</v>
      </c>
      <c r="B1929" s="235"/>
      <c r="C1929" s="235"/>
      <c r="D1929" s="235"/>
      <c r="E1929" s="100" t="s">
        <v>135</v>
      </c>
      <c r="F1929" s="100" t="s">
        <v>284</v>
      </c>
    </row>
    <row r="1930" spans="1:6">
      <c r="A1930" s="248" t="s">
        <v>148</v>
      </c>
      <c r="B1930" s="249"/>
      <c r="C1930" s="249"/>
      <c r="D1930" s="249"/>
      <c r="E1930" s="100" t="s">
        <v>135</v>
      </c>
      <c r="F1930" s="100" t="s">
        <v>286</v>
      </c>
    </row>
    <row r="1931" spans="1:6">
      <c r="A1931" s="248" t="s">
        <v>149</v>
      </c>
      <c r="B1931" s="249"/>
      <c r="C1931" s="249"/>
      <c r="D1931" s="249"/>
      <c r="E1931" s="100" t="s">
        <v>135</v>
      </c>
      <c r="F1931" s="100" t="s">
        <v>286</v>
      </c>
    </row>
    <row r="1932" spans="1:6">
      <c r="A1932" s="248" t="s">
        <v>150</v>
      </c>
      <c r="B1932" s="249"/>
      <c r="C1932" s="249"/>
      <c r="D1932" s="249"/>
      <c r="E1932" s="100" t="s">
        <v>135</v>
      </c>
      <c r="F1932" s="100" t="s">
        <v>286</v>
      </c>
    </row>
    <row r="1933" spans="1:6">
      <c r="A1933" s="248" t="s">
        <v>151</v>
      </c>
      <c r="B1933" s="249"/>
      <c r="C1933" s="249"/>
      <c r="D1933" s="249"/>
      <c r="E1933" s="100" t="s">
        <v>135</v>
      </c>
      <c r="F1933" s="100" t="s">
        <v>286</v>
      </c>
    </row>
    <row r="1934" spans="1:6">
      <c r="A1934" s="248" t="s">
        <v>152</v>
      </c>
      <c r="B1934" s="249"/>
      <c r="C1934" s="249"/>
      <c r="D1934" s="249"/>
      <c r="E1934" s="100" t="s">
        <v>135</v>
      </c>
      <c r="F1934" s="100" t="s">
        <v>286</v>
      </c>
    </row>
    <row r="1935" spans="1:6">
      <c r="A1935" s="248" t="s">
        <v>153</v>
      </c>
      <c r="B1935" s="249"/>
      <c r="C1935" s="249"/>
      <c r="D1935" s="249"/>
      <c r="E1935" s="100" t="s">
        <v>135</v>
      </c>
      <c r="F1935" s="100" t="s">
        <v>286</v>
      </c>
    </row>
    <row r="1936" spans="1:6">
      <c r="A1936" s="248" t="s">
        <v>154</v>
      </c>
      <c r="B1936" s="249"/>
      <c r="C1936" s="249"/>
      <c r="D1936" s="249"/>
      <c r="E1936" s="100" t="s">
        <v>135</v>
      </c>
      <c r="F1936" s="100" t="s">
        <v>286</v>
      </c>
    </row>
    <row r="1937" spans="1:6">
      <c r="A1937" s="248" t="s">
        <v>155</v>
      </c>
      <c r="B1937" s="249"/>
      <c r="C1937" s="249"/>
      <c r="D1937" s="249"/>
      <c r="E1937" s="100" t="s">
        <v>135</v>
      </c>
      <c r="F1937" s="100" t="s">
        <v>286</v>
      </c>
    </row>
    <row r="1938" spans="1:6">
      <c r="A1938" s="248" t="s">
        <v>156</v>
      </c>
      <c r="B1938" s="249"/>
      <c r="C1938" s="249"/>
      <c r="D1938" s="249"/>
      <c r="E1938" s="100" t="s">
        <v>135</v>
      </c>
      <c r="F1938" s="100" t="s">
        <v>286</v>
      </c>
    </row>
    <row r="1939" spans="1:6">
      <c r="A1939" s="248" t="s">
        <v>157</v>
      </c>
      <c r="B1939" s="249"/>
      <c r="C1939" s="249"/>
      <c r="D1939" s="249"/>
      <c r="E1939" s="100" t="s">
        <v>135</v>
      </c>
      <c r="F1939" s="100" t="s">
        <v>286</v>
      </c>
    </row>
    <row r="1940" spans="1:6">
      <c r="A1940" s="248" t="s">
        <v>158</v>
      </c>
      <c r="B1940" s="249"/>
      <c r="C1940" s="249"/>
      <c r="D1940" s="249"/>
      <c r="E1940" s="100" t="s">
        <v>135</v>
      </c>
      <c r="F1940" s="100" t="s">
        <v>286</v>
      </c>
    </row>
    <row r="1941" spans="1:6">
      <c r="A1941" s="248" t="s">
        <v>159</v>
      </c>
      <c r="B1941" s="249"/>
      <c r="C1941" s="249"/>
      <c r="D1941" s="249"/>
      <c r="E1941" s="100" t="s">
        <v>135</v>
      </c>
      <c r="F1941" s="100" t="s">
        <v>286</v>
      </c>
    </row>
    <row r="1942" spans="1:6">
      <c r="A1942" s="242" t="s">
        <v>148</v>
      </c>
      <c r="B1942" s="235"/>
      <c r="C1942" s="235"/>
      <c r="D1942" s="235"/>
      <c r="E1942" s="100" t="s">
        <v>135</v>
      </c>
      <c r="F1942" s="100" t="s">
        <v>313</v>
      </c>
    </row>
    <row r="1943" spans="1:6">
      <c r="A1943" s="242" t="s">
        <v>149</v>
      </c>
      <c r="B1943" s="235"/>
      <c r="C1943" s="235"/>
      <c r="D1943" s="235"/>
      <c r="E1943" s="100" t="s">
        <v>135</v>
      </c>
      <c r="F1943" s="100" t="s">
        <v>313</v>
      </c>
    </row>
    <row r="1944" spans="1:6">
      <c r="A1944" s="242" t="s">
        <v>150</v>
      </c>
      <c r="B1944" s="235"/>
      <c r="C1944" s="235"/>
      <c r="D1944" s="235"/>
      <c r="E1944" s="100" t="s">
        <v>135</v>
      </c>
      <c r="F1944" s="100" t="s">
        <v>313</v>
      </c>
    </row>
    <row r="1945" spans="1:6">
      <c r="A1945" s="242" t="s">
        <v>151</v>
      </c>
      <c r="B1945" s="235"/>
      <c r="C1945" s="235"/>
      <c r="D1945" s="235"/>
      <c r="E1945" s="100" t="s">
        <v>135</v>
      </c>
      <c r="F1945" s="100" t="s">
        <v>313</v>
      </c>
    </row>
    <row r="1946" spans="1:6">
      <c r="A1946" s="242" t="s">
        <v>152</v>
      </c>
      <c r="B1946" s="235"/>
      <c r="C1946" s="235"/>
      <c r="D1946" s="235"/>
      <c r="E1946" s="100" t="s">
        <v>135</v>
      </c>
      <c r="F1946" s="100" t="s">
        <v>313</v>
      </c>
    </row>
    <row r="1947" spans="1:6">
      <c r="A1947" s="242" t="s">
        <v>153</v>
      </c>
      <c r="B1947" s="235"/>
      <c r="C1947" s="235"/>
      <c r="D1947" s="235"/>
      <c r="E1947" s="100" t="s">
        <v>135</v>
      </c>
      <c r="F1947" s="100" t="s">
        <v>313</v>
      </c>
    </row>
    <row r="1948" spans="1:6">
      <c r="A1948" s="242" t="s">
        <v>154</v>
      </c>
      <c r="B1948" s="235"/>
      <c r="C1948" s="235"/>
      <c r="D1948" s="235"/>
      <c r="E1948" s="100" t="s">
        <v>135</v>
      </c>
      <c r="F1948" s="100" t="s">
        <v>313</v>
      </c>
    </row>
    <row r="1949" spans="1:6">
      <c r="A1949" s="242" t="s">
        <v>155</v>
      </c>
      <c r="B1949" s="235"/>
      <c r="C1949" s="235"/>
      <c r="D1949" s="235"/>
      <c r="E1949" s="100" t="s">
        <v>135</v>
      </c>
      <c r="F1949" s="100" t="s">
        <v>313</v>
      </c>
    </row>
    <row r="1950" spans="1:6">
      <c r="A1950" s="242" t="s">
        <v>156</v>
      </c>
      <c r="B1950" s="235"/>
      <c r="C1950" s="235"/>
      <c r="D1950" s="235"/>
      <c r="E1950" s="100" t="s">
        <v>135</v>
      </c>
      <c r="F1950" s="100" t="s">
        <v>313</v>
      </c>
    </row>
    <row r="1951" spans="1:6">
      <c r="A1951" s="242" t="s">
        <v>157</v>
      </c>
      <c r="B1951" s="235"/>
      <c r="C1951" s="235"/>
      <c r="D1951" s="235"/>
      <c r="E1951" s="100" t="s">
        <v>135</v>
      </c>
      <c r="F1951" s="100" t="s">
        <v>313</v>
      </c>
    </row>
    <row r="1952" spans="1:6">
      <c r="A1952" s="242" t="s">
        <v>158</v>
      </c>
      <c r="B1952" s="235"/>
      <c r="C1952" s="235"/>
      <c r="D1952" s="235"/>
      <c r="E1952" s="100" t="s">
        <v>135</v>
      </c>
      <c r="F1952" s="100" t="s">
        <v>313</v>
      </c>
    </row>
    <row r="1953" spans="1:6">
      <c r="A1953" s="242" t="s">
        <v>159</v>
      </c>
      <c r="B1953" s="235"/>
      <c r="C1953" s="235"/>
      <c r="D1953" s="235"/>
      <c r="E1953" s="100" t="s">
        <v>135</v>
      </c>
      <c r="F1953" s="100" t="s">
        <v>313</v>
      </c>
    </row>
    <row r="1954" spans="1:6">
      <c r="A1954" s="248" t="s">
        <v>148</v>
      </c>
      <c r="B1954" s="249"/>
      <c r="C1954" s="249"/>
      <c r="D1954" s="249"/>
      <c r="E1954" s="100" t="s">
        <v>135</v>
      </c>
      <c r="F1954" s="100" t="s">
        <v>285</v>
      </c>
    </row>
    <row r="1955" spans="1:6">
      <c r="A1955" s="248" t="s">
        <v>149</v>
      </c>
      <c r="B1955" s="249"/>
      <c r="C1955" s="249"/>
      <c r="D1955" s="249"/>
      <c r="E1955" s="100" t="s">
        <v>135</v>
      </c>
      <c r="F1955" s="100" t="s">
        <v>285</v>
      </c>
    </row>
    <row r="1956" spans="1:6">
      <c r="A1956" s="248" t="s">
        <v>150</v>
      </c>
      <c r="B1956" s="249"/>
      <c r="C1956" s="249"/>
      <c r="D1956" s="249"/>
      <c r="E1956" s="100" t="s">
        <v>135</v>
      </c>
      <c r="F1956" s="100" t="s">
        <v>285</v>
      </c>
    </row>
    <row r="1957" spans="1:6">
      <c r="A1957" s="248" t="s">
        <v>151</v>
      </c>
      <c r="B1957" s="249"/>
      <c r="C1957" s="249"/>
      <c r="D1957" s="249"/>
      <c r="E1957" s="100" t="s">
        <v>135</v>
      </c>
      <c r="F1957" s="100" t="s">
        <v>285</v>
      </c>
    </row>
    <row r="1958" spans="1:6">
      <c r="A1958" s="248" t="s">
        <v>152</v>
      </c>
      <c r="B1958" s="249"/>
      <c r="C1958" s="249"/>
      <c r="D1958" s="249"/>
      <c r="E1958" s="100" t="s">
        <v>135</v>
      </c>
      <c r="F1958" s="100" t="s">
        <v>285</v>
      </c>
    </row>
    <row r="1959" spans="1:6">
      <c r="A1959" s="248" t="s">
        <v>153</v>
      </c>
      <c r="B1959" s="249"/>
      <c r="C1959" s="249"/>
      <c r="D1959" s="249"/>
      <c r="E1959" s="100" t="s">
        <v>135</v>
      </c>
      <c r="F1959" s="100" t="s">
        <v>285</v>
      </c>
    </row>
    <row r="1960" spans="1:6">
      <c r="A1960" s="248" t="s">
        <v>154</v>
      </c>
      <c r="B1960" s="249"/>
      <c r="C1960" s="249"/>
      <c r="D1960" s="249"/>
      <c r="E1960" s="100" t="s">
        <v>135</v>
      </c>
      <c r="F1960" s="100" t="s">
        <v>285</v>
      </c>
    </row>
    <row r="1961" spans="1:6">
      <c r="A1961" s="248" t="s">
        <v>155</v>
      </c>
      <c r="B1961" s="249"/>
      <c r="C1961" s="249"/>
      <c r="D1961" s="249"/>
      <c r="E1961" s="100" t="s">
        <v>135</v>
      </c>
      <c r="F1961" s="100" t="s">
        <v>285</v>
      </c>
    </row>
    <row r="1962" spans="1:6">
      <c r="A1962" s="248" t="s">
        <v>156</v>
      </c>
      <c r="B1962" s="249"/>
      <c r="C1962" s="249"/>
      <c r="D1962" s="249"/>
      <c r="E1962" s="100" t="s">
        <v>135</v>
      </c>
      <c r="F1962" s="100" t="s">
        <v>285</v>
      </c>
    </row>
    <row r="1963" spans="1:6">
      <c r="A1963" s="248" t="s">
        <v>157</v>
      </c>
      <c r="B1963" s="249"/>
      <c r="C1963" s="249"/>
      <c r="D1963" s="249"/>
      <c r="E1963" s="100" t="s">
        <v>135</v>
      </c>
      <c r="F1963" s="100" t="s">
        <v>285</v>
      </c>
    </row>
    <row r="1964" spans="1:6">
      <c r="A1964" s="248" t="s">
        <v>158</v>
      </c>
      <c r="B1964" s="249"/>
      <c r="C1964" s="249"/>
      <c r="D1964" s="249"/>
      <c r="E1964" s="100" t="s">
        <v>135</v>
      </c>
      <c r="F1964" s="100" t="s">
        <v>285</v>
      </c>
    </row>
    <row r="1965" spans="1:6">
      <c r="A1965" s="248" t="s">
        <v>159</v>
      </c>
      <c r="B1965" s="249"/>
      <c r="C1965" s="249"/>
      <c r="D1965" s="249"/>
      <c r="E1965" s="100" t="s">
        <v>135</v>
      </c>
      <c r="F1965" s="100" t="s">
        <v>285</v>
      </c>
    </row>
    <row r="1966" spans="1:6">
      <c r="A1966" s="242" t="s">
        <v>148</v>
      </c>
      <c r="B1966" s="235"/>
      <c r="C1966" s="235"/>
      <c r="D1966" s="235"/>
      <c r="E1966" s="100" t="s">
        <v>135</v>
      </c>
      <c r="F1966" s="100" t="s">
        <v>28</v>
      </c>
    </row>
    <row r="1967" spans="1:6">
      <c r="A1967" s="242" t="s">
        <v>149</v>
      </c>
      <c r="B1967" s="235"/>
      <c r="C1967" s="235"/>
      <c r="D1967" s="235"/>
      <c r="E1967" s="100" t="s">
        <v>135</v>
      </c>
      <c r="F1967" s="100" t="s">
        <v>28</v>
      </c>
    </row>
    <row r="1968" spans="1:6">
      <c r="A1968" s="242" t="s">
        <v>150</v>
      </c>
      <c r="B1968" s="235"/>
      <c r="C1968" s="235"/>
      <c r="D1968" s="235"/>
      <c r="E1968" s="100" t="s">
        <v>135</v>
      </c>
      <c r="F1968" s="100" t="s">
        <v>28</v>
      </c>
    </row>
    <row r="1969" spans="1:6">
      <c r="A1969" s="242" t="s">
        <v>151</v>
      </c>
      <c r="B1969" s="235"/>
      <c r="C1969" s="235"/>
      <c r="D1969" s="235"/>
      <c r="E1969" s="100" t="s">
        <v>135</v>
      </c>
      <c r="F1969" s="100" t="s">
        <v>28</v>
      </c>
    </row>
    <row r="1970" spans="1:6">
      <c r="A1970" s="242" t="s">
        <v>152</v>
      </c>
      <c r="B1970" s="235"/>
      <c r="C1970" s="235"/>
      <c r="D1970" s="235"/>
      <c r="E1970" s="100" t="s">
        <v>135</v>
      </c>
      <c r="F1970" s="100" t="s">
        <v>28</v>
      </c>
    </row>
    <row r="1971" spans="1:6">
      <c r="A1971" s="242" t="s">
        <v>153</v>
      </c>
      <c r="B1971" s="235"/>
      <c r="C1971" s="235"/>
      <c r="D1971" s="235"/>
      <c r="E1971" s="100" t="s">
        <v>135</v>
      </c>
      <c r="F1971" s="100" t="s">
        <v>28</v>
      </c>
    </row>
    <row r="1972" spans="1:6">
      <c r="A1972" s="242" t="s">
        <v>154</v>
      </c>
      <c r="B1972" s="235"/>
      <c r="C1972" s="235"/>
      <c r="D1972" s="235"/>
      <c r="E1972" s="100" t="s">
        <v>135</v>
      </c>
      <c r="F1972" s="100" t="s">
        <v>28</v>
      </c>
    </row>
    <row r="1973" spans="1:6">
      <c r="A1973" s="242" t="s">
        <v>155</v>
      </c>
      <c r="B1973" s="235"/>
      <c r="C1973" s="235"/>
      <c r="D1973" s="235"/>
      <c r="E1973" s="100" t="s">
        <v>135</v>
      </c>
      <c r="F1973" s="100" t="s">
        <v>28</v>
      </c>
    </row>
    <row r="1974" spans="1:6">
      <c r="A1974" s="242" t="s">
        <v>156</v>
      </c>
      <c r="B1974" s="235"/>
      <c r="C1974" s="235"/>
      <c r="D1974" s="235"/>
      <c r="E1974" s="100" t="s">
        <v>135</v>
      </c>
      <c r="F1974" s="100" t="s">
        <v>28</v>
      </c>
    </row>
    <row r="1975" spans="1:6">
      <c r="A1975" s="242" t="s">
        <v>157</v>
      </c>
      <c r="B1975" s="235"/>
      <c r="C1975" s="235"/>
      <c r="D1975" s="235"/>
      <c r="E1975" s="100" t="s">
        <v>135</v>
      </c>
      <c r="F1975" s="100" t="s">
        <v>28</v>
      </c>
    </row>
    <row r="1976" spans="1:6">
      <c r="A1976" s="242" t="s">
        <v>158</v>
      </c>
      <c r="B1976" s="235"/>
      <c r="C1976" s="235"/>
      <c r="D1976" s="235"/>
      <c r="E1976" s="100" t="s">
        <v>135</v>
      </c>
      <c r="F1976" s="100" t="s">
        <v>28</v>
      </c>
    </row>
    <row r="1977" spans="1:6">
      <c r="A1977" s="242" t="s">
        <v>159</v>
      </c>
      <c r="B1977" s="235"/>
      <c r="C1977" s="235"/>
      <c r="D1977" s="235"/>
      <c r="E1977" s="100" t="s">
        <v>135</v>
      </c>
      <c r="F1977" s="100" t="s">
        <v>28</v>
      </c>
    </row>
    <row r="1978" spans="1:6">
      <c r="A1978" s="248" t="s">
        <v>148</v>
      </c>
      <c r="B1978" s="249"/>
      <c r="C1978" s="249"/>
      <c r="D1978" s="249"/>
      <c r="E1978" s="100" t="s">
        <v>135</v>
      </c>
      <c r="F1978" s="250" t="s">
        <v>175</v>
      </c>
    </row>
    <row r="1979" spans="1:6">
      <c r="A1979" s="248" t="s">
        <v>149</v>
      </c>
      <c r="B1979" s="249"/>
      <c r="C1979" s="249"/>
      <c r="D1979" s="249"/>
      <c r="E1979" s="100" t="s">
        <v>135</v>
      </c>
      <c r="F1979" s="250" t="s">
        <v>175</v>
      </c>
    </row>
    <row r="1980" spans="1:6">
      <c r="A1980" s="248" t="s">
        <v>150</v>
      </c>
      <c r="B1980" s="249"/>
      <c r="C1980" s="249"/>
      <c r="D1980" s="249"/>
      <c r="E1980" s="100" t="s">
        <v>135</v>
      </c>
      <c r="F1980" s="250" t="s">
        <v>175</v>
      </c>
    </row>
    <row r="1981" spans="1:6">
      <c r="A1981" s="248" t="s">
        <v>151</v>
      </c>
      <c r="B1981" s="249"/>
      <c r="C1981" s="249"/>
      <c r="D1981" s="249"/>
      <c r="E1981" s="100" t="s">
        <v>135</v>
      </c>
      <c r="F1981" s="250" t="s">
        <v>175</v>
      </c>
    </row>
    <row r="1982" spans="1:6">
      <c r="A1982" s="248" t="s">
        <v>152</v>
      </c>
      <c r="B1982" s="249"/>
      <c r="C1982" s="249"/>
      <c r="D1982" s="249"/>
      <c r="E1982" s="100" t="s">
        <v>135</v>
      </c>
      <c r="F1982" s="250" t="s">
        <v>175</v>
      </c>
    </row>
    <row r="1983" spans="1:6">
      <c r="A1983" s="248" t="s">
        <v>153</v>
      </c>
      <c r="B1983" s="249"/>
      <c r="C1983" s="249"/>
      <c r="D1983" s="249"/>
      <c r="E1983" s="100" t="s">
        <v>135</v>
      </c>
      <c r="F1983" s="250" t="s">
        <v>175</v>
      </c>
    </row>
    <row r="1984" spans="1:6">
      <c r="A1984" s="248" t="s">
        <v>154</v>
      </c>
      <c r="B1984" s="249"/>
      <c r="C1984" s="249"/>
      <c r="D1984" s="249"/>
      <c r="E1984" s="100" t="s">
        <v>135</v>
      </c>
      <c r="F1984" s="250" t="s">
        <v>175</v>
      </c>
    </row>
    <row r="1985" spans="1:6">
      <c r="A1985" s="248" t="s">
        <v>155</v>
      </c>
      <c r="B1985" s="249"/>
      <c r="C1985" s="249"/>
      <c r="D1985" s="249"/>
      <c r="E1985" s="100" t="s">
        <v>135</v>
      </c>
      <c r="F1985" s="250" t="s">
        <v>175</v>
      </c>
    </row>
    <row r="1986" spans="1:6">
      <c r="A1986" s="248" t="s">
        <v>156</v>
      </c>
      <c r="B1986" s="249"/>
      <c r="C1986" s="249"/>
      <c r="D1986" s="249"/>
      <c r="E1986" s="100" t="s">
        <v>135</v>
      </c>
      <c r="F1986" s="250" t="s">
        <v>175</v>
      </c>
    </row>
    <row r="1987" spans="1:6">
      <c r="A1987" s="248" t="s">
        <v>157</v>
      </c>
      <c r="B1987" s="249"/>
      <c r="C1987" s="249"/>
      <c r="D1987" s="249"/>
      <c r="E1987" s="100" t="s">
        <v>135</v>
      </c>
      <c r="F1987" s="250" t="s">
        <v>175</v>
      </c>
    </row>
    <row r="1988" spans="1:6">
      <c r="A1988" s="248" t="s">
        <v>158</v>
      </c>
      <c r="B1988" s="249"/>
      <c r="C1988" s="249"/>
      <c r="D1988" s="249"/>
      <c r="E1988" s="100" t="s">
        <v>135</v>
      </c>
      <c r="F1988" s="250" t="s">
        <v>175</v>
      </c>
    </row>
    <row r="1989" spans="1:6">
      <c r="A1989" s="248" t="s">
        <v>159</v>
      </c>
      <c r="B1989" s="249"/>
      <c r="C1989" s="249"/>
      <c r="D1989" s="249"/>
      <c r="E1989" s="100" t="s">
        <v>135</v>
      </c>
      <c r="F1989" s="250" t="s">
        <v>175</v>
      </c>
    </row>
    <row r="1990" spans="1:6">
      <c r="A1990" s="242" t="s">
        <v>148</v>
      </c>
      <c r="B1990" s="235"/>
      <c r="C1990" s="235"/>
      <c r="D1990" s="235"/>
      <c r="E1990" s="100" t="s">
        <v>136</v>
      </c>
      <c r="F1990" s="100" t="s">
        <v>284</v>
      </c>
    </row>
    <row r="1991" spans="1:6">
      <c r="A1991" s="242" t="s">
        <v>149</v>
      </c>
      <c r="B1991" s="235"/>
      <c r="C1991" s="235"/>
      <c r="D1991" s="235"/>
      <c r="E1991" s="100" t="s">
        <v>136</v>
      </c>
      <c r="F1991" s="100" t="s">
        <v>284</v>
      </c>
    </row>
    <row r="1992" spans="1:6">
      <c r="A1992" s="242" t="s">
        <v>150</v>
      </c>
      <c r="B1992" s="235"/>
      <c r="C1992" s="235"/>
      <c r="D1992" s="235"/>
      <c r="E1992" s="100" t="s">
        <v>136</v>
      </c>
      <c r="F1992" s="100" t="s">
        <v>284</v>
      </c>
    </row>
    <row r="1993" spans="1:6">
      <c r="A1993" s="242" t="s">
        <v>151</v>
      </c>
      <c r="B1993" s="235"/>
      <c r="C1993" s="235"/>
      <c r="D1993" s="235"/>
      <c r="E1993" s="100" t="s">
        <v>136</v>
      </c>
      <c r="F1993" s="100" t="s">
        <v>284</v>
      </c>
    </row>
    <row r="1994" spans="1:6">
      <c r="A1994" s="242" t="s">
        <v>152</v>
      </c>
      <c r="B1994" s="235"/>
      <c r="C1994" s="235"/>
      <c r="D1994" s="235"/>
      <c r="E1994" s="100" t="s">
        <v>136</v>
      </c>
      <c r="F1994" s="100" t="s">
        <v>284</v>
      </c>
    </row>
    <row r="1995" spans="1:6">
      <c r="A1995" s="242" t="s">
        <v>153</v>
      </c>
      <c r="B1995" s="235"/>
      <c r="C1995" s="235"/>
      <c r="D1995" s="235"/>
      <c r="E1995" s="100" t="s">
        <v>136</v>
      </c>
      <c r="F1995" s="100" t="s">
        <v>284</v>
      </c>
    </row>
    <row r="1996" spans="1:6">
      <c r="A1996" s="242" t="s">
        <v>154</v>
      </c>
      <c r="B1996" s="235"/>
      <c r="C1996" s="235"/>
      <c r="D1996" s="235"/>
      <c r="E1996" s="100" t="s">
        <v>136</v>
      </c>
      <c r="F1996" s="100" t="s">
        <v>284</v>
      </c>
    </row>
    <row r="1997" spans="1:6">
      <c r="A1997" s="242" t="s">
        <v>155</v>
      </c>
      <c r="B1997" s="235"/>
      <c r="C1997" s="235"/>
      <c r="D1997" s="235"/>
      <c r="E1997" s="100" t="s">
        <v>136</v>
      </c>
      <c r="F1997" s="100" t="s">
        <v>284</v>
      </c>
    </row>
    <row r="1998" spans="1:6">
      <c r="A1998" s="242" t="s">
        <v>156</v>
      </c>
      <c r="B1998" s="235"/>
      <c r="C1998" s="235"/>
      <c r="D1998" s="235"/>
      <c r="E1998" s="100" t="s">
        <v>136</v>
      </c>
      <c r="F1998" s="100" t="s">
        <v>284</v>
      </c>
    </row>
    <row r="1999" spans="1:6">
      <c r="A1999" s="242" t="s">
        <v>157</v>
      </c>
      <c r="B1999" s="235"/>
      <c r="C1999" s="235"/>
      <c r="D1999" s="235"/>
      <c r="E1999" s="100" t="s">
        <v>136</v>
      </c>
      <c r="F1999" s="100" t="s">
        <v>284</v>
      </c>
    </row>
    <row r="2000" spans="1:6">
      <c r="A2000" s="242" t="s">
        <v>158</v>
      </c>
      <c r="B2000" s="235"/>
      <c r="C2000" s="235"/>
      <c r="D2000" s="235"/>
      <c r="E2000" s="100" t="s">
        <v>136</v>
      </c>
      <c r="F2000" s="100" t="s">
        <v>284</v>
      </c>
    </row>
    <row r="2001" spans="1:6">
      <c r="A2001" s="242" t="s">
        <v>159</v>
      </c>
      <c r="B2001" s="235"/>
      <c r="C2001" s="235"/>
      <c r="D2001" s="235"/>
      <c r="E2001" s="100" t="s">
        <v>136</v>
      </c>
      <c r="F2001" s="100" t="s">
        <v>284</v>
      </c>
    </row>
    <row r="2002" spans="1:6">
      <c r="A2002" s="248" t="s">
        <v>148</v>
      </c>
      <c r="B2002" s="249"/>
      <c r="C2002" s="249"/>
      <c r="D2002" s="249"/>
      <c r="E2002" s="100" t="s">
        <v>136</v>
      </c>
      <c r="F2002" s="100" t="s">
        <v>286</v>
      </c>
    </row>
    <row r="2003" spans="1:6">
      <c r="A2003" s="248" t="s">
        <v>149</v>
      </c>
      <c r="B2003" s="249"/>
      <c r="C2003" s="249"/>
      <c r="D2003" s="249"/>
      <c r="E2003" s="100" t="s">
        <v>136</v>
      </c>
      <c r="F2003" s="100" t="s">
        <v>286</v>
      </c>
    </row>
    <row r="2004" spans="1:6">
      <c r="A2004" s="248" t="s">
        <v>150</v>
      </c>
      <c r="B2004" s="249"/>
      <c r="C2004" s="249"/>
      <c r="D2004" s="249"/>
      <c r="E2004" s="100" t="s">
        <v>136</v>
      </c>
      <c r="F2004" s="100" t="s">
        <v>286</v>
      </c>
    </row>
    <row r="2005" spans="1:6">
      <c r="A2005" s="248" t="s">
        <v>151</v>
      </c>
      <c r="B2005" s="249"/>
      <c r="C2005" s="249"/>
      <c r="D2005" s="249"/>
      <c r="E2005" s="100" t="s">
        <v>136</v>
      </c>
      <c r="F2005" s="100" t="s">
        <v>286</v>
      </c>
    </row>
    <row r="2006" spans="1:6">
      <c r="A2006" s="248" t="s">
        <v>152</v>
      </c>
      <c r="B2006" s="249"/>
      <c r="C2006" s="249"/>
      <c r="D2006" s="249"/>
      <c r="E2006" s="100" t="s">
        <v>136</v>
      </c>
      <c r="F2006" s="100" t="s">
        <v>286</v>
      </c>
    </row>
    <row r="2007" spans="1:6">
      <c r="A2007" s="248" t="s">
        <v>153</v>
      </c>
      <c r="B2007" s="249"/>
      <c r="C2007" s="249"/>
      <c r="D2007" s="249"/>
      <c r="E2007" s="100" t="s">
        <v>136</v>
      </c>
      <c r="F2007" s="100" t="s">
        <v>286</v>
      </c>
    </row>
    <row r="2008" spans="1:6">
      <c r="A2008" s="248" t="s">
        <v>154</v>
      </c>
      <c r="B2008" s="249"/>
      <c r="C2008" s="249"/>
      <c r="D2008" s="249"/>
      <c r="E2008" s="100" t="s">
        <v>136</v>
      </c>
      <c r="F2008" s="100" t="s">
        <v>286</v>
      </c>
    </row>
    <row r="2009" spans="1:6">
      <c r="A2009" s="248" t="s">
        <v>155</v>
      </c>
      <c r="B2009" s="249"/>
      <c r="C2009" s="249"/>
      <c r="D2009" s="249"/>
      <c r="E2009" s="100" t="s">
        <v>136</v>
      </c>
      <c r="F2009" s="100" t="s">
        <v>286</v>
      </c>
    </row>
    <row r="2010" spans="1:6">
      <c r="A2010" s="248" t="s">
        <v>156</v>
      </c>
      <c r="B2010" s="249"/>
      <c r="C2010" s="249"/>
      <c r="D2010" s="249"/>
      <c r="E2010" s="100" t="s">
        <v>136</v>
      </c>
      <c r="F2010" s="100" t="s">
        <v>286</v>
      </c>
    </row>
    <row r="2011" spans="1:6">
      <c r="A2011" s="248" t="s">
        <v>157</v>
      </c>
      <c r="B2011" s="249"/>
      <c r="C2011" s="249"/>
      <c r="D2011" s="249"/>
      <c r="E2011" s="100" t="s">
        <v>136</v>
      </c>
      <c r="F2011" s="100" t="s">
        <v>286</v>
      </c>
    </row>
    <row r="2012" spans="1:6">
      <c r="A2012" s="248" t="s">
        <v>158</v>
      </c>
      <c r="B2012" s="249"/>
      <c r="C2012" s="249"/>
      <c r="D2012" s="249"/>
      <c r="E2012" s="100" t="s">
        <v>136</v>
      </c>
      <c r="F2012" s="100" t="s">
        <v>286</v>
      </c>
    </row>
    <row r="2013" spans="1:6">
      <c r="A2013" s="248" t="s">
        <v>159</v>
      </c>
      <c r="B2013" s="249"/>
      <c r="C2013" s="249"/>
      <c r="D2013" s="249"/>
      <c r="E2013" s="100" t="s">
        <v>136</v>
      </c>
      <c r="F2013" s="100" t="s">
        <v>286</v>
      </c>
    </row>
    <row r="2014" spans="1:6">
      <c r="A2014" s="242" t="s">
        <v>148</v>
      </c>
      <c r="B2014" s="235"/>
      <c r="C2014" s="235"/>
      <c r="D2014" s="235"/>
      <c r="E2014" s="100" t="s">
        <v>136</v>
      </c>
      <c r="F2014" s="100" t="s">
        <v>313</v>
      </c>
    </row>
    <row r="2015" spans="1:6">
      <c r="A2015" s="242" t="s">
        <v>149</v>
      </c>
      <c r="B2015" s="235"/>
      <c r="C2015" s="235"/>
      <c r="D2015" s="235"/>
      <c r="E2015" s="100" t="s">
        <v>136</v>
      </c>
      <c r="F2015" s="100" t="s">
        <v>313</v>
      </c>
    </row>
    <row r="2016" spans="1:6">
      <c r="A2016" s="242" t="s">
        <v>150</v>
      </c>
      <c r="B2016" s="235"/>
      <c r="C2016" s="235"/>
      <c r="D2016" s="235"/>
      <c r="E2016" s="100" t="s">
        <v>136</v>
      </c>
      <c r="F2016" s="100" t="s">
        <v>313</v>
      </c>
    </row>
    <row r="2017" spans="1:6">
      <c r="A2017" s="242" t="s">
        <v>151</v>
      </c>
      <c r="B2017" s="235"/>
      <c r="C2017" s="235"/>
      <c r="D2017" s="235"/>
      <c r="E2017" s="100" t="s">
        <v>136</v>
      </c>
      <c r="F2017" s="100" t="s">
        <v>313</v>
      </c>
    </row>
    <row r="2018" spans="1:6">
      <c r="A2018" s="242" t="s">
        <v>152</v>
      </c>
      <c r="B2018" s="235"/>
      <c r="C2018" s="235"/>
      <c r="D2018" s="235"/>
      <c r="E2018" s="100" t="s">
        <v>136</v>
      </c>
      <c r="F2018" s="100" t="s">
        <v>313</v>
      </c>
    </row>
    <row r="2019" spans="1:6">
      <c r="A2019" s="242" t="s">
        <v>153</v>
      </c>
      <c r="B2019" s="235"/>
      <c r="C2019" s="235"/>
      <c r="D2019" s="235"/>
      <c r="E2019" s="100" t="s">
        <v>136</v>
      </c>
      <c r="F2019" s="100" t="s">
        <v>313</v>
      </c>
    </row>
    <row r="2020" spans="1:6">
      <c r="A2020" s="242" t="s">
        <v>154</v>
      </c>
      <c r="B2020" s="235"/>
      <c r="C2020" s="235"/>
      <c r="D2020" s="235"/>
      <c r="E2020" s="100" t="s">
        <v>136</v>
      </c>
      <c r="F2020" s="100" t="s">
        <v>313</v>
      </c>
    </row>
    <row r="2021" spans="1:6">
      <c r="A2021" s="242" t="s">
        <v>155</v>
      </c>
      <c r="B2021" s="235"/>
      <c r="C2021" s="235"/>
      <c r="D2021" s="235"/>
      <c r="E2021" s="100" t="s">
        <v>136</v>
      </c>
      <c r="F2021" s="100" t="s">
        <v>313</v>
      </c>
    </row>
    <row r="2022" spans="1:6">
      <c r="A2022" s="242" t="s">
        <v>156</v>
      </c>
      <c r="B2022" s="235"/>
      <c r="C2022" s="235"/>
      <c r="D2022" s="235"/>
      <c r="E2022" s="100" t="s">
        <v>136</v>
      </c>
      <c r="F2022" s="100" t="s">
        <v>313</v>
      </c>
    </row>
    <row r="2023" spans="1:6">
      <c r="A2023" s="242" t="s">
        <v>157</v>
      </c>
      <c r="B2023" s="235"/>
      <c r="C2023" s="235"/>
      <c r="D2023" s="235"/>
      <c r="E2023" s="100" t="s">
        <v>136</v>
      </c>
      <c r="F2023" s="100" t="s">
        <v>313</v>
      </c>
    </row>
    <row r="2024" spans="1:6">
      <c r="A2024" s="242" t="s">
        <v>158</v>
      </c>
      <c r="B2024" s="235"/>
      <c r="C2024" s="235"/>
      <c r="D2024" s="235"/>
      <c r="E2024" s="100" t="s">
        <v>136</v>
      </c>
      <c r="F2024" s="100" t="s">
        <v>313</v>
      </c>
    </row>
    <row r="2025" spans="1:6">
      <c r="A2025" s="242" t="s">
        <v>159</v>
      </c>
      <c r="B2025" s="235"/>
      <c r="C2025" s="235"/>
      <c r="D2025" s="235"/>
      <c r="E2025" s="100" t="s">
        <v>136</v>
      </c>
      <c r="F2025" s="100" t="s">
        <v>313</v>
      </c>
    </row>
    <row r="2026" spans="1:6">
      <c r="A2026" s="248" t="s">
        <v>148</v>
      </c>
      <c r="B2026" s="249"/>
      <c r="C2026" s="249"/>
      <c r="D2026" s="249"/>
      <c r="E2026" s="100" t="s">
        <v>136</v>
      </c>
      <c r="F2026" s="100" t="s">
        <v>285</v>
      </c>
    </row>
    <row r="2027" spans="1:6">
      <c r="A2027" s="248" t="s">
        <v>149</v>
      </c>
      <c r="B2027" s="249"/>
      <c r="C2027" s="249"/>
      <c r="D2027" s="249"/>
      <c r="E2027" s="100" t="s">
        <v>136</v>
      </c>
      <c r="F2027" s="100" t="s">
        <v>285</v>
      </c>
    </row>
    <row r="2028" spans="1:6">
      <c r="A2028" s="248" t="s">
        <v>150</v>
      </c>
      <c r="B2028" s="249"/>
      <c r="C2028" s="249"/>
      <c r="D2028" s="249"/>
      <c r="E2028" s="100" t="s">
        <v>136</v>
      </c>
      <c r="F2028" s="100" t="s">
        <v>285</v>
      </c>
    </row>
    <row r="2029" spans="1:6">
      <c r="A2029" s="248" t="s">
        <v>151</v>
      </c>
      <c r="B2029" s="249"/>
      <c r="C2029" s="249"/>
      <c r="D2029" s="249"/>
      <c r="E2029" s="100" t="s">
        <v>136</v>
      </c>
      <c r="F2029" s="100" t="s">
        <v>285</v>
      </c>
    </row>
    <row r="2030" spans="1:6">
      <c r="A2030" s="248" t="s">
        <v>152</v>
      </c>
      <c r="B2030" s="249"/>
      <c r="C2030" s="249"/>
      <c r="D2030" s="249"/>
      <c r="E2030" s="100" t="s">
        <v>136</v>
      </c>
      <c r="F2030" s="100" t="s">
        <v>285</v>
      </c>
    </row>
    <row r="2031" spans="1:6">
      <c r="A2031" s="248" t="s">
        <v>153</v>
      </c>
      <c r="B2031" s="249"/>
      <c r="C2031" s="249"/>
      <c r="D2031" s="249"/>
      <c r="E2031" s="100" t="s">
        <v>136</v>
      </c>
      <c r="F2031" s="100" t="s">
        <v>285</v>
      </c>
    </row>
    <row r="2032" spans="1:6">
      <c r="A2032" s="248" t="s">
        <v>154</v>
      </c>
      <c r="B2032" s="249"/>
      <c r="C2032" s="249"/>
      <c r="D2032" s="249"/>
      <c r="E2032" s="100" t="s">
        <v>136</v>
      </c>
      <c r="F2032" s="100" t="s">
        <v>285</v>
      </c>
    </row>
    <row r="2033" spans="1:6">
      <c r="A2033" s="248" t="s">
        <v>155</v>
      </c>
      <c r="B2033" s="249"/>
      <c r="C2033" s="249"/>
      <c r="D2033" s="249"/>
      <c r="E2033" s="100" t="s">
        <v>136</v>
      </c>
      <c r="F2033" s="100" t="s">
        <v>285</v>
      </c>
    </row>
    <row r="2034" spans="1:6">
      <c r="A2034" s="248" t="s">
        <v>156</v>
      </c>
      <c r="B2034" s="249"/>
      <c r="C2034" s="249"/>
      <c r="D2034" s="249"/>
      <c r="E2034" s="100" t="s">
        <v>136</v>
      </c>
      <c r="F2034" s="100" t="s">
        <v>285</v>
      </c>
    </row>
    <row r="2035" spans="1:6">
      <c r="A2035" s="248" t="s">
        <v>157</v>
      </c>
      <c r="B2035" s="249"/>
      <c r="C2035" s="249"/>
      <c r="D2035" s="249"/>
      <c r="E2035" s="100" t="s">
        <v>136</v>
      </c>
      <c r="F2035" s="100" t="s">
        <v>285</v>
      </c>
    </row>
    <row r="2036" spans="1:6">
      <c r="A2036" s="248" t="s">
        <v>158</v>
      </c>
      <c r="B2036" s="249"/>
      <c r="C2036" s="249"/>
      <c r="D2036" s="249"/>
      <c r="E2036" s="100" t="s">
        <v>136</v>
      </c>
      <c r="F2036" s="100" t="s">
        <v>285</v>
      </c>
    </row>
    <row r="2037" spans="1:6">
      <c r="A2037" s="248" t="s">
        <v>159</v>
      </c>
      <c r="B2037" s="249"/>
      <c r="C2037" s="249"/>
      <c r="D2037" s="249"/>
      <c r="E2037" s="100" t="s">
        <v>136</v>
      </c>
      <c r="F2037" s="100" t="s">
        <v>285</v>
      </c>
    </row>
    <row r="2038" spans="1:6">
      <c r="A2038" s="242" t="s">
        <v>148</v>
      </c>
      <c r="B2038" s="235"/>
      <c r="C2038" s="235"/>
      <c r="D2038" s="235"/>
      <c r="E2038" s="100" t="s">
        <v>136</v>
      </c>
      <c r="F2038" s="100" t="s">
        <v>28</v>
      </c>
    </row>
    <row r="2039" spans="1:6">
      <c r="A2039" s="242" t="s">
        <v>149</v>
      </c>
      <c r="B2039" s="235"/>
      <c r="C2039" s="235"/>
      <c r="D2039" s="235"/>
      <c r="E2039" s="100" t="s">
        <v>136</v>
      </c>
      <c r="F2039" s="100" t="s">
        <v>28</v>
      </c>
    </row>
    <row r="2040" spans="1:6">
      <c r="A2040" s="242" t="s">
        <v>150</v>
      </c>
      <c r="B2040" s="235"/>
      <c r="C2040" s="235"/>
      <c r="D2040" s="235"/>
      <c r="E2040" s="100" t="s">
        <v>136</v>
      </c>
      <c r="F2040" s="100" t="s">
        <v>28</v>
      </c>
    </row>
    <row r="2041" spans="1:6">
      <c r="A2041" s="242" t="s">
        <v>151</v>
      </c>
      <c r="B2041" s="235"/>
      <c r="C2041" s="235"/>
      <c r="D2041" s="235"/>
      <c r="E2041" s="100" t="s">
        <v>136</v>
      </c>
      <c r="F2041" s="100" t="s">
        <v>28</v>
      </c>
    </row>
    <row r="2042" spans="1:6">
      <c r="A2042" s="242" t="s">
        <v>152</v>
      </c>
      <c r="B2042" s="235"/>
      <c r="C2042" s="235"/>
      <c r="D2042" s="235"/>
      <c r="E2042" s="100" t="s">
        <v>136</v>
      </c>
      <c r="F2042" s="100" t="s">
        <v>28</v>
      </c>
    </row>
    <row r="2043" spans="1:6">
      <c r="A2043" s="242" t="s">
        <v>153</v>
      </c>
      <c r="B2043" s="235"/>
      <c r="C2043" s="235"/>
      <c r="D2043" s="235"/>
      <c r="E2043" s="100" t="s">
        <v>136</v>
      </c>
      <c r="F2043" s="100" t="s">
        <v>28</v>
      </c>
    </row>
    <row r="2044" spans="1:6">
      <c r="A2044" s="242" t="s">
        <v>154</v>
      </c>
      <c r="B2044" s="235"/>
      <c r="C2044" s="235"/>
      <c r="D2044" s="235"/>
      <c r="E2044" s="100" t="s">
        <v>136</v>
      </c>
      <c r="F2044" s="100" t="s">
        <v>28</v>
      </c>
    </row>
    <row r="2045" spans="1:6">
      <c r="A2045" s="242" t="s">
        <v>155</v>
      </c>
      <c r="B2045" s="235"/>
      <c r="C2045" s="235"/>
      <c r="D2045" s="235"/>
      <c r="E2045" s="100" t="s">
        <v>136</v>
      </c>
      <c r="F2045" s="100" t="s">
        <v>28</v>
      </c>
    </row>
    <row r="2046" spans="1:6">
      <c r="A2046" s="242" t="s">
        <v>156</v>
      </c>
      <c r="B2046" s="235"/>
      <c r="C2046" s="235"/>
      <c r="D2046" s="235"/>
      <c r="E2046" s="100" t="s">
        <v>136</v>
      </c>
      <c r="F2046" s="100" t="s">
        <v>28</v>
      </c>
    </row>
    <row r="2047" spans="1:6">
      <c r="A2047" s="242" t="s">
        <v>157</v>
      </c>
      <c r="B2047" s="235"/>
      <c r="C2047" s="235"/>
      <c r="D2047" s="235"/>
      <c r="E2047" s="100" t="s">
        <v>136</v>
      </c>
      <c r="F2047" s="100" t="s">
        <v>28</v>
      </c>
    </row>
    <row r="2048" spans="1:6">
      <c r="A2048" s="242" t="s">
        <v>158</v>
      </c>
      <c r="B2048" s="235"/>
      <c r="C2048" s="235"/>
      <c r="D2048" s="235"/>
      <c r="E2048" s="100" t="s">
        <v>136</v>
      </c>
      <c r="F2048" s="100" t="s">
        <v>28</v>
      </c>
    </row>
    <row r="2049" spans="1:6">
      <c r="A2049" s="242" t="s">
        <v>159</v>
      </c>
      <c r="B2049" s="235"/>
      <c r="C2049" s="235"/>
      <c r="D2049" s="235"/>
      <c r="E2049" s="100" t="s">
        <v>136</v>
      </c>
      <c r="F2049" s="100" t="s">
        <v>28</v>
      </c>
    </row>
    <row r="2050" spans="1:6">
      <c r="A2050" s="248" t="s">
        <v>148</v>
      </c>
      <c r="B2050" s="249"/>
      <c r="C2050" s="249"/>
      <c r="D2050" s="249"/>
      <c r="E2050" s="100" t="s">
        <v>136</v>
      </c>
      <c r="F2050" s="250" t="s">
        <v>175</v>
      </c>
    </row>
    <row r="2051" spans="1:6">
      <c r="A2051" s="248" t="s">
        <v>149</v>
      </c>
      <c r="B2051" s="249"/>
      <c r="C2051" s="249"/>
      <c r="D2051" s="249"/>
      <c r="E2051" s="100" t="s">
        <v>136</v>
      </c>
      <c r="F2051" s="250" t="s">
        <v>175</v>
      </c>
    </row>
    <row r="2052" spans="1:6">
      <c r="A2052" s="248" t="s">
        <v>150</v>
      </c>
      <c r="B2052" s="249"/>
      <c r="C2052" s="249"/>
      <c r="D2052" s="249"/>
      <c r="E2052" s="100" t="s">
        <v>136</v>
      </c>
      <c r="F2052" s="250" t="s">
        <v>175</v>
      </c>
    </row>
    <row r="2053" spans="1:6">
      <c r="A2053" s="248" t="s">
        <v>151</v>
      </c>
      <c r="B2053" s="249"/>
      <c r="C2053" s="249"/>
      <c r="D2053" s="249"/>
      <c r="E2053" s="100" t="s">
        <v>136</v>
      </c>
      <c r="F2053" s="250" t="s">
        <v>175</v>
      </c>
    </row>
    <row r="2054" spans="1:6">
      <c r="A2054" s="248" t="s">
        <v>152</v>
      </c>
      <c r="B2054" s="249"/>
      <c r="C2054" s="249"/>
      <c r="D2054" s="249"/>
      <c r="E2054" s="100" t="s">
        <v>136</v>
      </c>
      <c r="F2054" s="250" t="s">
        <v>175</v>
      </c>
    </row>
    <row r="2055" spans="1:6">
      <c r="A2055" s="248" t="s">
        <v>153</v>
      </c>
      <c r="B2055" s="249"/>
      <c r="C2055" s="249"/>
      <c r="D2055" s="249"/>
      <c r="E2055" s="100" t="s">
        <v>136</v>
      </c>
      <c r="F2055" s="250" t="s">
        <v>175</v>
      </c>
    </row>
    <row r="2056" spans="1:6">
      <c r="A2056" s="248" t="s">
        <v>154</v>
      </c>
      <c r="B2056" s="249"/>
      <c r="C2056" s="249"/>
      <c r="D2056" s="249"/>
      <c r="E2056" s="100" t="s">
        <v>136</v>
      </c>
      <c r="F2056" s="250" t="s">
        <v>175</v>
      </c>
    </row>
    <row r="2057" spans="1:6">
      <c r="A2057" s="248" t="s">
        <v>155</v>
      </c>
      <c r="B2057" s="249"/>
      <c r="C2057" s="249"/>
      <c r="D2057" s="249"/>
      <c r="E2057" s="100" t="s">
        <v>136</v>
      </c>
      <c r="F2057" s="250" t="s">
        <v>175</v>
      </c>
    </row>
    <row r="2058" spans="1:6">
      <c r="A2058" s="248" t="s">
        <v>156</v>
      </c>
      <c r="B2058" s="249"/>
      <c r="C2058" s="249"/>
      <c r="D2058" s="249"/>
      <c r="E2058" s="100" t="s">
        <v>136</v>
      </c>
      <c r="F2058" s="250" t="s">
        <v>175</v>
      </c>
    </row>
    <row r="2059" spans="1:6">
      <c r="A2059" s="248" t="s">
        <v>157</v>
      </c>
      <c r="B2059" s="249"/>
      <c r="C2059" s="249"/>
      <c r="D2059" s="249"/>
      <c r="E2059" s="100" t="s">
        <v>136</v>
      </c>
      <c r="F2059" s="250" t="s">
        <v>175</v>
      </c>
    </row>
    <row r="2060" spans="1:6">
      <c r="A2060" s="248" t="s">
        <v>158</v>
      </c>
      <c r="B2060" s="249"/>
      <c r="C2060" s="249"/>
      <c r="D2060" s="249"/>
      <c r="E2060" s="100" t="s">
        <v>136</v>
      </c>
      <c r="F2060" s="250" t="s">
        <v>175</v>
      </c>
    </row>
    <row r="2061" spans="1:6">
      <c r="A2061" s="248" t="s">
        <v>159</v>
      </c>
      <c r="B2061" s="249"/>
      <c r="C2061" s="249"/>
      <c r="D2061" s="249"/>
      <c r="E2061" s="100" t="s">
        <v>136</v>
      </c>
      <c r="F2061" s="250" t="s">
        <v>175</v>
      </c>
    </row>
    <row r="2062" spans="1:6">
      <c r="A2062" s="242" t="s">
        <v>148</v>
      </c>
      <c r="B2062" s="235"/>
      <c r="C2062" s="235"/>
      <c r="D2062" s="235"/>
      <c r="E2062" s="100" t="s">
        <v>137</v>
      </c>
      <c r="F2062" s="100" t="s">
        <v>284</v>
      </c>
    </row>
    <row r="2063" spans="1:6">
      <c r="A2063" s="242" t="s">
        <v>149</v>
      </c>
      <c r="B2063" s="235"/>
      <c r="C2063" s="235"/>
      <c r="D2063" s="235"/>
      <c r="E2063" s="100" t="s">
        <v>137</v>
      </c>
      <c r="F2063" s="100" t="s">
        <v>284</v>
      </c>
    </row>
    <row r="2064" spans="1:6">
      <c r="A2064" s="242" t="s">
        <v>150</v>
      </c>
      <c r="B2064" s="235"/>
      <c r="C2064" s="235"/>
      <c r="D2064" s="235"/>
      <c r="E2064" s="100" t="s">
        <v>137</v>
      </c>
      <c r="F2064" s="100" t="s">
        <v>284</v>
      </c>
    </row>
    <row r="2065" spans="1:6">
      <c r="A2065" s="242" t="s">
        <v>151</v>
      </c>
      <c r="B2065" s="235"/>
      <c r="C2065" s="235"/>
      <c r="D2065" s="235"/>
      <c r="E2065" s="100" t="s">
        <v>137</v>
      </c>
      <c r="F2065" s="100" t="s">
        <v>284</v>
      </c>
    </row>
    <row r="2066" spans="1:6">
      <c r="A2066" s="242" t="s">
        <v>152</v>
      </c>
      <c r="B2066" s="235"/>
      <c r="C2066" s="235"/>
      <c r="D2066" s="235"/>
      <c r="E2066" s="100" t="s">
        <v>137</v>
      </c>
      <c r="F2066" s="100" t="s">
        <v>284</v>
      </c>
    </row>
    <row r="2067" spans="1:6">
      <c r="A2067" s="242" t="s">
        <v>153</v>
      </c>
      <c r="B2067" s="235"/>
      <c r="C2067" s="235"/>
      <c r="D2067" s="235"/>
      <c r="E2067" s="100" t="s">
        <v>137</v>
      </c>
      <c r="F2067" s="100" t="s">
        <v>284</v>
      </c>
    </row>
    <row r="2068" spans="1:6">
      <c r="A2068" s="242" t="s">
        <v>154</v>
      </c>
      <c r="B2068" s="235"/>
      <c r="C2068" s="235"/>
      <c r="D2068" s="235"/>
      <c r="E2068" s="100" t="s">
        <v>137</v>
      </c>
      <c r="F2068" s="100" t="s">
        <v>284</v>
      </c>
    </row>
    <row r="2069" spans="1:6">
      <c r="A2069" s="242" t="s">
        <v>155</v>
      </c>
      <c r="B2069" s="235"/>
      <c r="C2069" s="235"/>
      <c r="D2069" s="235"/>
      <c r="E2069" s="100" t="s">
        <v>137</v>
      </c>
      <c r="F2069" s="100" t="s">
        <v>284</v>
      </c>
    </row>
    <row r="2070" spans="1:6">
      <c r="A2070" s="242" t="s">
        <v>156</v>
      </c>
      <c r="B2070" s="235"/>
      <c r="C2070" s="235"/>
      <c r="D2070" s="235"/>
      <c r="E2070" s="100" t="s">
        <v>137</v>
      </c>
      <c r="F2070" s="100" t="s">
        <v>284</v>
      </c>
    </row>
    <row r="2071" spans="1:6">
      <c r="A2071" s="242" t="s">
        <v>157</v>
      </c>
      <c r="B2071" s="235"/>
      <c r="C2071" s="235"/>
      <c r="D2071" s="235"/>
      <c r="E2071" s="100" t="s">
        <v>137</v>
      </c>
      <c r="F2071" s="100" t="s">
        <v>284</v>
      </c>
    </row>
    <row r="2072" spans="1:6">
      <c r="A2072" s="242" t="s">
        <v>158</v>
      </c>
      <c r="B2072" s="235"/>
      <c r="C2072" s="235"/>
      <c r="D2072" s="235"/>
      <c r="E2072" s="100" t="s">
        <v>137</v>
      </c>
      <c r="F2072" s="100" t="s">
        <v>284</v>
      </c>
    </row>
    <row r="2073" spans="1:6">
      <c r="A2073" s="242" t="s">
        <v>159</v>
      </c>
      <c r="B2073" s="235"/>
      <c r="C2073" s="235"/>
      <c r="D2073" s="235"/>
      <c r="E2073" s="100" t="s">
        <v>137</v>
      </c>
      <c r="F2073" s="100" t="s">
        <v>284</v>
      </c>
    </row>
    <row r="2074" spans="1:6">
      <c r="A2074" s="248" t="s">
        <v>148</v>
      </c>
      <c r="B2074" s="249"/>
      <c r="C2074" s="249"/>
      <c r="D2074" s="249"/>
      <c r="E2074" s="100" t="s">
        <v>137</v>
      </c>
      <c r="F2074" s="100" t="s">
        <v>286</v>
      </c>
    </row>
    <row r="2075" spans="1:6">
      <c r="A2075" s="248" t="s">
        <v>149</v>
      </c>
      <c r="B2075" s="249"/>
      <c r="C2075" s="249"/>
      <c r="D2075" s="249"/>
      <c r="E2075" s="100" t="s">
        <v>137</v>
      </c>
      <c r="F2075" s="100" t="s">
        <v>286</v>
      </c>
    </row>
    <row r="2076" spans="1:6">
      <c r="A2076" s="248" t="s">
        <v>150</v>
      </c>
      <c r="B2076" s="249"/>
      <c r="C2076" s="249"/>
      <c r="D2076" s="249"/>
      <c r="E2076" s="100" t="s">
        <v>137</v>
      </c>
      <c r="F2076" s="100" t="s">
        <v>286</v>
      </c>
    </row>
    <row r="2077" spans="1:6">
      <c r="A2077" s="248" t="s">
        <v>151</v>
      </c>
      <c r="B2077" s="249"/>
      <c r="C2077" s="249"/>
      <c r="D2077" s="249"/>
      <c r="E2077" s="100" t="s">
        <v>137</v>
      </c>
      <c r="F2077" s="100" t="s">
        <v>286</v>
      </c>
    </row>
    <row r="2078" spans="1:6">
      <c r="A2078" s="248" t="s">
        <v>152</v>
      </c>
      <c r="B2078" s="249"/>
      <c r="C2078" s="249"/>
      <c r="D2078" s="249"/>
      <c r="E2078" s="100" t="s">
        <v>137</v>
      </c>
      <c r="F2078" s="100" t="s">
        <v>286</v>
      </c>
    </row>
    <row r="2079" spans="1:6">
      <c r="A2079" s="248" t="s">
        <v>153</v>
      </c>
      <c r="B2079" s="249"/>
      <c r="C2079" s="249"/>
      <c r="D2079" s="249"/>
      <c r="E2079" s="100" t="s">
        <v>137</v>
      </c>
      <c r="F2079" s="100" t="s">
        <v>286</v>
      </c>
    </row>
    <row r="2080" spans="1:6">
      <c r="A2080" s="248" t="s">
        <v>154</v>
      </c>
      <c r="B2080" s="249"/>
      <c r="C2080" s="249"/>
      <c r="D2080" s="249"/>
      <c r="E2080" s="100" t="s">
        <v>137</v>
      </c>
      <c r="F2080" s="100" t="s">
        <v>286</v>
      </c>
    </row>
    <row r="2081" spans="1:6">
      <c r="A2081" s="248" t="s">
        <v>155</v>
      </c>
      <c r="B2081" s="249"/>
      <c r="C2081" s="249"/>
      <c r="D2081" s="249"/>
      <c r="E2081" s="100" t="s">
        <v>137</v>
      </c>
      <c r="F2081" s="100" t="s">
        <v>286</v>
      </c>
    </row>
    <row r="2082" spans="1:6">
      <c r="A2082" s="248" t="s">
        <v>156</v>
      </c>
      <c r="B2082" s="249"/>
      <c r="C2082" s="249"/>
      <c r="D2082" s="249"/>
      <c r="E2082" s="100" t="s">
        <v>137</v>
      </c>
      <c r="F2082" s="100" t="s">
        <v>286</v>
      </c>
    </row>
    <row r="2083" spans="1:6">
      <c r="A2083" s="248" t="s">
        <v>157</v>
      </c>
      <c r="B2083" s="249"/>
      <c r="C2083" s="249"/>
      <c r="D2083" s="249"/>
      <c r="E2083" s="100" t="s">
        <v>137</v>
      </c>
      <c r="F2083" s="100" t="s">
        <v>286</v>
      </c>
    </row>
    <row r="2084" spans="1:6">
      <c r="A2084" s="248" t="s">
        <v>158</v>
      </c>
      <c r="B2084" s="249"/>
      <c r="C2084" s="249"/>
      <c r="D2084" s="249"/>
      <c r="E2084" s="100" t="s">
        <v>137</v>
      </c>
      <c r="F2084" s="100" t="s">
        <v>286</v>
      </c>
    </row>
    <row r="2085" spans="1:6">
      <c r="A2085" s="248" t="s">
        <v>159</v>
      </c>
      <c r="B2085" s="249"/>
      <c r="C2085" s="249"/>
      <c r="D2085" s="249"/>
      <c r="E2085" s="100" t="s">
        <v>137</v>
      </c>
      <c r="F2085" s="100" t="s">
        <v>286</v>
      </c>
    </row>
    <row r="2086" spans="1:6">
      <c r="A2086" s="242" t="s">
        <v>148</v>
      </c>
      <c r="B2086" s="235"/>
      <c r="C2086" s="235"/>
      <c r="D2086" s="235"/>
      <c r="E2086" s="100" t="s">
        <v>137</v>
      </c>
      <c r="F2086" s="100" t="s">
        <v>313</v>
      </c>
    </row>
    <row r="2087" spans="1:6">
      <c r="A2087" s="242" t="s">
        <v>149</v>
      </c>
      <c r="B2087" s="235"/>
      <c r="C2087" s="235"/>
      <c r="D2087" s="235"/>
      <c r="E2087" s="100" t="s">
        <v>137</v>
      </c>
      <c r="F2087" s="100" t="s">
        <v>313</v>
      </c>
    </row>
    <row r="2088" spans="1:6">
      <c r="A2088" s="242" t="s">
        <v>150</v>
      </c>
      <c r="B2088" s="235"/>
      <c r="C2088" s="235"/>
      <c r="D2088" s="235"/>
      <c r="E2088" s="100" t="s">
        <v>137</v>
      </c>
      <c r="F2088" s="100" t="s">
        <v>313</v>
      </c>
    </row>
    <row r="2089" spans="1:6">
      <c r="A2089" s="242" t="s">
        <v>151</v>
      </c>
      <c r="B2089" s="235"/>
      <c r="C2089" s="235"/>
      <c r="D2089" s="235"/>
      <c r="E2089" s="100" t="s">
        <v>137</v>
      </c>
      <c r="F2089" s="100" t="s">
        <v>313</v>
      </c>
    </row>
    <row r="2090" spans="1:6">
      <c r="A2090" s="242" t="s">
        <v>152</v>
      </c>
      <c r="B2090" s="235"/>
      <c r="C2090" s="235"/>
      <c r="D2090" s="235"/>
      <c r="E2090" s="100" t="s">
        <v>137</v>
      </c>
      <c r="F2090" s="100" t="s">
        <v>313</v>
      </c>
    </row>
    <row r="2091" spans="1:6">
      <c r="A2091" s="242" t="s">
        <v>153</v>
      </c>
      <c r="B2091" s="235"/>
      <c r="C2091" s="235"/>
      <c r="D2091" s="235"/>
      <c r="E2091" s="100" t="s">
        <v>137</v>
      </c>
      <c r="F2091" s="100" t="s">
        <v>313</v>
      </c>
    </row>
    <row r="2092" spans="1:6">
      <c r="A2092" s="242" t="s">
        <v>154</v>
      </c>
      <c r="B2092" s="235"/>
      <c r="C2092" s="235"/>
      <c r="D2092" s="235"/>
      <c r="E2092" s="100" t="s">
        <v>137</v>
      </c>
      <c r="F2092" s="100" t="s">
        <v>313</v>
      </c>
    </row>
    <row r="2093" spans="1:6">
      <c r="A2093" s="242" t="s">
        <v>155</v>
      </c>
      <c r="B2093" s="235"/>
      <c r="C2093" s="235"/>
      <c r="D2093" s="235"/>
      <c r="E2093" s="100" t="s">
        <v>137</v>
      </c>
      <c r="F2093" s="100" t="s">
        <v>313</v>
      </c>
    </row>
    <row r="2094" spans="1:6">
      <c r="A2094" s="242" t="s">
        <v>156</v>
      </c>
      <c r="B2094" s="235"/>
      <c r="C2094" s="235"/>
      <c r="D2094" s="235"/>
      <c r="E2094" s="100" t="s">
        <v>137</v>
      </c>
      <c r="F2094" s="100" t="s">
        <v>313</v>
      </c>
    </row>
    <row r="2095" spans="1:6">
      <c r="A2095" s="242" t="s">
        <v>157</v>
      </c>
      <c r="B2095" s="235"/>
      <c r="C2095" s="235"/>
      <c r="D2095" s="235"/>
      <c r="E2095" s="100" t="s">
        <v>137</v>
      </c>
      <c r="F2095" s="100" t="s">
        <v>313</v>
      </c>
    </row>
    <row r="2096" spans="1:6">
      <c r="A2096" s="242" t="s">
        <v>158</v>
      </c>
      <c r="B2096" s="235"/>
      <c r="C2096" s="235"/>
      <c r="D2096" s="235"/>
      <c r="E2096" s="100" t="s">
        <v>137</v>
      </c>
      <c r="F2096" s="100" t="s">
        <v>313</v>
      </c>
    </row>
    <row r="2097" spans="1:6">
      <c r="A2097" s="242" t="s">
        <v>159</v>
      </c>
      <c r="B2097" s="235"/>
      <c r="C2097" s="235"/>
      <c r="D2097" s="235"/>
      <c r="E2097" s="100" t="s">
        <v>137</v>
      </c>
      <c r="F2097" s="100" t="s">
        <v>313</v>
      </c>
    </row>
    <row r="2098" spans="1:6">
      <c r="A2098" s="248" t="s">
        <v>148</v>
      </c>
      <c r="B2098" s="249"/>
      <c r="C2098" s="249"/>
      <c r="D2098" s="249"/>
      <c r="E2098" s="100" t="s">
        <v>137</v>
      </c>
      <c r="F2098" s="100" t="s">
        <v>285</v>
      </c>
    </row>
    <row r="2099" spans="1:6">
      <c r="A2099" s="248" t="s">
        <v>149</v>
      </c>
      <c r="B2099" s="249"/>
      <c r="C2099" s="249"/>
      <c r="D2099" s="249"/>
      <c r="E2099" s="100" t="s">
        <v>137</v>
      </c>
      <c r="F2099" s="100" t="s">
        <v>285</v>
      </c>
    </row>
    <row r="2100" spans="1:6">
      <c r="A2100" s="248" t="s">
        <v>150</v>
      </c>
      <c r="B2100" s="249"/>
      <c r="C2100" s="249"/>
      <c r="D2100" s="249"/>
      <c r="E2100" s="100" t="s">
        <v>137</v>
      </c>
      <c r="F2100" s="100" t="s">
        <v>285</v>
      </c>
    </row>
    <row r="2101" spans="1:6">
      <c r="A2101" s="248" t="s">
        <v>151</v>
      </c>
      <c r="B2101" s="249"/>
      <c r="C2101" s="249"/>
      <c r="D2101" s="249"/>
      <c r="E2101" s="100" t="s">
        <v>137</v>
      </c>
      <c r="F2101" s="100" t="s">
        <v>285</v>
      </c>
    </row>
    <row r="2102" spans="1:6">
      <c r="A2102" s="248" t="s">
        <v>152</v>
      </c>
      <c r="B2102" s="249"/>
      <c r="C2102" s="249"/>
      <c r="D2102" s="249"/>
      <c r="E2102" s="100" t="s">
        <v>137</v>
      </c>
      <c r="F2102" s="100" t="s">
        <v>285</v>
      </c>
    </row>
    <row r="2103" spans="1:6">
      <c r="A2103" s="248" t="s">
        <v>153</v>
      </c>
      <c r="B2103" s="249"/>
      <c r="C2103" s="249"/>
      <c r="D2103" s="249"/>
      <c r="E2103" s="100" t="s">
        <v>137</v>
      </c>
      <c r="F2103" s="100" t="s">
        <v>285</v>
      </c>
    </row>
    <row r="2104" spans="1:6">
      <c r="A2104" s="248" t="s">
        <v>154</v>
      </c>
      <c r="B2104" s="249"/>
      <c r="C2104" s="249"/>
      <c r="D2104" s="249"/>
      <c r="E2104" s="100" t="s">
        <v>137</v>
      </c>
      <c r="F2104" s="100" t="s">
        <v>285</v>
      </c>
    </row>
    <row r="2105" spans="1:6">
      <c r="A2105" s="248" t="s">
        <v>155</v>
      </c>
      <c r="B2105" s="249"/>
      <c r="C2105" s="249"/>
      <c r="D2105" s="249"/>
      <c r="E2105" s="100" t="s">
        <v>137</v>
      </c>
      <c r="F2105" s="100" t="s">
        <v>285</v>
      </c>
    </row>
    <row r="2106" spans="1:6">
      <c r="A2106" s="248" t="s">
        <v>156</v>
      </c>
      <c r="B2106" s="249"/>
      <c r="C2106" s="249"/>
      <c r="D2106" s="249"/>
      <c r="E2106" s="100" t="s">
        <v>137</v>
      </c>
      <c r="F2106" s="100" t="s">
        <v>285</v>
      </c>
    </row>
    <row r="2107" spans="1:6">
      <c r="A2107" s="248" t="s">
        <v>157</v>
      </c>
      <c r="B2107" s="249"/>
      <c r="C2107" s="249"/>
      <c r="D2107" s="249"/>
      <c r="E2107" s="100" t="s">
        <v>137</v>
      </c>
      <c r="F2107" s="100" t="s">
        <v>285</v>
      </c>
    </row>
    <row r="2108" spans="1:6">
      <c r="A2108" s="248" t="s">
        <v>158</v>
      </c>
      <c r="B2108" s="249"/>
      <c r="C2108" s="249"/>
      <c r="D2108" s="249"/>
      <c r="E2108" s="100" t="s">
        <v>137</v>
      </c>
      <c r="F2108" s="100" t="s">
        <v>285</v>
      </c>
    </row>
    <row r="2109" spans="1:6">
      <c r="A2109" s="248" t="s">
        <v>159</v>
      </c>
      <c r="B2109" s="249"/>
      <c r="C2109" s="249"/>
      <c r="D2109" s="249"/>
      <c r="E2109" s="100" t="s">
        <v>137</v>
      </c>
      <c r="F2109" s="100" t="s">
        <v>285</v>
      </c>
    </row>
    <row r="2110" spans="1:6">
      <c r="A2110" s="242" t="s">
        <v>148</v>
      </c>
      <c r="B2110" s="235"/>
      <c r="C2110" s="235"/>
      <c r="D2110" s="235"/>
      <c r="E2110" s="100" t="s">
        <v>137</v>
      </c>
      <c r="F2110" s="100" t="s">
        <v>28</v>
      </c>
    </row>
    <row r="2111" spans="1:6">
      <c r="A2111" s="242" t="s">
        <v>149</v>
      </c>
      <c r="B2111" s="235"/>
      <c r="C2111" s="235"/>
      <c r="D2111" s="235"/>
      <c r="E2111" s="100" t="s">
        <v>137</v>
      </c>
      <c r="F2111" s="100" t="s">
        <v>28</v>
      </c>
    </row>
    <row r="2112" spans="1:6">
      <c r="A2112" s="242" t="s">
        <v>150</v>
      </c>
      <c r="B2112" s="235"/>
      <c r="C2112" s="235"/>
      <c r="D2112" s="235"/>
      <c r="E2112" s="100" t="s">
        <v>137</v>
      </c>
      <c r="F2112" s="100" t="s">
        <v>28</v>
      </c>
    </row>
    <row r="2113" spans="1:6">
      <c r="A2113" s="242" t="s">
        <v>151</v>
      </c>
      <c r="B2113" s="235"/>
      <c r="C2113" s="235"/>
      <c r="D2113" s="235"/>
      <c r="E2113" s="100" t="s">
        <v>137</v>
      </c>
      <c r="F2113" s="100" t="s">
        <v>28</v>
      </c>
    </row>
    <row r="2114" spans="1:6">
      <c r="A2114" s="242" t="s">
        <v>152</v>
      </c>
      <c r="B2114" s="235"/>
      <c r="C2114" s="235"/>
      <c r="D2114" s="235"/>
      <c r="E2114" s="100" t="s">
        <v>137</v>
      </c>
      <c r="F2114" s="100" t="s">
        <v>28</v>
      </c>
    </row>
    <row r="2115" spans="1:6">
      <c r="A2115" s="242" t="s">
        <v>153</v>
      </c>
      <c r="B2115" s="235"/>
      <c r="C2115" s="235"/>
      <c r="D2115" s="235"/>
      <c r="E2115" s="100" t="s">
        <v>137</v>
      </c>
      <c r="F2115" s="100" t="s">
        <v>28</v>
      </c>
    </row>
    <row r="2116" spans="1:6">
      <c r="A2116" s="242" t="s">
        <v>154</v>
      </c>
      <c r="B2116" s="235"/>
      <c r="C2116" s="235"/>
      <c r="D2116" s="235"/>
      <c r="E2116" s="100" t="s">
        <v>137</v>
      </c>
      <c r="F2116" s="100" t="s">
        <v>28</v>
      </c>
    </row>
    <row r="2117" spans="1:6">
      <c r="A2117" s="242" t="s">
        <v>155</v>
      </c>
      <c r="B2117" s="235"/>
      <c r="C2117" s="235"/>
      <c r="D2117" s="235"/>
      <c r="E2117" s="100" t="s">
        <v>137</v>
      </c>
      <c r="F2117" s="100" t="s">
        <v>28</v>
      </c>
    </row>
    <row r="2118" spans="1:6">
      <c r="A2118" s="242" t="s">
        <v>156</v>
      </c>
      <c r="B2118" s="235"/>
      <c r="C2118" s="235"/>
      <c r="D2118" s="235"/>
      <c r="E2118" s="100" t="s">
        <v>137</v>
      </c>
      <c r="F2118" s="100" t="s">
        <v>28</v>
      </c>
    </row>
    <row r="2119" spans="1:6">
      <c r="A2119" s="242" t="s">
        <v>157</v>
      </c>
      <c r="B2119" s="235"/>
      <c r="C2119" s="235"/>
      <c r="D2119" s="235"/>
      <c r="E2119" s="100" t="s">
        <v>137</v>
      </c>
      <c r="F2119" s="100" t="s">
        <v>28</v>
      </c>
    </row>
    <row r="2120" spans="1:6">
      <c r="A2120" s="242" t="s">
        <v>158</v>
      </c>
      <c r="B2120" s="235"/>
      <c r="C2120" s="235"/>
      <c r="D2120" s="235"/>
      <c r="E2120" s="100" t="s">
        <v>137</v>
      </c>
      <c r="F2120" s="100" t="s">
        <v>28</v>
      </c>
    </row>
    <row r="2121" spans="1:6">
      <c r="A2121" s="242" t="s">
        <v>159</v>
      </c>
      <c r="B2121" s="235"/>
      <c r="C2121" s="235"/>
      <c r="D2121" s="235"/>
      <c r="E2121" s="100" t="s">
        <v>137</v>
      </c>
      <c r="F2121" s="100" t="s">
        <v>28</v>
      </c>
    </row>
    <row r="2122" spans="1:6">
      <c r="A2122" s="248" t="s">
        <v>148</v>
      </c>
      <c r="B2122" s="249"/>
      <c r="C2122" s="249"/>
      <c r="D2122" s="249"/>
      <c r="E2122" s="100" t="s">
        <v>137</v>
      </c>
      <c r="F2122" s="250" t="s">
        <v>175</v>
      </c>
    </row>
    <row r="2123" spans="1:6">
      <c r="A2123" s="248" t="s">
        <v>149</v>
      </c>
      <c r="B2123" s="249"/>
      <c r="C2123" s="249"/>
      <c r="D2123" s="249"/>
      <c r="E2123" s="100" t="s">
        <v>137</v>
      </c>
      <c r="F2123" s="250" t="s">
        <v>175</v>
      </c>
    </row>
    <row r="2124" spans="1:6">
      <c r="A2124" s="248" t="s">
        <v>150</v>
      </c>
      <c r="B2124" s="249"/>
      <c r="C2124" s="249"/>
      <c r="D2124" s="249"/>
      <c r="E2124" s="100" t="s">
        <v>137</v>
      </c>
      <c r="F2124" s="250" t="s">
        <v>175</v>
      </c>
    </row>
    <row r="2125" spans="1:6">
      <c r="A2125" s="248" t="s">
        <v>151</v>
      </c>
      <c r="B2125" s="249"/>
      <c r="C2125" s="249"/>
      <c r="D2125" s="249"/>
      <c r="E2125" s="100" t="s">
        <v>137</v>
      </c>
      <c r="F2125" s="250" t="s">
        <v>175</v>
      </c>
    </row>
    <row r="2126" spans="1:6">
      <c r="A2126" s="248" t="s">
        <v>152</v>
      </c>
      <c r="B2126" s="249"/>
      <c r="C2126" s="249"/>
      <c r="D2126" s="249"/>
      <c r="E2126" s="100" t="s">
        <v>137</v>
      </c>
      <c r="F2126" s="250" t="s">
        <v>175</v>
      </c>
    </row>
    <row r="2127" spans="1:6">
      <c r="A2127" s="248" t="s">
        <v>153</v>
      </c>
      <c r="B2127" s="249"/>
      <c r="C2127" s="249"/>
      <c r="D2127" s="249"/>
      <c r="E2127" s="100" t="s">
        <v>137</v>
      </c>
      <c r="F2127" s="250" t="s">
        <v>175</v>
      </c>
    </row>
    <row r="2128" spans="1:6">
      <c r="A2128" s="248" t="s">
        <v>154</v>
      </c>
      <c r="B2128" s="249"/>
      <c r="C2128" s="249"/>
      <c r="D2128" s="249"/>
      <c r="E2128" s="100" t="s">
        <v>137</v>
      </c>
      <c r="F2128" s="250" t="s">
        <v>175</v>
      </c>
    </row>
    <row r="2129" spans="1:6">
      <c r="A2129" s="248" t="s">
        <v>155</v>
      </c>
      <c r="B2129" s="249"/>
      <c r="C2129" s="249"/>
      <c r="D2129" s="249"/>
      <c r="E2129" s="100" t="s">
        <v>137</v>
      </c>
      <c r="F2129" s="250" t="s">
        <v>175</v>
      </c>
    </row>
    <row r="2130" spans="1:6">
      <c r="A2130" s="248" t="s">
        <v>156</v>
      </c>
      <c r="B2130" s="249"/>
      <c r="C2130" s="249"/>
      <c r="D2130" s="249"/>
      <c r="E2130" s="100" t="s">
        <v>137</v>
      </c>
      <c r="F2130" s="250" t="s">
        <v>175</v>
      </c>
    </row>
    <row r="2131" spans="1:6">
      <c r="A2131" s="248" t="s">
        <v>157</v>
      </c>
      <c r="B2131" s="249"/>
      <c r="C2131" s="249"/>
      <c r="D2131" s="249"/>
      <c r="E2131" s="100" t="s">
        <v>137</v>
      </c>
      <c r="F2131" s="250" t="s">
        <v>175</v>
      </c>
    </row>
    <row r="2132" spans="1:6">
      <c r="A2132" s="248" t="s">
        <v>158</v>
      </c>
      <c r="B2132" s="249"/>
      <c r="C2132" s="249"/>
      <c r="D2132" s="249"/>
      <c r="E2132" s="100" t="s">
        <v>137</v>
      </c>
      <c r="F2132" s="250" t="s">
        <v>175</v>
      </c>
    </row>
    <row r="2133" spans="1:6">
      <c r="A2133" s="248" t="s">
        <v>159</v>
      </c>
      <c r="B2133" s="249"/>
      <c r="C2133" s="249"/>
      <c r="D2133" s="249"/>
      <c r="E2133" s="100" t="s">
        <v>137</v>
      </c>
      <c r="F2133" s="250" t="s">
        <v>175</v>
      </c>
    </row>
    <row r="2134" spans="1:6">
      <c r="A2134" s="242" t="s">
        <v>148</v>
      </c>
      <c r="B2134" s="235"/>
      <c r="C2134" s="235"/>
      <c r="D2134" s="235"/>
      <c r="E2134" s="100" t="s">
        <v>138</v>
      </c>
      <c r="F2134" s="100" t="s">
        <v>284</v>
      </c>
    </row>
    <row r="2135" spans="1:6">
      <c r="A2135" s="242" t="s">
        <v>149</v>
      </c>
      <c r="B2135" s="235"/>
      <c r="C2135" s="235"/>
      <c r="D2135" s="235"/>
      <c r="E2135" s="100" t="s">
        <v>138</v>
      </c>
      <c r="F2135" s="100" t="s">
        <v>284</v>
      </c>
    </row>
    <row r="2136" spans="1:6">
      <c r="A2136" s="242" t="s">
        <v>150</v>
      </c>
      <c r="B2136" s="235"/>
      <c r="C2136" s="235"/>
      <c r="D2136" s="235"/>
      <c r="E2136" s="100" t="s">
        <v>138</v>
      </c>
      <c r="F2136" s="100" t="s">
        <v>284</v>
      </c>
    </row>
    <row r="2137" spans="1:6">
      <c r="A2137" s="242" t="s">
        <v>151</v>
      </c>
      <c r="B2137" s="235"/>
      <c r="C2137" s="235"/>
      <c r="D2137" s="235"/>
      <c r="E2137" s="100" t="s">
        <v>138</v>
      </c>
      <c r="F2137" s="100" t="s">
        <v>284</v>
      </c>
    </row>
    <row r="2138" spans="1:6">
      <c r="A2138" s="242" t="s">
        <v>152</v>
      </c>
      <c r="B2138" s="235"/>
      <c r="C2138" s="235"/>
      <c r="D2138" s="235"/>
      <c r="E2138" s="100" t="s">
        <v>138</v>
      </c>
      <c r="F2138" s="100" t="s">
        <v>284</v>
      </c>
    </row>
    <row r="2139" spans="1:6">
      <c r="A2139" s="242" t="s">
        <v>153</v>
      </c>
      <c r="B2139" s="235"/>
      <c r="C2139" s="235"/>
      <c r="D2139" s="235"/>
      <c r="E2139" s="100" t="s">
        <v>138</v>
      </c>
      <c r="F2139" s="100" t="s">
        <v>284</v>
      </c>
    </row>
    <row r="2140" spans="1:6">
      <c r="A2140" s="242" t="s">
        <v>154</v>
      </c>
      <c r="B2140" s="235"/>
      <c r="C2140" s="235"/>
      <c r="D2140" s="235"/>
      <c r="E2140" s="100" t="s">
        <v>138</v>
      </c>
      <c r="F2140" s="100" t="s">
        <v>284</v>
      </c>
    </row>
    <row r="2141" spans="1:6">
      <c r="A2141" s="242" t="s">
        <v>155</v>
      </c>
      <c r="B2141" s="235"/>
      <c r="C2141" s="235"/>
      <c r="D2141" s="235"/>
      <c r="E2141" s="100" t="s">
        <v>138</v>
      </c>
      <c r="F2141" s="100" t="s">
        <v>284</v>
      </c>
    </row>
    <row r="2142" spans="1:6">
      <c r="A2142" s="242" t="s">
        <v>156</v>
      </c>
      <c r="B2142" s="235"/>
      <c r="C2142" s="235"/>
      <c r="D2142" s="235"/>
      <c r="E2142" s="100" t="s">
        <v>138</v>
      </c>
      <c r="F2142" s="100" t="s">
        <v>284</v>
      </c>
    </row>
    <row r="2143" spans="1:6">
      <c r="A2143" s="242" t="s">
        <v>157</v>
      </c>
      <c r="B2143" s="235"/>
      <c r="C2143" s="235"/>
      <c r="D2143" s="235"/>
      <c r="E2143" s="100" t="s">
        <v>138</v>
      </c>
      <c r="F2143" s="100" t="s">
        <v>284</v>
      </c>
    </row>
    <row r="2144" spans="1:6">
      <c r="A2144" s="242" t="s">
        <v>158</v>
      </c>
      <c r="B2144" s="235"/>
      <c r="C2144" s="235"/>
      <c r="D2144" s="235"/>
      <c r="E2144" s="100" t="s">
        <v>138</v>
      </c>
      <c r="F2144" s="100" t="s">
        <v>284</v>
      </c>
    </row>
    <row r="2145" spans="1:6">
      <c r="A2145" s="242" t="s">
        <v>159</v>
      </c>
      <c r="B2145" s="235"/>
      <c r="C2145" s="235"/>
      <c r="D2145" s="235"/>
      <c r="E2145" s="100" t="s">
        <v>138</v>
      </c>
      <c r="F2145" s="100" t="s">
        <v>284</v>
      </c>
    </row>
    <row r="2146" spans="1:6">
      <c r="A2146" s="248" t="s">
        <v>148</v>
      </c>
      <c r="B2146" s="249"/>
      <c r="C2146" s="249"/>
      <c r="D2146" s="249"/>
      <c r="E2146" s="100" t="s">
        <v>138</v>
      </c>
      <c r="F2146" s="100" t="s">
        <v>286</v>
      </c>
    </row>
    <row r="2147" spans="1:6">
      <c r="A2147" s="248" t="s">
        <v>149</v>
      </c>
      <c r="B2147" s="249"/>
      <c r="C2147" s="249"/>
      <c r="D2147" s="249"/>
      <c r="E2147" s="100" t="s">
        <v>138</v>
      </c>
      <c r="F2147" s="100" t="s">
        <v>286</v>
      </c>
    </row>
    <row r="2148" spans="1:6">
      <c r="A2148" s="248" t="s">
        <v>150</v>
      </c>
      <c r="B2148" s="249"/>
      <c r="C2148" s="249"/>
      <c r="D2148" s="249"/>
      <c r="E2148" s="100" t="s">
        <v>138</v>
      </c>
      <c r="F2148" s="100" t="s">
        <v>286</v>
      </c>
    </row>
    <row r="2149" spans="1:6">
      <c r="A2149" s="248" t="s">
        <v>151</v>
      </c>
      <c r="B2149" s="249"/>
      <c r="C2149" s="249"/>
      <c r="D2149" s="249"/>
      <c r="E2149" s="100" t="s">
        <v>138</v>
      </c>
      <c r="F2149" s="100" t="s">
        <v>286</v>
      </c>
    </row>
    <row r="2150" spans="1:6">
      <c r="A2150" s="248" t="s">
        <v>152</v>
      </c>
      <c r="B2150" s="249"/>
      <c r="C2150" s="249"/>
      <c r="D2150" s="249"/>
      <c r="E2150" s="100" t="s">
        <v>138</v>
      </c>
      <c r="F2150" s="100" t="s">
        <v>286</v>
      </c>
    </row>
    <row r="2151" spans="1:6">
      <c r="A2151" s="248" t="s">
        <v>153</v>
      </c>
      <c r="B2151" s="249"/>
      <c r="C2151" s="249"/>
      <c r="D2151" s="249"/>
      <c r="E2151" s="100" t="s">
        <v>138</v>
      </c>
      <c r="F2151" s="100" t="s">
        <v>286</v>
      </c>
    </row>
    <row r="2152" spans="1:6">
      <c r="A2152" s="248" t="s">
        <v>154</v>
      </c>
      <c r="B2152" s="249"/>
      <c r="C2152" s="249"/>
      <c r="D2152" s="249"/>
      <c r="E2152" s="100" t="s">
        <v>138</v>
      </c>
      <c r="F2152" s="100" t="s">
        <v>286</v>
      </c>
    </row>
    <row r="2153" spans="1:6">
      <c r="A2153" s="248" t="s">
        <v>155</v>
      </c>
      <c r="B2153" s="249"/>
      <c r="C2153" s="249"/>
      <c r="D2153" s="249"/>
      <c r="E2153" s="100" t="s">
        <v>138</v>
      </c>
      <c r="F2153" s="100" t="s">
        <v>286</v>
      </c>
    </row>
    <row r="2154" spans="1:6">
      <c r="A2154" s="248" t="s">
        <v>156</v>
      </c>
      <c r="B2154" s="249"/>
      <c r="C2154" s="249"/>
      <c r="D2154" s="249"/>
      <c r="E2154" s="100" t="s">
        <v>138</v>
      </c>
      <c r="F2154" s="100" t="s">
        <v>286</v>
      </c>
    </row>
    <row r="2155" spans="1:6">
      <c r="A2155" s="248" t="s">
        <v>157</v>
      </c>
      <c r="B2155" s="249"/>
      <c r="C2155" s="249"/>
      <c r="D2155" s="249"/>
      <c r="E2155" s="100" t="s">
        <v>138</v>
      </c>
      <c r="F2155" s="100" t="s">
        <v>286</v>
      </c>
    </row>
    <row r="2156" spans="1:6">
      <c r="A2156" s="248" t="s">
        <v>158</v>
      </c>
      <c r="B2156" s="249"/>
      <c r="C2156" s="249"/>
      <c r="D2156" s="249"/>
      <c r="E2156" s="100" t="s">
        <v>138</v>
      </c>
      <c r="F2156" s="100" t="s">
        <v>286</v>
      </c>
    </row>
    <row r="2157" spans="1:6">
      <c r="A2157" s="248" t="s">
        <v>159</v>
      </c>
      <c r="B2157" s="249"/>
      <c r="C2157" s="249"/>
      <c r="D2157" s="249"/>
      <c r="E2157" s="100" t="s">
        <v>138</v>
      </c>
      <c r="F2157" s="100" t="s">
        <v>286</v>
      </c>
    </row>
    <row r="2158" spans="1:6">
      <c r="A2158" s="242" t="s">
        <v>148</v>
      </c>
      <c r="B2158" s="235"/>
      <c r="C2158" s="235"/>
      <c r="D2158" s="235"/>
      <c r="E2158" s="100" t="s">
        <v>138</v>
      </c>
      <c r="F2158" s="100" t="s">
        <v>313</v>
      </c>
    </row>
    <row r="2159" spans="1:6">
      <c r="A2159" s="242" t="s">
        <v>149</v>
      </c>
      <c r="B2159" s="235"/>
      <c r="C2159" s="235"/>
      <c r="D2159" s="235"/>
      <c r="E2159" s="100" t="s">
        <v>138</v>
      </c>
      <c r="F2159" s="100" t="s">
        <v>313</v>
      </c>
    </row>
    <row r="2160" spans="1:6">
      <c r="A2160" s="242" t="s">
        <v>150</v>
      </c>
      <c r="B2160" s="235"/>
      <c r="C2160" s="235"/>
      <c r="D2160" s="235"/>
      <c r="E2160" s="100" t="s">
        <v>138</v>
      </c>
      <c r="F2160" s="100" t="s">
        <v>313</v>
      </c>
    </row>
    <row r="2161" spans="1:6">
      <c r="A2161" s="242" t="s">
        <v>151</v>
      </c>
      <c r="B2161" s="235"/>
      <c r="C2161" s="235"/>
      <c r="D2161" s="235"/>
      <c r="E2161" s="100" t="s">
        <v>138</v>
      </c>
      <c r="F2161" s="100" t="s">
        <v>313</v>
      </c>
    </row>
    <row r="2162" spans="1:6">
      <c r="A2162" s="242" t="s">
        <v>152</v>
      </c>
      <c r="B2162" s="235"/>
      <c r="C2162" s="235"/>
      <c r="D2162" s="235"/>
      <c r="E2162" s="100" t="s">
        <v>138</v>
      </c>
      <c r="F2162" s="100" t="s">
        <v>313</v>
      </c>
    </row>
    <row r="2163" spans="1:6">
      <c r="A2163" s="242" t="s">
        <v>153</v>
      </c>
      <c r="B2163" s="235"/>
      <c r="C2163" s="235"/>
      <c r="D2163" s="235"/>
      <c r="E2163" s="100" t="s">
        <v>138</v>
      </c>
      <c r="F2163" s="100" t="s">
        <v>313</v>
      </c>
    </row>
    <row r="2164" spans="1:6">
      <c r="A2164" s="242" t="s">
        <v>154</v>
      </c>
      <c r="B2164" s="235"/>
      <c r="C2164" s="235"/>
      <c r="D2164" s="235"/>
      <c r="E2164" s="100" t="s">
        <v>138</v>
      </c>
      <c r="F2164" s="100" t="s">
        <v>313</v>
      </c>
    </row>
    <row r="2165" spans="1:6">
      <c r="A2165" s="242" t="s">
        <v>155</v>
      </c>
      <c r="B2165" s="235"/>
      <c r="C2165" s="235"/>
      <c r="D2165" s="235"/>
      <c r="E2165" s="100" t="s">
        <v>138</v>
      </c>
      <c r="F2165" s="100" t="s">
        <v>313</v>
      </c>
    </row>
    <row r="2166" spans="1:6">
      <c r="A2166" s="242" t="s">
        <v>156</v>
      </c>
      <c r="B2166" s="235"/>
      <c r="C2166" s="235"/>
      <c r="D2166" s="235"/>
      <c r="E2166" s="100" t="s">
        <v>138</v>
      </c>
      <c r="F2166" s="100" t="s">
        <v>313</v>
      </c>
    </row>
    <row r="2167" spans="1:6">
      <c r="A2167" s="242" t="s">
        <v>157</v>
      </c>
      <c r="B2167" s="235"/>
      <c r="C2167" s="235"/>
      <c r="D2167" s="235"/>
      <c r="E2167" s="100" t="s">
        <v>138</v>
      </c>
      <c r="F2167" s="100" t="s">
        <v>313</v>
      </c>
    </row>
    <row r="2168" spans="1:6">
      <c r="A2168" s="242" t="s">
        <v>158</v>
      </c>
      <c r="B2168" s="235"/>
      <c r="C2168" s="235"/>
      <c r="D2168" s="235"/>
      <c r="E2168" s="100" t="s">
        <v>138</v>
      </c>
      <c r="F2168" s="100" t="s">
        <v>313</v>
      </c>
    </row>
    <row r="2169" spans="1:6">
      <c r="A2169" s="242" t="s">
        <v>159</v>
      </c>
      <c r="B2169" s="235"/>
      <c r="C2169" s="235"/>
      <c r="D2169" s="235"/>
      <c r="E2169" s="100" t="s">
        <v>138</v>
      </c>
      <c r="F2169" s="100" t="s">
        <v>313</v>
      </c>
    </row>
    <row r="2170" spans="1:6">
      <c r="A2170" s="248" t="s">
        <v>148</v>
      </c>
      <c r="B2170" s="249"/>
      <c r="C2170" s="249"/>
      <c r="D2170" s="249"/>
      <c r="E2170" s="100" t="s">
        <v>138</v>
      </c>
      <c r="F2170" s="100" t="s">
        <v>285</v>
      </c>
    </row>
    <row r="2171" spans="1:6">
      <c r="A2171" s="248" t="s">
        <v>149</v>
      </c>
      <c r="B2171" s="249"/>
      <c r="C2171" s="249"/>
      <c r="D2171" s="249"/>
      <c r="E2171" s="100" t="s">
        <v>138</v>
      </c>
      <c r="F2171" s="100" t="s">
        <v>285</v>
      </c>
    </row>
    <row r="2172" spans="1:6">
      <c r="A2172" s="248" t="s">
        <v>150</v>
      </c>
      <c r="B2172" s="249"/>
      <c r="C2172" s="249"/>
      <c r="D2172" s="249"/>
      <c r="E2172" s="100" t="s">
        <v>138</v>
      </c>
      <c r="F2172" s="100" t="s">
        <v>285</v>
      </c>
    </row>
    <row r="2173" spans="1:6">
      <c r="A2173" s="248" t="s">
        <v>151</v>
      </c>
      <c r="B2173" s="249"/>
      <c r="C2173" s="249"/>
      <c r="D2173" s="249"/>
      <c r="E2173" s="100" t="s">
        <v>138</v>
      </c>
      <c r="F2173" s="100" t="s">
        <v>285</v>
      </c>
    </row>
    <row r="2174" spans="1:6">
      <c r="A2174" s="248" t="s">
        <v>152</v>
      </c>
      <c r="B2174" s="249"/>
      <c r="C2174" s="249"/>
      <c r="D2174" s="249"/>
      <c r="E2174" s="100" t="s">
        <v>138</v>
      </c>
      <c r="F2174" s="100" t="s">
        <v>285</v>
      </c>
    </row>
    <row r="2175" spans="1:6">
      <c r="A2175" s="248" t="s">
        <v>153</v>
      </c>
      <c r="B2175" s="249"/>
      <c r="C2175" s="249"/>
      <c r="D2175" s="249"/>
      <c r="E2175" s="100" t="s">
        <v>138</v>
      </c>
      <c r="F2175" s="100" t="s">
        <v>285</v>
      </c>
    </row>
    <row r="2176" spans="1:6">
      <c r="A2176" s="248" t="s">
        <v>154</v>
      </c>
      <c r="B2176" s="249"/>
      <c r="C2176" s="249"/>
      <c r="D2176" s="249"/>
      <c r="E2176" s="100" t="s">
        <v>138</v>
      </c>
      <c r="F2176" s="100" t="s">
        <v>285</v>
      </c>
    </row>
    <row r="2177" spans="1:6">
      <c r="A2177" s="248" t="s">
        <v>155</v>
      </c>
      <c r="B2177" s="249"/>
      <c r="C2177" s="249"/>
      <c r="D2177" s="249"/>
      <c r="E2177" s="100" t="s">
        <v>138</v>
      </c>
      <c r="F2177" s="100" t="s">
        <v>285</v>
      </c>
    </row>
    <row r="2178" spans="1:6">
      <c r="A2178" s="248" t="s">
        <v>156</v>
      </c>
      <c r="B2178" s="249"/>
      <c r="C2178" s="249"/>
      <c r="D2178" s="249"/>
      <c r="E2178" s="100" t="s">
        <v>138</v>
      </c>
      <c r="F2178" s="100" t="s">
        <v>285</v>
      </c>
    </row>
    <row r="2179" spans="1:6">
      <c r="A2179" s="248" t="s">
        <v>157</v>
      </c>
      <c r="B2179" s="249"/>
      <c r="C2179" s="249"/>
      <c r="D2179" s="249"/>
      <c r="E2179" s="100" t="s">
        <v>138</v>
      </c>
      <c r="F2179" s="100" t="s">
        <v>285</v>
      </c>
    </row>
    <row r="2180" spans="1:6">
      <c r="A2180" s="248" t="s">
        <v>158</v>
      </c>
      <c r="B2180" s="249"/>
      <c r="C2180" s="249"/>
      <c r="D2180" s="249"/>
      <c r="E2180" s="100" t="s">
        <v>138</v>
      </c>
      <c r="F2180" s="100" t="s">
        <v>285</v>
      </c>
    </row>
    <row r="2181" spans="1:6">
      <c r="A2181" s="248" t="s">
        <v>159</v>
      </c>
      <c r="B2181" s="249"/>
      <c r="C2181" s="249"/>
      <c r="D2181" s="249"/>
      <c r="E2181" s="100" t="s">
        <v>138</v>
      </c>
      <c r="F2181" s="100" t="s">
        <v>285</v>
      </c>
    </row>
    <row r="2182" spans="1:6">
      <c r="A2182" s="242" t="s">
        <v>148</v>
      </c>
      <c r="B2182" s="235"/>
      <c r="C2182" s="235"/>
      <c r="D2182" s="235"/>
      <c r="E2182" s="100" t="s">
        <v>138</v>
      </c>
      <c r="F2182" s="100" t="s">
        <v>28</v>
      </c>
    </row>
    <row r="2183" spans="1:6">
      <c r="A2183" s="242" t="s">
        <v>149</v>
      </c>
      <c r="B2183" s="235"/>
      <c r="C2183" s="235"/>
      <c r="D2183" s="235"/>
      <c r="E2183" s="100" t="s">
        <v>138</v>
      </c>
      <c r="F2183" s="100" t="s">
        <v>28</v>
      </c>
    </row>
    <row r="2184" spans="1:6">
      <c r="A2184" s="242" t="s">
        <v>150</v>
      </c>
      <c r="B2184" s="235"/>
      <c r="C2184" s="235"/>
      <c r="D2184" s="235"/>
      <c r="E2184" s="100" t="s">
        <v>138</v>
      </c>
      <c r="F2184" s="100" t="s">
        <v>28</v>
      </c>
    </row>
    <row r="2185" spans="1:6">
      <c r="A2185" s="242" t="s">
        <v>151</v>
      </c>
      <c r="B2185" s="235"/>
      <c r="C2185" s="235"/>
      <c r="D2185" s="235"/>
      <c r="E2185" s="100" t="s">
        <v>138</v>
      </c>
      <c r="F2185" s="100" t="s">
        <v>28</v>
      </c>
    </row>
    <row r="2186" spans="1:6">
      <c r="A2186" s="242" t="s">
        <v>152</v>
      </c>
      <c r="B2186" s="235"/>
      <c r="C2186" s="235"/>
      <c r="D2186" s="235"/>
      <c r="E2186" s="100" t="s">
        <v>138</v>
      </c>
      <c r="F2186" s="100" t="s">
        <v>28</v>
      </c>
    </row>
    <row r="2187" spans="1:6">
      <c r="A2187" s="242" t="s">
        <v>153</v>
      </c>
      <c r="B2187" s="235"/>
      <c r="C2187" s="235"/>
      <c r="D2187" s="235"/>
      <c r="E2187" s="100" t="s">
        <v>138</v>
      </c>
      <c r="F2187" s="100" t="s">
        <v>28</v>
      </c>
    </row>
    <row r="2188" spans="1:6">
      <c r="A2188" s="242" t="s">
        <v>154</v>
      </c>
      <c r="B2188" s="235"/>
      <c r="C2188" s="235"/>
      <c r="D2188" s="235"/>
      <c r="E2188" s="100" t="s">
        <v>138</v>
      </c>
      <c r="F2188" s="100" t="s">
        <v>28</v>
      </c>
    </row>
    <row r="2189" spans="1:6">
      <c r="A2189" s="242" t="s">
        <v>155</v>
      </c>
      <c r="B2189" s="235"/>
      <c r="C2189" s="235"/>
      <c r="D2189" s="235"/>
      <c r="E2189" s="100" t="s">
        <v>138</v>
      </c>
      <c r="F2189" s="100" t="s">
        <v>28</v>
      </c>
    </row>
    <row r="2190" spans="1:6">
      <c r="A2190" s="242" t="s">
        <v>156</v>
      </c>
      <c r="B2190" s="235"/>
      <c r="C2190" s="235"/>
      <c r="D2190" s="235"/>
      <c r="E2190" s="100" t="s">
        <v>138</v>
      </c>
      <c r="F2190" s="100" t="s">
        <v>28</v>
      </c>
    </row>
    <row r="2191" spans="1:6">
      <c r="A2191" s="242" t="s">
        <v>157</v>
      </c>
      <c r="B2191" s="235"/>
      <c r="C2191" s="235"/>
      <c r="D2191" s="235"/>
      <c r="E2191" s="100" t="s">
        <v>138</v>
      </c>
      <c r="F2191" s="100" t="s">
        <v>28</v>
      </c>
    </row>
    <row r="2192" spans="1:6">
      <c r="A2192" s="242" t="s">
        <v>158</v>
      </c>
      <c r="B2192" s="235"/>
      <c r="C2192" s="235"/>
      <c r="D2192" s="235"/>
      <c r="E2192" s="100" t="s">
        <v>138</v>
      </c>
      <c r="F2192" s="100" t="s">
        <v>28</v>
      </c>
    </row>
    <row r="2193" spans="1:6">
      <c r="A2193" s="242" t="s">
        <v>159</v>
      </c>
      <c r="B2193" s="235"/>
      <c r="C2193" s="235"/>
      <c r="D2193" s="235"/>
      <c r="E2193" s="100" t="s">
        <v>138</v>
      </c>
      <c r="F2193" s="100" t="s">
        <v>28</v>
      </c>
    </row>
    <row r="2194" spans="1:6">
      <c r="A2194" s="248" t="s">
        <v>148</v>
      </c>
      <c r="B2194" s="249"/>
      <c r="C2194" s="249"/>
      <c r="D2194" s="249"/>
      <c r="E2194" s="100" t="s">
        <v>138</v>
      </c>
      <c r="F2194" s="250" t="s">
        <v>175</v>
      </c>
    </row>
    <row r="2195" spans="1:6">
      <c r="A2195" s="248" t="s">
        <v>149</v>
      </c>
      <c r="B2195" s="249"/>
      <c r="C2195" s="249"/>
      <c r="D2195" s="249"/>
      <c r="E2195" s="100" t="s">
        <v>138</v>
      </c>
      <c r="F2195" s="250" t="s">
        <v>175</v>
      </c>
    </row>
    <row r="2196" spans="1:6">
      <c r="A2196" s="248" t="s">
        <v>150</v>
      </c>
      <c r="B2196" s="249"/>
      <c r="C2196" s="249"/>
      <c r="D2196" s="249"/>
      <c r="E2196" s="100" t="s">
        <v>138</v>
      </c>
      <c r="F2196" s="250" t="s">
        <v>175</v>
      </c>
    </row>
    <row r="2197" spans="1:6">
      <c r="A2197" s="248" t="s">
        <v>151</v>
      </c>
      <c r="B2197" s="249"/>
      <c r="C2197" s="249"/>
      <c r="D2197" s="249"/>
      <c r="E2197" s="100" t="s">
        <v>138</v>
      </c>
      <c r="F2197" s="250" t="s">
        <v>175</v>
      </c>
    </row>
    <row r="2198" spans="1:6">
      <c r="A2198" s="248" t="s">
        <v>152</v>
      </c>
      <c r="B2198" s="249"/>
      <c r="C2198" s="249"/>
      <c r="D2198" s="249"/>
      <c r="E2198" s="100" t="s">
        <v>138</v>
      </c>
      <c r="F2198" s="250" t="s">
        <v>175</v>
      </c>
    </row>
    <row r="2199" spans="1:6">
      <c r="A2199" s="248" t="s">
        <v>153</v>
      </c>
      <c r="B2199" s="249"/>
      <c r="C2199" s="249"/>
      <c r="D2199" s="249"/>
      <c r="E2199" s="100" t="s">
        <v>138</v>
      </c>
      <c r="F2199" s="250" t="s">
        <v>175</v>
      </c>
    </row>
    <row r="2200" spans="1:6">
      <c r="A2200" s="248" t="s">
        <v>154</v>
      </c>
      <c r="B2200" s="249"/>
      <c r="C2200" s="249"/>
      <c r="D2200" s="249"/>
      <c r="E2200" s="100" t="s">
        <v>138</v>
      </c>
      <c r="F2200" s="250" t="s">
        <v>175</v>
      </c>
    </row>
    <row r="2201" spans="1:6">
      <c r="A2201" s="248" t="s">
        <v>155</v>
      </c>
      <c r="B2201" s="249"/>
      <c r="C2201" s="249"/>
      <c r="D2201" s="249"/>
      <c r="E2201" s="100" t="s">
        <v>138</v>
      </c>
      <c r="F2201" s="250" t="s">
        <v>175</v>
      </c>
    </row>
    <row r="2202" spans="1:6">
      <c r="A2202" s="248" t="s">
        <v>156</v>
      </c>
      <c r="B2202" s="249"/>
      <c r="C2202" s="249"/>
      <c r="D2202" s="249"/>
      <c r="E2202" s="100" t="s">
        <v>138</v>
      </c>
      <c r="F2202" s="250" t="s">
        <v>175</v>
      </c>
    </row>
    <row r="2203" spans="1:6">
      <c r="A2203" s="248" t="s">
        <v>157</v>
      </c>
      <c r="B2203" s="249"/>
      <c r="C2203" s="249"/>
      <c r="D2203" s="249"/>
      <c r="E2203" s="100" t="s">
        <v>138</v>
      </c>
      <c r="F2203" s="250" t="s">
        <v>175</v>
      </c>
    </row>
    <row r="2204" spans="1:6">
      <c r="A2204" s="248" t="s">
        <v>158</v>
      </c>
      <c r="B2204" s="249"/>
      <c r="C2204" s="249"/>
      <c r="D2204" s="249"/>
      <c r="E2204" s="100" t="s">
        <v>138</v>
      </c>
      <c r="F2204" s="250" t="s">
        <v>175</v>
      </c>
    </row>
    <row r="2205" spans="1:6">
      <c r="A2205" s="248" t="s">
        <v>159</v>
      </c>
      <c r="B2205" s="249"/>
      <c r="C2205" s="249"/>
      <c r="D2205" s="249"/>
      <c r="E2205" s="100" t="s">
        <v>138</v>
      </c>
      <c r="F2205" s="250" t="s">
        <v>175</v>
      </c>
    </row>
    <row r="2206" spans="1:6">
      <c r="A2206" s="242" t="s">
        <v>148</v>
      </c>
      <c r="B2206" s="235"/>
      <c r="C2206" s="235"/>
      <c r="D2206" s="235"/>
      <c r="E2206" s="100" t="s">
        <v>139</v>
      </c>
      <c r="F2206" s="100" t="s">
        <v>284</v>
      </c>
    </row>
    <row r="2207" spans="1:6">
      <c r="A2207" s="242" t="s">
        <v>149</v>
      </c>
      <c r="B2207" s="235"/>
      <c r="C2207" s="235"/>
      <c r="D2207" s="235"/>
      <c r="E2207" s="100" t="s">
        <v>139</v>
      </c>
      <c r="F2207" s="100" t="s">
        <v>284</v>
      </c>
    </row>
    <row r="2208" spans="1:6">
      <c r="A2208" s="242" t="s">
        <v>150</v>
      </c>
      <c r="B2208" s="235"/>
      <c r="C2208" s="235"/>
      <c r="D2208" s="235"/>
      <c r="E2208" s="100" t="s">
        <v>139</v>
      </c>
      <c r="F2208" s="100" t="s">
        <v>284</v>
      </c>
    </row>
    <row r="2209" spans="1:6">
      <c r="A2209" s="242" t="s">
        <v>151</v>
      </c>
      <c r="B2209" s="235"/>
      <c r="C2209" s="235"/>
      <c r="D2209" s="235"/>
      <c r="E2209" s="100" t="s">
        <v>139</v>
      </c>
      <c r="F2209" s="100" t="s">
        <v>284</v>
      </c>
    </row>
    <row r="2210" spans="1:6">
      <c r="A2210" s="242" t="s">
        <v>152</v>
      </c>
      <c r="B2210" s="235"/>
      <c r="C2210" s="235"/>
      <c r="D2210" s="235"/>
      <c r="E2210" s="100" t="s">
        <v>139</v>
      </c>
      <c r="F2210" s="100" t="s">
        <v>284</v>
      </c>
    </row>
    <row r="2211" spans="1:6">
      <c r="A2211" s="242" t="s">
        <v>153</v>
      </c>
      <c r="B2211" s="235"/>
      <c r="C2211" s="235"/>
      <c r="D2211" s="235"/>
      <c r="E2211" s="100" t="s">
        <v>139</v>
      </c>
      <c r="F2211" s="100" t="s">
        <v>284</v>
      </c>
    </row>
    <row r="2212" spans="1:6">
      <c r="A2212" s="242" t="s">
        <v>154</v>
      </c>
      <c r="B2212" s="235"/>
      <c r="C2212" s="235"/>
      <c r="D2212" s="235"/>
      <c r="E2212" s="100" t="s">
        <v>139</v>
      </c>
      <c r="F2212" s="100" t="s">
        <v>284</v>
      </c>
    </row>
    <row r="2213" spans="1:6">
      <c r="A2213" s="242" t="s">
        <v>155</v>
      </c>
      <c r="B2213" s="235"/>
      <c r="C2213" s="235"/>
      <c r="D2213" s="235"/>
      <c r="E2213" s="100" t="s">
        <v>139</v>
      </c>
      <c r="F2213" s="100" t="s">
        <v>284</v>
      </c>
    </row>
    <row r="2214" spans="1:6">
      <c r="A2214" s="242" t="s">
        <v>156</v>
      </c>
      <c r="B2214" s="235"/>
      <c r="C2214" s="235"/>
      <c r="D2214" s="235"/>
      <c r="E2214" s="100" t="s">
        <v>139</v>
      </c>
      <c r="F2214" s="100" t="s">
        <v>284</v>
      </c>
    </row>
    <row r="2215" spans="1:6">
      <c r="A2215" s="242" t="s">
        <v>157</v>
      </c>
      <c r="B2215" s="235"/>
      <c r="C2215" s="235"/>
      <c r="D2215" s="235"/>
      <c r="E2215" s="100" t="s">
        <v>139</v>
      </c>
      <c r="F2215" s="100" t="s">
        <v>284</v>
      </c>
    </row>
    <row r="2216" spans="1:6">
      <c r="A2216" s="242" t="s">
        <v>158</v>
      </c>
      <c r="B2216" s="235"/>
      <c r="C2216" s="235"/>
      <c r="D2216" s="235"/>
      <c r="E2216" s="100" t="s">
        <v>139</v>
      </c>
      <c r="F2216" s="100" t="s">
        <v>284</v>
      </c>
    </row>
    <row r="2217" spans="1:6">
      <c r="A2217" s="242" t="s">
        <v>159</v>
      </c>
      <c r="B2217" s="235"/>
      <c r="C2217" s="235"/>
      <c r="D2217" s="235"/>
      <c r="E2217" s="100" t="s">
        <v>139</v>
      </c>
      <c r="F2217" s="100" t="s">
        <v>284</v>
      </c>
    </row>
    <row r="2218" spans="1:6">
      <c r="A2218" s="248" t="s">
        <v>148</v>
      </c>
      <c r="B2218" s="249"/>
      <c r="C2218" s="249"/>
      <c r="D2218" s="249"/>
      <c r="E2218" s="100" t="s">
        <v>139</v>
      </c>
      <c r="F2218" s="100" t="s">
        <v>286</v>
      </c>
    </row>
    <row r="2219" spans="1:6">
      <c r="A2219" s="248" t="s">
        <v>149</v>
      </c>
      <c r="B2219" s="249"/>
      <c r="C2219" s="249"/>
      <c r="D2219" s="249"/>
      <c r="E2219" s="100" t="s">
        <v>139</v>
      </c>
      <c r="F2219" s="100" t="s">
        <v>286</v>
      </c>
    </row>
    <row r="2220" spans="1:6">
      <c r="A2220" s="248" t="s">
        <v>150</v>
      </c>
      <c r="B2220" s="249"/>
      <c r="C2220" s="249"/>
      <c r="D2220" s="249"/>
      <c r="E2220" s="100" t="s">
        <v>139</v>
      </c>
      <c r="F2220" s="100" t="s">
        <v>286</v>
      </c>
    </row>
    <row r="2221" spans="1:6">
      <c r="A2221" s="248" t="s">
        <v>151</v>
      </c>
      <c r="B2221" s="249"/>
      <c r="C2221" s="249"/>
      <c r="D2221" s="249"/>
      <c r="E2221" s="100" t="s">
        <v>139</v>
      </c>
      <c r="F2221" s="100" t="s">
        <v>286</v>
      </c>
    </row>
    <row r="2222" spans="1:6">
      <c r="A2222" s="248" t="s">
        <v>152</v>
      </c>
      <c r="B2222" s="249"/>
      <c r="C2222" s="249"/>
      <c r="D2222" s="249"/>
      <c r="E2222" s="100" t="s">
        <v>139</v>
      </c>
      <c r="F2222" s="100" t="s">
        <v>286</v>
      </c>
    </row>
    <row r="2223" spans="1:6">
      <c r="A2223" s="248" t="s">
        <v>153</v>
      </c>
      <c r="B2223" s="249"/>
      <c r="C2223" s="249"/>
      <c r="D2223" s="249"/>
      <c r="E2223" s="100" t="s">
        <v>139</v>
      </c>
      <c r="F2223" s="100" t="s">
        <v>286</v>
      </c>
    </row>
    <row r="2224" spans="1:6">
      <c r="A2224" s="248" t="s">
        <v>154</v>
      </c>
      <c r="B2224" s="249"/>
      <c r="C2224" s="249"/>
      <c r="D2224" s="249"/>
      <c r="E2224" s="100" t="s">
        <v>139</v>
      </c>
      <c r="F2224" s="100" t="s">
        <v>286</v>
      </c>
    </row>
    <row r="2225" spans="1:6">
      <c r="A2225" s="248" t="s">
        <v>155</v>
      </c>
      <c r="B2225" s="249"/>
      <c r="C2225" s="249"/>
      <c r="D2225" s="249"/>
      <c r="E2225" s="100" t="s">
        <v>139</v>
      </c>
      <c r="F2225" s="100" t="s">
        <v>286</v>
      </c>
    </row>
    <row r="2226" spans="1:6">
      <c r="A2226" s="248" t="s">
        <v>156</v>
      </c>
      <c r="B2226" s="249"/>
      <c r="C2226" s="249"/>
      <c r="D2226" s="249"/>
      <c r="E2226" s="100" t="s">
        <v>139</v>
      </c>
      <c r="F2226" s="100" t="s">
        <v>286</v>
      </c>
    </row>
    <row r="2227" spans="1:6">
      <c r="A2227" s="248" t="s">
        <v>157</v>
      </c>
      <c r="B2227" s="249"/>
      <c r="C2227" s="249"/>
      <c r="D2227" s="249"/>
      <c r="E2227" s="100" t="s">
        <v>139</v>
      </c>
      <c r="F2227" s="100" t="s">
        <v>286</v>
      </c>
    </row>
    <row r="2228" spans="1:6">
      <c r="A2228" s="248" t="s">
        <v>158</v>
      </c>
      <c r="B2228" s="249"/>
      <c r="C2228" s="249"/>
      <c r="D2228" s="249"/>
      <c r="E2228" s="100" t="s">
        <v>139</v>
      </c>
      <c r="F2228" s="100" t="s">
        <v>286</v>
      </c>
    </row>
    <row r="2229" spans="1:6">
      <c r="A2229" s="248" t="s">
        <v>159</v>
      </c>
      <c r="B2229" s="249"/>
      <c r="C2229" s="249"/>
      <c r="D2229" s="249"/>
      <c r="E2229" s="100" t="s">
        <v>139</v>
      </c>
      <c r="F2229" s="100" t="s">
        <v>286</v>
      </c>
    </row>
    <row r="2230" spans="1:6">
      <c r="A2230" s="242" t="s">
        <v>148</v>
      </c>
      <c r="B2230" s="235"/>
      <c r="C2230" s="235"/>
      <c r="D2230" s="235"/>
      <c r="E2230" s="100" t="s">
        <v>139</v>
      </c>
      <c r="F2230" s="100" t="s">
        <v>313</v>
      </c>
    </row>
    <row r="2231" spans="1:6">
      <c r="A2231" s="242" t="s">
        <v>149</v>
      </c>
      <c r="B2231" s="235"/>
      <c r="C2231" s="235"/>
      <c r="D2231" s="235"/>
      <c r="E2231" s="100" t="s">
        <v>139</v>
      </c>
      <c r="F2231" s="100" t="s">
        <v>313</v>
      </c>
    </row>
    <row r="2232" spans="1:6">
      <c r="A2232" s="242" t="s">
        <v>150</v>
      </c>
      <c r="B2232" s="235"/>
      <c r="C2232" s="235"/>
      <c r="D2232" s="235"/>
      <c r="E2232" s="100" t="s">
        <v>139</v>
      </c>
      <c r="F2232" s="100" t="s">
        <v>313</v>
      </c>
    </row>
    <row r="2233" spans="1:6">
      <c r="A2233" s="242" t="s">
        <v>151</v>
      </c>
      <c r="B2233" s="235"/>
      <c r="C2233" s="235"/>
      <c r="D2233" s="235"/>
      <c r="E2233" s="100" t="s">
        <v>139</v>
      </c>
      <c r="F2233" s="100" t="s">
        <v>313</v>
      </c>
    </row>
    <row r="2234" spans="1:6">
      <c r="A2234" s="242" t="s">
        <v>152</v>
      </c>
      <c r="B2234" s="235"/>
      <c r="C2234" s="235"/>
      <c r="D2234" s="235"/>
      <c r="E2234" s="100" t="s">
        <v>139</v>
      </c>
      <c r="F2234" s="100" t="s">
        <v>313</v>
      </c>
    </row>
    <row r="2235" spans="1:6">
      <c r="A2235" s="242" t="s">
        <v>153</v>
      </c>
      <c r="B2235" s="235"/>
      <c r="C2235" s="235"/>
      <c r="D2235" s="235"/>
      <c r="E2235" s="100" t="s">
        <v>139</v>
      </c>
      <c r="F2235" s="100" t="s">
        <v>313</v>
      </c>
    </row>
    <row r="2236" spans="1:6">
      <c r="A2236" s="242" t="s">
        <v>154</v>
      </c>
      <c r="B2236" s="235"/>
      <c r="C2236" s="235"/>
      <c r="D2236" s="235"/>
      <c r="E2236" s="100" t="s">
        <v>139</v>
      </c>
      <c r="F2236" s="100" t="s">
        <v>313</v>
      </c>
    </row>
    <row r="2237" spans="1:6">
      <c r="A2237" s="242" t="s">
        <v>155</v>
      </c>
      <c r="B2237" s="235"/>
      <c r="C2237" s="235"/>
      <c r="D2237" s="235"/>
      <c r="E2237" s="100" t="s">
        <v>139</v>
      </c>
      <c r="F2237" s="100" t="s">
        <v>313</v>
      </c>
    </row>
    <row r="2238" spans="1:6">
      <c r="A2238" s="242" t="s">
        <v>156</v>
      </c>
      <c r="B2238" s="235"/>
      <c r="C2238" s="235"/>
      <c r="D2238" s="235"/>
      <c r="E2238" s="100" t="s">
        <v>139</v>
      </c>
      <c r="F2238" s="100" t="s">
        <v>313</v>
      </c>
    </row>
    <row r="2239" spans="1:6">
      <c r="A2239" s="242" t="s">
        <v>157</v>
      </c>
      <c r="B2239" s="235"/>
      <c r="C2239" s="235"/>
      <c r="D2239" s="235"/>
      <c r="E2239" s="100" t="s">
        <v>139</v>
      </c>
      <c r="F2239" s="100" t="s">
        <v>313</v>
      </c>
    </row>
    <row r="2240" spans="1:6">
      <c r="A2240" s="242" t="s">
        <v>158</v>
      </c>
      <c r="B2240" s="235"/>
      <c r="C2240" s="235"/>
      <c r="D2240" s="235"/>
      <c r="E2240" s="100" t="s">
        <v>139</v>
      </c>
      <c r="F2240" s="100" t="s">
        <v>313</v>
      </c>
    </row>
    <row r="2241" spans="1:6">
      <c r="A2241" s="242" t="s">
        <v>159</v>
      </c>
      <c r="B2241" s="235"/>
      <c r="C2241" s="235"/>
      <c r="D2241" s="235"/>
      <c r="E2241" s="100" t="s">
        <v>139</v>
      </c>
      <c r="F2241" s="100" t="s">
        <v>313</v>
      </c>
    </row>
    <row r="2242" spans="1:6">
      <c r="A2242" s="248" t="s">
        <v>148</v>
      </c>
      <c r="B2242" s="249"/>
      <c r="C2242" s="249"/>
      <c r="D2242" s="249"/>
      <c r="E2242" s="100" t="s">
        <v>139</v>
      </c>
      <c r="F2242" s="100" t="s">
        <v>285</v>
      </c>
    </row>
    <row r="2243" spans="1:6">
      <c r="A2243" s="248" t="s">
        <v>149</v>
      </c>
      <c r="B2243" s="249"/>
      <c r="C2243" s="249"/>
      <c r="D2243" s="249"/>
      <c r="E2243" s="100" t="s">
        <v>139</v>
      </c>
      <c r="F2243" s="100" t="s">
        <v>285</v>
      </c>
    </row>
    <row r="2244" spans="1:6">
      <c r="A2244" s="248" t="s">
        <v>150</v>
      </c>
      <c r="B2244" s="249"/>
      <c r="C2244" s="249"/>
      <c r="D2244" s="249"/>
      <c r="E2244" s="100" t="s">
        <v>139</v>
      </c>
      <c r="F2244" s="100" t="s">
        <v>285</v>
      </c>
    </row>
    <row r="2245" spans="1:6">
      <c r="A2245" s="248" t="s">
        <v>151</v>
      </c>
      <c r="B2245" s="249"/>
      <c r="C2245" s="249"/>
      <c r="D2245" s="249"/>
      <c r="E2245" s="100" t="s">
        <v>139</v>
      </c>
      <c r="F2245" s="100" t="s">
        <v>285</v>
      </c>
    </row>
    <row r="2246" spans="1:6">
      <c r="A2246" s="248" t="s">
        <v>152</v>
      </c>
      <c r="B2246" s="249"/>
      <c r="C2246" s="249"/>
      <c r="D2246" s="249"/>
      <c r="E2246" s="100" t="s">
        <v>139</v>
      </c>
      <c r="F2246" s="100" t="s">
        <v>285</v>
      </c>
    </row>
    <row r="2247" spans="1:6">
      <c r="A2247" s="248" t="s">
        <v>153</v>
      </c>
      <c r="B2247" s="249"/>
      <c r="C2247" s="249"/>
      <c r="D2247" s="249"/>
      <c r="E2247" s="100" t="s">
        <v>139</v>
      </c>
      <c r="F2247" s="100" t="s">
        <v>285</v>
      </c>
    </row>
    <row r="2248" spans="1:6">
      <c r="A2248" s="248" t="s">
        <v>154</v>
      </c>
      <c r="B2248" s="249"/>
      <c r="C2248" s="249"/>
      <c r="D2248" s="249"/>
      <c r="E2248" s="100" t="s">
        <v>139</v>
      </c>
      <c r="F2248" s="100" t="s">
        <v>285</v>
      </c>
    </row>
    <row r="2249" spans="1:6">
      <c r="A2249" s="248" t="s">
        <v>155</v>
      </c>
      <c r="B2249" s="249"/>
      <c r="C2249" s="249"/>
      <c r="D2249" s="249"/>
      <c r="E2249" s="100" t="s">
        <v>139</v>
      </c>
      <c r="F2249" s="100" t="s">
        <v>285</v>
      </c>
    </row>
    <row r="2250" spans="1:6">
      <c r="A2250" s="248" t="s">
        <v>156</v>
      </c>
      <c r="B2250" s="249"/>
      <c r="C2250" s="249"/>
      <c r="D2250" s="249"/>
      <c r="E2250" s="100" t="s">
        <v>139</v>
      </c>
      <c r="F2250" s="100" t="s">
        <v>285</v>
      </c>
    </row>
    <row r="2251" spans="1:6">
      <c r="A2251" s="248" t="s">
        <v>157</v>
      </c>
      <c r="B2251" s="249"/>
      <c r="C2251" s="249"/>
      <c r="D2251" s="249"/>
      <c r="E2251" s="100" t="s">
        <v>139</v>
      </c>
      <c r="F2251" s="100" t="s">
        <v>285</v>
      </c>
    </row>
    <row r="2252" spans="1:6">
      <c r="A2252" s="248" t="s">
        <v>158</v>
      </c>
      <c r="B2252" s="249"/>
      <c r="C2252" s="249"/>
      <c r="D2252" s="249"/>
      <c r="E2252" s="100" t="s">
        <v>139</v>
      </c>
      <c r="F2252" s="100" t="s">
        <v>285</v>
      </c>
    </row>
    <row r="2253" spans="1:6">
      <c r="A2253" s="248" t="s">
        <v>159</v>
      </c>
      <c r="B2253" s="249"/>
      <c r="C2253" s="249"/>
      <c r="D2253" s="249"/>
      <c r="E2253" s="100" t="s">
        <v>139</v>
      </c>
      <c r="F2253" s="100" t="s">
        <v>285</v>
      </c>
    </row>
    <row r="2254" spans="1:6">
      <c r="A2254" s="242" t="s">
        <v>148</v>
      </c>
      <c r="B2254" s="235"/>
      <c r="C2254" s="235"/>
      <c r="D2254" s="235"/>
      <c r="E2254" s="100" t="s">
        <v>139</v>
      </c>
      <c r="F2254" s="100" t="s">
        <v>28</v>
      </c>
    </row>
    <row r="2255" spans="1:6">
      <c r="A2255" s="242" t="s">
        <v>149</v>
      </c>
      <c r="B2255" s="235"/>
      <c r="C2255" s="235"/>
      <c r="D2255" s="235"/>
      <c r="E2255" s="100" t="s">
        <v>139</v>
      </c>
      <c r="F2255" s="100" t="s">
        <v>28</v>
      </c>
    </row>
    <row r="2256" spans="1:6">
      <c r="A2256" s="242" t="s">
        <v>150</v>
      </c>
      <c r="B2256" s="235"/>
      <c r="C2256" s="235"/>
      <c r="D2256" s="235"/>
      <c r="E2256" s="100" t="s">
        <v>139</v>
      </c>
      <c r="F2256" s="100" t="s">
        <v>28</v>
      </c>
    </row>
    <row r="2257" spans="1:6">
      <c r="A2257" s="242" t="s">
        <v>151</v>
      </c>
      <c r="B2257" s="235"/>
      <c r="C2257" s="235"/>
      <c r="D2257" s="235"/>
      <c r="E2257" s="100" t="s">
        <v>139</v>
      </c>
      <c r="F2257" s="100" t="s">
        <v>28</v>
      </c>
    </row>
    <row r="2258" spans="1:6">
      <c r="A2258" s="242" t="s">
        <v>152</v>
      </c>
      <c r="B2258" s="235"/>
      <c r="C2258" s="235"/>
      <c r="D2258" s="235"/>
      <c r="E2258" s="100" t="s">
        <v>139</v>
      </c>
      <c r="F2258" s="100" t="s">
        <v>28</v>
      </c>
    </row>
    <row r="2259" spans="1:6">
      <c r="A2259" s="242" t="s">
        <v>153</v>
      </c>
      <c r="B2259" s="235"/>
      <c r="C2259" s="235"/>
      <c r="D2259" s="235"/>
      <c r="E2259" s="100" t="s">
        <v>139</v>
      </c>
      <c r="F2259" s="100" t="s">
        <v>28</v>
      </c>
    </row>
    <row r="2260" spans="1:6">
      <c r="A2260" s="242" t="s">
        <v>154</v>
      </c>
      <c r="B2260" s="235"/>
      <c r="C2260" s="235"/>
      <c r="D2260" s="235"/>
      <c r="E2260" s="100" t="s">
        <v>139</v>
      </c>
      <c r="F2260" s="100" t="s">
        <v>28</v>
      </c>
    </row>
    <row r="2261" spans="1:6">
      <c r="A2261" s="242" t="s">
        <v>155</v>
      </c>
      <c r="B2261" s="235"/>
      <c r="C2261" s="235"/>
      <c r="D2261" s="235"/>
      <c r="E2261" s="100" t="s">
        <v>139</v>
      </c>
      <c r="F2261" s="100" t="s">
        <v>28</v>
      </c>
    </row>
    <row r="2262" spans="1:6">
      <c r="A2262" s="242" t="s">
        <v>156</v>
      </c>
      <c r="B2262" s="235"/>
      <c r="C2262" s="235"/>
      <c r="D2262" s="235"/>
      <c r="E2262" s="100" t="s">
        <v>139</v>
      </c>
      <c r="F2262" s="100" t="s">
        <v>28</v>
      </c>
    </row>
    <row r="2263" spans="1:6">
      <c r="A2263" s="242" t="s">
        <v>157</v>
      </c>
      <c r="B2263" s="235"/>
      <c r="C2263" s="235"/>
      <c r="D2263" s="235"/>
      <c r="E2263" s="100" t="s">
        <v>139</v>
      </c>
      <c r="F2263" s="100" t="s">
        <v>28</v>
      </c>
    </row>
    <row r="2264" spans="1:6">
      <c r="A2264" s="242" t="s">
        <v>158</v>
      </c>
      <c r="B2264" s="235"/>
      <c r="C2264" s="235"/>
      <c r="D2264" s="235"/>
      <c r="E2264" s="100" t="s">
        <v>139</v>
      </c>
      <c r="F2264" s="100" t="s">
        <v>28</v>
      </c>
    </row>
    <row r="2265" spans="1:6">
      <c r="A2265" s="242" t="s">
        <v>159</v>
      </c>
      <c r="B2265" s="235"/>
      <c r="C2265" s="235"/>
      <c r="D2265" s="235"/>
      <c r="E2265" s="100" t="s">
        <v>139</v>
      </c>
      <c r="F2265" s="100" t="s">
        <v>28</v>
      </c>
    </row>
    <row r="2266" spans="1:6">
      <c r="A2266" s="248" t="s">
        <v>148</v>
      </c>
      <c r="B2266" s="249"/>
      <c r="C2266" s="249"/>
      <c r="D2266" s="249"/>
      <c r="E2266" s="100" t="s">
        <v>139</v>
      </c>
      <c r="F2266" s="250" t="s">
        <v>175</v>
      </c>
    </row>
    <row r="2267" spans="1:6">
      <c r="A2267" s="248" t="s">
        <v>149</v>
      </c>
      <c r="B2267" s="249"/>
      <c r="C2267" s="249"/>
      <c r="D2267" s="249"/>
      <c r="E2267" s="100" t="s">
        <v>139</v>
      </c>
      <c r="F2267" s="250" t="s">
        <v>175</v>
      </c>
    </row>
    <row r="2268" spans="1:6">
      <c r="A2268" s="248" t="s">
        <v>150</v>
      </c>
      <c r="B2268" s="249"/>
      <c r="C2268" s="249"/>
      <c r="D2268" s="249"/>
      <c r="E2268" s="100" t="s">
        <v>139</v>
      </c>
      <c r="F2268" s="250" t="s">
        <v>175</v>
      </c>
    </row>
    <row r="2269" spans="1:6">
      <c r="A2269" s="248" t="s">
        <v>151</v>
      </c>
      <c r="B2269" s="249"/>
      <c r="C2269" s="249"/>
      <c r="D2269" s="249"/>
      <c r="E2269" s="100" t="s">
        <v>139</v>
      </c>
      <c r="F2269" s="250" t="s">
        <v>175</v>
      </c>
    </row>
    <row r="2270" spans="1:6">
      <c r="A2270" s="248" t="s">
        <v>152</v>
      </c>
      <c r="B2270" s="249"/>
      <c r="C2270" s="249"/>
      <c r="D2270" s="249"/>
      <c r="E2270" s="100" t="s">
        <v>139</v>
      </c>
      <c r="F2270" s="250" t="s">
        <v>175</v>
      </c>
    </row>
    <row r="2271" spans="1:6">
      <c r="A2271" s="248" t="s">
        <v>153</v>
      </c>
      <c r="B2271" s="249"/>
      <c r="C2271" s="249"/>
      <c r="D2271" s="249"/>
      <c r="E2271" s="100" t="s">
        <v>139</v>
      </c>
      <c r="F2271" s="250" t="s">
        <v>175</v>
      </c>
    </row>
    <row r="2272" spans="1:6">
      <c r="A2272" s="248" t="s">
        <v>154</v>
      </c>
      <c r="B2272" s="249"/>
      <c r="C2272" s="249"/>
      <c r="D2272" s="249"/>
      <c r="E2272" s="100" t="s">
        <v>139</v>
      </c>
      <c r="F2272" s="250" t="s">
        <v>175</v>
      </c>
    </row>
    <row r="2273" spans="1:6">
      <c r="A2273" s="248" t="s">
        <v>155</v>
      </c>
      <c r="B2273" s="249"/>
      <c r="C2273" s="249"/>
      <c r="D2273" s="249"/>
      <c r="E2273" s="100" t="s">
        <v>139</v>
      </c>
      <c r="F2273" s="250" t="s">
        <v>175</v>
      </c>
    </row>
    <row r="2274" spans="1:6">
      <c r="A2274" s="248" t="s">
        <v>156</v>
      </c>
      <c r="B2274" s="249"/>
      <c r="C2274" s="249"/>
      <c r="D2274" s="249"/>
      <c r="E2274" s="100" t="s">
        <v>139</v>
      </c>
      <c r="F2274" s="250" t="s">
        <v>175</v>
      </c>
    </row>
    <row r="2275" spans="1:6">
      <c r="A2275" s="248" t="s">
        <v>157</v>
      </c>
      <c r="B2275" s="249"/>
      <c r="C2275" s="249"/>
      <c r="D2275" s="249"/>
      <c r="E2275" s="100" t="s">
        <v>139</v>
      </c>
      <c r="F2275" s="250" t="s">
        <v>175</v>
      </c>
    </row>
    <row r="2276" spans="1:6">
      <c r="A2276" s="248" t="s">
        <v>158</v>
      </c>
      <c r="B2276" s="249"/>
      <c r="C2276" s="249"/>
      <c r="D2276" s="249"/>
      <c r="E2276" s="100" t="s">
        <v>139</v>
      </c>
      <c r="F2276" s="250" t="s">
        <v>175</v>
      </c>
    </row>
    <row r="2277" spans="1:6">
      <c r="A2277" s="248" t="s">
        <v>159</v>
      </c>
      <c r="B2277" s="249"/>
      <c r="C2277" s="249"/>
      <c r="D2277" s="249"/>
      <c r="E2277" s="100" t="s">
        <v>139</v>
      </c>
      <c r="F2277" s="250" t="s">
        <v>175</v>
      </c>
    </row>
    <row r="2278" spans="1:6">
      <c r="A2278" s="242" t="s">
        <v>148</v>
      </c>
      <c r="B2278" s="235"/>
      <c r="C2278" s="235"/>
      <c r="D2278" s="235"/>
      <c r="E2278" s="100" t="s">
        <v>140</v>
      </c>
      <c r="F2278" s="100" t="s">
        <v>284</v>
      </c>
    </row>
    <row r="2279" spans="1:6">
      <c r="A2279" s="242" t="s">
        <v>149</v>
      </c>
      <c r="B2279" s="235"/>
      <c r="C2279" s="235"/>
      <c r="D2279" s="235"/>
      <c r="E2279" s="100" t="s">
        <v>140</v>
      </c>
      <c r="F2279" s="100" t="s">
        <v>284</v>
      </c>
    </row>
    <row r="2280" spans="1:6">
      <c r="A2280" s="242" t="s">
        <v>150</v>
      </c>
      <c r="B2280" s="235"/>
      <c r="C2280" s="235"/>
      <c r="D2280" s="235"/>
      <c r="E2280" s="100" t="s">
        <v>140</v>
      </c>
      <c r="F2280" s="100" t="s">
        <v>284</v>
      </c>
    </row>
    <row r="2281" spans="1:6">
      <c r="A2281" s="242" t="s">
        <v>151</v>
      </c>
      <c r="B2281" s="235"/>
      <c r="C2281" s="235"/>
      <c r="D2281" s="235"/>
      <c r="E2281" s="100" t="s">
        <v>140</v>
      </c>
      <c r="F2281" s="100" t="s">
        <v>284</v>
      </c>
    </row>
    <row r="2282" spans="1:6">
      <c r="A2282" s="242" t="s">
        <v>152</v>
      </c>
      <c r="B2282" s="235"/>
      <c r="C2282" s="235"/>
      <c r="D2282" s="235"/>
      <c r="E2282" s="100" t="s">
        <v>140</v>
      </c>
      <c r="F2282" s="100" t="s">
        <v>284</v>
      </c>
    </row>
    <row r="2283" spans="1:6">
      <c r="A2283" s="242" t="s">
        <v>153</v>
      </c>
      <c r="B2283" s="235"/>
      <c r="C2283" s="235"/>
      <c r="D2283" s="235"/>
      <c r="E2283" s="100" t="s">
        <v>140</v>
      </c>
      <c r="F2283" s="100" t="s">
        <v>284</v>
      </c>
    </row>
    <row r="2284" spans="1:6">
      <c r="A2284" s="242" t="s">
        <v>154</v>
      </c>
      <c r="B2284" s="235"/>
      <c r="C2284" s="235"/>
      <c r="D2284" s="235"/>
      <c r="E2284" s="100" t="s">
        <v>140</v>
      </c>
      <c r="F2284" s="100" t="s">
        <v>284</v>
      </c>
    </row>
    <row r="2285" spans="1:6">
      <c r="A2285" s="242" t="s">
        <v>155</v>
      </c>
      <c r="B2285" s="235"/>
      <c r="C2285" s="235"/>
      <c r="D2285" s="235"/>
      <c r="E2285" s="100" t="s">
        <v>140</v>
      </c>
      <c r="F2285" s="100" t="s">
        <v>284</v>
      </c>
    </row>
    <row r="2286" spans="1:6">
      <c r="A2286" s="242" t="s">
        <v>156</v>
      </c>
      <c r="B2286" s="235"/>
      <c r="C2286" s="235"/>
      <c r="D2286" s="235"/>
      <c r="E2286" s="100" t="s">
        <v>140</v>
      </c>
      <c r="F2286" s="100" t="s">
        <v>284</v>
      </c>
    </row>
    <row r="2287" spans="1:6">
      <c r="A2287" s="242" t="s">
        <v>157</v>
      </c>
      <c r="B2287" s="235"/>
      <c r="C2287" s="235"/>
      <c r="D2287" s="235"/>
      <c r="E2287" s="100" t="s">
        <v>140</v>
      </c>
      <c r="F2287" s="100" t="s">
        <v>284</v>
      </c>
    </row>
    <row r="2288" spans="1:6">
      <c r="A2288" s="242" t="s">
        <v>158</v>
      </c>
      <c r="B2288" s="235"/>
      <c r="C2288" s="235"/>
      <c r="D2288" s="235"/>
      <c r="E2288" s="100" t="s">
        <v>140</v>
      </c>
      <c r="F2288" s="100" t="s">
        <v>284</v>
      </c>
    </row>
    <row r="2289" spans="1:6">
      <c r="A2289" s="242" t="s">
        <v>159</v>
      </c>
      <c r="B2289" s="235"/>
      <c r="C2289" s="235"/>
      <c r="D2289" s="235"/>
      <c r="E2289" s="100" t="s">
        <v>140</v>
      </c>
      <c r="F2289" s="100" t="s">
        <v>284</v>
      </c>
    </row>
    <row r="2290" spans="1:6">
      <c r="A2290" s="248" t="s">
        <v>148</v>
      </c>
      <c r="B2290" s="249"/>
      <c r="C2290" s="249"/>
      <c r="D2290" s="249"/>
      <c r="E2290" s="100" t="s">
        <v>140</v>
      </c>
      <c r="F2290" s="100" t="s">
        <v>286</v>
      </c>
    </row>
    <row r="2291" spans="1:6">
      <c r="A2291" s="248" t="s">
        <v>149</v>
      </c>
      <c r="B2291" s="249"/>
      <c r="C2291" s="249"/>
      <c r="D2291" s="249"/>
      <c r="E2291" s="100" t="s">
        <v>140</v>
      </c>
      <c r="F2291" s="100" t="s">
        <v>286</v>
      </c>
    </row>
    <row r="2292" spans="1:6">
      <c r="A2292" s="248" t="s">
        <v>150</v>
      </c>
      <c r="B2292" s="249"/>
      <c r="C2292" s="249"/>
      <c r="D2292" s="249"/>
      <c r="E2292" s="100" t="s">
        <v>140</v>
      </c>
      <c r="F2292" s="100" t="s">
        <v>286</v>
      </c>
    </row>
    <row r="2293" spans="1:6">
      <c r="A2293" s="248" t="s">
        <v>151</v>
      </c>
      <c r="B2293" s="249"/>
      <c r="C2293" s="249"/>
      <c r="D2293" s="249"/>
      <c r="E2293" s="100" t="s">
        <v>140</v>
      </c>
      <c r="F2293" s="100" t="s">
        <v>286</v>
      </c>
    </row>
    <row r="2294" spans="1:6">
      <c r="A2294" s="248" t="s">
        <v>152</v>
      </c>
      <c r="B2294" s="249"/>
      <c r="C2294" s="249"/>
      <c r="D2294" s="249"/>
      <c r="E2294" s="100" t="s">
        <v>140</v>
      </c>
      <c r="F2294" s="100" t="s">
        <v>286</v>
      </c>
    </row>
    <row r="2295" spans="1:6">
      <c r="A2295" s="248" t="s">
        <v>153</v>
      </c>
      <c r="B2295" s="249"/>
      <c r="C2295" s="249"/>
      <c r="D2295" s="249"/>
      <c r="E2295" s="100" t="s">
        <v>140</v>
      </c>
      <c r="F2295" s="100" t="s">
        <v>286</v>
      </c>
    </row>
    <row r="2296" spans="1:6">
      <c r="A2296" s="248" t="s">
        <v>154</v>
      </c>
      <c r="B2296" s="249"/>
      <c r="C2296" s="249"/>
      <c r="D2296" s="249"/>
      <c r="E2296" s="100" t="s">
        <v>140</v>
      </c>
      <c r="F2296" s="100" t="s">
        <v>286</v>
      </c>
    </row>
    <row r="2297" spans="1:6">
      <c r="A2297" s="248" t="s">
        <v>155</v>
      </c>
      <c r="B2297" s="249"/>
      <c r="C2297" s="249"/>
      <c r="D2297" s="249"/>
      <c r="E2297" s="100" t="s">
        <v>140</v>
      </c>
      <c r="F2297" s="100" t="s">
        <v>286</v>
      </c>
    </row>
    <row r="2298" spans="1:6">
      <c r="A2298" s="248" t="s">
        <v>156</v>
      </c>
      <c r="B2298" s="249"/>
      <c r="C2298" s="249"/>
      <c r="D2298" s="249"/>
      <c r="E2298" s="100" t="s">
        <v>140</v>
      </c>
      <c r="F2298" s="100" t="s">
        <v>286</v>
      </c>
    </row>
    <row r="2299" spans="1:6">
      <c r="A2299" s="248" t="s">
        <v>157</v>
      </c>
      <c r="B2299" s="249"/>
      <c r="C2299" s="249"/>
      <c r="D2299" s="249"/>
      <c r="E2299" s="100" t="s">
        <v>140</v>
      </c>
      <c r="F2299" s="100" t="s">
        <v>286</v>
      </c>
    </row>
    <row r="2300" spans="1:6">
      <c r="A2300" s="248" t="s">
        <v>158</v>
      </c>
      <c r="B2300" s="249"/>
      <c r="C2300" s="249"/>
      <c r="D2300" s="249"/>
      <c r="E2300" s="100" t="s">
        <v>140</v>
      </c>
      <c r="F2300" s="100" t="s">
        <v>286</v>
      </c>
    </row>
    <row r="2301" spans="1:6">
      <c r="A2301" s="248" t="s">
        <v>159</v>
      </c>
      <c r="B2301" s="249"/>
      <c r="C2301" s="249"/>
      <c r="D2301" s="249"/>
      <c r="E2301" s="100" t="s">
        <v>140</v>
      </c>
      <c r="F2301" s="100" t="s">
        <v>286</v>
      </c>
    </row>
    <row r="2302" spans="1:6">
      <c r="A2302" s="242" t="s">
        <v>148</v>
      </c>
      <c r="B2302" s="235"/>
      <c r="C2302" s="235"/>
      <c r="D2302" s="235"/>
      <c r="E2302" s="100" t="s">
        <v>140</v>
      </c>
      <c r="F2302" s="100" t="s">
        <v>313</v>
      </c>
    </row>
    <row r="2303" spans="1:6">
      <c r="A2303" s="242" t="s">
        <v>149</v>
      </c>
      <c r="B2303" s="235"/>
      <c r="C2303" s="235"/>
      <c r="D2303" s="235"/>
      <c r="E2303" s="100" t="s">
        <v>140</v>
      </c>
      <c r="F2303" s="100" t="s">
        <v>313</v>
      </c>
    </row>
    <row r="2304" spans="1:6">
      <c r="A2304" s="242" t="s">
        <v>150</v>
      </c>
      <c r="B2304" s="235"/>
      <c r="C2304" s="235"/>
      <c r="D2304" s="235"/>
      <c r="E2304" s="100" t="s">
        <v>140</v>
      </c>
      <c r="F2304" s="100" t="s">
        <v>313</v>
      </c>
    </row>
    <row r="2305" spans="1:6">
      <c r="A2305" s="242" t="s">
        <v>151</v>
      </c>
      <c r="B2305" s="235"/>
      <c r="C2305" s="235"/>
      <c r="D2305" s="235"/>
      <c r="E2305" s="100" t="s">
        <v>140</v>
      </c>
      <c r="F2305" s="100" t="s">
        <v>313</v>
      </c>
    </row>
    <row r="2306" spans="1:6">
      <c r="A2306" s="242" t="s">
        <v>152</v>
      </c>
      <c r="B2306" s="235"/>
      <c r="C2306" s="235"/>
      <c r="D2306" s="235"/>
      <c r="E2306" s="100" t="s">
        <v>140</v>
      </c>
      <c r="F2306" s="100" t="s">
        <v>313</v>
      </c>
    </row>
    <row r="2307" spans="1:6">
      <c r="A2307" s="242" t="s">
        <v>153</v>
      </c>
      <c r="B2307" s="235"/>
      <c r="C2307" s="235"/>
      <c r="D2307" s="235"/>
      <c r="E2307" s="100" t="s">
        <v>140</v>
      </c>
      <c r="F2307" s="100" t="s">
        <v>313</v>
      </c>
    </row>
    <row r="2308" spans="1:6">
      <c r="A2308" s="242" t="s">
        <v>154</v>
      </c>
      <c r="B2308" s="235"/>
      <c r="C2308" s="235"/>
      <c r="D2308" s="235"/>
      <c r="E2308" s="100" t="s">
        <v>140</v>
      </c>
      <c r="F2308" s="100" t="s">
        <v>313</v>
      </c>
    </row>
    <row r="2309" spans="1:6">
      <c r="A2309" s="242" t="s">
        <v>155</v>
      </c>
      <c r="B2309" s="235"/>
      <c r="C2309" s="235"/>
      <c r="D2309" s="235"/>
      <c r="E2309" s="100" t="s">
        <v>140</v>
      </c>
      <c r="F2309" s="100" t="s">
        <v>313</v>
      </c>
    </row>
    <row r="2310" spans="1:6">
      <c r="A2310" s="242" t="s">
        <v>156</v>
      </c>
      <c r="B2310" s="235"/>
      <c r="C2310" s="235"/>
      <c r="D2310" s="235"/>
      <c r="E2310" s="100" t="s">
        <v>140</v>
      </c>
      <c r="F2310" s="100" t="s">
        <v>313</v>
      </c>
    </row>
    <row r="2311" spans="1:6">
      <c r="A2311" s="242" t="s">
        <v>157</v>
      </c>
      <c r="B2311" s="235"/>
      <c r="C2311" s="235"/>
      <c r="D2311" s="235"/>
      <c r="E2311" s="100" t="s">
        <v>140</v>
      </c>
      <c r="F2311" s="100" t="s">
        <v>313</v>
      </c>
    </row>
    <row r="2312" spans="1:6">
      <c r="A2312" s="242" t="s">
        <v>158</v>
      </c>
      <c r="B2312" s="235"/>
      <c r="C2312" s="235"/>
      <c r="D2312" s="235"/>
      <c r="E2312" s="100" t="s">
        <v>140</v>
      </c>
      <c r="F2312" s="100" t="s">
        <v>313</v>
      </c>
    </row>
    <row r="2313" spans="1:6">
      <c r="A2313" s="242" t="s">
        <v>159</v>
      </c>
      <c r="B2313" s="235"/>
      <c r="C2313" s="235"/>
      <c r="D2313" s="235"/>
      <c r="E2313" s="100" t="s">
        <v>140</v>
      </c>
      <c r="F2313" s="100" t="s">
        <v>313</v>
      </c>
    </row>
    <row r="2314" spans="1:6">
      <c r="A2314" s="248" t="s">
        <v>148</v>
      </c>
      <c r="B2314" s="249"/>
      <c r="C2314" s="249"/>
      <c r="D2314" s="249"/>
      <c r="E2314" s="100" t="s">
        <v>140</v>
      </c>
      <c r="F2314" s="100" t="s">
        <v>285</v>
      </c>
    </row>
    <row r="2315" spans="1:6">
      <c r="A2315" s="248" t="s">
        <v>149</v>
      </c>
      <c r="B2315" s="249"/>
      <c r="C2315" s="249"/>
      <c r="D2315" s="249"/>
      <c r="E2315" s="100" t="s">
        <v>140</v>
      </c>
      <c r="F2315" s="100" t="s">
        <v>285</v>
      </c>
    </row>
    <row r="2316" spans="1:6">
      <c r="A2316" s="248" t="s">
        <v>150</v>
      </c>
      <c r="B2316" s="249"/>
      <c r="C2316" s="249"/>
      <c r="D2316" s="249"/>
      <c r="E2316" s="100" t="s">
        <v>140</v>
      </c>
      <c r="F2316" s="100" t="s">
        <v>285</v>
      </c>
    </row>
    <row r="2317" spans="1:6">
      <c r="A2317" s="248" t="s">
        <v>151</v>
      </c>
      <c r="B2317" s="249"/>
      <c r="C2317" s="249"/>
      <c r="D2317" s="249"/>
      <c r="E2317" s="100" t="s">
        <v>140</v>
      </c>
      <c r="F2317" s="100" t="s">
        <v>285</v>
      </c>
    </row>
    <row r="2318" spans="1:6">
      <c r="A2318" s="248" t="s">
        <v>152</v>
      </c>
      <c r="B2318" s="249"/>
      <c r="C2318" s="249"/>
      <c r="D2318" s="249"/>
      <c r="E2318" s="100" t="s">
        <v>140</v>
      </c>
      <c r="F2318" s="100" t="s">
        <v>285</v>
      </c>
    </row>
    <row r="2319" spans="1:6">
      <c r="A2319" s="248" t="s">
        <v>153</v>
      </c>
      <c r="B2319" s="249"/>
      <c r="C2319" s="249"/>
      <c r="D2319" s="249"/>
      <c r="E2319" s="100" t="s">
        <v>140</v>
      </c>
      <c r="F2319" s="100" t="s">
        <v>285</v>
      </c>
    </row>
    <row r="2320" spans="1:6">
      <c r="A2320" s="248" t="s">
        <v>154</v>
      </c>
      <c r="B2320" s="249"/>
      <c r="C2320" s="249"/>
      <c r="D2320" s="249"/>
      <c r="E2320" s="100" t="s">
        <v>140</v>
      </c>
      <c r="F2320" s="100" t="s">
        <v>285</v>
      </c>
    </row>
    <row r="2321" spans="1:6">
      <c r="A2321" s="248" t="s">
        <v>155</v>
      </c>
      <c r="B2321" s="249"/>
      <c r="C2321" s="249"/>
      <c r="D2321" s="249"/>
      <c r="E2321" s="100" t="s">
        <v>140</v>
      </c>
      <c r="F2321" s="100" t="s">
        <v>285</v>
      </c>
    </row>
    <row r="2322" spans="1:6">
      <c r="A2322" s="248" t="s">
        <v>156</v>
      </c>
      <c r="B2322" s="249"/>
      <c r="C2322" s="249"/>
      <c r="D2322" s="249"/>
      <c r="E2322" s="100" t="s">
        <v>140</v>
      </c>
      <c r="F2322" s="100" t="s">
        <v>285</v>
      </c>
    </row>
    <row r="2323" spans="1:6">
      <c r="A2323" s="248" t="s">
        <v>157</v>
      </c>
      <c r="B2323" s="249"/>
      <c r="C2323" s="249"/>
      <c r="D2323" s="249"/>
      <c r="E2323" s="100" t="s">
        <v>140</v>
      </c>
      <c r="F2323" s="100" t="s">
        <v>285</v>
      </c>
    </row>
    <row r="2324" spans="1:6">
      <c r="A2324" s="248" t="s">
        <v>158</v>
      </c>
      <c r="B2324" s="249"/>
      <c r="C2324" s="249"/>
      <c r="D2324" s="249"/>
      <c r="E2324" s="100" t="s">
        <v>140</v>
      </c>
      <c r="F2324" s="100" t="s">
        <v>285</v>
      </c>
    </row>
    <row r="2325" spans="1:6">
      <c r="A2325" s="248" t="s">
        <v>159</v>
      </c>
      <c r="B2325" s="249"/>
      <c r="C2325" s="249"/>
      <c r="D2325" s="249"/>
      <c r="E2325" s="100" t="s">
        <v>140</v>
      </c>
      <c r="F2325" s="100" t="s">
        <v>285</v>
      </c>
    </row>
    <row r="2326" spans="1:6">
      <c r="A2326" s="242" t="s">
        <v>148</v>
      </c>
      <c r="B2326" s="235"/>
      <c r="C2326" s="235"/>
      <c r="D2326" s="235"/>
      <c r="E2326" s="100" t="s">
        <v>140</v>
      </c>
      <c r="F2326" s="100" t="s">
        <v>28</v>
      </c>
    </row>
    <row r="2327" spans="1:6">
      <c r="A2327" s="242" t="s">
        <v>149</v>
      </c>
      <c r="B2327" s="235"/>
      <c r="C2327" s="235"/>
      <c r="D2327" s="235"/>
      <c r="E2327" s="100" t="s">
        <v>140</v>
      </c>
      <c r="F2327" s="100" t="s">
        <v>28</v>
      </c>
    </row>
    <row r="2328" spans="1:6">
      <c r="A2328" s="242" t="s">
        <v>150</v>
      </c>
      <c r="B2328" s="235"/>
      <c r="C2328" s="235"/>
      <c r="D2328" s="235"/>
      <c r="E2328" s="100" t="s">
        <v>140</v>
      </c>
      <c r="F2328" s="100" t="s">
        <v>28</v>
      </c>
    </row>
    <row r="2329" spans="1:6">
      <c r="A2329" s="242" t="s">
        <v>151</v>
      </c>
      <c r="B2329" s="235"/>
      <c r="C2329" s="235"/>
      <c r="D2329" s="235"/>
      <c r="E2329" s="100" t="s">
        <v>140</v>
      </c>
      <c r="F2329" s="100" t="s">
        <v>28</v>
      </c>
    </row>
    <row r="2330" spans="1:6">
      <c r="A2330" s="242" t="s">
        <v>152</v>
      </c>
      <c r="B2330" s="235"/>
      <c r="C2330" s="235"/>
      <c r="D2330" s="235"/>
      <c r="E2330" s="100" t="s">
        <v>140</v>
      </c>
      <c r="F2330" s="100" t="s">
        <v>28</v>
      </c>
    </row>
    <row r="2331" spans="1:6">
      <c r="A2331" s="242" t="s">
        <v>153</v>
      </c>
      <c r="B2331" s="235"/>
      <c r="C2331" s="235"/>
      <c r="D2331" s="235"/>
      <c r="E2331" s="100" t="s">
        <v>140</v>
      </c>
      <c r="F2331" s="100" t="s">
        <v>28</v>
      </c>
    </row>
    <row r="2332" spans="1:6">
      <c r="A2332" s="242" t="s">
        <v>154</v>
      </c>
      <c r="B2332" s="235"/>
      <c r="C2332" s="235"/>
      <c r="D2332" s="235"/>
      <c r="E2332" s="100" t="s">
        <v>140</v>
      </c>
      <c r="F2332" s="100" t="s">
        <v>28</v>
      </c>
    </row>
    <row r="2333" spans="1:6">
      <c r="A2333" s="242" t="s">
        <v>155</v>
      </c>
      <c r="B2333" s="235"/>
      <c r="C2333" s="235"/>
      <c r="D2333" s="235"/>
      <c r="E2333" s="100" t="s">
        <v>140</v>
      </c>
      <c r="F2333" s="100" t="s">
        <v>28</v>
      </c>
    </row>
    <row r="2334" spans="1:6">
      <c r="A2334" s="242" t="s">
        <v>156</v>
      </c>
      <c r="B2334" s="235"/>
      <c r="C2334" s="235"/>
      <c r="D2334" s="235"/>
      <c r="E2334" s="100" t="s">
        <v>140</v>
      </c>
      <c r="F2334" s="100" t="s">
        <v>28</v>
      </c>
    </row>
    <row r="2335" spans="1:6">
      <c r="A2335" s="242" t="s">
        <v>157</v>
      </c>
      <c r="B2335" s="235"/>
      <c r="C2335" s="235"/>
      <c r="D2335" s="235"/>
      <c r="E2335" s="100" t="s">
        <v>140</v>
      </c>
      <c r="F2335" s="100" t="s">
        <v>28</v>
      </c>
    </row>
    <row r="2336" spans="1:6">
      <c r="A2336" s="242" t="s">
        <v>158</v>
      </c>
      <c r="B2336" s="235"/>
      <c r="C2336" s="235"/>
      <c r="D2336" s="235"/>
      <c r="E2336" s="100" t="s">
        <v>140</v>
      </c>
      <c r="F2336" s="100" t="s">
        <v>28</v>
      </c>
    </row>
    <row r="2337" spans="1:6">
      <c r="A2337" s="242" t="s">
        <v>159</v>
      </c>
      <c r="B2337" s="235"/>
      <c r="C2337" s="235"/>
      <c r="D2337" s="235"/>
      <c r="E2337" s="100" t="s">
        <v>140</v>
      </c>
      <c r="F2337" s="100" t="s">
        <v>28</v>
      </c>
    </row>
    <row r="2338" spans="1:6">
      <c r="A2338" s="248" t="s">
        <v>148</v>
      </c>
      <c r="B2338" s="249"/>
      <c r="C2338" s="249"/>
      <c r="D2338" s="249"/>
      <c r="E2338" s="100" t="s">
        <v>140</v>
      </c>
      <c r="F2338" s="250" t="s">
        <v>175</v>
      </c>
    </row>
    <row r="2339" spans="1:6">
      <c r="A2339" s="248" t="s">
        <v>149</v>
      </c>
      <c r="B2339" s="249"/>
      <c r="C2339" s="249"/>
      <c r="D2339" s="249"/>
      <c r="E2339" s="100" t="s">
        <v>140</v>
      </c>
      <c r="F2339" s="250" t="s">
        <v>175</v>
      </c>
    </row>
    <row r="2340" spans="1:6">
      <c r="A2340" s="248" t="s">
        <v>150</v>
      </c>
      <c r="B2340" s="249"/>
      <c r="C2340" s="249"/>
      <c r="D2340" s="249"/>
      <c r="E2340" s="100" t="s">
        <v>140</v>
      </c>
      <c r="F2340" s="250" t="s">
        <v>175</v>
      </c>
    </row>
    <row r="2341" spans="1:6">
      <c r="A2341" s="248" t="s">
        <v>151</v>
      </c>
      <c r="B2341" s="249"/>
      <c r="C2341" s="249"/>
      <c r="D2341" s="249"/>
      <c r="E2341" s="100" t="s">
        <v>140</v>
      </c>
      <c r="F2341" s="250" t="s">
        <v>175</v>
      </c>
    </row>
    <row r="2342" spans="1:6">
      <c r="A2342" s="248" t="s">
        <v>152</v>
      </c>
      <c r="B2342" s="249"/>
      <c r="C2342" s="249"/>
      <c r="D2342" s="249"/>
      <c r="E2342" s="100" t="s">
        <v>140</v>
      </c>
      <c r="F2342" s="250" t="s">
        <v>175</v>
      </c>
    </row>
    <row r="2343" spans="1:6">
      <c r="A2343" s="248" t="s">
        <v>153</v>
      </c>
      <c r="B2343" s="249"/>
      <c r="C2343" s="249"/>
      <c r="D2343" s="249"/>
      <c r="E2343" s="100" t="s">
        <v>140</v>
      </c>
      <c r="F2343" s="250" t="s">
        <v>175</v>
      </c>
    </row>
    <row r="2344" spans="1:6">
      <c r="A2344" s="248" t="s">
        <v>154</v>
      </c>
      <c r="B2344" s="249"/>
      <c r="C2344" s="249"/>
      <c r="D2344" s="249"/>
      <c r="E2344" s="100" t="s">
        <v>140</v>
      </c>
      <c r="F2344" s="250" t="s">
        <v>175</v>
      </c>
    </row>
    <row r="2345" spans="1:6">
      <c r="A2345" s="248" t="s">
        <v>155</v>
      </c>
      <c r="B2345" s="249"/>
      <c r="C2345" s="249"/>
      <c r="D2345" s="249"/>
      <c r="E2345" s="100" t="s">
        <v>140</v>
      </c>
      <c r="F2345" s="250" t="s">
        <v>175</v>
      </c>
    </row>
    <row r="2346" spans="1:6">
      <c r="A2346" s="248" t="s">
        <v>156</v>
      </c>
      <c r="B2346" s="249"/>
      <c r="C2346" s="249"/>
      <c r="D2346" s="249"/>
      <c r="E2346" s="100" t="s">
        <v>140</v>
      </c>
      <c r="F2346" s="250" t="s">
        <v>175</v>
      </c>
    </row>
    <row r="2347" spans="1:6">
      <c r="A2347" s="248" t="s">
        <v>157</v>
      </c>
      <c r="B2347" s="249"/>
      <c r="C2347" s="249"/>
      <c r="D2347" s="249"/>
      <c r="E2347" s="100" t="s">
        <v>140</v>
      </c>
      <c r="F2347" s="250" t="s">
        <v>175</v>
      </c>
    </row>
    <row r="2348" spans="1:6">
      <c r="A2348" s="248" t="s">
        <v>158</v>
      </c>
      <c r="B2348" s="249"/>
      <c r="C2348" s="249"/>
      <c r="D2348" s="249"/>
      <c r="E2348" s="100" t="s">
        <v>140</v>
      </c>
      <c r="F2348" s="250" t="s">
        <v>175</v>
      </c>
    </row>
    <row r="2349" spans="1:6">
      <c r="A2349" s="248" t="s">
        <v>159</v>
      </c>
      <c r="B2349" s="249"/>
      <c r="C2349" s="249"/>
      <c r="D2349" s="249"/>
      <c r="E2349" s="100" t="s">
        <v>140</v>
      </c>
      <c r="F2349" s="250" t="s">
        <v>175</v>
      </c>
    </row>
    <row r="2350" spans="1:6">
      <c r="A2350" s="242" t="s">
        <v>148</v>
      </c>
      <c r="B2350" s="235"/>
      <c r="C2350" s="235"/>
      <c r="D2350" s="235"/>
      <c r="E2350" s="100" t="s">
        <v>141</v>
      </c>
      <c r="F2350" s="100" t="s">
        <v>284</v>
      </c>
    </row>
    <row r="2351" spans="1:6">
      <c r="A2351" s="242" t="s">
        <v>149</v>
      </c>
      <c r="B2351" s="235"/>
      <c r="C2351" s="235"/>
      <c r="D2351" s="235"/>
      <c r="E2351" s="100" t="s">
        <v>141</v>
      </c>
      <c r="F2351" s="100" t="s">
        <v>284</v>
      </c>
    </row>
    <row r="2352" spans="1:6">
      <c r="A2352" s="242" t="s">
        <v>150</v>
      </c>
      <c r="B2352" s="235"/>
      <c r="C2352" s="235"/>
      <c r="D2352" s="235"/>
      <c r="E2352" s="100" t="s">
        <v>141</v>
      </c>
      <c r="F2352" s="100" t="s">
        <v>284</v>
      </c>
    </row>
    <row r="2353" spans="1:6">
      <c r="A2353" s="242" t="s">
        <v>151</v>
      </c>
      <c r="B2353" s="235"/>
      <c r="C2353" s="235"/>
      <c r="D2353" s="235"/>
      <c r="E2353" s="100" t="s">
        <v>141</v>
      </c>
      <c r="F2353" s="100" t="s">
        <v>284</v>
      </c>
    </row>
    <row r="2354" spans="1:6">
      <c r="A2354" s="242" t="s">
        <v>152</v>
      </c>
      <c r="B2354" s="235"/>
      <c r="C2354" s="235"/>
      <c r="D2354" s="235"/>
      <c r="E2354" s="100" t="s">
        <v>141</v>
      </c>
      <c r="F2354" s="100" t="s">
        <v>284</v>
      </c>
    </row>
    <row r="2355" spans="1:6">
      <c r="A2355" s="242" t="s">
        <v>153</v>
      </c>
      <c r="B2355" s="235"/>
      <c r="C2355" s="235"/>
      <c r="D2355" s="235"/>
      <c r="E2355" s="100" t="s">
        <v>141</v>
      </c>
      <c r="F2355" s="100" t="s">
        <v>284</v>
      </c>
    </row>
    <row r="2356" spans="1:6">
      <c r="A2356" s="242" t="s">
        <v>154</v>
      </c>
      <c r="B2356" s="235"/>
      <c r="C2356" s="235"/>
      <c r="D2356" s="235"/>
      <c r="E2356" s="100" t="s">
        <v>141</v>
      </c>
      <c r="F2356" s="100" t="s">
        <v>284</v>
      </c>
    </row>
    <row r="2357" spans="1:6">
      <c r="A2357" s="242" t="s">
        <v>155</v>
      </c>
      <c r="B2357" s="235"/>
      <c r="C2357" s="235"/>
      <c r="D2357" s="235"/>
      <c r="E2357" s="100" t="s">
        <v>141</v>
      </c>
      <c r="F2357" s="100" t="s">
        <v>284</v>
      </c>
    </row>
    <row r="2358" spans="1:6">
      <c r="A2358" s="242" t="s">
        <v>156</v>
      </c>
      <c r="B2358" s="235"/>
      <c r="C2358" s="235"/>
      <c r="D2358" s="235"/>
      <c r="E2358" s="100" t="s">
        <v>141</v>
      </c>
      <c r="F2358" s="100" t="s">
        <v>284</v>
      </c>
    </row>
    <row r="2359" spans="1:6">
      <c r="A2359" s="242" t="s">
        <v>157</v>
      </c>
      <c r="B2359" s="235"/>
      <c r="C2359" s="235"/>
      <c r="D2359" s="235"/>
      <c r="E2359" s="100" t="s">
        <v>141</v>
      </c>
      <c r="F2359" s="100" t="s">
        <v>284</v>
      </c>
    </row>
    <row r="2360" spans="1:6">
      <c r="A2360" s="242" t="s">
        <v>158</v>
      </c>
      <c r="B2360" s="235"/>
      <c r="C2360" s="235"/>
      <c r="D2360" s="235"/>
      <c r="E2360" s="100" t="s">
        <v>141</v>
      </c>
      <c r="F2360" s="100" t="s">
        <v>284</v>
      </c>
    </row>
    <row r="2361" spans="1:6">
      <c r="A2361" s="242" t="s">
        <v>159</v>
      </c>
      <c r="B2361" s="235"/>
      <c r="C2361" s="235"/>
      <c r="D2361" s="235"/>
      <c r="E2361" s="100" t="s">
        <v>141</v>
      </c>
      <c r="F2361" s="100" t="s">
        <v>284</v>
      </c>
    </row>
    <row r="2362" spans="1:6">
      <c r="A2362" s="248" t="s">
        <v>148</v>
      </c>
      <c r="B2362" s="249"/>
      <c r="C2362" s="249"/>
      <c r="D2362" s="249"/>
      <c r="E2362" s="100" t="s">
        <v>141</v>
      </c>
      <c r="F2362" s="100" t="s">
        <v>286</v>
      </c>
    </row>
    <row r="2363" spans="1:6">
      <c r="A2363" s="248" t="s">
        <v>149</v>
      </c>
      <c r="B2363" s="249"/>
      <c r="C2363" s="249"/>
      <c r="D2363" s="249"/>
      <c r="E2363" s="100" t="s">
        <v>141</v>
      </c>
      <c r="F2363" s="100" t="s">
        <v>286</v>
      </c>
    </row>
    <row r="2364" spans="1:6">
      <c r="A2364" s="248" t="s">
        <v>150</v>
      </c>
      <c r="B2364" s="249"/>
      <c r="C2364" s="249"/>
      <c r="D2364" s="249"/>
      <c r="E2364" s="100" t="s">
        <v>141</v>
      </c>
      <c r="F2364" s="100" t="s">
        <v>286</v>
      </c>
    </row>
    <row r="2365" spans="1:6">
      <c r="A2365" s="248" t="s">
        <v>151</v>
      </c>
      <c r="B2365" s="249"/>
      <c r="C2365" s="249"/>
      <c r="D2365" s="249"/>
      <c r="E2365" s="100" t="s">
        <v>141</v>
      </c>
      <c r="F2365" s="100" t="s">
        <v>286</v>
      </c>
    </row>
    <row r="2366" spans="1:6">
      <c r="A2366" s="248" t="s">
        <v>152</v>
      </c>
      <c r="B2366" s="249"/>
      <c r="C2366" s="249"/>
      <c r="D2366" s="249"/>
      <c r="E2366" s="100" t="s">
        <v>141</v>
      </c>
      <c r="F2366" s="100" t="s">
        <v>286</v>
      </c>
    </row>
    <row r="2367" spans="1:6">
      <c r="A2367" s="248" t="s">
        <v>153</v>
      </c>
      <c r="B2367" s="249"/>
      <c r="C2367" s="249"/>
      <c r="D2367" s="249"/>
      <c r="E2367" s="100" t="s">
        <v>141</v>
      </c>
      <c r="F2367" s="100" t="s">
        <v>286</v>
      </c>
    </row>
    <row r="2368" spans="1:6">
      <c r="A2368" s="248" t="s">
        <v>154</v>
      </c>
      <c r="B2368" s="249"/>
      <c r="C2368" s="249"/>
      <c r="D2368" s="249"/>
      <c r="E2368" s="100" t="s">
        <v>141</v>
      </c>
      <c r="F2368" s="100" t="s">
        <v>286</v>
      </c>
    </row>
    <row r="2369" spans="1:6">
      <c r="A2369" s="248" t="s">
        <v>155</v>
      </c>
      <c r="B2369" s="249"/>
      <c r="C2369" s="249"/>
      <c r="D2369" s="249"/>
      <c r="E2369" s="100" t="s">
        <v>141</v>
      </c>
      <c r="F2369" s="100" t="s">
        <v>286</v>
      </c>
    </row>
    <row r="2370" spans="1:6">
      <c r="A2370" s="248" t="s">
        <v>156</v>
      </c>
      <c r="B2370" s="249"/>
      <c r="C2370" s="249"/>
      <c r="D2370" s="249"/>
      <c r="E2370" s="100" t="s">
        <v>141</v>
      </c>
      <c r="F2370" s="100" t="s">
        <v>286</v>
      </c>
    </row>
    <row r="2371" spans="1:6">
      <c r="A2371" s="248" t="s">
        <v>157</v>
      </c>
      <c r="B2371" s="249"/>
      <c r="C2371" s="249"/>
      <c r="D2371" s="249"/>
      <c r="E2371" s="100" t="s">
        <v>141</v>
      </c>
      <c r="F2371" s="100" t="s">
        <v>286</v>
      </c>
    </row>
    <row r="2372" spans="1:6">
      <c r="A2372" s="248" t="s">
        <v>158</v>
      </c>
      <c r="B2372" s="249"/>
      <c r="C2372" s="249"/>
      <c r="D2372" s="249"/>
      <c r="E2372" s="100" t="s">
        <v>141</v>
      </c>
      <c r="F2372" s="100" t="s">
        <v>286</v>
      </c>
    </row>
    <row r="2373" spans="1:6">
      <c r="A2373" s="248" t="s">
        <v>159</v>
      </c>
      <c r="B2373" s="249"/>
      <c r="C2373" s="249"/>
      <c r="D2373" s="249"/>
      <c r="E2373" s="100" t="s">
        <v>141</v>
      </c>
      <c r="F2373" s="100" t="s">
        <v>286</v>
      </c>
    </row>
    <row r="2374" spans="1:6">
      <c r="A2374" s="242" t="s">
        <v>148</v>
      </c>
      <c r="B2374" s="235"/>
      <c r="C2374" s="235"/>
      <c r="D2374" s="235"/>
      <c r="E2374" s="100" t="s">
        <v>141</v>
      </c>
      <c r="F2374" s="100" t="s">
        <v>313</v>
      </c>
    </row>
    <row r="2375" spans="1:6">
      <c r="A2375" s="242" t="s">
        <v>149</v>
      </c>
      <c r="B2375" s="235"/>
      <c r="C2375" s="235"/>
      <c r="D2375" s="235"/>
      <c r="E2375" s="100" t="s">
        <v>141</v>
      </c>
      <c r="F2375" s="100" t="s">
        <v>313</v>
      </c>
    </row>
    <row r="2376" spans="1:6">
      <c r="A2376" s="242" t="s">
        <v>150</v>
      </c>
      <c r="B2376" s="235"/>
      <c r="C2376" s="235"/>
      <c r="D2376" s="235"/>
      <c r="E2376" s="100" t="s">
        <v>141</v>
      </c>
      <c r="F2376" s="100" t="s">
        <v>313</v>
      </c>
    </row>
    <row r="2377" spans="1:6">
      <c r="A2377" s="242" t="s">
        <v>151</v>
      </c>
      <c r="B2377" s="235"/>
      <c r="C2377" s="235"/>
      <c r="D2377" s="235"/>
      <c r="E2377" s="100" t="s">
        <v>141</v>
      </c>
      <c r="F2377" s="100" t="s">
        <v>313</v>
      </c>
    </row>
    <row r="2378" spans="1:6">
      <c r="A2378" s="242" t="s">
        <v>152</v>
      </c>
      <c r="B2378" s="235"/>
      <c r="C2378" s="235"/>
      <c r="D2378" s="235"/>
      <c r="E2378" s="100" t="s">
        <v>141</v>
      </c>
      <c r="F2378" s="100" t="s">
        <v>313</v>
      </c>
    </row>
    <row r="2379" spans="1:6">
      <c r="A2379" s="242" t="s">
        <v>153</v>
      </c>
      <c r="B2379" s="235"/>
      <c r="C2379" s="235"/>
      <c r="D2379" s="235"/>
      <c r="E2379" s="100" t="s">
        <v>141</v>
      </c>
      <c r="F2379" s="100" t="s">
        <v>313</v>
      </c>
    </row>
    <row r="2380" spans="1:6">
      <c r="A2380" s="242" t="s">
        <v>154</v>
      </c>
      <c r="B2380" s="235"/>
      <c r="C2380" s="235"/>
      <c r="D2380" s="235"/>
      <c r="E2380" s="100" t="s">
        <v>141</v>
      </c>
      <c r="F2380" s="100" t="s">
        <v>313</v>
      </c>
    </row>
    <row r="2381" spans="1:6">
      <c r="A2381" s="242" t="s">
        <v>155</v>
      </c>
      <c r="B2381" s="235"/>
      <c r="C2381" s="235"/>
      <c r="D2381" s="235"/>
      <c r="E2381" s="100" t="s">
        <v>141</v>
      </c>
      <c r="F2381" s="100" t="s">
        <v>313</v>
      </c>
    </row>
    <row r="2382" spans="1:6">
      <c r="A2382" s="242" t="s">
        <v>156</v>
      </c>
      <c r="B2382" s="235"/>
      <c r="C2382" s="235"/>
      <c r="D2382" s="235"/>
      <c r="E2382" s="100" t="s">
        <v>141</v>
      </c>
      <c r="F2382" s="100" t="s">
        <v>313</v>
      </c>
    </row>
    <row r="2383" spans="1:6">
      <c r="A2383" s="242" t="s">
        <v>157</v>
      </c>
      <c r="B2383" s="235"/>
      <c r="C2383" s="235"/>
      <c r="D2383" s="235"/>
      <c r="E2383" s="100" t="s">
        <v>141</v>
      </c>
      <c r="F2383" s="100" t="s">
        <v>313</v>
      </c>
    </row>
    <row r="2384" spans="1:6">
      <c r="A2384" s="242" t="s">
        <v>158</v>
      </c>
      <c r="B2384" s="235"/>
      <c r="C2384" s="235"/>
      <c r="D2384" s="235"/>
      <c r="E2384" s="100" t="s">
        <v>141</v>
      </c>
      <c r="F2384" s="100" t="s">
        <v>313</v>
      </c>
    </row>
    <row r="2385" spans="1:6">
      <c r="A2385" s="242" t="s">
        <v>159</v>
      </c>
      <c r="B2385" s="235"/>
      <c r="C2385" s="235"/>
      <c r="D2385" s="235"/>
      <c r="E2385" s="100" t="s">
        <v>141</v>
      </c>
      <c r="F2385" s="100" t="s">
        <v>313</v>
      </c>
    </row>
    <row r="2386" spans="1:6">
      <c r="A2386" s="248" t="s">
        <v>148</v>
      </c>
      <c r="B2386" s="249"/>
      <c r="C2386" s="249"/>
      <c r="D2386" s="249"/>
      <c r="E2386" s="100" t="s">
        <v>141</v>
      </c>
      <c r="F2386" s="100" t="s">
        <v>285</v>
      </c>
    </row>
    <row r="2387" spans="1:6">
      <c r="A2387" s="248" t="s">
        <v>149</v>
      </c>
      <c r="B2387" s="249"/>
      <c r="C2387" s="249"/>
      <c r="D2387" s="249"/>
      <c r="E2387" s="100" t="s">
        <v>141</v>
      </c>
      <c r="F2387" s="100" t="s">
        <v>285</v>
      </c>
    </row>
    <row r="2388" spans="1:6">
      <c r="A2388" s="248" t="s">
        <v>150</v>
      </c>
      <c r="B2388" s="249"/>
      <c r="C2388" s="249"/>
      <c r="D2388" s="249"/>
      <c r="E2388" s="100" t="s">
        <v>141</v>
      </c>
      <c r="F2388" s="100" t="s">
        <v>285</v>
      </c>
    </row>
    <row r="2389" spans="1:6">
      <c r="A2389" s="248" t="s">
        <v>151</v>
      </c>
      <c r="B2389" s="249"/>
      <c r="C2389" s="249"/>
      <c r="D2389" s="249"/>
      <c r="E2389" s="100" t="s">
        <v>141</v>
      </c>
      <c r="F2389" s="100" t="s">
        <v>285</v>
      </c>
    </row>
    <row r="2390" spans="1:6">
      <c r="A2390" s="248" t="s">
        <v>152</v>
      </c>
      <c r="B2390" s="249"/>
      <c r="C2390" s="249"/>
      <c r="D2390" s="249"/>
      <c r="E2390" s="100" t="s">
        <v>141</v>
      </c>
      <c r="F2390" s="100" t="s">
        <v>285</v>
      </c>
    </row>
    <row r="2391" spans="1:6">
      <c r="A2391" s="248" t="s">
        <v>153</v>
      </c>
      <c r="B2391" s="249"/>
      <c r="C2391" s="249"/>
      <c r="D2391" s="249"/>
      <c r="E2391" s="100" t="s">
        <v>141</v>
      </c>
      <c r="F2391" s="100" t="s">
        <v>285</v>
      </c>
    </row>
    <row r="2392" spans="1:6">
      <c r="A2392" s="248" t="s">
        <v>154</v>
      </c>
      <c r="B2392" s="249"/>
      <c r="C2392" s="249"/>
      <c r="D2392" s="249"/>
      <c r="E2392" s="100" t="s">
        <v>141</v>
      </c>
      <c r="F2392" s="100" t="s">
        <v>285</v>
      </c>
    </row>
    <row r="2393" spans="1:6">
      <c r="A2393" s="248" t="s">
        <v>155</v>
      </c>
      <c r="B2393" s="249"/>
      <c r="C2393" s="249"/>
      <c r="D2393" s="249"/>
      <c r="E2393" s="100" t="s">
        <v>141</v>
      </c>
      <c r="F2393" s="100" t="s">
        <v>285</v>
      </c>
    </row>
    <row r="2394" spans="1:6">
      <c r="A2394" s="248" t="s">
        <v>156</v>
      </c>
      <c r="B2394" s="249"/>
      <c r="C2394" s="249"/>
      <c r="D2394" s="249"/>
      <c r="E2394" s="100" t="s">
        <v>141</v>
      </c>
      <c r="F2394" s="100" t="s">
        <v>285</v>
      </c>
    </row>
    <row r="2395" spans="1:6">
      <c r="A2395" s="248" t="s">
        <v>157</v>
      </c>
      <c r="B2395" s="249"/>
      <c r="C2395" s="249"/>
      <c r="D2395" s="249"/>
      <c r="E2395" s="100" t="s">
        <v>141</v>
      </c>
      <c r="F2395" s="100" t="s">
        <v>285</v>
      </c>
    </row>
    <row r="2396" spans="1:6">
      <c r="A2396" s="248" t="s">
        <v>158</v>
      </c>
      <c r="B2396" s="249"/>
      <c r="C2396" s="249"/>
      <c r="D2396" s="249"/>
      <c r="E2396" s="100" t="s">
        <v>141</v>
      </c>
      <c r="F2396" s="100" t="s">
        <v>285</v>
      </c>
    </row>
    <row r="2397" spans="1:6">
      <c r="A2397" s="248" t="s">
        <v>159</v>
      </c>
      <c r="B2397" s="249"/>
      <c r="C2397" s="249"/>
      <c r="D2397" s="249"/>
      <c r="E2397" s="100" t="s">
        <v>141</v>
      </c>
      <c r="F2397" s="100" t="s">
        <v>285</v>
      </c>
    </row>
    <row r="2398" spans="1:6">
      <c r="A2398" s="242" t="s">
        <v>148</v>
      </c>
      <c r="B2398" s="235"/>
      <c r="C2398" s="235"/>
      <c r="D2398" s="235"/>
      <c r="E2398" s="100" t="s">
        <v>141</v>
      </c>
      <c r="F2398" s="100" t="s">
        <v>28</v>
      </c>
    </row>
    <row r="2399" spans="1:6">
      <c r="A2399" s="242" t="s">
        <v>149</v>
      </c>
      <c r="B2399" s="235"/>
      <c r="C2399" s="235"/>
      <c r="D2399" s="235"/>
      <c r="E2399" s="100" t="s">
        <v>141</v>
      </c>
      <c r="F2399" s="100" t="s">
        <v>28</v>
      </c>
    </row>
    <row r="2400" spans="1:6">
      <c r="A2400" s="242" t="s">
        <v>150</v>
      </c>
      <c r="B2400" s="235"/>
      <c r="C2400" s="235"/>
      <c r="D2400" s="235"/>
      <c r="E2400" s="100" t="s">
        <v>141</v>
      </c>
      <c r="F2400" s="100" t="s">
        <v>28</v>
      </c>
    </row>
    <row r="2401" spans="1:6">
      <c r="A2401" s="242" t="s">
        <v>151</v>
      </c>
      <c r="B2401" s="235"/>
      <c r="C2401" s="235"/>
      <c r="D2401" s="235"/>
      <c r="E2401" s="100" t="s">
        <v>141</v>
      </c>
      <c r="F2401" s="100" t="s">
        <v>28</v>
      </c>
    </row>
    <row r="2402" spans="1:6">
      <c r="A2402" s="242" t="s">
        <v>152</v>
      </c>
      <c r="B2402" s="235"/>
      <c r="C2402" s="235"/>
      <c r="D2402" s="235"/>
      <c r="E2402" s="100" t="s">
        <v>141</v>
      </c>
      <c r="F2402" s="100" t="s">
        <v>28</v>
      </c>
    </row>
    <row r="2403" spans="1:6">
      <c r="A2403" s="242" t="s">
        <v>153</v>
      </c>
      <c r="B2403" s="235"/>
      <c r="C2403" s="235"/>
      <c r="D2403" s="235"/>
      <c r="E2403" s="100" t="s">
        <v>141</v>
      </c>
      <c r="F2403" s="100" t="s">
        <v>28</v>
      </c>
    </row>
    <row r="2404" spans="1:6">
      <c r="A2404" s="242" t="s">
        <v>154</v>
      </c>
      <c r="B2404" s="235"/>
      <c r="C2404" s="235"/>
      <c r="D2404" s="235"/>
      <c r="E2404" s="100" t="s">
        <v>141</v>
      </c>
      <c r="F2404" s="100" t="s">
        <v>28</v>
      </c>
    </row>
    <row r="2405" spans="1:6">
      <c r="A2405" s="242" t="s">
        <v>155</v>
      </c>
      <c r="B2405" s="235"/>
      <c r="C2405" s="235"/>
      <c r="D2405" s="235"/>
      <c r="E2405" s="100" t="s">
        <v>141</v>
      </c>
      <c r="F2405" s="100" t="s">
        <v>28</v>
      </c>
    </row>
    <row r="2406" spans="1:6">
      <c r="A2406" s="242" t="s">
        <v>156</v>
      </c>
      <c r="B2406" s="235"/>
      <c r="C2406" s="235"/>
      <c r="D2406" s="235"/>
      <c r="E2406" s="100" t="s">
        <v>141</v>
      </c>
      <c r="F2406" s="100" t="s">
        <v>28</v>
      </c>
    </row>
    <row r="2407" spans="1:6">
      <c r="A2407" s="242" t="s">
        <v>157</v>
      </c>
      <c r="B2407" s="235"/>
      <c r="C2407" s="235"/>
      <c r="D2407" s="235"/>
      <c r="E2407" s="100" t="s">
        <v>141</v>
      </c>
      <c r="F2407" s="100" t="s">
        <v>28</v>
      </c>
    </row>
    <row r="2408" spans="1:6">
      <c r="A2408" s="242" t="s">
        <v>158</v>
      </c>
      <c r="B2408" s="235"/>
      <c r="C2408" s="235"/>
      <c r="D2408" s="235"/>
      <c r="E2408" s="100" t="s">
        <v>141</v>
      </c>
      <c r="F2408" s="100" t="s">
        <v>28</v>
      </c>
    </row>
    <row r="2409" spans="1:6">
      <c r="A2409" s="242" t="s">
        <v>159</v>
      </c>
      <c r="B2409" s="235"/>
      <c r="C2409" s="235"/>
      <c r="D2409" s="235"/>
      <c r="E2409" s="100" t="s">
        <v>141</v>
      </c>
      <c r="F2409" s="100" t="s">
        <v>28</v>
      </c>
    </row>
    <row r="2410" spans="1:6">
      <c r="A2410" s="248" t="s">
        <v>148</v>
      </c>
      <c r="B2410" s="249"/>
      <c r="C2410" s="249"/>
      <c r="D2410" s="249"/>
      <c r="E2410" s="100" t="s">
        <v>141</v>
      </c>
      <c r="F2410" s="250" t="s">
        <v>175</v>
      </c>
    </row>
    <row r="2411" spans="1:6">
      <c r="A2411" s="248" t="s">
        <v>149</v>
      </c>
      <c r="B2411" s="249"/>
      <c r="C2411" s="249"/>
      <c r="D2411" s="249"/>
      <c r="E2411" s="100" t="s">
        <v>141</v>
      </c>
      <c r="F2411" s="250" t="s">
        <v>175</v>
      </c>
    </row>
    <row r="2412" spans="1:6">
      <c r="A2412" s="248" t="s">
        <v>150</v>
      </c>
      <c r="B2412" s="249"/>
      <c r="C2412" s="249"/>
      <c r="D2412" s="249"/>
      <c r="E2412" s="100" t="s">
        <v>141</v>
      </c>
      <c r="F2412" s="250" t="s">
        <v>175</v>
      </c>
    </row>
    <row r="2413" spans="1:6">
      <c r="A2413" s="248" t="s">
        <v>151</v>
      </c>
      <c r="B2413" s="249"/>
      <c r="C2413" s="249"/>
      <c r="D2413" s="249"/>
      <c r="E2413" s="100" t="s">
        <v>141</v>
      </c>
      <c r="F2413" s="250" t="s">
        <v>175</v>
      </c>
    </row>
    <row r="2414" spans="1:6">
      <c r="A2414" s="248" t="s">
        <v>152</v>
      </c>
      <c r="B2414" s="249"/>
      <c r="C2414" s="249"/>
      <c r="D2414" s="249"/>
      <c r="E2414" s="100" t="s">
        <v>141</v>
      </c>
      <c r="F2414" s="250" t="s">
        <v>175</v>
      </c>
    </row>
    <row r="2415" spans="1:6">
      <c r="A2415" s="248" t="s">
        <v>153</v>
      </c>
      <c r="B2415" s="249"/>
      <c r="C2415" s="249"/>
      <c r="D2415" s="249"/>
      <c r="E2415" s="100" t="s">
        <v>141</v>
      </c>
      <c r="F2415" s="250" t="s">
        <v>175</v>
      </c>
    </row>
    <row r="2416" spans="1:6">
      <c r="A2416" s="248" t="s">
        <v>154</v>
      </c>
      <c r="B2416" s="249"/>
      <c r="C2416" s="249"/>
      <c r="D2416" s="249"/>
      <c r="E2416" s="100" t="s">
        <v>141</v>
      </c>
      <c r="F2416" s="250" t="s">
        <v>175</v>
      </c>
    </row>
    <row r="2417" spans="1:6">
      <c r="A2417" s="248" t="s">
        <v>155</v>
      </c>
      <c r="B2417" s="249"/>
      <c r="C2417" s="249"/>
      <c r="D2417" s="249"/>
      <c r="E2417" s="100" t="s">
        <v>141</v>
      </c>
      <c r="F2417" s="250" t="s">
        <v>175</v>
      </c>
    </row>
    <row r="2418" spans="1:6">
      <c r="A2418" s="248" t="s">
        <v>156</v>
      </c>
      <c r="B2418" s="249"/>
      <c r="C2418" s="249"/>
      <c r="D2418" s="249"/>
      <c r="E2418" s="100" t="s">
        <v>141</v>
      </c>
      <c r="F2418" s="250" t="s">
        <v>175</v>
      </c>
    </row>
    <row r="2419" spans="1:6">
      <c r="A2419" s="248" t="s">
        <v>157</v>
      </c>
      <c r="B2419" s="249"/>
      <c r="C2419" s="249"/>
      <c r="D2419" s="249"/>
      <c r="E2419" s="100" t="s">
        <v>141</v>
      </c>
      <c r="F2419" s="250" t="s">
        <v>175</v>
      </c>
    </row>
    <row r="2420" spans="1:6">
      <c r="A2420" s="248" t="s">
        <v>158</v>
      </c>
      <c r="B2420" s="249"/>
      <c r="C2420" s="249"/>
      <c r="D2420" s="249"/>
      <c r="E2420" s="100" t="s">
        <v>141</v>
      </c>
      <c r="F2420" s="250" t="s">
        <v>175</v>
      </c>
    </row>
    <row r="2421" spans="1:6">
      <c r="A2421" s="248" t="s">
        <v>159</v>
      </c>
      <c r="B2421" s="249"/>
      <c r="C2421" s="249"/>
      <c r="D2421" s="249"/>
      <c r="E2421" s="100" t="s">
        <v>141</v>
      </c>
      <c r="F2421" s="250" t="s">
        <v>175</v>
      </c>
    </row>
    <row r="2422" spans="1:6">
      <c r="A2422" s="242" t="s">
        <v>148</v>
      </c>
      <c r="B2422" s="235"/>
      <c r="C2422" s="235"/>
      <c r="D2422" s="235"/>
      <c r="E2422" s="100" t="s">
        <v>142</v>
      </c>
      <c r="F2422" s="100" t="s">
        <v>284</v>
      </c>
    </row>
    <row r="2423" spans="1:6">
      <c r="A2423" s="242" t="s">
        <v>149</v>
      </c>
      <c r="B2423" s="235"/>
      <c r="C2423" s="235"/>
      <c r="D2423" s="235"/>
      <c r="E2423" s="100" t="s">
        <v>142</v>
      </c>
      <c r="F2423" s="100" t="s">
        <v>284</v>
      </c>
    </row>
    <row r="2424" spans="1:6">
      <c r="A2424" s="242" t="s">
        <v>150</v>
      </c>
      <c r="B2424" s="235"/>
      <c r="C2424" s="235"/>
      <c r="D2424" s="235"/>
      <c r="E2424" s="100" t="s">
        <v>142</v>
      </c>
      <c r="F2424" s="100" t="s">
        <v>284</v>
      </c>
    </row>
    <row r="2425" spans="1:6">
      <c r="A2425" s="242" t="s">
        <v>151</v>
      </c>
      <c r="B2425" s="235"/>
      <c r="C2425" s="235"/>
      <c r="D2425" s="235"/>
      <c r="E2425" s="100" t="s">
        <v>142</v>
      </c>
      <c r="F2425" s="100" t="s">
        <v>284</v>
      </c>
    </row>
    <row r="2426" spans="1:6">
      <c r="A2426" s="242" t="s">
        <v>152</v>
      </c>
      <c r="B2426" s="235"/>
      <c r="C2426" s="235"/>
      <c r="D2426" s="235"/>
      <c r="E2426" s="100" t="s">
        <v>142</v>
      </c>
      <c r="F2426" s="100" t="s">
        <v>284</v>
      </c>
    </row>
    <row r="2427" spans="1:6">
      <c r="A2427" s="242" t="s">
        <v>153</v>
      </c>
      <c r="B2427" s="235"/>
      <c r="C2427" s="235"/>
      <c r="D2427" s="235"/>
      <c r="E2427" s="100" t="s">
        <v>142</v>
      </c>
      <c r="F2427" s="100" t="s">
        <v>284</v>
      </c>
    </row>
    <row r="2428" spans="1:6">
      <c r="A2428" s="242" t="s">
        <v>154</v>
      </c>
      <c r="B2428" s="235"/>
      <c r="C2428" s="235"/>
      <c r="D2428" s="235"/>
      <c r="E2428" s="100" t="s">
        <v>142</v>
      </c>
      <c r="F2428" s="100" t="s">
        <v>284</v>
      </c>
    </row>
    <row r="2429" spans="1:6">
      <c r="A2429" s="242" t="s">
        <v>155</v>
      </c>
      <c r="B2429" s="235"/>
      <c r="C2429" s="235"/>
      <c r="D2429" s="235"/>
      <c r="E2429" s="100" t="s">
        <v>142</v>
      </c>
      <c r="F2429" s="100" t="s">
        <v>284</v>
      </c>
    </row>
    <row r="2430" spans="1:6">
      <c r="A2430" s="242" t="s">
        <v>156</v>
      </c>
      <c r="B2430" s="235"/>
      <c r="C2430" s="235"/>
      <c r="D2430" s="235"/>
      <c r="E2430" s="100" t="s">
        <v>142</v>
      </c>
      <c r="F2430" s="100" t="s">
        <v>284</v>
      </c>
    </row>
    <row r="2431" spans="1:6">
      <c r="A2431" s="242" t="s">
        <v>157</v>
      </c>
      <c r="B2431" s="235"/>
      <c r="C2431" s="235"/>
      <c r="D2431" s="235"/>
      <c r="E2431" s="100" t="s">
        <v>142</v>
      </c>
      <c r="F2431" s="100" t="s">
        <v>284</v>
      </c>
    </row>
    <row r="2432" spans="1:6">
      <c r="A2432" s="242" t="s">
        <v>158</v>
      </c>
      <c r="B2432" s="235"/>
      <c r="C2432" s="235"/>
      <c r="D2432" s="235"/>
      <c r="E2432" s="100" t="s">
        <v>142</v>
      </c>
      <c r="F2432" s="100" t="s">
        <v>284</v>
      </c>
    </row>
    <row r="2433" spans="1:6">
      <c r="A2433" s="242" t="s">
        <v>159</v>
      </c>
      <c r="B2433" s="235"/>
      <c r="C2433" s="235"/>
      <c r="D2433" s="235"/>
      <c r="E2433" s="100" t="s">
        <v>142</v>
      </c>
      <c r="F2433" s="100" t="s">
        <v>284</v>
      </c>
    </row>
    <row r="2434" spans="1:6">
      <c r="A2434" s="248" t="s">
        <v>148</v>
      </c>
      <c r="B2434" s="249"/>
      <c r="C2434" s="249"/>
      <c r="D2434" s="249"/>
      <c r="E2434" s="100" t="s">
        <v>142</v>
      </c>
      <c r="F2434" s="100" t="s">
        <v>286</v>
      </c>
    </row>
    <row r="2435" spans="1:6">
      <c r="A2435" s="248" t="s">
        <v>149</v>
      </c>
      <c r="B2435" s="249"/>
      <c r="C2435" s="249"/>
      <c r="D2435" s="249"/>
      <c r="E2435" s="100" t="s">
        <v>142</v>
      </c>
      <c r="F2435" s="100" t="s">
        <v>286</v>
      </c>
    </row>
    <row r="2436" spans="1:6">
      <c r="A2436" s="248" t="s">
        <v>150</v>
      </c>
      <c r="B2436" s="249"/>
      <c r="C2436" s="249"/>
      <c r="D2436" s="249"/>
      <c r="E2436" s="100" t="s">
        <v>142</v>
      </c>
      <c r="F2436" s="100" t="s">
        <v>286</v>
      </c>
    </row>
    <row r="2437" spans="1:6">
      <c r="A2437" s="248" t="s">
        <v>151</v>
      </c>
      <c r="B2437" s="249"/>
      <c r="C2437" s="249"/>
      <c r="D2437" s="249"/>
      <c r="E2437" s="100" t="s">
        <v>142</v>
      </c>
      <c r="F2437" s="100" t="s">
        <v>286</v>
      </c>
    </row>
    <row r="2438" spans="1:6">
      <c r="A2438" s="248" t="s">
        <v>152</v>
      </c>
      <c r="B2438" s="249"/>
      <c r="C2438" s="249"/>
      <c r="D2438" s="249"/>
      <c r="E2438" s="100" t="s">
        <v>142</v>
      </c>
      <c r="F2438" s="100" t="s">
        <v>286</v>
      </c>
    </row>
    <row r="2439" spans="1:6">
      <c r="A2439" s="248" t="s">
        <v>153</v>
      </c>
      <c r="B2439" s="249"/>
      <c r="C2439" s="249"/>
      <c r="D2439" s="249"/>
      <c r="E2439" s="100" t="s">
        <v>142</v>
      </c>
      <c r="F2439" s="100" t="s">
        <v>286</v>
      </c>
    </row>
    <row r="2440" spans="1:6">
      <c r="A2440" s="248" t="s">
        <v>154</v>
      </c>
      <c r="B2440" s="249"/>
      <c r="C2440" s="249"/>
      <c r="D2440" s="249"/>
      <c r="E2440" s="100" t="s">
        <v>142</v>
      </c>
      <c r="F2440" s="100" t="s">
        <v>286</v>
      </c>
    </row>
    <row r="2441" spans="1:6">
      <c r="A2441" s="248" t="s">
        <v>155</v>
      </c>
      <c r="B2441" s="249"/>
      <c r="C2441" s="249"/>
      <c r="D2441" s="249"/>
      <c r="E2441" s="100" t="s">
        <v>142</v>
      </c>
      <c r="F2441" s="100" t="s">
        <v>286</v>
      </c>
    </row>
    <row r="2442" spans="1:6">
      <c r="A2442" s="248" t="s">
        <v>156</v>
      </c>
      <c r="B2442" s="249"/>
      <c r="C2442" s="249"/>
      <c r="D2442" s="249"/>
      <c r="E2442" s="100" t="s">
        <v>142</v>
      </c>
      <c r="F2442" s="100" t="s">
        <v>286</v>
      </c>
    </row>
    <row r="2443" spans="1:6">
      <c r="A2443" s="248" t="s">
        <v>157</v>
      </c>
      <c r="B2443" s="249"/>
      <c r="C2443" s="249"/>
      <c r="D2443" s="249"/>
      <c r="E2443" s="100" t="s">
        <v>142</v>
      </c>
      <c r="F2443" s="100" t="s">
        <v>286</v>
      </c>
    </row>
    <row r="2444" spans="1:6">
      <c r="A2444" s="248" t="s">
        <v>158</v>
      </c>
      <c r="B2444" s="249"/>
      <c r="C2444" s="249"/>
      <c r="D2444" s="249"/>
      <c r="E2444" s="100" t="s">
        <v>142</v>
      </c>
      <c r="F2444" s="100" t="s">
        <v>286</v>
      </c>
    </row>
    <row r="2445" spans="1:6">
      <c r="A2445" s="248" t="s">
        <v>159</v>
      </c>
      <c r="B2445" s="249"/>
      <c r="C2445" s="249"/>
      <c r="D2445" s="249"/>
      <c r="E2445" s="100" t="s">
        <v>142</v>
      </c>
      <c r="F2445" s="100" t="s">
        <v>286</v>
      </c>
    </row>
    <row r="2446" spans="1:6">
      <c r="A2446" s="242" t="s">
        <v>148</v>
      </c>
      <c r="B2446" s="235"/>
      <c r="C2446" s="235"/>
      <c r="D2446" s="235"/>
      <c r="E2446" s="100" t="s">
        <v>142</v>
      </c>
      <c r="F2446" s="100" t="s">
        <v>313</v>
      </c>
    </row>
    <row r="2447" spans="1:6">
      <c r="A2447" s="242" t="s">
        <v>149</v>
      </c>
      <c r="B2447" s="235"/>
      <c r="C2447" s="235"/>
      <c r="D2447" s="235"/>
      <c r="E2447" s="100" t="s">
        <v>142</v>
      </c>
      <c r="F2447" s="100" t="s">
        <v>313</v>
      </c>
    </row>
    <row r="2448" spans="1:6">
      <c r="A2448" s="242" t="s">
        <v>150</v>
      </c>
      <c r="B2448" s="235"/>
      <c r="C2448" s="235"/>
      <c r="D2448" s="235"/>
      <c r="E2448" s="100" t="s">
        <v>142</v>
      </c>
      <c r="F2448" s="100" t="s">
        <v>313</v>
      </c>
    </row>
    <row r="2449" spans="1:6">
      <c r="A2449" s="242" t="s">
        <v>151</v>
      </c>
      <c r="B2449" s="235"/>
      <c r="C2449" s="235"/>
      <c r="D2449" s="235"/>
      <c r="E2449" s="100" t="s">
        <v>142</v>
      </c>
      <c r="F2449" s="100" t="s">
        <v>313</v>
      </c>
    </row>
    <row r="2450" spans="1:6">
      <c r="A2450" s="242" t="s">
        <v>152</v>
      </c>
      <c r="B2450" s="235"/>
      <c r="C2450" s="235"/>
      <c r="D2450" s="235"/>
      <c r="E2450" s="100" t="s">
        <v>142</v>
      </c>
      <c r="F2450" s="100" t="s">
        <v>313</v>
      </c>
    </row>
    <row r="2451" spans="1:6">
      <c r="A2451" s="242" t="s">
        <v>153</v>
      </c>
      <c r="B2451" s="235"/>
      <c r="C2451" s="235"/>
      <c r="D2451" s="235"/>
      <c r="E2451" s="100" t="s">
        <v>142</v>
      </c>
      <c r="F2451" s="100" t="s">
        <v>313</v>
      </c>
    </row>
    <row r="2452" spans="1:6">
      <c r="A2452" s="242" t="s">
        <v>154</v>
      </c>
      <c r="B2452" s="235"/>
      <c r="C2452" s="235"/>
      <c r="D2452" s="235"/>
      <c r="E2452" s="100" t="s">
        <v>142</v>
      </c>
      <c r="F2452" s="100" t="s">
        <v>313</v>
      </c>
    </row>
    <row r="2453" spans="1:6">
      <c r="A2453" s="242" t="s">
        <v>155</v>
      </c>
      <c r="B2453" s="235"/>
      <c r="C2453" s="235"/>
      <c r="D2453" s="235"/>
      <c r="E2453" s="100" t="s">
        <v>142</v>
      </c>
      <c r="F2453" s="100" t="s">
        <v>313</v>
      </c>
    </row>
    <row r="2454" spans="1:6">
      <c r="A2454" s="242" t="s">
        <v>156</v>
      </c>
      <c r="B2454" s="235"/>
      <c r="C2454" s="235"/>
      <c r="D2454" s="235"/>
      <c r="E2454" s="100" t="s">
        <v>142</v>
      </c>
      <c r="F2454" s="100" t="s">
        <v>313</v>
      </c>
    </row>
    <row r="2455" spans="1:6">
      <c r="A2455" s="242" t="s">
        <v>157</v>
      </c>
      <c r="B2455" s="235"/>
      <c r="C2455" s="235"/>
      <c r="D2455" s="235"/>
      <c r="E2455" s="100" t="s">
        <v>142</v>
      </c>
      <c r="F2455" s="100" t="s">
        <v>313</v>
      </c>
    </row>
    <row r="2456" spans="1:6">
      <c r="A2456" s="242" t="s">
        <v>158</v>
      </c>
      <c r="B2456" s="235"/>
      <c r="C2456" s="235"/>
      <c r="D2456" s="235"/>
      <c r="E2456" s="100" t="s">
        <v>142</v>
      </c>
      <c r="F2456" s="100" t="s">
        <v>313</v>
      </c>
    </row>
    <row r="2457" spans="1:6">
      <c r="A2457" s="242" t="s">
        <v>159</v>
      </c>
      <c r="B2457" s="235"/>
      <c r="C2457" s="235"/>
      <c r="D2457" s="235"/>
      <c r="E2457" s="100" t="s">
        <v>142</v>
      </c>
      <c r="F2457" s="100" t="s">
        <v>313</v>
      </c>
    </row>
    <row r="2458" spans="1:6">
      <c r="A2458" s="248" t="s">
        <v>148</v>
      </c>
      <c r="B2458" s="249"/>
      <c r="C2458" s="249"/>
      <c r="D2458" s="249"/>
      <c r="E2458" s="100" t="s">
        <v>142</v>
      </c>
      <c r="F2458" s="100" t="s">
        <v>285</v>
      </c>
    </row>
    <row r="2459" spans="1:6">
      <c r="A2459" s="248" t="s">
        <v>149</v>
      </c>
      <c r="B2459" s="249"/>
      <c r="C2459" s="249"/>
      <c r="D2459" s="249"/>
      <c r="E2459" s="100" t="s">
        <v>142</v>
      </c>
      <c r="F2459" s="100" t="s">
        <v>285</v>
      </c>
    </row>
    <row r="2460" spans="1:6">
      <c r="A2460" s="248" t="s">
        <v>150</v>
      </c>
      <c r="B2460" s="249"/>
      <c r="C2460" s="249"/>
      <c r="D2460" s="249"/>
      <c r="E2460" s="100" t="s">
        <v>142</v>
      </c>
      <c r="F2460" s="100" t="s">
        <v>285</v>
      </c>
    </row>
    <row r="2461" spans="1:6">
      <c r="A2461" s="248" t="s">
        <v>151</v>
      </c>
      <c r="B2461" s="249"/>
      <c r="C2461" s="249"/>
      <c r="D2461" s="249"/>
      <c r="E2461" s="100" t="s">
        <v>142</v>
      </c>
      <c r="F2461" s="100" t="s">
        <v>285</v>
      </c>
    </row>
    <row r="2462" spans="1:6">
      <c r="A2462" s="248" t="s">
        <v>152</v>
      </c>
      <c r="B2462" s="249"/>
      <c r="C2462" s="249"/>
      <c r="D2462" s="249"/>
      <c r="E2462" s="100" t="s">
        <v>142</v>
      </c>
      <c r="F2462" s="100" t="s">
        <v>285</v>
      </c>
    </row>
    <row r="2463" spans="1:6">
      <c r="A2463" s="248" t="s">
        <v>153</v>
      </c>
      <c r="B2463" s="249"/>
      <c r="C2463" s="249"/>
      <c r="D2463" s="249"/>
      <c r="E2463" s="100" t="s">
        <v>142</v>
      </c>
      <c r="F2463" s="100" t="s">
        <v>285</v>
      </c>
    </row>
    <row r="2464" spans="1:6">
      <c r="A2464" s="248" t="s">
        <v>154</v>
      </c>
      <c r="B2464" s="249"/>
      <c r="C2464" s="249"/>
      <c r="D2464" s="249"/>
      <c r="E2464" s="100" t="s">
        <v>142</v>
      </c>
      <c r="F2464" s="100" t="s">
        <v>285</v>
      </c>
    </row>
    <row r="2465" spans="1:6">
      <c r="A2465" s="248" t="s">
        <v>155</v>
      </c>
      <c r="B2465" s="249"/>
      <c r="C2465" s="249"/>
      <c r="D2465" s="249"/>
      <c r="E2465" s="100" t="s">
        <v>142</v>
      </c>
      <c r="F2465" s="100" t="s">
        <v>285</v>
      </c>
    </row>
    <row r="2466" spans="1:6">
      <c r="A2466" s="248" t="s">
        <v>156</v>
      </c>
      <c r="B2466" s="249"/>
      <c r="C2466" s="249"/>
      <c r="D2466" s="249"/>
      <c r="E2466" s="100" t="s">
        <v>142</v>
      </c>
      <c r="F2466" s="100" t="s">
        <v>285</v>
      </c>
    </row>
    <row r="2467" spans="1:6">
      <c r="A2467" s="248" t="s">
        <v>157</v>
      </c>
      <c r="B2467" s="249"/>
      <c r="C2467" s="249"/>
      <c r="D2467" s="249"/>
      <c r="E2467" s="100" t="s">
        <v>142</v>
      </c>
      <c r="F2467" s="100" t="s">
        <v>285</v>
      </c>
    </row>
    <row r="2468" spans="1:6">
      <c r="A2468" s="248" t="s">
        <v>158</v>
      </c>
      <c r="B2468" s="249"/>
      <c r="C2468" s="249"/>
      <c r="D2468" s="249"/>
      <c r="E2468" s="100" t="s">
        <v>142</v>
      </c>
      <c r="F2468" s="100" t="s">
        <v>285</v>
      </c>
    </row>
    <row r="2469" spans="1:6">
      <c r="A2469" s="248" t="s">
        <v>159</v>
      </c>
      <c r="B2469" s="249"/>
      <c r="C2469" s="249"/>
      <c r="D2469" s="249"/>
      <c r="E2469" s="100" t="s">
        <v>142</v>
      </c>
      <c r="F2469" s="100" t="s">
        <v>285</v>
      </c>
    </row>
    <row r="2470" spans="1:6">
      <c r="A2470" s="242" t="s">
        <v>148</v>
      </c>
      <c r="B2470" s="235"/>
      <c r="C2470" s="235"/>
      <c r="D2470" s="235"/>
      <c r="E2470" s="100" t="s">
        <v>142</v>
      </c>
      <c r="F2470" s="100" t="s">
        <v>28</v>
      </c>
    </row>
    <row r="2471" spans="1:6">
      <c r="A2471" s="242" t="s">
        <v>149</v>
      </c>
      <c r="B2471" s="235"/>
      <c r="C2471" s="235"/>
      <c r="D2471" s="235"/>
      <c r="E2471" s="100" t="s">
        <v>142</v>
      </c>
      <c r="F2471" s="100" t="s">
        <v>28</v>
      </c>
    </row>
    <row r="2472" spans="1:6">
      <c r="A2472" s="242" t="s">
        <v>150</v>
      </c>
      <c r="B2472" s="235"/>
      <c r="C2472" s="235"/>
      <c r="D2472" s="235"/>
      <c r="E2472" s="100" t="s">
        <v>142</v>
      </c>
      <c r="F2472" s="100" t="s">
        <v>28</v>
      </c>
    </row>
    <row r="2473" spans="1:6">
      <c r="A2473" s="242" t="s">
        <v>151</v>
      </c>
      <c r="B2473" s="235"/>
      <c r="C2473" s="235"/>
      <c r="D2473" s="235"/>
      <c r="E2473" s="100" t="s">
        <v>142</v>
      </c>
      <c r="F2473" s="100" t="s">
        <v>28</v>
      </c>
    </row>
    <row r="2474" spans="1:6">
      <c r="A2474" s="242" t="s">
        <v>152</v>
      </c>
      <c r="B2474" s="235"/>
      <c r="C2474" s="235"/>
      <c r="D2474" s="235"/>
      <c r="E2474" s="100" t="s">
        <v>142</v>
      </c>
      <c r="F2474" s="100" t="s">
        <v>28</v>
      </c>
    </row>
    <row r="2475" spans="1:6">
      <c r="A2475" s="242" t="s">
        <v>153</v>
      </c>
      <c r="B2475" s="235"/>
      <c r="C2475" s="235"/>
      <c r="D2475" s="235"/>
      <c r="E2475" s="100" t="s">
        <v>142</v>
      </c>
      <c r="F2475" s="100" t="s">
        <v>28</v>
      </c>
    </row>
    <row r="2476" spans="1:6">
      <c r="A2476" s="242" t="s">
        <v>154</v>
      </c>
      <c r="B2476" s="235"/>
      <c r="C2476" s="235"/>
      <c r="D2476" s="235"/>
      <c r="E2476" s="100" t="s">
        <v>142</v>
      </c>
      <c r="F2476" s="100" t="s">
        <v>28</v>
      </c>
    </row>
    <row r="2477" spans="1:6">
      <c r="A2477" s="242" t="s">
        <v>155</v>
      </c>
      <c r="B2477" s="235"/>
      <c r="C2477" s="235"/>
      <c r="D2477" s="235"/>
      <c r="E2477" s="100" t="s">
        <v>142</v>
      </c>
      <c r="F2477" s="100" t="s">
        <v>28</v>
      </c>
    </row>
    <row r="2478" spans="1:6">
      <c r="A2478" s="242" t="s">
        <v>156</v>
      </c>
      <c r="B2478" s="235"/>
      <c r="C2478" s="235"/>
      <c r="D2478" s="235"/>
      <c r="E2478" s="100" t="s">
        <v>142</v>
      </c>
      <c r="F2478" s="100" t="s">
        <v>28</v>
      </c>
    </row>
    <row r="2479" spans="1:6">
      <c r="A2479" s="242" t="s">
        <v>157</v>
      </c>
      <c r="B2479" s="235"/>
      <c r="C2479" s="235"/>
      <c r="D2479" s="235"/>
      <c r="E2479" s="100" t="s">
        <v>142</v>
      </c>
      <c r="F2479" s="100" t="s">
        <v>28</v>
      </c>
    </row>
    <row r="2480" spans="1:6">
      <c r="A2480" s="242" t="s">
        <v>158</v>
      </c>
      <c r="B2480" s="235"/>
      <c r="C2480" s="235"/>
      <c r="D2480" s="235"/>
      <c r="E2480" s="100" t="s">
        <v>142</v>
      </c>
      <c r="F2480" s="100" t="s">
        <v>28</v>
      </c>
    </row>
    <row r="2481" spans="1:6">
      <c r="A2481" s="242" t="s">
        <v>159</v>
      </c>
      <c r="B2481" s="235"/>
      <c r="C2481" s="235"/>
      <c r="D2481" s="235"/>
      <c r="E2481" s="100" t="s">
        <v>142</v>
      </c>
      <c r="F2481" s="100" t="s">
        <v>28</v>
      </c>
    </row>
    <row r="2482" spans="1:6">
      <c r="A2482" s="248" t="s">
        <v>148</v>
      </c>
      <c r="B2482" s="249"/>
      <c r="C2482" s="249"/>
      <c r="D2482" s="249"/>
      <c r="E2482" s="100" t="s">
        <v>142</v>
      </c>
      <c r="F2482" s="250" t="s">
        <v>175</v>
      </c>
    </row>
    <row r="2483" spans="1:6">
      <c r="A2483" s="248" t="s">
        <v>149</v>
      </c>
      <c r="B2483" s="249"/>
      <c r="C2483" s="249"/>
      <c r="D2483" s="249"/>
      <c r="E2483" s="100" t="s">
        <v>142</v>
      </c>
      <c r="F2483" s="250" t="s">
        <v>175</v>
      </c>
    </row>
    <row r="2484" spans="1:6">
      <c r="A2484" s="248" t="s">
        <v>150</v>
      </c>
      <c r="B2484" s="249"/>
      <c r="C2484" s="249"/>
      <c r="D2484" s="249"/>
      <c r="E2484" s="100" t="s">
        <v>142</v>
      </c>
      <c r="F2484" s="250" t="s">
        <v>175</v>
      </c>
    </row>
    <row r="2485" spans="1:6">
      <c r="A2485" s="248" t="s">
        <v>151</v>
      </c>
      <c r="B2485" s="249"/>
      <c r="C2485" s="249"/>
      <c r="D2485" s="249"/>
      <c r="E2485" s="100" t="s">
        <v>142</v>
      </c>
      <c r="F2485" s="250" t="s">
        <v>175</v>
      </c>
    </row>
    <row r="2486" spans="1:6">
      <c r="A2486" s="248" t="s">
        <v>152</v>
      </c>
      <c r="B2486" s="249"/>
      <c r="C2486" s="249"/>
      <c r="D2486" s="249"/>
      <c r="E2486" s="100" t="s">
        <v>142</v>
      </c>
      <c r="F2486" s="250" t="s">
        <v>175</v>
      </c>
    </row>
    <row r="2487" spans="1:6">
      <c r="A2487" s="248" t="s">
        <v>153</v>
      </c>
      <c r="B2487" s="249"/>
      <c r="C2487" s="249"/>
      <c r="D2487" s="249"/>
      <c r="E2487" s="100" t="s">
        <v>142</v>
      </c>
      <c r="F2487" s="250" t="s">
        <v>175</v>
      </c>
    </row>
    <row r="2488" spans="1:6">
      <c r="A2488" s="248" t="s">
        <v>154</v>
      </c>
      <c r="B2488" s="249"/>
      <c r="C2488" s="249"/>
      <c r="D2488" s="249"/>
      <c r="E2488" s="100" t="s">
        <v>142</v>
      </c>
      <c r="F2488" s="250" t="s">
        <v>175</v>
      </c>
    </row>
    <row r="2489" spans="1:6">
      <c r="A2489" s="248" t="s">
        <v>155</v>
      </c>
      <c r="B2489" s="249"/>
      <c r="C2489" s="249"/>
      <c r="D2489" s="249"/>
      <c r="E2489" s="100" t="s">
        <v>142</v>
      </c>
      <c r="F2489" s="250" t="s">
        <v>175</v>
      </c>
    </row>
    <row r="2490" spans="1:6">
      <c r="A2490" s="248" t="s">
        <v>156</v>
      </c>
      <c r="B2490" s="249"/>
      <c r="C2490" s="249"/>
      <c r="D2490" s="249"/>
      <c r="E2490" s="100" t="s">
        <v>142</v>
      </c>
      <c r="F2490" s="250" t="s">
        <v>175</v>
      </c>
    </row>
    <row r="2491" spans="1:6">
      <c r="A2491" s="248" t="s">
        <v>157</v>
      </c>
      <c r="B2491" s="249"/>
      <c r="C2491" s="249"/>
      <c r="D2491" s="249"/>
      <c r="E2491" s="100" t="s">
        <v>142</v>
      </c>
      <c r="F2491" s="250" t="s">
        <v>175</v>
      </c>
    </row>
    <row r="2492" spans="1:6">
      <c r="A2492" s="248" t="s">
        <v>158</v>
      </c>
      <c r="B2492" s="249"/>
      <c r="C2492" s="249"/>
      <c r="D2492" s="249"/>
      <c r="E2492" s="100" t="s">
        <v>142</v>
      </c>
      <c r="F2492" s="250" t="s">
        <v>175</v>
      </c>
    </row>
    <row r="2493" spans="1:6">
      <c r="A2493" s="248" t="s">
        <v>159</v>
      </c>
      <c r="B2493" s="249"/>
      <c r="C2493" s="249"/>
      <c r="D2493" s="249"/>
      <c r="E2493" s="100" t="s">
        <v>142</v>
      </c>
      <c r="F2493" s="250" t="s">
        <v>175</v>
      </c>
    </row>
    <row r="2494" spans="1:6">
      <c r="A2494" s="242" t="s">
        <v>148</v>
      </c>
      <c r="B2494" s="235"/>
      <c r="C2494" s="235"/>
      <c r="D2494" s="235"/>
      <c r="E2494" s="100" t="s">
        <v>143</v>
      </c>
      <c r="F2494" s="100" t="s">
        <v>284</v>
      </c>
    </row>
    <row r="2495" spans="1:6">
      <c r="A2495" s="242" t="s">
        <v>149</v>
      </c>
      <c r="B2495" s="235"/>
      <c r="C2495" s="235"/>
      <c r="D2495" s="235"/>
      <c r="E2495" s="100" t="s">
        <v>143</v>
      </c>
      <c r="F2495" s="100" t="s">
        <v>284</v>
      </c>
    </row>
    <row r="2496" spans="1:6">
      <c r="A2496" s="242" t="s">
        <v>150</v>
      </c>
      <c r="B2496" s="235"/>
      <c r="C2496" s="235"/>
      <c r="D2496" s="235"/>
      <c r="E2496" s="100" t="s">
        <v>143</v>
      </c>
      <c r="F2496" s="100" t="s">
        <v>284</v>
      </c>
    </row>
    <row r="2497" spans="1:6">
      <c r="A2497" s="242" t="s">
        <v>151</v>
      </c>
      <c r="B2497" s="235"/>
      <c r="C2497" s="235"/>
      <c r="D2497" s="235"/>
      <c r="E2497" s="100" t="s">
        <v>143</v>
      </c>
      <c r="F2497" s="100" t="s">
        <v>284</v>
      </c>
    </row>
    <row r="2498" spans="1:6">
      <c r="A2498" s="242" t="s">
        <v>152</v>
      </c>
      <c r="B2498" s="235"/>
      <c r="C2498" s="235"/>
      <c r="D2498" s="235"/>
      <c r="E2498" s="100" t="s">
        <v>143</v>
      </c>
      <c r="F2498" s="100" t="s">
        <v>284</v>
      </c>
    </row>
    <row r="2499" spans="1:6">
      <c r="A2499" s="242" t="s">
        <v>153</v>
      </c>
      <c r="B2499" s="235"/>
      <c r="C2499" s="235"/>
      <c r="D2499" s="235"/>
      <c r="E2499" s="100" t="s">
        <v>143</v>
      </c>
      <c r="F2499" s="100" t="s">
        <v>284</v>
      </c>
    </row>
    <row r="2500" spans="1:6">
      <c r="A2500" s="242" t="s">
        <v>154</v>
      </c>
      <c r="B2500" s="235"/>
      <c r="C2500" s="235"/>
      <c r="D2500" s="235"/>
      <c r="E2500" s="100" t="s">
        <v>143</v>
      </c>
      <c r="F2500" s="100" t="s">
        <v>284</v>
      </c>
    </row>
    <row r="2501" spans="1:6">
      <c r="A2501" s="242" t="s">
        <v>155</v>
      </c>
      <c r="B2501" s="235"/>
      <c r="C2501" s="235"/>
      <c r="D2501" s="235"/>
      <c r="E2501" s="100" t="s">
        <v>143</v>
      </c>
      <c r="F2501" s="100" t="s">
        <v>284</v>
      </c>
    </row>
    <row r="2502" spans="1:6">
      <c r="A2502" s="242" t="s">
        <v>156</v>
      </c>
      <c r="B2502" s="235"/>
      <c r="C2502" s="235"/>
      <c r="D2502" s="235"/>
      <c r="E2502" s="100" t="s">
        <v>143</v>
      </c>
      <c r="F2502" s="100" t="s">
        <v>284</v>
      </c>
    </row>
    <row r="2503" spans="1:6">
      <c r="A2503" s="242" t="s">
        <v>157</v>
      </c>
      <c r="B2503" s="235"/>
      <c r="C2503" s="235"/>
      <c r="D2503" s="235"/>
      <c r="E2503" s="100" t="s">
        <v>143</v>
      </c>
      <c r="F2503" s="100" t="s">
        <v>284</v>
      </c>
    </row>
    <row r="2504" spans="1:6">
      <c r="A2504" s="242" t="s">
        <v>158</v>
      </c>
      <c r="B2504" s="235"/>
      <c r="C2504" s="235"/>
      <c r="D2504" s="235"/>
      <c r="E2504" s="100" t="s">
        <v>143</v>
      </c>
      <c r="F2504" s="100" t="s">
        <v>284</v>
      </c>
    </row>
    <row r="2505" spans="1:6">
      <c r="A2505" s="242" t="s">
        <v>159</v>
      </c>
      <c r="B2505" s="235"/>
      <c r="C2505" s="235"/>
      <c r="D2505" s="235"/>
      <c r="E2505" s="100" t="s">
        <v>143</v>
      </c>
      <c r="F2505" s="100" t="s">
        <v>284</v>
      </c>
    </row>
    <row r="2506" spans="1:6">
      <c r="A2506" s="248" t="s">
        <v>148</v>
      </c>
      <c r="B2506" s="249"/>
      <c r="C2506" s="249"/>
      <c r="D2506" s="249"/>
      <c r="E2506" s="100" t="s">
        <v>143</v>
      </c>
      <c r="F2506" s="100" t="s">
        <v>286</v>
      </c>
    </row>
    <row r="2507" spans="1:6">
      <c r="A2507" s="248" t="s">
        <v>149</v>
      </c>
      <c r="B2507" s="249"/>
      <c r="C2507" s="249"/>
      <c r="D2507" s="249"/>
      <c r="E2507" s="100" t="s">
        <v>143</v>
      </c>
      <c r="F2507" s="100" t="s">
        <v>286</v>
      </c>
    </row>
    <row r="2508" spans="1:6">
      <c r="A2508" s="248" t="s">
        <v>150</v>
      </c>
      <c r="B2508" s="249"/>
      <c r="C2508" s="249"/>
      <c r="D2508" s="249"/>
      <c r="E2508" s="100" t="s">
        <v>143</v>
      </c>
      <c r="F2508" s="100" t="s">
        <v>286</v>
      </c>
    </row>
    <row r="2509" spans="1:6">
      <c r="A2509" s="248" t="s">
        <v>151</v>
      </c>
      <c r="B2509" s="249"/>
      <c r="C2509" s="249"/>
      <c r="D2509" s="249"/>
      <c r="E2509" s="100" t="s">
        <v>143</v>
      </c>
      <c r="F2509" s="100" t="s">
        <v>286</v>
      </c>
    </row>
    <row r="2510" spans="1:6">
      <c r="A2510" s="248" t="s">
        <v>152</v>
      </c>
      <c r="B2510" s="249"/>
      <c r="C2510" s="249"/>
      <c r="D2510" s="249"/>
      <c r="E2510" s="100" t="s">
        <v>143</v>
      </c>
      <c r="F2510" s="100" t="s">
        <v>286</v>
      </c>
    </row>
    <row r="2511" spans="1:6">
      <c r="A2511" s="248" t="s">
        <v>153</v>
      </c>
      <c r="B2511" s="249"/>
      <c r="C2511" s="249"/>
      <c r="D2511" s="249"/>
      <c r="E2511" s="100" t="s">
        <v>143</v>
      </c>
      <c r="F2511" s="100" t="s">
        <v>286</v>
      </c>
    </row>
    <row r="2512" spans="1:6">
      <c r="A2512" s="248" t="s">
        <v>154</v>
      </c>
      <c r="B2512" s="249"/>
      <c r="C2512" s="249"/>
      <c r="D2512" s="249"/>
      <c r="E2512" s="100" t="s">
        <v>143</v>
      </c>
      <c r="F2512" s="100" t="s">
        <v>286</v>
      </c>
    </row>
    <row r="2513" spans="1:6">
      <c r="A2513" s="248" t="s">
        <v>155</v>
      </c>
      <c r="B2513" s="249"/>
      <c r="C2513" s="249"/>
      <c r="D2513" s="249"/>
      <c r="E2513" s="100" t="s">
        <v>143</v>
      </c>
      <c r="F2513" s="100" t="s">
        <v>286</v>
      </c>
    </row>
    <row r="2514" spans="1:6">
      <c r="A2514" s="248" t="s">
        <v>156</v>
      </c>
      <c r="B2514" s="249"/>
      <c r="C2514" s="249"/>
      <c r="D2514" s="249"/>
      <c r="E2514" s="100" t="s">
        <v>143</v>
      </c>
      <c r="F2514" s="100" t="s">
        <v>286</v>
      </c>
    </row>
    <row r="2515" spans="1:6">
      <c r="A2515" s="248" t="s">
        <v>157</v>
      </c>
      <c r="B2515" s="249"/>
      <c r="C2515" s="249"/>
      <c r="D2515" s="249"/>
      <c r="E2515" s="100" t="s">
        <v>143</v>
      </c>
      <c r="F2515" s="100" t="s">
        <v>286</v>
      </c>
    </row>
    <row r="2516" spans="1:6">
      <c r="A2516" s="248" t="s">
        <v>158</v>
      </c>
      <c r="B2516" s="249"/>
      <c r="C2516" s="249"/>
      <c r="D2516" s="249"/>
      <c r="E2516" s="100" t="s">
        <v>143</v>
      </c>
      <c r="F2516" s="100" t="s">
        <v>286</v>
      </c>
    </row>
    <row r="2517" spans="1:6">
      <c r="A2517" s="248" t="s">
        <v>159</v>
      </c>
      <c r="B2517" s="249"/>
      <c r="C2517" s="249"/>
      <c r="D2517" s="249"/>
      <c r="E2517" s="100" t="s">
        <v>143</v>
      </c>
      <c r="F2517" s="100" t="s">
        <v>286</v>
      </c>
    </row>
    <row r="2518" spans="1:6">
      <c r="A2518" s="242" t="s">
        <v>148</v>
      </c>
      <c r="B2518" s="235"/>
      <c r="C2518" s="235"/>
      <c r="D2518" s="235"/>
      <c r="E2518" s="100" t="s">
        <v>143</v>
      </c>
      <c r="F2518" s="100" t="s">
        <v>313</v>
      </c>
    </row>
    <row r="2519" spans="1:6">
      <c r="A2519" s="242" t="s">
        <v>149</v>
      </c>
      <c r="B2519" s="235"/>
      <c r="C2519" s="235"/>
      <c r="D2519" s="235"/>
      <c r="E2519" s="100" t="s">
        <v>143</v>
      </c>
      <c r="F2519" s="100" t="s">
        <v>313</v>
      </c>
    </row>
    <row r="2520" spans="1:6">
      <c r="A2520" s="242" t="s">
        <v>150</v>
      </c>
      <c r="B2520" s="235"/>
      <c r="C2520" s="235"/>
      <c r="D2520" s="235"/>
      <c r="E2520" s="100" t="s">
        <v>143</v>
      </c>
      <c r="F2520" s="100" t="s">
        <v>313</v>
      </c>
    </row>
    <row r="2521" spans="1:6">
      <c r="A2521" s="242" t="s">
        <v>151</v>
      </c>
      <c r="B2521" s="235"/>
      <c r="C2521" s="235"/>
      <c r="D2521" s="235"/>
      <c r="E2521" s="100" t="s">
        <v>143</v>
      </c>
      <c r="F2521" s="100" t="s">
        <v>313</v>
      </c>
    </row>
    <row r="2522" spans="1:6">
      <c r="A2522" s="242" t="s">
        <v>152</v>
      </c>
      <c r="B2522" s="235"/>
      <c r="C2522" s="235"/>
      <c r="D2522" s="235"/>
      <c r="E2522" s="100" t="s">
        <v>143</v>
      </c>
      <c r="F2522" s="100" t="s">
        <v>313</v>
      </c>
    </row>
    <row r="2523" spans="1:6">
      <c r="A2523" s="242" t="s">
        <v>153</v>
      </c>
      <c r="B2523" s="235"/>
      <c r="C2523" s="235"/>
      <c r="D2523" s="235"/>
      <c r="E2523" s="100" t="s">
        <v>143</v>
      </c>
      <c r="F2523" s="100" t="s">
        <v>313</v>
      </c>
    </row>
    <row r="2524" spans="1:6">
      <c r="A2524" s="242" t="s">
        <v>154</v>
      </c>
      <c r="B2524" s="235"/>
      <c r="C2524" s="235"/>
      <c r="D2524" s="235"/>
      <c r="E2524" s="100" t="s">
        <v>143</v>
      </c>
      <c r="F2524" s="100" t="s">
        <v>313</v>
      </c>
    </row>
    <row r="2525" spans="1:6">
      <c r="A2525" s="242" t="s">
        <v>155</v>
      </c>
      <c r="B2525" s="235"/>
      <c r="C2525" s="235"/>
      <c r="D2525" s="235"/>
      <c r="E2525" s="100" t="s">
        <v>143</v>
      </c>
      <c r="F2525" s="100" t="s">
        <v>313</v>
      </c>
    </row>
    <row r="2526" spans="1:6">
      <c r="A2526" s="242" t="s">
        <v>156</v>
      </c>
      <c r="B2526" s="235"/>
      <c r="C2526" s="235"/>
      <c r="D2526" s="235"/>
      <c r="E2526" s="100" t="s">
        <v>143</v>
      </c>
      <c r="F2526" s="100" t="s">
        <v>313</v>
      </c>
    </row>
    <row r="2527" spans="1:6">
      <c r="A2527" s="242" t="s">
        <v>157</v>
      </c>
      <c r="B2527" s="235"/>
      <c r="C2527" s="235"/>
      <c r="D2527" s="235"/>
      <c r="E2527" s="100" t="s">
        <v>143</v>
      </c>
      <c r="F2527" s="100" t="s">
        <v>313</v>
      </c>
    </row>
    <row r="2528" spans="1:6">
      <c r="A2528" s="242" t="s">
        <v>158</v>
      </c>
      <c r="B2528" s="235"/>
      <c r="C2528" s="235"/>
      <c r="D2528" s="235"/>
      <c r="E2528" s="100" t="s">
        <v>143</v>
      </c>
      <c r="F2528" s="100" t="s">
        <v>313</v>
      </c>
    </row>
    <row r="2529" spans="1:6">
      <c r="A2529" s="242" t="s">
        <v>159</v>
      </c>
      <c r="B2529" s="235"/>
      <c r="C2529" s="235"/>
      <c r="D2529" s="235"/>
      <c r="E2529" s="100" t="s">
        <v>143</v>
      </c>
      <c r="F2529" s="100" t="s">
        <v>313</v>
      </c>
    </row>
    <row r="2530" spans="1:6">
      <c r="A2530" s="248" t="s">
        <v>148</v>
      </c>
      <c r="B2530" s="249"/>
      <c r="C2530" s="249"/>
      <c r="D2530" s="249"/>
      <c r="E2530" s="100" t="s">
        <v>143</v>
      </c>
      <c r="F2530" s="100" t="s">
        <v>285</v>
      </c>
    </row>
    <row r="2531" spans="1:6">
      <c r="A2531" s="248" t="s">
        <v>149</v>
      </c>
      <c r="B2531" s="249"/>
      <c r="C2531" s="249"/>
      <c r="D2531" s="249"/>
      <c r="E2531" s="100" t="s">
        <v>143</v>
      </c>
      <c r="F2531" s="100" t="s">
        <v>285</v>
      </c>
    </row>
    <row r="2532" spans="1:6">
      <c r="A2532" s="248" t="s">
        <v>150</v>
      </c>
      <c r="B2532" s="249"/>
      <c r="C2532" s="249"/>
      <c r="D2532" s="249"/>
      <c r="E2532" s="100" t="s">
        <v>143</v>
      </c>
      <c r="F2532" s="100" t="s">
        <v>285</v>
      </c>
    </row>
    <row r="2533" spans="1:6">
      <c r="A2533" s="248" t="s">
        <v>151</v>
      </c>
      <c r="B2533" s="249"/>
      <c r="C2533" s="249"/>
      <c r="D2533" s="249"/>
      <c r="E2533" s="100" t="s">
        <v>143</v>
      </c>
      <c r="F2533" s="100" t="s">
        <v>285</v>
      </c>
    </row>
    <row r="2534" spans="1:6">
      <c r="A2534" s="248" t="s">
        <v>152</v>
      </c>
      <c r="B2534" s="249"/>
      <c r="C2534" s="249"/>
      <c r="D2534" s="249"/>
      <c r="E2534" s="100" t="s">
        <v>143</v>
      </c>
      <c r="F2534" s="100" t="s">
        <v>285</v>
      </c>
    </row>
    <row r="2535" spans="1:6">
      <c r="A2535" s="248" t="s">
        <v>153</v>
      </c>
      <c r="B2535" s="249"/>
      <c r="C2535" s="249"/>
      <c r="D2535" s="249"/>
      <c r="E2535" s="100" t="s">
        <v>143</v>
      </c>
      <c r="F2535" s="100" t="s">
        <v>285</v>
      </c>
    </row>
    <row r="2536" spans="1:6">
      <c r="A2536" s="248" t="s">
        <v>154</v>
      </c>
      <c r="B2536" s="249"/>
      <c r="C2536" s="249"/>
      <c r="D2536" s="249"/>
      <c r="E2536" s="100" t="s">
        <v>143</v>
      </c>
      <c r="F2536" s="100" t="s">
        <v>285</v>
      </c>
    </row>
    <row r="2537" spans="1:6">
      <c r="A2537" s="248" t="s">
        <v>155</v>
      </c>
      <c r="B2537" s="249"/>
      <c r="C2537" s="249"/>
      <c r="D2537" s="249"/>
      <c r="E2537" s="100" t="s">
        <v>143</v>
      </c>
      <c r="F2537" s="100" t="s">
        <v>285</v>
      </c>
    </row>
    <row r="2538" spans="1:6">
      <c r="A2538" s="248" t="s">
        <v>156</v>
      </c>
      <c r="B2538" s="249"/>
      <c r="C2538" s="249"/>
      <c r="D2538" s="249"/>
      <c r="E2538" s="100" t="s">
        <v>143</v>
      </c>
      <c r="F2538" s="100" t="s">
        <v>285</v>
      </c>
    </row>
    <row r="2539" spans="1:6">
      <c r="A2539" s="248" t="s">
        <v>157</v>
      </c>
      <c r="B2539" s="249"/>
      <c r="C2539" s="249"/>
      <c r="D2539" s="249"/>
      <c r="E2539" s="100" t="s">
        <v>143</v>
      </c>
      <c r="F2539" s="100" t="s">
        <v>285</v>
      </c>
    </row>
    <row r="2540" spans="1:6">
      <c r="A2540" s="248" t="s">
        <v>158</v>
      </c>
      <c r="B2540" s="249"/>
      <c r="C2540" s="249"/>
      <c r="D2540" s="249"/>
      <c r="E2540" s="100" t="s">
        <v>143</v>
      </c>
      <c r="F2540" s="100" t="s">
        <v>285</v>
      </c>
    </row>
    <row r="2541" spans="1:6">
      <c r="A2541" s="248" t="s">
        <v>159</v>
      </c>
      <c r="B2541" s="249"/>
      <c r="C2541" s="249"/>
      <c r="D2541" s="249"/>
      <c r="E2541" s="100" t="s">
        <v>143</v>
      </c>
      <c r="F2541" s="100" t="s">
        <v>285</v>
      </c>
    </row>
    <row r="2542" spans="1:6">
      <c r="A2542" s="242" t="s">
        <v>148</v>
      </c>
      <c r="B2542" s="235"/>
      <c r="C2542" s="235"/>
      <c r="D2542" s="235"/>
      <c r="E2542" s="100" t="s">
        <v>143</v>
      </c>
      <c r="F2542" s="100" t="s">
        <v>28</v>
      </c>
    </row>
    <row r="2543" spans="1:6">
      <c r="A2543" s="242" t="s">
        <v>149</v>
      </c>
      <c r="B2543" s="235"/>
      <c r="C2543" s="235"/>
      <c r="D2543" s="235"/>
      <c r="E2543" s="100" t="s">
        <v>143</v>
      </c>
      <c r="F2543" s="100" t="s">
        <v>28</v>
      </c>
    </row>
    <row r="2544" spans="1:6">
      <c r="A2544" s="242" t="s">
        <v>150</v>
      </c>
      <c r="B2544" s="235"/>
      <c r="C2544" s="235"/>
      <c r="D2544" s="235"/>
      <c r="E2544" s="100" t="s">
        <v>143</v>
      </c>
      <c r="F2544" s="100" t="s">
        <v>28</v>
      </c>
    </row>
    <row r="2545" spans="1:6">
      <c r="A2545" s="242" t="s">
        <v>151</v>
      </c>
      <c r="B2545" s="235"/>
      <c r="C2545" s="235"/>
      <c r="D2545" s="235"/>
      <c r="E2545" s="100" t="s">
        <v>143</v>
      </c>
      <c r="F2545" s="100" t="s">
        <v>28</v>
      </c>
    </row>
    <row r="2546" spans="1:6">
      <c r="A2546" s="242" t="s">
        <v>152</v>
      </c>
      <c r="B2546" s="235"/>
      <c r="C2546" s="235"/>
      <c r="D2546" s="235"/>
      <c r="E2546" s="100" t="s">
        <v>143</v>
      </c>
      <c r="F2546" s="100" t="s">
        <v>28</v>
      </c>
    </row>
    <row r="2547" spans="1:6">
      <c r="A2547" s="242" t="s">
        <v>153</v>
      </c>
      <c r="B2547" s="235"/>
      <c r="C2547" s="235"/>
      <c r="D2547" s="235"/>
      <c r="E2547" s="100" t="s">
        <v>143</v>
      </c>
      <c r="F2547" s="100" t="s">
        <v>28</v>
      </c>
    </row>
    <row r="2548" spans="1:6">
      <c r="A2548" s="242" t="s">
        <v>154</v>
      </c>
      <c r="B2548" s="235"/>
      <c r="C2548" s="235"/>
      <c r="D2548" s="235"/>
      <c r="E2548" s="100" t="s">
        <v>143</v>
      </c>
      <c r="F2548" s="100" t="s">
        <v>28</v>
      </c>
    </row>
    <row r="2549" spans="1:6">
      <c r="A2549" s="242" t="s">
        <v>155</v>
      </c>
      <c r="B2549" s="235"/>
      <c r="C2549" s="235"/>
      <c r="D2549" s="235"/>
      <c r="E2549" s="100" t="s">
        <v>143</v>
      </c>
      <c r="F2549" s="100" t="s">
        <v>28</v>
      </c>
    </row>
    <row r="2550" spans="1:6">
      <c r="A2550" s="242" t="s">
        <v>156</v>
      </c>
      <c r="B2550" s="235"/>
      <c r="C2550" s="235"/>
      <c r="D2550" s="235"/>
      <c r="E2550" s="100" t="s">
        <v>143</v>
      </c>
      <c r="F2550" s="100" t="s">
        <v>28</v>
      </c>
    </row>
    <row r="2551" spans="1:6">
      <c r="A2551" s="242" t="s">
        <v>157</v>
      </c>
      <c r="B2551" s="235"/>
      <c r="C2551" s="235"/>
      <c r="D2551" s="235"/>
      <c r="E2551" s="100" t="s">
        <v>143</v>
      </c>
      <c r="F2551" s="100" t="s">
        <v>28</v>
      </c>
    </row>
    <row r="2552" spans="1:6">
      <c r="A2552" s="242" t="s">
        <v>158</v>
      </c>
      <c r="B2552" s="235"/>
      <c r="C2552" s="235"/>
      <c r="D2552" s="235"/>
      <c r="E2552" s="100" t="s">
        <v>143</v>
      </c>
      <c r="F2552" s="100" t="s">
        <v>28</v>
      </c>
    </row>
    <row r="2553" spans="1:6">
      <c r="A2553" s="242" t="s">
        <v>159</v>
      </c>
      <c r="B2553" s="235"/>
      <c r="C2553" s="235"/>
      <c r="D2553" s="235"/>
      <c r="E2553" s="100" t="s">
        <v>143</v>
      </c>
      <c r="F2553" s="100" t="s">
        <v>28</v>
      </c>
    </row>
    <row r="2554" spans="1:6">
      <c r="A2554" s="248" t="s">
        <v>148</v>
      </c>
      <c r="B2554" s="249"/>
      <c r="C2554" s="249"/>
      <c r="D2554" s="249"/>
      <c r="E2554" s="100" t="s">
        <v>143</v>
      </c>
      <c r="F2554" s="250" t="s">
        <v>175</v>
      </c>
    </row>
    <row r="2555" spans="1:6">
      <c r="A2555" s="248" t="s">
        <v>149</v>
      </c>
      <c r="B2555" s="249"/>
      <c r="C2555" s="249"/>
      <c r="D2555" s="249"/>
      <c r="E2555" s="100" t="s">
        <v>143</v>
      </c>
      <c r="F2555" s="250" t="s">
        <v>175</v>
      </c>
    </row>
    <row r="2556" spans="1:6">
      <c r="A2556" s="248" t="s">
        <v>150</v>
      </c>
      <c r="B2556" s="249"/>
      <c r="C2556" s="249"/>
      <c r="D2556" s="249"/>
      <c r="E2556" s="100" t="s">
        <v>143</v>
      </c>
      <c r="F2556" s="250" t="s">
        <v>175</v>
      </c>
    </row>
    <row r="2557" spans="1:6">
      <c r="A2557" s="248" t="s">
        <v>151</v>
      </c>
      <c r="B2557" s="249"/>
      <c r="C2557" s="249"/>
      <c r="D2557" s="249"/>
      <c r="E2557" s="100" t="s">
        <v>143</v>
      </c>
      <c r="F2557" s="250" t="s">
        <v>175</v>
      </c>
    </row>
    <row r="2558" spans="1:6">
      <c r="A2558" s="248" t="s">
        <v>152</v>
      </c>
      <c r="B2558" s="249"/>
      <c r="C2558" s="249"/>
      <c r="D2558" s="249"/>
      <c r="E2558" s="100" t="s">
        <v>143</v>
      </c>
      <c r="F2558" s="250" t="s">
        <v>175</v>
      </c>
    </row>
    <row r="2559" spans="1:6">
      <c r="A2559" s="248" t="s">
        <v>153</v>
      </c>
      <c r="B2559" s="249"/>
      <c r="C2559" s="249"/>
      <c r="D2559" s="249"/>
      <c r="E2559" s="100" t="s">
        <v>143</v>
      </c>
      <c r="F2559" s="250" t="s">
        <v>175</v>
      </c>
    </row>
    <row r="2560" spans="1:6">
      <c r="A2560" s="248" t="s">
        <v>154</v>
      </c>
      <c r="B2560" s="249"/>
      <c r="C2560" s="249"/>
      <c r="D2560" s="249"/>
      <c r="E2560" s="100" t="s">
        <v>143</v>
      </c>
      <c r="F2560" s="250" t="s">
        <v>175</v>
      </c>
    </row>
    <row r="2561" spans="1:6">
      <c r="A2561" s="248" t="s">
        <v>155</v>
      </c>
      <c r="B2561" s="249"/>
      <c r="C2561" s="249"/>
      <c r="D2561" s="249"/>
      <c r="E2561" s="100" t="s">
        <v>143</v>
      </c>
      <c r="F2561" s="250" t="s">
        <v>175</v>
      </c>
    </row>
    <row r="2562" spans="1:6">
      <c r="A2562" s="248" t="s">
        <v>156</v>
      </c>
      <c r="B2562" s="249"/>
      <c r="C2562" s="249"/>
      <c r="D2562" s="249"/>
      <c r="E2562" s="100" t="s">
        <v>143</v>
      </c>
      <c r="F2562" s="250" t="s">
        <v>175</v>
      </c>
    </row>
    <row r="2563" spans="1:6">
      <c r="A2563" s="248" t="s">
        <v>157</v>
      </c>
      <c r="B2563" s="249"/>
      <c r="C2563" s="249"/>
      <c r="D2563" s="249"/>
      <c r="E2563" s="100" t="s">
        <v>143</v>
      </c>
      <c r="F2563" s="250" t="s">
        <v>175</v>
      </c>
    </row>
    <row r="2564" spans="1:6">
      <c r="A2564" s="248" t="s">
        <v>158</v>
      </c>
      <c r="B2564" s="249"/>
      <c r="C2564" s="249"/>
      <c r="D2564" s="249"/>
      <c r="E2564" s="100" t="s">
        <v>143</v>
      </c>
      <c r="F2564" s="250" t="s">
        <v>175</v>
      </c>
    </row>
    <row r="2565" spans="1:6">
      <c r="A2565" s="248" t="s">
        <v>159</v>
      </c>
      <c r="B2565" s="249"/>
      <c r="C2565" s="249"/>
      <c r="D2565" s="249"/>
      <c r="E2565" s="100" t="s">
        <v>143</v>
      </c>
      <c r="F2565" s="250" t="s">
        <v>175</v>
      </c>
    </row>
    <row r="2566" spans="1:6">
      <c r="A2566" s="242" t="s">
        <v>148</v>
      </c>
      <c r="B2566" s="235"/>
      <c r="C2566" s="235"/>
      <c r="D2566" s="235"/>
      <c r="E2566" s="100" t="s">
        <v>144</v>
      </c>
      <c r="F2566" s="100" t="s">
        <v>284</v>
      </c>
    </row>
    <row r="2567" spans="1:6">
      <c r="A2567" s="242" t="s">
        <v>149</v>
      </c>
      <c r="B2567" s="235"/>
      <c r="C2567" s="235"/>
      <c r="D2567" s="235"/>
      <c r="E2567" s="100" t="s">
        <v>144</v>
      </c>
      <c r="F2567" s="100" t="s">
        <v>284</v>
      </c>
    </row>
    <row r="2568" spans="1:6">
      <c r="A2568" s="242" t="s">
        <v>150</v>
      </c>
      <c r="B2568" s="235"/>
      <c r="C2568" s="235"/>
      <c r="D2568" s="235"/>
      <c r="E2568" s="100" t="s">
        <v>144</v>
      </c>
      <c r="F2568" s="100" t="s">
        <v>284</v>
      </c>
    </row>
    <row r="2569" spans="1:6">
      <c r="A2569" s="242" t="s">
        <v>151</v>
      </c>
      <c r="B2569" s="235"/>
      <c r="C2569" s="235"/>
      <c r="D2569" s="235"/>
      <c r="E2569" s="100" t="s">
        <v>144</v>
      </c>
      <c r="F2569" s="100" t="s">
        <v>284</v>
      </c>
    </row>
    <row r="2570" spans="1:6">
      <c r="A2570" s="242" t="s">
        <v>152</v>
      </c>
      <c r="B2570" s="235"/>
      <c r="C2570" s="235"/>
      <c r="D2570" s="235"/>
      <c r="E2570" s="100" t="s">
        <v>144</v>
      </c>
      <c r="F2570" s="100" t="s">
        <v>284</v>
      </c>
    </row>
    <row r="2571" spans="1:6">
      <c r="A2571" s="242" t="s">
        <v>153</v>
      </c>
      <c r="B2571" s="235"/>
      <c r="C2571" s="235"/>
      <c r="D2571" s="235"/>
      <c r="E2571" s="100" t="s">
        <v>144</v>
      </c>
      <c r="F2571" s="100" t="s">
        <v>284</v>
      </c>
    </row>
    <row r="2572" spans="1:6">
      <c r="A2572" s="242" t="s">
        <v>154</v>
      </c>
      <c r="B2572" s="235"/>
      <c r="C2572" s="235"/>
      <c r="D2572" s="235"/>
      <c r="E2572" s="100" t="s">
        <v>144</v>
      </c>
      <c r="F2572" s="100" t="s">
        <v>284</v>
      </c>
    </row>
    <row r="2573" spans="1:6">
      <c r="A2573" s="242" t="s">
        <v>155</v>
      </c>
      <c r="B2573" s="235"/>
      <c r="C2573" s="235"/>
      <c r="D2573" s="235"/>
      <c r="E2573" s="100" t="s">
        <v>144</v>
      </c>
      <c r="F2573" s="100" t="s">
        <v>284</v>
      </c>
    </row>
    <row r="2574" spans="1:6">
      <c r="A2574" s="242" t="s">
        <v>156</v>
      </c>
      <c r="B2574" s="235"/>
      <c r="C2574" s="235"/>
      <c r="D2574" s="235"/>
      <c r="E2574" s="100" t="s">
        <v>144</v>
      </c>
      <c r="F2574" s="100" t="s">
        <v>284</v>
      </c>
    </row>
    <row r="2575" spans="1:6">
      <c r="A2575" s="242" t="s">
        <v>157</v>
      </c>
      <c r="B2575" s="235"/>
      <c r="C2575" s="235"/>
      <c r="D2575" s="235"/>
      <c r="E2575" s="100" t="s">
        <v>144</v>
      </c>
      <c r="F2575" s="100" t="s">
        <v>284</v>
      </c>
    </row>
    <row r="2576" spans="1:6">
      <c r="A2576" s="242" t="s">
        <v>158</v>
      </c>
      <c r="B2576" s="235"/>
      <c r="C2576" s="235"/>
      <c r="D2576" s="235"/>
      <c r="E2576" s="100" t="s">
        <v>144</v>
      </c>
      <c r="F2576" s="100" t="s">
        <v>284</v>
      </c>
    </row>
    <row r="2577" spans="1:6">
      <c r="A2577" s="242" t="s">
        <v>159</v>
      </c>
      <c r="B2577" s="235"/>
      <c r="C2577" s="235"/>
      <c r="D2577" s="235"/>
      <c r="E2577" s="100" t="s">
        <v>144</v>
      </c>
      <c r="F2577" s="100" t="s">
        <v>284</v>
      </c>
    </row>
    <row r="2578" spans="1:6">
      <c r="A2578" s="248" t="s">
        <v>148</v>
      </c>
      <c r="B2578" s="249"/>
      <c r="C2578" s="249"/>
      <c r="D2578" s="249"/>
      <c r="E2578" s="100" t="s">
        <v>144</v>
      </c>
      <c r="F2578" s="100" t="s">
        <v>286</v>
      </c>
    </row>
    <row r="2579" spans="1:6">
      <c r="A2579" s="248" t="s">
        <v>149</v>
      </c>
      <c r="B2579" s="249"/>
      <c r="C2579" s="249"/>
      <c r="D2579" s="249"/>
      <c r="E2579" s="100" t="s">
        <v>144</v>
      </c>
      <c r="F2579" s="100" t="s">
        <v>286</v>
      </c>
    </row>
    <row r="2580" spans="1:6">
      <c r="A2580" s="248" t="s">
        <v>150</v>
      </c>
      <c r="B2580" s="249"/>
      <c r="C2580" s="249"/>
      <c r="D2580" s="249"/>
      <c r="E2580" s="100" t="s">
        <v>144</v>
      </c>
      <c r="F2580" s="100" t="s">
        <v>286</v>
      </c>
    </row>
    <row r="2581" spans="1:6">
      <c r="A2581" s="248" t="s">
        <v>151</v>
      </c>
      <c r="B2581" s="249"/>
      <c r="C2581" s="249"/>
      <c r="D2581" s="249"/>
      <c r="E2581" s="100" t="s">
        <v>144</v>
      </c>
      <c r="F2581" s="100" t="s">
        <v>286</v>
      </c>
    </row>
    <row r="2582" spans="1:6">
      <c r="A2582" s="248" t="s">
        <v>152</v>
      </c>
      <c r="B2582" s="249"/>
      <c r="C2582" s="249"/>
      <c r="D2582" s="249"/>
      <c r="E2582" s="100" t="s">
        <v>144</v>
      </c>
      <c r="F2582" s="100" t="s">
        <v>286</v>
      </c>
    </row>
    <row r="2583" spans="1:6">
      <c r="A2583" s="248" t="s">
        <v>153</v>
      </c>
      <c r="B2583" s="249"/>
      <c r="C2583" s="249"/>
      <c r="D2583" s="249"/>
      <c r="E2583" s="100" t="s">
        <v>144</v>
      </c>
      <c r="F2583" s="100" t="s">
        <v>286</v>
      </c>
    </row>
    <row r="2584" spans="1:6">
      <c r="A2584" s="248" t="s">
        <v>154</v>
      </c>
      <c r="B2584" s="249"/>
      <c r="C2584" s="249"/>
      <c r="D2584" s="249"/>
      <c r="E2584" s="100" t="s">
        <v>144</v>
      </c>
      <c r="F2584" s="100" t="s">
        <v>286</v>
      </c>
    </row>
    <row r="2585" spans="1:6">
      <c r="A2585" s="248" t="s">
        <v>155</v>
      </c>
      <c r="B2585" s="249"/>
      <c r="C2585" s="249"/>
      <c r="D2585" s="249"/>
      <c r="E2585" s="100" t="s">
        <v>144</v>
      </c>
      <c r="F2585" s="100" t="s">
        <v>286</v>
      </c>
    </row>
    <row r="2586" spans="1:6">
      <c r="A2586" s="248" t="s">
        <v>156</v>
      </c>
      <c r="B2586" s="249"/>
      <c r="C2586" s="249"/>
      <c r="D2586" s="249"/>
      <c r="E2586" s="100" t="s">
        <v>144</v>
      </c>
      <c r="F2586" s="100" t="s">
        <v>286</v>
      </c>
    </row>
    <row r="2587" spans="1:6">
      <c r="A2587" s="248" t="s">
        <v>157</v>
      </c>
      <c r="B2587" s="249"/>
      <c r="C2587" s="249"/>
      <c r="D2587" s="249"/>
      <c r="E2587" s="100" t="s">
        <v>144</v>
      </c>
      <c r="F2587" s="100" t="s">
        <v>286</v>
      </c>
    </row>
    <row r="2588" spans="1:6">
      <c r="A2588" s="248" t="s">
        <v>158</v>
      </c>
      <c r="B2588" s="249"/>
      <c r="C2588" s="249"/>
      <c r="D2588" s="249"/>
      <c r="E2588" s="100" t="s">
        <v>144</v>
      </c>
      <c r="F2588" s="100" t="s">
        <v>286</v>
      </c>
    </row>
    <row r="2589" spans="1:6">
      <c r="A2589" s="248" t="s">
        <v>159</v>
      </c>
      <c r="B2589" s="249"/>
      <c r="C2589" s="249"/>
      <c r="D2589" s="249"/>
      <c r="E2589" s="100" t="s">
        <v>144</v>
      </c>
      <c r="F2589" s="100" t="s">
        <v>286</v>
      </c>
    </row>
    <row r="2590" spans="1:6">
      <c r="A2590" s="242" t="s">
        <v>148</v>
      </c>
      <c r="B2590" s="235"/>
      <c r="C2590" s="235"/>
      <c r="D2590" s="235"/>
      <c r="E2590" s="100" t="s">
        <v>144</v>
      </c>
      <c r="F2590" s="100" t="s">
        <v>313</v>
      </c>
    </row>
    <row r="2591" spans="1:6">
      <c r="A2591" s="242" t="s">
        <v>149</v>
      </c>
      <c r="B2591" s="235"/>
      <c r="C2591" s="235"/>
      <c r="D2591" s="235"/>
      <c r="E2591" s="100" t="s">
        <v>144</v>
      </c>
      <c r="F2591" s="100" t="s">
        <v>313</v>
      </c>
    </row>
    <row r="2592" spans="1:6">
      <c r="A2592" s="242" t="s">
        <v>150</v>
      </c>
      <c r="B2592" s="235"/>
      <c r="C2592" s="235"/>
      <c r="D2592" s="235"/>
      <c r="E2592" s="100" t="s">
        <v>144</v>
      </c>
      <c r="F2592" s="100" t="s">
        <v>313</v>
      </c>
    </row>
    <row r="2593" spans="1:6">
      <c r="A2593" s="242" t="s">
        <v>151</v>
      </c>
      <c r="B2593" s="235"/>
      <c r="C2593" s="235"/>
      <c r="D2593" s="235"/>
      <c r="E2593" s="100" t="s">
        <v>144</v>
      </c>
      <c r="F2593" s="100" t="s">
        <v>313</v>
      </c>
    </row>
    <row r="2594" spans="1:6">
      <c r="A2594" s="242" t="s">
        <v>152</v>
      </c>
      <c r="B2594" s="235"/>
      <c r="C2594" s="235"/>
      <c r="D2594" s="235"/>
      <c r="E2594" s="100" t="s">
        <v>144</v>
      </c>
      <c r="F2594" s="100" t="s">
        <v>313</v>
      </c>
    </row>
    <row r="2595" spans="1:6">
      <c r="A2595" s="242" t="s">
        <v>153</v>
      </c>
      <c r="B2595" s="235"/>
      <c r="C2595" s="235"/>
      <c r="D2595" s="235"/>
      <c r="E2595" s="100" t="s">
        <v>144</v>
      </c>
      <c r="F2595" s="100" t="s">
        <v>313</v>
      </c>
    </row>
    <row r="2596" spans="1:6">
      <c r="A2596" s="242" t="s">
        <v>154</v>
      </c>
      <c r="B2596" s="235"/>
      <c r="C2596" s="235"/>
      <c r="D2596" s="235"/>
      <c r="E2596" s="100" t="s">
        <v>144</v>
      </c>
      <c r="F2596" s="100" t="s">
        <v>313</v>
      </c>
    </row>
    <row r="2597" spans="1:6">
      <c r="A2597" s="242" t="s">
        <v>155</v>
      </c>
      <c r="B2597" s="235"/>
      <c r="C2597" s="235"/>
      <c r="D2597" s="235"/>
      <c r="E2597" s="100" t="s">
        <v>144</v>
      </c>
      <c r="F2597" s="100" t="s">
        <v>313</v>
      </c>
    </row>
    <row r="2598" spans="1:6">
      <c r="A2598" s="242" t="s">
        <v>156</v>
      </c>
      <c r="B2598" s="235"/>
      <c r="C2598" s="235"/>
      <c r="D2598" s="235"/>
      <c r="E2598" s="100" t="s">
        <v>144</v>
      </c>
      <c r="F2598" s="100" t="s">
        <v>313</v>
      </c>
    </row>
    <row r="2599" spans="1:6">
      <c r="A2599" s="242" t="s">
        <v>157</v>
      </c>
      <c r="B2599" s="235"/>
      <c r="C2599" s="235"/>
      <c r="D2599" s="235"/>
      <c r="E2599" s="100" t="s">
        <v>144</v>
      </c>
      <c r="F2599" s="100" t="s">
        <v>313</v>
      </c>
    </row>
    <row r="2600" spans="1:6">
      <c r="A2600" s="242" t="s">
        <v>158</v>
      </c>
      <c r="B2600" s="235"/>
      <c r="C2600" s="235"/>
      <c r="D2600" s="235"/>
      <c r="E2600" s="100" t="s">
        <v>144</v>
      </c>
      <c r="F2600" s="100" t="s">
        <v>313</v>
      </c>
    </row>
    <row r="2601" spans="1:6">
      <c r="A2601" s="242" t="s">
        <v>159</v>
      </c>
      <c r="B2601" s="235"/>
      <c r="C2601" s="235"/>
      <c r="D2601" s="235"/>
      <c r="E2601" s="100" t="s">
        <v>144</v>
      </c>
      <c r="F2601" s="100" t="s">
        <v>313</v>
      </c>
    </row>
    <row r="2602" spans="1:6">
      <c r="A2602" s="248" t="s">
        <v>148</v>
      </c>
      <c r="B2602" s="249"/>
      <c r="C2602" s="249"/>
      <c r="D2602" s="249"/>
      <c r="E2602" s="100" t="s">
        <v>144</v>
      </c>
      <c r="F2602" s="100" t="s">
        <v>285</v>
      </c>
    </row>
    <row r="2603" spans="1:6">
      <c r="A2603" s="248" t="s">
        <v>149</v>
      </c>
      <c r="B2603" s="249"/>
      <c r="C2603" s="249"/>
      <c r="D2603" s="249"/>
      <c r="E2603" s="100" t="s">
        <v>144</v>
      </c>
      <c r="F2603" s="100" t="s">
        <v>285</v>
      </c>
    </row>
    <row r="2604" spans="1:6">
      <c r="A2604" s="248" t="s">
        <v>150</v>
      </c>
      <c r="B2604" s="249"/>
      <c r="C2604" s="249"/>
      <c r="D2604" s="249"/>
      <c r="E2604" s="100" t="s">
        <v>144</v>
      </c>
      <c r="F2604" s="100" t="s">
        <v>285</v>
      </c>
    </row>
    <row r="2605" spans="1:6">
      <c r="A2605" s="248" t="s">
        <v>151</v>
      </c>
      <c r="B2605" s="249"/>
      <c r="C2605" s="249"/>
      <c r="D2605" s="249"/>
      <c r="E2605" s="100" t="s">
        <v>144</v>
      </c>
      <c r="F2605" s="100" t="s">
        <v>285</v>
      </c>
    </row>
    <row r="2606" spans="1:6">
      <c r="A2606" s="248" t="s">
        <v>152</v>
      </c>
      <c r="B2606" s="249"/>
      <c r="C2606" s="249"/>
      <c r="D2606" s="249"/>
      <c r="E2606" s="100" t="s">
        <v>144</v>
      </c>
      <c r="F2606" s="100" t="s">
        <v>285</v>
      </c>
    </row>
    <row r="2607" spans="1:6">
      <c r="A2607" s="248" t="s">
        <v>153</v>
      </c>
      <c r="B2607" s="249"/>
      <c r="C2607" s="249"/>
      <c r="D2607" s="249"/>
      <c r="E2607" s="100" t="s">
        <v>144</v>
      </c>
      <c r="F2607" s="100" t="s">
        <v>285</v>
      </c>
    </row>
    <row r="2608" spans="1:6">
      <c r="A2608" s="248" t="s">
        <v>154</v>
      </c>
      <c r="B2608" s="249"/>
      <c r="C2608" s="249"/>
      <c r="D2608" s="249"/>
      <c r="E2608" s="100" t="s">
        <v>144</v>
      </c>
      <c r="F2608" s="100" t="s">
        <v>285</v>
      </c>
    </row>
    <row r="2609" spans="1:6">
      <c r="A2609" s="248" t="s">
        <v>155</v>
      </c>
      <c r="B2609" s="249"/>
      <c r="C2609" s="249"/>
      <c r="D2609" s="249"/>
      <c r="E2609" s="100" t="s">
        <v>144</v>
      </c>
      <c r="F2609" s="100" t="s">
        <v>285</v>
      </c>
    </row>
    <row r="2610" spans="1:6">
      <c r="A2610" s="248" t="s">
        <v>156</v>
      </c>
      <c r="B2610" s="249"/>
      <c r="C2610" s="249"/>
      <c r="D2610" s="249"/>
      <c r="E2610" s="100" t="s">
        <v>144</v>
      </c>
      <c r="F2610" s="100" t="s">
        <v>285</v>
      </c>
    </row>
    <row r="2611" spans="1:6">
      <c r="A2611" s="248" t="s">
        <v>157</v>
      </c>
      <c r="B2611" s="249"/>
      <c r="C2611" s="249"/>
      <c r="D2611" s="249"/>
      <c r="E2611" s="100" t="s">
        <v>144</v>
      </c>
      <c r="F2611" s="100" t="s">
        <v>285</v>
      </c>
    </row>
    <row r="2612" spans="1:6">
      <c r="A2612" s="248" t="s">
        <v>158</v>
      </c>
      <c r="B2612" s="249"/>
      <c r="C2612" s="249"/>
      <c r="D2612" s="249"/>
      <c r="E2612" s="100" t="s">
        <v>144</v>
      </c>
      <c r="F2612" s="100" t="s">
        <v>285</v>
      </c>
    </row>
    <row r="2613" spans="1:6">
      <c r="A2613" s="248" t="s">
        <v>159</v>
      </c>
      <c r="B2613" s="249"/>
      <c r="C2613" s="249"/>
      <c r="D2613" s="249"/>
      <c r="E2613" s="100" t="s">
        <v>144</v>
      </c>
      <c r="F2613" s="100" t="s">
        <v>285</v>
      </c>
    </row>
    <row r="2614" spans="1:6">
      <c r="A2614" s="242" t="s">
        <v>148</v>
      </c>
      <c r="B2614" s="235"/>
      <c r="C2614" s="235"/>
      <c r="D2614" s="235"/>
      <c r="E2614" s="100" t="s">
        <v>144</v>
      </c>
      <c r="F2614" s="100" t="s">
        <v>28</v>
      </c>
    </row>
    <row r="2615" spans="1:6">
      <c r="A2615" s="242" t="s">
        <v>149</v>
      </c>
      <c r="B2615" s="235"/>
      <c r="C2615" s="235"/>
      <c r="D2615" s="235"/>
      <c r="E2615" s="100" t="s">
        <v>144</v>
      </c>
      <c r="F2615" s="100" t="s">
        <v>28</v>
      </c>
    </row>
    <row r="2616" spans="1:6">
      <c r="A2616" s="242" t="s">
        <v>150</v>
      </c>
      <c r="B2616" s="235"/>
      <c r="C2616" s="235"/>
      <c r="D2616" s="235"/>
      <c r="E2616" s="100" t="s">
        <v>144</v>
      </c>
      <c r="F2616" s="100" t="s">
        <v>28</v>
      </c>
    </row>
    <row r="2617" spans="1:6">
      <c r="A2617" s="242" t="s">
        <v>151</v>
      </c>
      <c r="B2617" s="235"/>
      <c r="C2617" s="235"/>
      <c r="D2617" s="235"/>
      <c r="E2617" s="100" t="s">
        <v>144</v>
      </c>
      <c r="F2617" s="100" t="s">
        <v>28</v>
      </c>
    </row>
    <row r="2618" spans="1:6">
      <c r="A2618" s="242" t="s">
        <v>152</v>
      </c>
      <c r="B2618" s="235"/>
      <c r="C2618" s="235"/>
      <c r="D2618" s="235"/>
      <c r="E2618" s="100" t="s">
        <v>144</v>
      </c>
      <c r="F2618" s="100" t="s">
        <v>28</v>
      </c>
    </row>
    <row r="2619" spans="1:6">
      <c r="A2619" s="242" t="s">
        <v>153</v>
      </c>
      <c r="B2619" s="235"/>
      <c r="C2619" s="235"/>
      <c r="D2619" s="235"/>
      <c r="E2619" s="100" t="s">
        <v>144</v>
      </c>
      <c r="F2619" s="100" t="s">
        <v>28</v>
      </c>
    </row>
    <row r="2620" spans="1:6">
      <c r="A2620" s="242" t="s">
        <v>154</v>
      </c>
      <c r="B2620" s="235"/>
      <c r="C2620" s="235"/>
      <c r="D2620" s="235"/>
      <c r="E2620" s="100" t="s">
        <v>144</v>
      </c>
      <c r="F2620" s="100" t="s">
        <v>28</v>
      </c>
    </row>
    <row r="2621" spans="1:6">
      <c r="A2621" s="242" t="s">
        <v>155</v>
      </c>
      <c r="B2621" s="235"/>
      <c r="C2621" s="235"/>
      <c r="D2621" s="235"/>
      <c r="E2621" s="100" t="s">
        <v>144</v>
      </c>
      <c r="F2621" s="100" t="s">
        <v>28</v>
      </c>
    </row>
    <row r="2622" spans="1:6">
      <c r="A2622" s="242" t="s">
        <v>156</v>
      </c>
      <c r="B2622" s="235"/>
      <c r="C2622" s="235"/>
      <c r="D2622" s="235"/>
      <c r="E2622" s="100" t="s">
        <v>144</v>
      </c>
      <c r="F2622" s="100" t="s">
        <v>28</v>
      </c>
    </row>
    <row r="2623" spans="1:6">
      <c r="A2623" s="242" t="s">
        <v>157</v>
      </c>
      <c r="B2623" s="235"/>
      <c r="C2623" s="235"/>
      <c r="D2623" s="235"/>
      <c r="E2623" s="100" t="s">
        <v>144</v>
      </c>
      <c r="F2623" s="100" t="s">
        <v>28</v>
      </c>
    </row>
    <row r="2624" spans="1:6">
      <c r="A2624" s="242" t="s">
        <v>158</v>
      </c>
      <c r="B2624" s="235"/>
      <c r="C2624" s="235"/>
      <c r="D2624" s="235"/>
      <c r="E2624" s="100" t="s">
        <v>144</v>
      </c>
      <c r="F2624" s="100" t="s">
        <v>28</v>
      </c>
    </row>
    <row r="2625" spans="1:6">
      <c r="A2625" s="242" t="s">
        <v>159</v>
      </c>
      <c r="B2625" s="235"/>
      <c r="C2625" s="235"/>
      <c r="D2625" s="235"/>
      <c r="E2625" s="100" t="s">
        <v>144</v>
      </c>
      <c r="F2625" s="100" t="s">
        <v>28</v>
      </c>
    </row>
    <row r="2626" spans="1:6">
      <c r="A2626" s="248" t="s">
        <v>148</v>
      </c>
      <c r="B2626" s="249"/>
      <c r="C2626" s="249"/>
      <c r="D2626" s="249"/>
      <c r="E2626" s="100" t="s">
        <v>144</v>
      </c>
      <c r="F2626" s="250" t="s">
        <v>175</v>
      </c>
    </row>
    <row r="2627" spans="1:6">
      <c r="A2627" s="248" t="s">
        <v>149</v>
      </c>
      <c r="B2627" s="249"/>
      <c r="C2627" s="249"/>
      <c r="D2627" s="249"/>
      <c r="E2627" s="100" t="s">
        <v>144</v>
      </c>
      <c r="F2627" s="250" t="s">
        <v>175</v>
      </c>
    </row>
    <row r="2628" spans="1:6">
      <c r="A2628" s="248" t="s">
        <v>150</v>
      </c>
      <c r="B2628" s="249"/>
      <c r="C2628" s="249"/>
      <c r="D2628" s="249"/>
      <c r="E2628" s="100" t="s">
        <v>144</v>
      </c>
      <c r="F2628" s="250" t="s">
        <v>175</v>
      </c>
    </row>
    <row r="2629" spans="1:6">
      <c r="A2629" s="248" t="s">
        <v>151</v>
      </c>
      <c r="B2629" s="249"/>
      <c r="C2629" s="249"/>
      <c r="D2629" s="249"/>
      <c r="E2629" s="100" t="s">
        <v>144</v>
      </c>
      <c r="F2629" s="250" t="s">
        <v>175</v>
      </c>
    </row>
    <row r="2630" spans="1:6">
      <c r="A2630" s="248" t="s">
        <v>152</v>
      </c>
      <c r="B2630" s="249"/>
      <c r="C2630" s="249"/>
      <c r="D2630" s="249"/>
      <c r="E2630" s="100" t="s">
        <v>144</v>
      </c>
      <c r="F2630" s="250" t="s">
        <v>175</v>
      </c>
    </row>
    <row r="2631" spans="1:6">
      <c r="A2631" s="248" t="s">
        <v>153</v>
      </c>
      <c r="B2631" s="249"/>
      <c r="C2631" s="249"/>
      <c r="D2631" s="249"/>
      <c r="E2631" s="100" t="s">
        <v>144</v>
      </c>
      <c r="F2631" s="250" t="s">
        <v>175</v>
      </c>
    </row>
    <row r="2632" spans="1:6">
      <c r="A2632" s="248" t="s">
        <v>154</v>
      </c>
      <c r="B2632" s="249"/>
      <c r="C2632" s="249"/>
      <c r="D2632" s="249"/>
      <c r="E2632" s="100" t="s">
        <v>144</v>
      </c>
      <c r="F2632" s="250" t="s">
        <v>175</v>
      </c>
    </row>
    <row r="2633" spans="1:6">
      <c r="A2633" s="248" t="s">
        <v>155</v>
      </c>
      <c r="B2633" s="249"/>
      <c r="C2633" s="249"/>
      <c r="D2633" s="249"/>
      <c r="E2633" s="100" t="s">
        <v>144</v>
      </c>
      <c r="F2633" s="250" t="s">
        <v>175</v>
      </c>
    </row>
    <row r="2634" spans="1:6">
      <c r="A2634" s="248" t="s">
        <v>156</v>
      </c>
      <c r="B2634" s="249"/>
      <c r="C2634" s="249"/>
      <c r="D2634" s="249"/>
      <c r="E2634" s="100" t="s">
        <v>144</v>
      </c>
      <c r="F2634" s="250" t="s">
        <v>175</v>
      </c>
    </row>
    <row r="2635" spans="1:6">
      <c r="A2635" s="248" t="s">
        <v>157</v>
      </c>
      <c r="B2635" s="249"/>
      <c r="C2635" s="249"/>
      <c r="D2635" s="249"/>
      <c r="E2635" s="100" t="s">
        <v>144</v>
      </c>
      <c r="F2635" s="250" t="s">
        <v>175</v>
      </c>
    </row>
    <row r="2636" spans="1:6">
      <c r="A2636" s="248" t="s">
        <v>158</v>
      </c>
      <c r="B2636" s="249"/>
      <c r="C2636" s="249"/>
      <c r="D2636" s="249"/>
      <c r="E2636" s="100" t="s">
        <v>144</v>
      </c>
      <c r="F2636" s="250" t="s">
        <v>175</v>
      </c>
    </row>
    <row r="2637" spans="1:6">
      <c r="A2637" s="248" t="s">
        <v>159</v>
      </c>
      <c r="B2637" s="249"/>
      <c r="C2637" s="249"/>
      <c r="D2637" s="249"/>
      <c r="E2637" s="100" t="s">
        <v>144</v>
      </c>
      <c r="F2637" s="250" t="s">
        <v>175</v>
      </c>
    </row>
    <row r="2638" spans="1:6">
      <c r="A2638" s="242" t="s">
        <v>148</v>
      </c>
      <c r="B2638" s="235"/>
      <c r="C2638" s="235"/>
      <c r="D2638" s="235"/>
      <c r="E2638" s="100" t="s">
        <v>145</v>
      </c>
      <c r="F2638" s="100" t="s">
        <v>284</v>
      </c>
    </row>
    <row r="2639" spans="1:6">
      <c r="A2639" s="242" t="s">
        <v>149</v>
      </c>
      <c r="B2639" s="235"/>
      <c r="C2639" s="235"/>
      <c r="D2639" s="235"/>
      <c r="E2639" s="100" t="s">
        <v>145</v>
      </c>
      <c r="F2639" s="100" t="s">
        <v>284</v>
      </c>
    </row>
    <row r="2640" spans="1:6">
      <c r="A2640" s="242" t="s">
        <v>150</v>
      </c>
      <c r="B2640" s="235"/>
      <c r="C2640" s="235"/>
      <c r="D2640" s="235"/>
      <c r="E2640" s="100" t="s">
        <v>145</v>
      </c>
      <c r="F2640" s="100" t="s">
        <v>284</v>
      </c>
    </row>
    <row r="2641" spans="1:6">
      <c r="A2641" s="242" t="s">
        <v>151</v>
      </c>
      <c r="B2641" s="235"/>
      <c r="C2641" s="235"/>
      <c r="D2641" s="235"/>
      <c r="E2641" s="100" t="s">
        <v>145</v>
      </c>
      <c r="F2641" s="100" t="s">
        <v>284</v>
      </c>
    </row>
    <row r="2642" spans="1:6">
      <c r="A2642" s="242" t="s">
        <v>152</v>
      </c>
      <c r="B2642" s="235"/>
      <c r="C2642" s="235"/>
      <c r="D2642" s="235"/>
      <c r="E2642" s="100" t="s">
        <v>145</v>
      </c>
      <c r="F2642" s="100" t="s">
        <v>284</v>
      </c>
    </row>
    <row r="2643" spans="1:6">
      <c r="A2643" s="242" t="s">
        <v>153</v>
      </c>
      <c r="B2643" s="235"/>
      <c r="C2643" s="235"/>
      <c r="D2643" s="235"/>
      <c r="E2643" s="100" t="s">
        <v>145</v>
      </c>
      <c r="F2643" s="100" t="s">
        <v>284</v>
      </c>
    </row>
    <row r="2644" spans="1:6">
      <c r="A2644" s="242" t="s">
        <v>154</v>
      </c>
      <c r="B2644" s="235"/>
      <c r="C2644" s="235"/>
      <c r="D2644" s="235"/>
      <c r="E2644" s="100" t="s">
        <v>145</v>
      </c>
      <c r="F2644" s="100" t="s">
        <v>284</v>
      </c>
    </row>
    <row r="2645" spans="1:6">
      <c r="A2645" s="242" t="s">
        <v>155</v>
      </c>
      <c r="B2645" s="235"/>
      <c r="C2645" s="235"/>
      <c r="D2645" s="235"/>
      <c r="E2645" s="100" t="s">
        <v>145</v>
      </c>
      <c r="F2645" s="100" t="s">
        <v>284</v>
      </c>
    </row>
    <row r="2646" spans="1:6">
      <c r="A2646" s="242" t="s">
        <v>156</v>
      </c>
      <c r="B2646" s="235"/>
      <c r="C2646" s="235"/>
      <c r="D2646" s="235"/>
      <c r="E2646" s="100" t="s">
        <v>145</v>
      </c>
      <c r="F2646" s="100" t="s">
        <v>284</v>
      </c>
    </row>
    <row r="2647" spans="1:6">
      <c r="A2647" s="242" t="s">
        <v>157</v>
      </c>
      <c r="B2647" s="235"/>
      <c r="C2647" s="235"/>
      <c r="D2647" s="235"/>
      <c r="E2647" s="100" t="s">
        <v>145</v>
      </c>
      <c r="F2647" s="100" t="s">
        <v>284</v>
      </c>
    </row>
    <row r="2648" spans="1:6">
      <c r="A2648" s="242" t="s">
        <v>158</v>
      </c>
      <c r="B2648" s="235"/>
      <c r="C2648" s="235"/>
      <c r="D2648" s="235"/>
      <c r="E2648" s="100" t="s">
        <v>145</v>
      </c>
      <c r="F2648" s="100" t="s">
        <v>284</v>
      </c>
    </row>
    <row r="2649" spans="1:6">
      <c r="A2649" s="242" t="s">
        <v>159</v>
      </c>
      <c r="B2649" s="235"/>
      <c r="C2649" s="235"/>
      <c r="D2649" s="235"/>
      <c r="E2649" s="100" t="s">
        <v>145</v>
      </c>
      <c r="F2649" s="100" t="s">
        <v>284</v>
      </c>
    </row>
    <row r="2650" spans="1:6">
      <c r="A2650" s="248" t="s">
        <v>148</v>
      </c>
      <c r="B2650" s="249"/>
      <c r="C2650" s="249"/>
      <c r="D2650" s="249"/>
      <c r="E2650" s="100" t="s">
        <v>145</v>
      </c>
      <c r="F2650" s="100" t="s">
        <v>286</v>
      </c>
    </row>
    <row r="2651" spans="1:6">
      <c r="A2651" s="248" t="s">
        <v>149</v>
      </c>
      <c r="B2651" s="249"/>
      <c r="C2651" s="249"/>
      <c r="D2651" s="249"/>
      <c r="E2651" s="100" t="s">
        <v>145</v>
      </c>
      <c r="F2651" s="100" t="s">
        <v>286</v>
      </c>
    </row>
    <row r="2652" spans="1:6">
      <c r="A2652" s="248" t="s">
        <v>150</v>
      </c>
      <c r="B2652" s="249"/>
      <c r="C2652" s="249"/>
      <c r="D2652" s="249"/>
      <c r="E2652" s="100" t="s">
        <v>145</v>
      </c>
      <c r="F2652" s="100" t="s">
        <v>286</v>
      </c>
    </row>
    <row r="2653" spans="1:6">
      <c r="A2653" s="248" t="s">
        <v>151</v>
      </c>
      <c r="B2653" s="249"/>
      <c r="C2653" s="249"/>
      <c r="D2653" s="249"/>
      <c r="E2653" s="100" t="s">
        <v>145</v>
      </c>
      <c r="F2653" s="100" t="s">
        <v>286</v>
      </c>
    </row>
    <row r="2654" spans="1:6">
      <c r="A2654" s="248" t="s">
        <v>152</v>
      </c>
      <c r="B2654" s="249"/>
      <c r="C2654" s="249"/>
      <c r="D2654" s="249"/>
      <c r="E2654" s="100" t="s">
        <v>145</v>
      </c>
      <c r="F2654" s="100" t="s">
        <v>286</v>
      </c>
    </row>
    <row r="2655" spans="1:6">
      <c r="A2655" s="248" t="s">
        <v>153</v>
      </c>
      <c r="B2655" s="249"/>
      <c r="C2655" s="249"/>
      <c r="D2655" s="249"/>
      <c r="E2655" s="100" t="s">
        <v>145</v>
      </c>
      <c r="F2655" s="100" t="s">
        <v>286</v>
      </c>
    </row>
    <row r="2656" spans="1:6">
      <c r="A2656" s="248" t="s">
        <v>154</v>
      </c>
      <c r="B2656" s="249"/>
      <c r="C2656" s="249"/>
      <c r="D2656" s="249"/>
      <c r="E2656" s="100" t="s">
        <v>145</v>
      </c>
      <c r="F2656" s="100" t="s">
        <v>286</v>
      </c>
    </row>
    <row r="2657" spans="1:6">
      <c r="A2657" s="248" t="s">
        <v>155</v>
      </c>
      <c r="B2657" s="249"/>
      <c r="C2657" s="249"/>
      <c r="D2657" s="249"/>
      <c r="E2657" s="100" t="s">
        <v>145</v>
      </c>
      <c r="F2657" s="100" t="s">
        <v>286</v>
      </c>
    </row>
    <row r="2658" spans="1:6">
      <c r="A2658" s="248" t="s">
        <v>156</v>
      </c>
      <c r="B2658" s="249"/>
      <c r="C2658" s="249"/>
      <c r="D2658" s="249"/>
      <c r="E2658" s="100" t="s">
        <v>145</v>
      </c>
      <c r="F2658" s="100" t="s">
        <v>286</v>
      </c>
    </row>
    <row r="2659" spans="1:6">
      <c r="A2659" s="248" t="s">
        <v>157</v>
      </c>
      <c r="B2659" s="249"/>
      <c r="C2659" s="249"/>
      <c r="D2659" s="249"/>
      <c r="E2659" s="100" t="s">
        <v>145</v>
      </c>
      <c r="F2659" s="100" t="s">
        <v>286</v>
      </c>
    </row>
    <row r="2660" spans="1:6">
      <c r="A2660" s="248" t="s">
        <v>158</v>
      </c>
      <c r="B2660" s="249"/>
      <c r="C2660" s="249"/>
      <c r="D2660" s="249"/>
      <c r="E2660" s="100" t="s">
        <v>145</v>
      </c>
      <c r="F2660" s="100" t="s">
        <v>286</v>
      </c>
    </row>
    <row r="2661" spans="1:6">
      <c r="A2661" s="248" t="s">
        <v>159</v>
      </c>
      <c r="B2661" s="249"/>
      <c r="C2661" s="249"/>
      <c r="D2661" s="249"/>
      <c r="E2661" s="100" t="s">
        <v>145</v>
      </c>
      <c r="F2661" s="100" t="s">
        <v>286</v>
      </c>
    </row>
    <row r="2662" spans="1:6">
      <c r="A2662" s="242" t="s">
        <v>148</v>
      </c>
      <c r="B2662" s="235"/>
      <c r="C2662" s="235"/>
      <c r="D2662" s="235"/>
      <c r="E2662" s="100" t="s">
        <v>145</v>
      </c>
      <c r="F2662" s="100" t="s">
        <v>313</v>
      </c>
    </row>
    <row r="2663" spans="1:6">
      <c r="A2663" s="242" t="s">
        <v>149</v>
      </c>
      <c r="B2663" s="235"/>
      <c r="C2663" s="235"/>
      <c r="D2663" s="235"/>
      <c r="E2663" s="100" t="s">
        <v>145</v>
      </c>
      <c r="F2663" s="100" t="s">
        <v>313</v>
      </c>
    </row>
    <row r="2664" spans="1:6">
      <c r="A2664" s="242" t="s">
        <v>150</v>
      </c>
      <c r="B2664" s="235"/>
      <c r="C2664" s="235"/>
      <c r="D2664" s="235"/>
      <c r="E2664" s="100" t="s">
        <v>145</v>
      </c>
      <c r="F2664" s="100" t="s">
        <v>313</v>
      </c>
    </row>
    <row r="2665" spans="1:6">
      <c r="A2665" s="242" t="s">
        <v>151</v>
      </c>
      <c r="B2665" s="235"/>
      <c r="C2665" s="235"/>
      <c r="D2665" s="235"/>
      <c r="E2665" s="100" t="s">
        <v>145</v>
      </c>
      <c r="F2665" s="100" t="s">
        <v>313</v>
      </c>
    </row>
    <row r="2666" spans="1:6">
      <c r="A2666" s="242" t="s">
        <v>152</v>
      </c>
      <c r="B2666" s="235"/>
      <c r="C2666" s="235"/>
      <c r="D2666" s="235"/>
      <c r="E2666" s="100" t="s">
        <v>145</v>
      </c>
      <c r="F2666" s="100" t="s">
        <v>313</v>
      </c>
    </row>
    <row r="2667" spans="1:6">
      <c r="A2667" s="242" t="s">
        <v>153</v>
      </c>
      <c r="B2667" s="235"/>
      <c r="C2667" s="235"/>
      <c r="D2667" s="235"/>
      <c r="E2667" s="100" t="s">
        <v>145</v>
      </c>
      <c r="F2667" s="100" t="s">
        <v>313</v>
      </c>
    </row>
    <row r="2668" spans="1:6">
      <c r="A2668" s="242" t="s">
        <v>154</v>
      </c>
      <c r="B2668" s="235"/>
      <c r="C2668" s="235"/>
      <c r="D2668" s="235"/>
      <c r="E2668" s="100" t="s">
        <v>145</v>
      </c>
      <c r="F2668" s="100" t="s">
        <v>313</v>
      </c>
    </row>
    <row r="2669" spans="1:6">
      <c r="A2669" s="242" t="s">
        <v>155</v>
      </c>
      <c r="B2669" s="235"/>
      <c r="C2669" s="235"/>
      <c r="D2669" s="235"/>
      <c r="E2669" s="100" t="s">
        <v>145</v>
      </c>
      <c r="F2669" s="100" t="s">
        <v>313</v>
      </c>
    </row>
    <row r="2670" spans="1:6">
      <c r="A2670" s="242" t="s">
        <v>156</v>
      </c>
      <c r="B2670" s="235"/>
      <c r="C2670" s="235"/>
      <c r="D2670" s="235"/>
      <c r="E2670" s="100" t="s">
        <v>145</v>
      </c>
      <c r="F2670" s="100" t="s">
        <v>313</v>
      </c>
    </row>
    <row r="2671" spans="1:6">
      <c r="A2671" s="242" t="s">
        <v>157</v>
      </c>
      <c r="B2671" s="235"/>
      <c r="C2671" s="235"/>
      <c r="D2671" s="235"/>
      <c r="E2671" s="100" t="s">
        <v>145</v>
      </c>
      <c r="F2671" s="100" t="s">
        <v>313</v>
      </c>
    </row>
    <row r="2672" spans="1:6">
      <c r="A2672" s="242" t="s">
        <v>158</v>
      </c>
      <c r="B2672" s="235"/>
      <c r="C2672" s="235"/>
      <c r="D2672" s="235"/>
      <c r="E2672" s="100" t="s">
        <v>145</v>
      </c>
      <c r="F2672" s="100" t="s">
        <v>313</v>
      </c>
    </row>
    <row r="2673" spans="1:6">
      <c r="A2673" s="242" t="s">
        <v>159</v>
      </c>
      <c r="B2673" s="235"/>
      <c r="C2673" s="235"/>
      <c r="D2673" s="235"/>
      <c r="E2673" s="100" t="s">
        <v>145</v>
      </c>
      <c r="F2673" s="100" t="s">
        <v>313</v>
      </c>
    </row>
    <row r="2674" spans="1:6">
      <c r="A2674" s="248" t="s">
        <v>148</v>
      </c>
      <c r="B2674" s="249"/>
      <c r="C2674" s="249"/>
      <c r="D2674" s="249"/>
      <c r="E2674" s="100" t="s">
        <v>145</v>
      </c>
      <c r="F2674" s="100" t="s">
        <v>285</v>
      </c>
    </row>
    <row r="2675" spans="1:6">
      <c r="A2675" s="248" t="s">
        <v>149</v>
      </c>
      <c r="B2675" s="249"/>
      <c r="C2675" s="249"/>
      <c r="D2675" s="249"/>
      <c r="E2675" s="100" t="s">
        <v>145</v>
      </c>
      <c r="F2675" s="100" t="s">
        <v>285</v>
      </c>
    </row>
    <row r="2676" spans="1:6">
      <c r="A2676" s="248" t="s">
        <v>150</v>
      </c>
      <c r="B2676" s="249"/>
      <c r="C2676" s="249"/>
      <c r="D2676" s="249"/>
      <c r="E2676" s="100" t="s">
        <v>145</v>
      </c>
      <c r="F2676" s="100" t="s">
        <v>285</v>
      </c>
    </row>
    <row r="2677" spans="1:6">
      <c r="A2677" s="248" t="s">
        <v>151</v>
      </c>
      <c r="B2677" s="249"/>
      <c r="C2677" s="249"/>
      <c r="D2677" s="249"/>
      <c r="E2677" s="100" t="s">
        <v>145</v>
      </c>
      <c r="F2677" s="100" t="s">
        <v>285</v>
      </c>
    </row>
    <row r="2678" spans="1:6">
      <c r="A2678" s="248" t="s">
        <v>152</v>
      </c>
      <c r="B2678" s="249"/>
      <c r="C2678" s="249"/>
      <c r="D2678" s="249"/>
      <c r="E2678" s="100" t="s">
        <v>145</v>
      </c>
      <c r="F2678" s="100" t="s">
        <v>285</v>
      </c>
    </row>
    <row r="2679" spans="1:6">
      <c r="A2679" s="248" t="s">
        <v>153</v>
      </c>
      <c r="B2679" s="249"/>
      <c r="C2679" s="249"/>
      <c r="D2679" s="249"/>
      <c r="E2679" s="100" t="s">
        <v>145</v>
      </c>
      <c r="F2679" s="100" t="s">
        <v>285</v>
      </c>
    </row>
    <row r="2680" spans="1:6">
      <c r="A2680" s="248" t="s">
        <v>154</v>
      </c>
      <c r="B2680" s="249"/>
      <c r="C2680" s="249"/>
      <c r="D2680" s="249"/>
      <c r="E2680" s="100" t="s">
        <v>145</v>
      </c>
      <c r="F2680" s="100" t="s">
        <v>285</v>
      </c>
    </row>
    <row r="2681" spans="1:6">
      <c r="A2681" s="248" t="s">
        <v>155</v>
      </c>
      <c r="B2681" s="249"/>
      <c r="C2681" s="249"/>
      <c r="D2681" s="249"/>
      <c r="E2681" s="100" t="s">
        <v>145</v>
      </c>
      <c r="F2681" s="100" t="s">
        <v>285</v>
      </c>
    </row>
    <row r="2682" spans="1:6">
      <c r="A2682" s="248" t="s">
        <v>156</v>
      </c>
      <c r="B2682" s="249"/>
      <c r="C2682" s="249"/>
      <c r="D2682" s="249"/>
      <c r="E2682" s="100" t="s">
        <v>145</v>
      </c>
      <c r="F2682" s="100" t="s">
        <v>285</v>
      </c>
    </row>
    <row r="2683" spans="1:6">
      <c r="A2683" s="248" t="s">
        <v>157</v>
      </c>
      <c r="B2683" s="249"/>
      <c r="C2683" s="249"/>
      <c r="D2683" s="249"/>
      <c r="E2683" s="100" t="s">
        <v>145</v>
      </c>
      <c r="F2683" s="100" t="s">
        <v>285</v>
      </c>
    </row>
    <row r="2684" spans="1:6">
      <c r="A2684" s="248" t="s">
        <v>158</v>
      </c>
      <c r="B2684" s="249"/>
      <c r="C2684" s="249"/>
      <c r="D2684" s="249"/>
      <c r="E2684" s="100" t="s">
        <v>145</v>
      </c>
      <c r="F2684" s="100" t="s">
        <v>285</v>
      </c>
    </row>
    <row r="2685" spans="1:6">
      <c r="A2685" s="248" t="s">
        <v>159</v>
      </c>
      <c r="B2685" s="249"/>
      <c r="C2685" s="249"/>
      <c r="D2685" s="249"/>
      <c r="E2685" s="100" t="s">
        <v>145</v>
      </c>
      <c r="F2685" s="100" t="s">
        <v>285</v>
      </c>
    </row>
    <row r="2686" spans="1:6">
      <c r="A2686" s="242" t="s">
        <v>148</v>
      </c>
      <c r="B2686" s="235"/>
      <c r="C2686" s="235"/>
      <c r="D2686" s="235"/>
      <c r="E2686" s="100" t="s">
        <v>145</v>
      </c>
      <c r="F2686" s="100" t="s">
        <v>28</v>
      </c>
    </row>
    <row r="2687" spans="1:6">
      <c r="A2687" s="242" t="s">
        <v>149</v>
      </c>
      <c r="B2687" s="235"/>
      <c r="C2687" s="235"/>
      <c r="D2687" s="235"/>
      <c r="E2687" s="100" t="s">
        <v>145</v>
      </c>
      <c r="F2687" s="100" t="s">
        <v>28</v>
      </c>
    </row>
    <row r="2688" spans="1:6">
      <c r="A2688" s="242" t="s">
        <v>150</v>
      </c>
      <c r="B2688" s="235"/>
      <c r="C2688" s="235"/>
      <c r="D2688" s="235"/>
      <c r="E2688" s="100" t="s">
        <v>145</v>
      </c>
      <c r="F2688" s="100" t="s">
        <v>28</v>
      </c>
    </row>
    <row r="2689" spans="1:6">
      <c r="A2689" s="242" t="s">
        <v>151</v>
      </c>
      <c r="B2689" s="235"/>
      <c r="C2689" s="235"/>
      <c r="D2689" s="235"/>
      <c r="E2689" s="100" t="s">
        <v>145</v>
      </c>
      <c r="F2689" s="100" t="s">
        <v>28</v>
      </c>
    </row>
    <row r="2690" spans="1:6">
      <c r="A2690" s="242" t="s">
        <v>152</v>
      </c>
      <c r="B2690" s="235"/>
      <c r="C2690" s="235"/>
      <c r="D2690" s="235"/>
      <c r="E2690" s="100" t="s">
        <v>145</v>
      </c>
      <c r="F2690" s="100" t="s">
        <v>28</v>
      </c>
    </row>
    <row r="2691" spans="1:6">
      <c r="A2691" s="242" t="s">
        <v>153</v>
      </c>
      <c r="B2691" s="235"/>
      <c r="C2691" s="235"/>
      <c r="D2691" s="235"/>
      <c r="E2691" s="100" t="s">
        <v>145</v>
      </c>
      <c r="F2691" s="100" t="s">
        <v>28</v>
      </c>
    </row>
    <row r="2692" spans="1:6">
      <c r="A2692" s="242" t="s">
        <v>154</v>
      </c>
      <c r="B2692" s="235"/>
      <c r="C2692" s="235"/>
      <c r="D2692" s="235"/>
      <c r="E2692" s="100" t="s">
        <v>145</v>
      </c>
      <c r="F2692" s="100" t="s">
        <v>28</v>
      </c>
    </row>
    <row r="2693" spans="1:6">
      <c r="A2693" s="242" t="s">
        <v>155</v>
      </c>
      <c r="B2693" s="235"/>
      <c r="C2693" s="235"/>
      <c r="D2693" s="235"/>
      <c r="E2693" s="100" t="s">
        <v>145</v>
      </c>
      <c r="F2693" s="100" t="s">
        <v>28</v>
      </c>
    </row>
    <row r="2694" spans="1:6">
      <c r="A2694" s="242" t="s">
        <v>156</v>
      </c>
      <c r="B2694" s="235"/>
      <c r="C2694" s="235"/>
      <c r="D2694" s="235"/>
      <c r="E2694" s="100" t="s">
        <v>145</v>
      </c>
      <c r="F2694" s="100" t="s">
        <v>28</v>
      </c>
    </row>
    <row r="2695" spans="1:6">
      <c r="A2695" s="242" t="s">
        <v>157</v>
      </c>
      <c r="B2695" s="235"/>
      <c r="C2695" s="235"/>
      <c r="D2695" s="235"/>
      <c r="E2695" s="100" t="s">
        <v>145</v>
      </c>
      <c r="F2695" s="100" t="s">
        <v>28</v>
      </c>
    </row>
    <row r="2696" spans="1:6">
      <c r="A2696" s="242" t="s">
        <v>158</v>
      </c>
      <c r="B2696" s="235"/>
      <c r="C2696" s="235"/>
      <c r="D2696" s="235"/>
      <c r="E2696" s="100" t="s">
        <v>145</v>
      </c>
      <c r="F2696" s="100" t="s">
        <v>28</v>
      </c>
    </row>
    <row r="2697" spans="1:6">
      <c r="A2697" s="242" t="s">
        <v>159</v>
      </c>
      <c r="B2697" s="235"/>
      <c r="C2697" s="235"/>
      <c r="D2697" s="235"/>
      <c r="E2697" s="100" t="s">
        <v>145</v>
      </c>
      <c r="F2697" s="100" t="s">
        <v>28</v>
      </c>
    </row>
    <row r="2698" spans="1:6">
      <c r="A2698" s="248" t="s">
        <v>148</v>
      </c>
      <c r="B2698" s="249"/>
      <c r="C2698" s="249"/>
      <c r="D2698" s="249"/>
      <c r="E2698" s="100" t="s">
        <v>145</v>
      </c>
      <c r="F2698" s="250" t="s">
        <v>175</v>
      </c>
    </row>
    <row r="2699" spans="1:6">
      <c r="A2699" s="248" t="s">
        <v>149</v>
      </c>
      <c r="B2699" s="249"/>
      <c r="C2699" s="249"/>
      <c r="D2699" s="249"/>
      <c r="E2699" s="100" t="s">
        <v>145</v>
      </c>
      <c r="F2699" s="250" t="s">
        <v>175</v>
      </c>
    </row>
    <row r="2700" spans="1:6">
      <c r="A2700" s="248" t="s">
        <v>150</v>
      </c>
      <c r="B2700" s="249"/>
      <c r="C2700" s="249"/>
      <c r="D2700" s="249"/>
      <c r="E2700" s="100" t="s">
        <v>145</v>
      </c>
      <c r="F2700" s="250" t="s">
        <v>175</v>
      </c>
    </row>
    <row r="2701" spans="1:6">
      <c r="A2701" s="248" t="s">
        <v>151</v>
      </c>
      <c r="B2701" s="249"/>
      <c r="C2701" s="249"/>
      <c r="D2701" s="249"/>
      <c r="E2701" s="100" t="s">
        <v>145</v>
      </c>
      <c r="F2701" s="250" t="s">
        <v>175</v>
      </c>
    </row>
    <row r="2702" spans="1:6">
      <c r="A2702" s="248" t="s">
        <v>152</v>
      </c>
      <c r="B2702" s="249"/>
      <c r="C2702" s="249"/>
      <c r="D2702" s="249"/>
      <c r="E2702" s="100" t="s">
        <v>145</v>
      </c>
      <c r="F2702" s="250" t="s">
        <v>175</v>
      </c>
    </row>
    <row r="2703" spans="1:6">
      <c r="A2703" s="248" t="s">
        <v>153</v>
      </c>
      <c r="B2703" s="249"/>
      <c r="C2703" s="249"/>
      <c r="D2703" s="249"/>
      <c r="E2703" s="100" t="s">
        <v>145</v>
      </c>
      <c r="F2703" s="250" t="s">
        <v>175</v>
      </c>
    </row>
    <row r="2704" spans="1:6">
      <c r="A2704" s="248" t="s">
        <v>154</v>
      </c>
      <c r="B2704" s="249"/>
      <c r="C2704" s="249"/>
      <c r="D2704" s="249"/>
      <c r="E2704" s="100" t="s">
        <v>145</v>
      </c>
      <c r="F2704" s="250" t="s">
        <v>175</v>
      </c>
    </row>
    <row r="2705" spans="1:6">
      <c r="A2705" s="248" t="s">
        <v>155</v>
      </c>
      <c r="B2705" s="249"/>
      <c r="C2705" s="249"/>
      <c r="D2705" s="249"/>
      <c r="E2705" s="100" t="s">
        <v>145</v>
      </c>
      <c r="F2705" s="250" t="s">
        <v>175</v>
      </c>
    </row>
    <row r="2706" spans="1:6">
      <c r="A2706" s="248" t="s">
        <v>156</v>
      </c>
      <c r="B2706" s="249"/>
      <c r="C2706" s="249"/>
      <c r="D2706" s="249"/>
      <c r="E2706" s="100" t="s">
        <v>145</v>
      </c>
      <c r="F2706" s="250" t="s">
        <v>175</v>
      </c>
    </row>
    <row r="2707" spans="1:6">
      <c r="A2707" s="248" t="s">
        <v>157</v>
      </c>
      <c r="B2707" s="249"/>
      <c r="C2707" s="249"/>
      <c r="D2707" s="249"/>
      <c r="E2707" s="100" t="s">
        <v>145</v>
      </c>
      <c r="F2707" s="250" t="s">
        <v>175</v>
      </c>
    </row>
    <row r="2708" spans="1:6">
      <c r="A2708" s="248" t="s">
        <v>158</v>
      </c>
      <c r="B2708" s="249"/>
      <c r="C2708" s="249"/>
      <c r="D2708" s="249"/>
      <c r="E2708" s="100" t="s">
        <v>145</v>
      </c>
      <c r="F2708" s="250" t="s">
        <v>175</v>
      </c>
    </row>
    <row r="2709" spans="1:6">
      <c r="A2709" s="248" t="s">
        <v>159</v>
      </c>
      <c r="B2709" s="249"/>
      <c r="C2709" s="249"/>
      <c r="D2709" s="249"/>
      <c r="E2709" s="100" t="s">
        <v>145</v>
      </c>
      <c r="F2709" s="250" t="s">
        <v>175</v>
      </c>
    </row>
  </sheetData>
  <autoFilter ref="A240:O762" xr:uid="{00000000-0009-0000-0000-000012000000}"/>
  <sortState xmlns:xlrd2="http://schemas.microsoft.com/office/spreadsheetml/2017/richdata2" ref="P209:W235">
    <sortCondition ref="P210:P236"/>
  </sortState>
  <mergeCells count="70">
    <mergeCell ref="A171:N171"/>
    <mergeCell ref="P171:AC171"/>
    <mergeCell ref="AE171:AR171"/>
    <mergeCell ref="A173:A174"/>
    <mergeCell ref="B173:M173"/>
    <mergeCell ref="P173:P174"/>
    <mergeCell ref="Q173:AB173"/>
    <mergeCell ref="AE173:AE174"/>
    <mergeCell ref="AF173:AQ173"/>
    <mergeCell ref="A137:N137"/>
    <mergeCell ref="P137:AC137"/>
    <mergeCell ref="AE137:AR137"/>
    <mergeCell ref="A139:A140"/>
    <mergeCell ref="B139:M139"/>
    <mergeCell ref="P139:P140"/>
    <mergeCell ref="Q139:AB139"/>
    <mergeCell ref="AE139:AE140"/>
    <mergeCell ref="AF139:AQ139"/>
    <mergeCell ref="A103:N103"/>
    <mergeCell ref="P103:AC103"/>
    <mergeCell ref="AE103:AR103"/>
    <mergeCell ref="A105:A106"/>
    <mergeCell ref="B105:M105"/>
    <mergeCell ref="P105:P106"/>
    <mergeCell ref="Q105:AB105"/>
    <mergeCell ref="AE105:AE106"/>
    <mergeCell ref="AF105:AQ105"/>
    <mergeCell ref="A69:N69"/>
    <mergeCell ref="P69:AC69"/>
    <mergeCell ref="AE69:AR69"/>
    <mergeCell ref="A71:A72"/>
    <mergeCell ref="B71:M71"/>
    <mergeCell ref="P71:P72"/>
    <mergeCell ref="Q71:AB71"/>
    <mergeCell ref="AE71:AE72"/>
    <mergeCell ref="AF71:AQ71"/>
    <mergeCell ref="A35:N35"/>
    <mergeCell ref="P35:AC35"/>
    <mergeCell ref="AE35:AR35"/>
    <mergeCell ref="A37:A38"/>
    <mergeCell ref="B37:M37"/>
    <mergeCell ref="P37:P38"/>
    <mergeCell ref="Q37:AB37"/>
    <mergeCell ref="AE37:AE38"/>
    <mergeCell ref="AF37:AQ37"/>
    <mergeCell ref="AE1:AR1"/>
    <mergeCell ref="A1:N1"/>
    <mergeCell ref="A3:A4"/>
    <mergeCell ref="B3:M3"/>
    <mergeCell ref="P1:AC1"/>
    <mergeCell ref="P3:P4"/>
    <mergeCell ref="Q3:AB3"/>
    <mergeCell ref="AE3:AE4"/>
    <mergeCell ref="AF3:AQ3"/>
    <mergeCell ref="Q205:W205"/>
    <mergeCell ref="A205:A208"/>
    <mergeCell ref="B205:H205"/>
    <mergeCell ref="B206:H206"/>
    <mergeCell ref="B207:C207"/>
    <mergeCell ref="D207:E207"/>
    <mergeCell ref="F207:F208"/>
    <mergeCell ref="G207:G208"/>
    <mergeCell ref="H207:H208"/>
    <mergeCell ref="S207:T207"/>
    <mergeCell ref="U207:U208"/>
    <mergeCell ref="V207:V208"/>
    <mergeCell ref="W207:W208"/>
    <mergeCell ref="P205:P208"/>
    <mergeCell ref="Q206:W206"/>
    <mergeCell ref="Q207:R207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AL136"/>
  <sheetViews>
    <sheetView topLeftCell="A63" zoomScale="85" zoomScaleNormal="85" workbookViewId="0">
      <selection activeCell="A2" sqref="A2:AC37"/>
    </sheetView>
  </sheetViews>
  <sheetFormatPr defaultRowHeight="15"/>
  <cols>
    <col min="1" max="1" width="23.140625" customWidth="1"/>
    <col min="2" max="2" width="13.85546875" bestFit="1" customWidth="1"/>
    <col min="3" max="3" width="16" customWidth="1"/>
    <col min="4" max="4" width="13.28515625" customWidth="1"/>
    <col min="5" max="5" width="13.42578125" bestFit="1" customWidth="1"/>
    <col min="6" max="6" width="13.85546875" bestFit="1" customWidth="1"/>
    <col min="7" max="7" width="19.7109375" bestFit="1" customWidth="1"/>
    <col min="8" max="8" width="11.28515625" bestFit="1" customWidth="1"/>
    <col min="9" max="9" width="15.7109375" bestFit="1" customWidth="1"/>
    <col min="10" max="10" width="13.140625" customWidth="1"/>
    <col min="11" max="11" width="20.42578125" bestFit="1" customWidth="1"/>
    <col min="12" max="14" width="20.28515625" customWidth="1"/>
    <col min="15" max="16" width="14.28515625" bestFit="1" customWidth="1"/>
    <col min="17" max="17" width="11.5703125" bestFit="1" customWidth="1"/>
    <col min="18" max="18" width="22.140625" style="20" customWidth="1"/>
    <col min="19" max="19" width="14.42578125" customWidth="1"/>
    <col min="20" max="23" width="13.42578125" customWidth="1"/>
    <col min="24" max="24" width="17.28515625" customWidth="1"/>
    <col min="25" max="26" width="13.42578125" customWidth="1"/>
    <col min="27" max="27" width="14.42578125" customWidth="1"/>
    <col min="28" max="28" width="15.140625" customWidth="1"/>
    <col min="29" max="33" width="13.42578125" customWidth="1"/>
    <col min="34" max="34" width="15.42578125" customWidth="1"/>
  </cols>
  <sheetData>
    <row r="2" spans="1:38" ht="46.5">
      <c r="A2" s="292" t="s">
        <v>61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4"/>
      <c r="R2" s="292" t="s">
        <v>63</v>
      </c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4"/>
    </row>
    <row r="3" spans="1:38" ht="21.75" customHeight="1">
      <c r="A3" s="290" t="s">
        <v>33</v>
      </c>
      <c r="B3" s="287" t="s">
        <v>27</v>
      </c>
      <c r="C3" s="288"/>
      <c r="D3" s="287" t="s">
        <v>29</v>
      </c>
      <c r="E3" s="288"/>
      <c r="F3" s="285" t="s">
        <v>28</v>
      </c>
      <c r="G3" s="285" t="s">
        <v>36</v>
      </c>
      <c r="H3" s="285" t="s">
        <v>30</v>
      </c>
      <c r="I3" s="285" t="s">
        <v>31</v>
      </c>
      <c r="J3" s="285" t="s">
        <v>41</v>
      </c>
      <c r="K3" s="285" t="s">
        <v>35</v>
      </c>
      <c r="L3" s="285" t="s">
        <v>40</v>
      </c>
      <c r="M3" s="285" t="s">
        <v>42</v>
      </c>
      <c r="N3" s="285" t="s">
        <v>45</v>
      </c>
      <c r="O3" s="285" t="s">
        <v>34</v>
      </c>
      <c r="R3" s="290" t="s">
        <v>33</v>
      </c>
      <c r="S3" s="287" t="s">
        <v>27</v>
      </c>
      <c r="T3" s="288"/>
      <c r="U3" s="287" t="s">
        <v>29</v>
      </c>
      <c r="V3" s="288"/>
      <c r="W3" s="285" t="s">
        <v>28</v>
      </c>
      <c r="X3" s="285" t="s">
        <v>36</v>
      </c>
      <c r="Y3" s="285" t="s">
        <v>30</v>
      </c>
      <c r="Z3" s="285" t="s">
        <v>31</v>
      </c>
      <c r="AA3" s="285" t="s">
        <v>41</v>
      </c>
      <c r="AB3" s="285" t="s">
        <v>35</v>
      </c>
      <c r="AC3" s="285" t="s">
        <v>40</v>
      </c>
      <c r="AD3" s="285" t="s">
        <v>42</v>
      </c>
      <c r="AE3" s="285" t="s">
        <v>45</v>
      </c>
      <c r="AF3" s="287" t="s">
        <v>52</v>
      </c>
      <c r="AG3" s="288"/>
      <c r="AH3" s="285" t="s">
        <v>34</v>
      </c>
    </row>
    <row r="4" spans="1:38" ht="38.25" customHeight="1">
      <c r="A4" s="291"/>
      <c r="B4" s="56" t="s">
        <v>43</v>
      </c>
      <c r="C4" s="56" t="s">
        <v>44</v>
      </c>
      <c r="D4" s="56" t="s">
        <v>43</v>
      </c>
      <c r="E4" s="56" t="s">
        <v>44</v>
      </c>
      <c r="F4" s="286"/>
      <c r="G4" s="286"/>
      <c r="H4" s="286"/>
      <c r="I4" s="286"/>
      <c r="J4" s="286"/>
      <c r="K4" s="286"/>
      <c r="L4" s="286"/>
      <c r="M4" s="286"/>
      <c r="N4" s="286"/>
      <c r="O4" s="286"/>
      <c r="R4" s="291"/>
      <c r="S4" s="56" t="s">
        <v>43</v>
      </c>
      <c r="T4" s="56" t="s">
        <v>44</v>
      </c>
      <c r="U4" s="56" t="s">
        <v>43</v>
      </c>
      <c r="V4" s="56" t="s">
        <v>44</v>
      </c>
      <c r="W4" s="286"/>
      <c r="X4" s="286"/>
      <c r="Y4" s="286"/>
      <c r="Z4" s="286"/>
      <c r="AA4" s="286"/>
      <c r="AB4" s="286"/>
      <c r="AC4" s="286"/>
      <c r="AD4" s="286"/>
      <c r="AE4" s="286"/>
      <c r="AF4" s="55" t="s">
        <v>53</v>
      </c>
      <c r="AG4" s="55" t="s">
        <v>54</v>
      </c>
      <c r="AH4" s="286"/>
      <c r="AI4" s="129" t="s">
        <v>230</v>
      </c>
      <c r="AJ4" s="129" t="s">
        <v>231</v>
      </c>
      <c r="AK4" s="129" t="s">
        <v>28</v>
      </c>
      <c r="AL4" s="129" t="s">
        <v>233</v>
      </c>
    </row>
    <row r="5" spans="1:38">
      <c r="A5" s="1" t="s">
        <v>119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P5" s="15"/>
      <c r="R5" s="1" t="s">
        <v>0</v>
      </c>
      <c r="S5" s="35">
        <f>S75*0.8</f>
        <v>17118.792000000001</v>
      </c>
      <c r="T5" s="35">
        <f t="shared" ref="T5:AG20" si="0">T75*0.8</f>
        <v>1904.7040000000002</v>
      </c>
      <c r="U5" s="35">
        <f t="shared" si="0"/>
        <v>2410.1280000000002</v>
      </c>
      <c r="V5" s="35">
        <f t="shared" si="0"/>
        <v>213.512</v>
      </c>
      <c r="W5" s="35">
        <f t="shared" si="0"/>
        <v>11143.776</v>
      </c>
      <c r="X5" s="35">
        <f t="shared" si="0"/>
        <v>303.23199999999997</v>
      </c>
      <c r="Y5" s="35">
        <f t="shared" si="0"/>
        <v>293.68</v>
      </c>
      <c r="Z5" s="35">
        <f t="shared" si="0"/>
        <v>0</v>
      </c>
      <c r="AA5" s="35">
        <f t="shared" si="0"/>
        <v>261.00799999999998</v>
      </c>
      <c r="AB5" s="35">
        <f t="shared" si="0"/>
        <v>0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33648.832000000002</v>
      </c>
      <c r="AI5" s="129">
        <f>B5+C5+S5+T5</f>
        <v>19023.496000000003</v>
      </c>
      <c r="AJ5" s="129">
        <f>D5+E5+U5+V5</f>
        <v>2623.6400000000003</v>
      </c>
      <c r="AK5" s="129">
        <f>F5+W5</f>
        <v>11143.776</v>
      </c>
      <c r="AL5" s="129">
        <f>SUM(G5:N5)+SUM(X5:AG5)</f>
        <v>857.92000000000007</v>
      </c>
    </row>
    <row r="6" spans="1:38">
      <c r="A6" s="1" t="s">
        <v>120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P6" s="15"/>
      <c r="R6" s="1" t="s">
        <v>1</v>
      </c>
      <c r="S6" s="35">
        <f t="shared" ref="S6:AG21" si="2">S76*0.8</f>
        <v>94124.168000000005</v>
      </c>
      <c r="T6" s="35">
        <f t="shared" si="2"/>
        <v>13685.984</v>
      </c>
      <c r="U6" s="35">
        <f t="shared" si="2"/>
        <v>6218.768</v>
      </c>
      <c r="V6" s="35">
        <f t="shared" si="2"/>
        <v>713.89600000000007</v>
      </c>
      <c r="W6" s="35">
        <f t="shared" si="2"/>
        <v>40178.240000000005</v>
      </c>
      <c r="X6" s="35">
        <f t="shared" si="2"/>
        <v>909.69599999999991</v>
      </c>
      <c r="Y6" s="35">
        <f t="shared" si="2"/>
        <v>2039.2000000000005</v>
      </c>
      <c r="Z6" s="35">
        <f t="shared" si="2"/>
        <v>427.024</v>
      </c>
      <c r="AA6" s="35">
        <f t="shared" si="2"/>
        <v>1876.5439999999999</v>
      </c>
      <c r="AB6" s="35">
        <f t="shared" si="2"/>
        <v>0</v>
      </c>
      <c r="AC6" s="35">
        <f t="shared" si="2"/>
        <v>0</v>
      </c>
      <c r="AD6" s="35">
        <f t="shared" si="2"/>
        <v>0</v>
      </c>
      <c r="AE6" s="35">
        <f t="shared" si="2"/>
        <v>88.448000000000008</v>
      </c>
      <c r="AF6" s="35">
        <f t="shared" si="0"/>
        <v>0</v>
      </c>
      <c r="AG6" s="35">
        <f t="shared" si="0"/>
        <v>0</v>
      </c>
      <c r="AH6" s="4">
        <f t="shared" ref="AH6:AH31" si="3">SUM(S6:AG6)</f>
        <v>160261.96799999999</v>
      </c>
      <c r="AI6" s="129">
        <f t="shared" ref="AI6:AI32" si="4">B6+C6+S6+T6</f>
        <v>107810.152</v>
      </c>
      <c r="AJ6" s="129">
        <f t="shared" ref="AJ6:AJ32" si="5">D6+E6+U6+V6</f>
        <v>6932.6639999999998</v>
      </c>
      <c r="AK6" s="129">
        <f t="shared" ref="AK6:AK32" si="6">F6+W6</f>
        <v>40178.240000000005</v>
      </c>
      <c r="AL6" s="129">
        <f t="shared" ref="AL6:AL32" si="7">SUM(G6:N6)+SUM(X6:AG6)</f>
        <v>5340.9120000000003</v>
      </c>
    </row>
    <row r="7" spans="1:38">
      <c r="A7" s="18" t="s">
        <v>121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P7" s="15"/>
      <c r="R7" s="18" t="s">
        <v>2</v>
      </c>
      <c r="S7" s="35">
        <f t="shared" si="2"/>
        <v>19247.312000000002</v>
      </c>
      <c r="T7" s="35">
        <f t="shared" si="2"/>
        <v>5039.7280000000001</v>
      </c>
      <c r="U7" s="35">
        <f t="shared" si="2"/>
        <v>1083.4559999999999</v>
      </c>
      <c r="V7" s="35">
        <f t="shared" si="2"/>
        <v>347.99200000000002</v>
      </c>
      <c r="W7" s="35">
        <f t="shared" si="2"/>
        <v>17739.072</v>
      </c>
      <c r="X7" s="35">
        <f t="shared" si="2"/>
        <v>2804.8960000000002</v>
      </c>
      <c r="Y7" s="35">
        <f t="shared" si="2"/>
        <v>583.15199999999993</v>
      </c>
      <c r="Z7" s="35">
        <f t="shared" si="2"/>
        <v>215.4</v>
      </c>
      <c r="AA7" s="35">
        <f t="shared" si="2"/>
        <v>855.06399999999996</v>
      </c>
      <c r="AB7" s="35">
        <f t="shared" si="2"/>
        <v>151.61600000000001</v>
      </c>
      <c r="AC7" s="35">
        <f t="shared" si="2"/>
        <v>0</v>
      </c>
      <c r="AD7" s="35">
        <f t="shared" si="2"/>
        <v>0</v>
      </c>
      <c r="AE7" s="35">
        <f t="shared" si="2"/>
        <v>0</v>
      </c>
      <c r="AF7" s="35">
        <f t="shared" si="0"/>
        <v>0</v>
      </c>
      <c r="AG7" s="35">
        <f t="shared" si="0"/>
        <v>0</v>
      </c>
      <c r="AH7" s="4">
        <f t="shared" si="3"/>
        <v>48067.688000000002</v>
      </c>
      <c r="AI7" s="129">
        <f t="shared" si="4"/>
        <v>24287.040000000001</v>
      </c>
      <c r="AJ7" s="129">
        <f t="shared" si="5"/>
        <v>1431.4479999999999</v>
      </c>
      <c r="AK7" s="129">
        <f t="shared" si="6"/>
        <v>17739.072</v>
      </c>
      <c r="AL7" s="129">
        <f t="shared" si="7"/>
        <v>4610.1280000000006</v>
      </c>
    </row>
    <row r="8" spans="1:38">
      <c r="A8" s="2" t="s">
        <v>122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P8" s="15"/>
      <c r="R8" s="2" t="s">
        <v>3</v>
      </c>
      <c r="S8" s="35">
        <f t="shared" si="2"/>
        <v>58022.90400000001</v>
      </c>
      <c r="T8" s="35">
        <f t="shared" si="2"/>
        <v>24209.248000000003</v>
      </c>
      <c r="U8" s="35">
        <f t="shared" si="2"/>
        <v>7838.4480000000003</v>
      </c>
      <c r="V8" s="35">
        <f t="shared" si="2"/>
        <v>911.7120000000001</v>
      </c>
      <c r="W8" s="35">
        <f t="shared" si="2"/>
        <v>34113.599999999999</v>
      </c>
      <c r="X8" s="35">
        <f t="shared" si="2"/>
        <v>682.27199999999993</v>
      </c>
      <c r="Y8" s="35">
        <f t="shared" si="2"/>
        <v>3096.9280000000003</v>
      </c>
      <c r="Z8" s="35">
        <f t="shared" si="2"/>
        <v>0</v>
      </c>
      <c r="AA8" s="35">
        <f t="shared" si="2"/>
        <v>3201.1840000000002</v>
      </c>
      <c r="AB8" s="35">
        <f t="shared" si="2"/>
        <v>0</v>
      </c>
      <c r="AC8" s="35">
        <f t="shared" si="2"/>
        <v>0</v>
      </c>
      <c r="AD8" s="35">
        <f t="shared" si="2"/>
        <v>0</v>
      </c>
      <c r="AE8" s="35">
        <f t="shared" si="2"/>
        <v>22.112000000000002</v>
      </c>
      <c r="AF8" s="35">
        <f t="shared" si="2"/>
        <v>26.336000000000002</v>
      </c>
      <c r="AG8" s="35">
        <f t="shared" si="2"/>
        <v>0</v>
      </c>
      <c r="AH8" s="4">
        <f t="shared" si="3"/>
        <v>132124.74400000001</v>
      </c>
      <c r="AI8" s="129">
        <f t="shared" si="4"/>
        <v>82232.152000000016</v>
      </c>
      <c r="AJ8" s="129">
        <f t="shared" si="5"/>
        <v>8750.16</v>
      </c>
      <c r="AK8" s="129">
        <f t="shared" si="6"/>
        <v>34113.599999999999</v>
      </c>
      <c r="AL8" s="129">
        <f t="shared" si="7"/>
        <v>7028.8320000000003</v>
      </c>
    </row>
    <row r="9" spans="1:38">
      <c r="A9" s="1" t="s">
        <v>123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P9" s="15"/>
      <c r="R9" s="1" t="s">
        <v>4</v>
      </c>
      <c r="S9" s="35">
        <f t="shared" si="2"/>
        <v>297969.72000000003</v>
      </c>
      <c r="T9" s="35">
        <f t="shared" si="2"/>
        <v>29492.648000000001</v>
      </c>
      <c r="U9" s="35">
        <f t="shared" si="2"/>
        <v>52241.376000000004</v>
      </c>
      <c r="V9" s="35">
        <f t="shared" si="2"/>
        <v>3667.6559999999999</v>
      </c>
      <c r="W9" s="35">
        <f t="shared" si="2"/>
        <v>127888.09600000001</v>
      </c>
      <c r="X9" s="35">
        <f t="shared" si="2"/>
        <v>3866.2080000000005</v>
      </c>
      <c r="Y9" s="35">
        <f t="shared" si="2"/>
        <v>4988.0639999999994</v>
      </c>
      <c r="Z9" s="35">
        <f t="shared" si="2"/>
        <v>0</v>
      </c>
      <c r="AA9" s="35">
        <f t="shared" si="2"/>
        <v>5013.424</v>
      </c>
      <c r="AB9" s="35">
        <f t="shared" si="2"/>
        <v>682.27200000000005</v>
      </c>
      <c r="AC9" s="35">
        <f t="shared" si="2"/>
        <v>303.23200000000003</v>
      </c>
      <c r="AD9" s="35">
        <f t="shared" si="2"/>
        <v>0</v>
      </c>
      <c r="AE9" s="35">
        <f t="shared" si="2"/>
        <v>375.904</v>
      </c>
      <c r="AF9" s="35">
        <f t="shared" si="0"/>
        <v>0</v>
      </c>
      <c r="AG9" s="35">
        <f t="shared" si="0"/>
        <v>0</v>
      </c>
      <c r="AH9" s="4">
        <f t="shared" si="3"/>
        <v>526488.6</v>
      </c>
      <c r="AI9" s="129">
        <f t="shared" si="4"/>
        <v>327462.36800000002</v>
      </c>
      <c r="AJ9" s="129">
        <f t="shared" si="5"/>
        <v>55909.032000000007</v>
      </c>
      <c r="AK9" s="129">
        <f t="shared" si="6"/>
        <v>127888.09600000001</v>
      </c>
      <c r="AL9" s="129">
        <f t="shared" si="7"/>
        <v>15229.104000000001</v>
      </c>
    </row>
    <row r="10" spans="1:38">
      <c r="A10" s="1" t="s">
        <v>124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P10" s="15"/>
      <c r="R10" s="1" t="s">
        <v>5</v>
      </c>
      <c r="S10" s="35">
        <f t="shared" si="2"/>
        <v>143924.84</v>
      </c>
      <c r="T10" s="35">
        <f t="shared" si="2"/>
        <v>13693.848000000002</v>
      </c>
      <c r="U10" s="35">
        <f t="shared" si="2"/>
        <v>16738.216</v>
      </c>
      <c r="V10" s="35">
        <f t="shared" si="2"/>
        <v>2440.712</v>
      </c>
      <c r="W10" s="35">
        <f t="shared" si="2"/>
        <v>58827.008000000002</v>
      </c>
      <c r="X10" s="35">
        <f t="shared" si="2"/>
        <v>606.46400000000006</v>
      </c>
      <c r="Y10" s="35">
        <f t="shared" si="2"/>
        <v>2379.3439999999996</v>
      </c>
      <c r="Z10" s="35">
        <f t="shared" si="2"/>
        <v>3477.3919999999998</v>
      </c>
      <c r="AA10" s="35">
        <f t="shared" si="2"/>
        <v>2027.5200000000002</v>
      </c>
      <c r="AB10" s="35">
        <f t="shared" si="2"/>
        <v>909.69599999999991</v>
      </c>
      <c r="AC10" s="35">
        <f t="shared" si="2"/>
        <v>0</v>
      </c>
      <c r="AD10" s="35">
        <f t="shared" si="2"/>
        <v>0</v>
      </c>
      <c r="AE10" s="35">
        <f t="shared" si="2"/>
        <v>154.78399999999999</v>
      </c>
      <c r="AF10" s="35">
        <f t="shared" si="0"/>
        <v>0</v>
      </c>
      <c r="AG10" s="35">
        <f t="shared" si="0"/>
        <v>0</v>
      </c>
      <c r="AH10" s="4">
        <f t="shared" si="3"/>
        <v>245179.82399999999</v>
      </c>
      <c r="AI10" s="129">
        <f t="shared" si="4"/>
        <v>157618.68799999999</v>
      </c>
      <c r="AJ10" s="129">
        <f t="shared" si="5"/>
        <v>19178.928</v>
      </c>
      <c r="AK10" s="129">
        <f t="shared" si="6"/>
        <v>58827.008000000002</v>
      </c>
      <c r="AL10" s="129">
        <f t="shared" si="7"/>
        <v>9555.1999999999989</v>
      </c>
    </row>
    <row r="11" spans="1:38">
      <c r="A11" s="1" t="s">
        <v>125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0</v>
      </c>
      <c r="P11" s="15"/>
      <c r="R11" s="1" t="s">
        <v>6</v>
      </c>
      <c r="S11" s="35">
        <f t="shared" si="2"/>
        <v>321538.44</v>
      </c>
      <c r="T11" s="35">
        <f t="shared" si="2"/>
        <v>34476.280000000006</v>
      </c>
      <c r="U11" s="35">
        <f t="shared" si="2"/>
        <v>32422.400000000001</v>
      </c>
      <c r="V11" s="35">
        <f t="shared" si="2"/>
        <v>5429.1680000000006</v>
      </c>
      <c r="W11" s="35">
        <f t="shared" si="2"/>
        <v>80659.712</v>
      </c>
      <c r="X11" s="35">
        <f t="shared" si="2"/>
        <v>3562.9760000000006</v>
      </c>
      <c r="Y11" s="35">
        <f t="shared" si="2"/>
        <v>6348.7279999999992</v>
      </c>
      <c r="Z11" s="35">
        <f t="shared" si="2"/>
        <v>0</v>
      </c>
      <c r="AA11" s="35">
        <f t="shared" si="2"/>
        <v>5742.9760000000006</v>
      </c>
      <c r="AB11" s="35">
        <f t="shared" si="2"/>
        <v>303.23200000000003</v>
      </c>
      <c r="AC11" s="35">
        <f t="shared" si="2"/>
        <v>0</v>
      </c>
      <c r="AD11" s="35">
        <f t="shared" si="2"/>
        <v>0</v>
      </c>
      <c r="AE11" s="35">
        <f t="shared" si="2"/>
        <v>265.34399999999999</v>
      </c>
      <c r="AF11" s="35">
        <f t="shared" si="0"/>
        <v>0</v>
      </c>
      <c r="AG11" s="35">
        <f t="shared" si="0"/>
        <v>0</v>
      </c>
      <c r="AH11" s="4">
        <f t="shared" si="3"/>
        <v>490749.25600000011</v>
      </c>
      <c r="AI11" s="129">
        <f t="shared" si="4"/>
        <v>356014.72000000003</v>
      </c>
      <c r="AJ11" s="129">
        <f t="shared" si="5"/>
        <v>37851.567999999999</v>
      </c>
      <c r="AK11" s="129">
        <f t="shared" si="6"/>
        <v>80659.712</v>
      </c>
      <c r="AL11" s="129">
        <f t="shared" si="7"/>
        <v>16223.255999999999</v>
      </c>
    </row>
    <row r="12" spans="1:38">
      <c r="A12" s="1" t="s">
        <v>126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P12" s="15"/>
      <c r="R12" s="1" t="s">
        <v>7</v>
      </c>
      <c r="S12" s="35">
        <f t="shared" si="2"/>
        <v>256830.49600000001</v>
      </c>
      <c r="T12" s="35">
        <f t="shared" si="2"/>
        <v>27817.664000000004</v>
      </c>
      <c r="U12" s="35">
        <f t="shared" si="2"/>
        <v>31449.512000000002</v>
      </c>
      <c r="V12" s="35">
        <f t="shared" si="2"/>
        <v>3578.5280000000002</v>
      </c>
      <c r="W12" s="35">
        <f t="shared" si="2"/>
        <v>92558.96</v>
      </c>
      <c r="X12" s="35">
        <f t="shared" si="2"/>
        <v>909.69600000000014</v>
      </c>
      <c r="Y12" s="35">
        <f t="shared" si="2"/>
        <v>4199.3520000000008</v>
      </c>
      <c r="Z12" s="35">
        <f t="shared" si="2"/>
        <v>649.91200000000003</v>
      </c>
      <c r="AA12" s="35">
        <f t="shared" si="2"/>
        <v>4005.4400000000005</v>
      </c>
      <c r="AB12" s="35">
        <f t="shared" si="2"/>
        <v>909.69599999999991</v>
      </c>
      <c r="AC12" s="35">
        <f t="shared" si="2"/>
        <v>0</v>
      </c>
      <c r="AD12" s="35">
        <f t="shared" si="2"/>
        <v>0</v>
      </c>
      <c r="AE12" s="35">
        <f t="shared" si="2"/>
        <v>110.56</v>
      </c>
      <c r="AF12" s="35">
        <f t="shared" si="0"/>
        <v>0</v>
      </c>
      <c r="AG12" s="35">
        <f t="shared" si="0"/>
        <v>0</v>
      </c>
      <c r="AH12" s="4">
        <f t="shared" si="3"/>
        <v>423019.81600000005</v>
      </c>
      <c r="AI12" s="129">
        <f t="shared" si="4"/>
        <v>284648.16000000003</v>
      </c>
      <c r="AJ12" s="129">
        <f t="shared" si="5"/>
        <v>35028.04</v>
      </c>
      <c r="AK12" s="129">
        <f t="shared" si="6"/>
        <v>92558.96</v>
      </c>
      <c r="AL12" s="129">
        <f t="shared" si="7"/>
        <v>10784.656000000001</v>
      </c>
    </row>
    <row r="13" spans="1:38">
      <c r="A13" s="1" t="s">
        <v>127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P13" s="15"/>
      <c r="R13" s="1" t="s">
        <v>8</v>
      </c>
      <c r="S13" s="35">
        <f t="shared" si="2"/>
        <v>200088.47200000001</v>
      </c>
      <c r="T13" s="35">
        <f t="shared" si="2"/>
        <v>28528.640000000003</v>
      </c>
      <c r="U13" s="35">
        <f t="shared" si="2"/>
        <v>30157.847999999998</v>
      </c>
      <c r="V13" s="35">
        <f t="shared" si="2"/>
        <v>5819.7520000000004</v>
      </c>
      <c r="W13" s="35">
        <f t="shared" si="2"/>
        <v>150782.11200000002</v>
      </c>
      <c r="X13" s="35">
        <f t="shared" si="2"/>
        <v>5306.5600000000013</v>
      </c>
      <c r="Y13" s="35">
        <f t="shared" si="2"/>
        <v>5915.7439999999988</v>
      </c>
      <c r="Z13" s="35">
        <f t="shared" si="2"/>
        <v>170.80799999999999</v>
      </c>
      <c r="AA13" s="35">
        <f t="shared" si="2"/>
        <v>5742.8320000000012</v>
      </c>
      <c r="AB13" s="35">
        <f t="shared" si="2"/>
        <v>303.23200000000003</v>
      </c>
      <c r="AC13" s="35">
        <f t="shared" si="2"/>
        <v>0</v>
      </c>
      <c r="AD13" s="35">
        <f t="shared" si="2"/>
        <v>0</v>
      </c>
      <c r="AE13" s="35">
        <f t="shared" si="2"/>
        <v>176.89600000000002</v>
      </c>
      <c r="AF13" s="35">
        <f t="shared" si="0"/>
        <v>0</v>
      </c>
      <c r="AG13" s="35">
        <f t="shared" si="0"/>
        <v>0</v>
      </c>
      <c r="AH13" s="4">
        <f t="shared" si="3"/>
        <v>432992.89600000007</v>
      </c>
      <c r="AI13" s="129">
        <f t="shared" si="4"/>
        <v>228617.11200000002</v>
      </c>
      <c r="AJ13" s="129">
        <f t="shared" si="5"/>
        <v>35977.599999999999</v>
      </c>
      <c r="AK13" s="129">
        <f t="shared" si="6"/>
        <v>150782.11200000002</v>
      </c>
      <c r="AL13" s="129">
        <f t="shared" si="7"/>
        <v>17616.072000000004</v>
      </c>
    </row>
    <row r="14" spans="1:38">
      <c r="A14" s="2" t="s">
        <v>128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P14" s="15"/>
      <c r="R14" s="2" t="s">
        <v>9</v>
      </c>
      <c r="S14" s="35">
        <f t="shared" si="2"/>
        <v>61659.144</v>
      </c>
      <c r="T14" s="35">
        <f t="shared" si="2"/>
        <v>9437.3040000000001</v>
      </c>
      <c r="U14" s="35">
        <f t="shared" si="2"/>
        <v>9045.3279999999995</v>
      </c>
      <c r="V14" s="35">
        <f t="shared" si="2"/>
        <v>764.64800000000002</v>
      </c>
      <c r="W14" s="35">
        <f t="shared" si="2"/>
        <v>28655.423999999999</v>
      </c>
      <c r="X14" s="35">
        <f t="shared" si="2"/>
        <v>758.07999999999993</v>
      </c>
      <c r="Y14" s="35">
        <f t="shared" si="2"/>
        <v>1811.8559999999998</v>
      </c>
      <c r="Z14" s="35">
        <f t="shared" si="2"/>
        <v>227.42399999999998</v>
      </c>
      <c r="AA14" s="35">
        <f t="shared" si="2"/>
        <v>996.88799999999992</v>
      </c>
      <c r="AB14" s="35">
        <f t="shared" si="2"/>
        <v>151.61600000000001</v>
      </c>
      <c r="AC14" s="35">
        <f t="shared" si="2"/>
        <v>0</v>
      </c>
      <c r="AD14" s="35">
        <f t="shared" si="2"/>
        <v>0</v>
      </c>
      <c r="AE14" s="35">
        <f t="shared" si="2"/>
        <v>88.448000000000008</v>
      </c>
      <c r="AF14" s="35">
        <f t="shared" si="0"/>
        <v>0</v>
      </c>
      <c r="AG14" s="35">
        <f t="shared" si="0"/>
        <v>0</v>
      </c>
      <c r="AH14" s="4">
        <f t="shared" si="3"/>
        <v>113596.16</v>
      </c>
      <c r="AI14" s="129">
        <f t="shared" si="4"/>
        <v>71096.448000000004</v>
      </c>
      <c r="AJ14" s="129">
        <f t="shared" si="5"/>
        <v>9809.9759999999987</v>
      </c>
      <c r="AK14" s="129">
        <f t="shared" si="6"/>
        <v>28655.423999999999</v>
      </c>
      <c r="AL14" s="129">
        <f t="shared" si="7"/>
        <v>4034.3119999999994</v>
      </c>
    </row>
    <row r="15" spans="1:38">
      <c r="A15" s="18" t="s">
        <v>129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0</v>
      </c>
      <c r="P15" s="15"/>
      <c r="R15" s="18" t="s">
        <v>10</v>
      </c>
      <c r="S15" s="35">
        <f t="shared" si="2"/>
        <v>129231.38400000002</v>
      </c>
      <c r="T15" s="35">
        <f t="shared" si="2"/>
        <v>18407.703999999998</v>
      </c>
      <c r="U15" s="35">
        <f t="shared" si="2"/>
        <v>15989.24</v>
      </c>
      <c r="V15" s="35">
        <f t="shared" si="2"/>
        <v>1823.2560000000003</v>
      </c>
      <c r="W15" s="35">
        <f t="shared" si="2"/>
        <v>164654.97600000002</v>
      </c>
      <c r="X15" s="35">
        <f t="shared" si="2"/>
        <v>1591.9680000000001</v>
      </c>
      <c r="Y15" s="35">
        <f t="shared" si="2"/>
        <v>1583.8160000000003</v>
      </c>
      <c r="Z15" s="35">
        <f t="shared" si="2"/>
        <v>837.7600000000001</v>
      </c>
      <c r="AA15" s="35">
        <f t="shared" si="2"/>
        <v>3360.5520000000006</v>
      </c>
      <c r="AB15" s="35">
        <f t="shared" si="2"/>
        <v>75.808000000000007</v>
      </c>
      <c r="AC15" s="35">
        <f t="shared" si="2"/>
        <v>0</v>
      </c>
      <c r="AD15" s="35">
        <f t="shared" si="2"/>
        <v>2989.1680000000001</v>
      </c>
      <c r="AE15" s="35">
        <f t="shared" si="2"/>
        <v>154.78399999999999</v>
      </c>
      <c r="AF15" s="35">
        <f t="shared" si="0"/>
        <v>0</v>
      </c>
      <c r="AG15" s="35">
        <f t="shared" si="0"/>
        <v>0</v>
      </c>
      <c r="AH15" s="4">
        <f t="shared" si="3"/>
        <v>340700.41600000008</v>
      </c>
      <c r="AI15" s="129">
        <f t="shared" si="4"/>
        <v>147639.08800000002</v>
      </c>
      <c r="AJ15" s="129">
        <f t="shared" si="5"/>
        <v>17812.495999999999</v>
      </c>
      <c r="AK15" s="129">
        <f t="shared" si="6"/>
        <v>164654.97600000002</v>
      </c>
      <c r="AL15" s="129">
        <f t="shared" si="7"/>
        <v>10593.856000000002</v>
      </c>
    </row>
    <row r="16" spans="1:38">
      <c r="A16" s="1" t="s">
        <v>130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P16" s="15"/>
      <c r="R16" s="1" t="s">
        <v>11</v>
      </c>
      <c r="S16" s="35">
        <f t="shared" si="2"/>
        <v>125984.224</v>
      </c>
      <c r="T16" s="35">
        <f t="shared" si="2"/>
        <v>18021.624000000003</v>
      </c>
      <c r="U16" s="35">
        <f t="shared" si="2"/>
        <v>21259.976000000002</v>
      </c>
      <c r="V16" s="35">
        <f t="shared" si="2"/>
        <v>2222.8560000000002</v>
      </c>
      <c r="W16" s="35">
        <f t="shared" si="2"/>
        <v>136378.592</v>
      </c>
      <c r="X16" s="35">
        <f t="shared" si="2"/>
        <v>1743.5840000000001</v>
      </c>
      <c r="Y16" s="35">
        <f t="shared" si="2"/>
        <v>3939.8320000000008</v>
      </c>
      <c r="Z16" s="35">
        <f t="shared" si="2"/>
        <v>974.31200000000013</v>
      </c>
      <c r="AA16" s="35">
        <f t="shared" si="2"/>
        <v>2415.6799999999998</v>
      </c>
      <c r="AB16" s="35">
        <f t="shared" si="2"/>
        <v>379.04</v>
      </c>
      <c r="AC16" s="35">
        <f t="shared" si="2"/>
        <v>0</v>
      </c>
      <c r="AD16" s="35">
        <f t="shared" si="2"/>
        <v>0</v>
      </c>
      <c r="AE16" s="35">
        <f t="shared" si="2"/>
        <v>132.672</v>
      </c>
      <c r="AF16" s="35">
        <f t="shared" si="0"/>
        <v>14.664</v>
      </c>
      <c r="AG16" s="35">
        <f t="shared" si="0"/>
        <v>0</v>
      </c>
      <c r="AH16" s="4">
        <f t="shared" si="3"/>
        <v>313467.05599999992</v>
      </c>
      <c r="AI16" s="129">
        <f t="shared" si="4"/>
        <v>144005.848</v>
      </c>
      <c r="AJ16" s="129">
        <f t="shared" si="5"/>
        <v>23482.832000000002</v>
      </c>
      <c r="AK16" s="129">
        <f t="shared" si="6"/>
        <v>136378.592</v>
      </c>
      <c r="AL16" s="129">
        <f t="shared" si="7"/>
        <v>9599.7840000000033</v>
      </c>
    </row>
    <row r="17" spans="1:38">
      <c r="A17" s="1" t="s">
        <v>131</v>
      </c>
      <c r="B17" s="35">
        <v>0</v>
      </c>
      <c r="C17" s="35">
        <v>336.18</v>
      </c>
      <c r="D17" s="35">
        <v>0</v>
      </c>
      <c r="E17" s="35">
        <v>0</v>
      </c>
      <c r="F17" s="35">
        <v>0</v>
      </c>
      <c r="G17" s="35">
        <v>0</v>
      </c>
      <c r="H17" s="35">
        <v>132.88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469.06</v>
      </c>
      <c r="P17" s="15"/>
      <c r="R17" s="1" t="s">
        <v>12</v>
      </c>
      <c r="S17" s="35">
        <f t="shared" si="2"/>
        <v>675505.75199999998</v>
      </c>
      <c r="T17" s="35">
        <f t="shared" si="2"/>
        <v>97842.016000000003</v>
      </c>
      <c r="U17" s="35">
        <f t="shared" si="2"/>
        <v>95280</v>
      </c>
      <c r="V17" s="35">
        <f t="shared" si="2"/>
        <v>19393.432000000001</v>
      </c>
      <c r="W17" s="35">
        <f t="shared" si="2"/>
        <v>309827.29600000003</v>
      </c>
      <c r="X17" s="35">
        <f t="shared" si="2"/>
        <v>5609.7920000000004</v>
      </c>
      <c r="Y17" s="35">
        <f t="shared" si="2"/>
        <v>24000.008000000002</v>
      </c>
      <c r="Z17" s="35">
        <f t="shared" si="2"/>
        <v>0</v>
      </c>
      <c r="AA17" s="35">
        <f t="shared" si="2"/>
        <v>13752.136000000002</v>
      </c>
      <c r="AB17" s="35">
        <f t="shared" si="2"/>
        <v>1516.16</v>
      </c>
      <c r="AC17" s="35">
        <f t="shared" si="2"/>
        <v>0</v>
      </c>
      <c r="AD17" s="35">
        <f t="shared" si="2"/>
        <v>0</v>
      </c>
      <c r="AE17" s="35">
        <f t="shared" si="2"/>
        <v>840.25599999999997</v>
      </c>
      <c r="AF17" s="35">
        <f t="shared" si="0"/>
        <v>0</v>
      </c>
      <c r="AG17" s="35">
        <f t="shared" si="0"/>
        <v>0</v>
      </c>
      <c r="AH17" s="4">
        <f t="shared" si="3"/>
        <v>1243566.8479999998</v>
      </c>
      <c r="AI17" s="129">
        <f t="shared" si="4"/>
        <v>773683.94800000009</v>
      </c>
      <c r="AJ17" s="129">
        <f t="shared" si="5"/>
        <v>114673.432</v>
      </c>
      <c r="AK17" s="129">
        <f t="shared" si="6"/>
        <v>309827.29600000003</v>
      </c>
      <c r="AL17" s="129">
        <f t="shared" si="7"/>
        <v>45851.232000000004</v>
      </c>
    </row>
    <row r="18" spans="1:38">
      <c r="A18" s="1" t="s">
        <v>132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P18" s="15"/>
      <c r="R18" s="1" t="s">
        <v>15</v>
      </c>
      <c r="S18" s="35">
        <f t="shared" si="2"/>
        <v>101549.88</v>
      </c>
      <c r="T18" s="35">
        <f t="shared" si="2"/>
        <v>18994.752</v>
      </c>
      <c r="U18" s="35">
        <f t="shared" si="2"/>
        <v>6170.9120000000003</v>
      </c>
      <c r="V18" s="35">
        <f t="shared" si="2"/>
        <v>3934.5440000000003</v>
      </c>
      <c r="W18" s="35">
        <f t="shared" si="2"/>
        <v>47000.959999999999</v>
      </c>
      <c r="X18" s="35">
        <f t="shared" si="2"/>
        <v>2956.5120000000002</v>
      </c>
      <c r="Y18" s="35">
        <f t="shared" si="2"/>
        <v>3478.4480000000003</v>
      </c>
      <c r="Z18" s="35">
        <f t="shared" si="2"/>
        <v>0</v>
      </c>
      <c r="AA18" s="35">
        <f t="shared" si="2"/>
        <v>2773.3440000000001</v>
      </c>
      <c r="AB18" s="35">
        <f t="shared" si="2"/>
        <v>0</v>
      </c>
      <c r="AC18" s="35">
        <f t="shared" si="2"/>
        <v>0</v>
      </c>
      <c r="AD18" s="35">
        <f t="shared" si="2"/>
        <v>0</v>
      </c>
      <c r="AE18" s="35">
        <f t="shared" si="2"/>
        <v>154.78399999999999</v>
      </c>
      <c r="AF18" s="35">
        <f t="shared" si="0"/>
        <v>0</v>
      </c>
      <c r="AG18" s="35">
        <f t="shared" si="0"/>
        <v>0</v>
      </c>
      <c r="AH18" s="4">
        <f t="shared" si="3"/>
        <v>187014.13600000003</v>
      </c>
      <c r="AI18" s="129">
        <f t="shared" si="4"/>
        <v>120544.63200000001</v>
      </c>
      <c r="AJ18" s="129">
        <f t="shared" si="5"/>
        <v>10105.456</v>
      </c>
      <c r="AK18" s="129">
        <f t="shared" si="6"/>
        <v>47000.959999999999</v>
      </c>
      <c r="AL18" s="129">
        <f t="shared" si="7"/>
        <v>9363.0879999999997</v>
      </c>
    </row>
    <row r="19" spans="1:38">
      <c r="A19" s="39" t="s">
        <v>133</v>
      </c>
      <c r="B19" s="35">
        <v>0</v>
      </c>
      <c r="C19" s="35">
        <f>84.03-C54</f>
        <v>67.224000000000004</v>
      </c>
      <c r="D19" s="35">
        <v>0</v>
      </c>
      <c r="E19" s="35">
        <v>0</v>
      </c>
      <c r="F19" s="35">
        <v>0</v>
      </c>
      <c r="G19" s="35">
        <v>0</v>
      </c>
      <c r="H19" s="35">
        <f>31-H54</f>
        <v>24.8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92.024000000000001</v>
      </c>
      <c r="P19" s="15"/>
      <c r="R19" s="1" t="s">
        <v>14</v>
      </c>
      <c r="S19" s="35">
        <f t="shared" si="2"/>
        <v>107068.91200000001</v>
      </c>
      <c r="T19" s="35">
        <f t="shared" si="2"/>
        <v>14465.592000000002</v>
      </c>
      <c r="U19" s="35">
        <f t="shared" si="2"/>
        <v>11624.960000000001</v>
      </c>
      <c r="V19" s="35">
        <f t="shared" si="2"/>
        <v>3312.6320000000001</v>
      </c>
      <c r="W19" s="35">
        <f t="shared" si="2"/>
        <v>62235.76</v>
      </c>
      <c r="X19" s="35">
        <f t="shared" si="2"/>
        <v>606.46399999999994</v>
      </c>
      <c r="Y19" s="35">
        <f t="shared" si="2"/>
        <v>2831.4079999999999</v>
      </c>
      <c r="Z19" s="35">
        <f t="shared" si="2"/>
        <v>0</v>
      </c>
      <c r="AA19" s="35">
        <f t="shared" si="2"/>
        <v>2589.192</v>
      </c>
      <c r="AB19" s="35">
        <f t="shared" si="2"/>
        <v>0</v>
      </c>
      <c r="AC19" s="35">
        <f t="shared" si="2"/>
        <v>0</v>
      </c>
      <c r="AD19" s="35">
        <f t="shared" si="2"/>
        <v>0</v>
      </c>
      <c r="AE19" s="35">
        <f t="shared" si="2"/>
        <v>154.78399999999999</v>
      </c>
      <c r="AF19" s="35">
        <f t="shared" si="0"/>
        <v>0</v>
      </c>
      <c r="AG19" s="35">
        <f t="shared" si="0"/>
        <v>0</v>
      </c>
      <c r="AH19" s="4">
        <f t="shared" si="3"/>
        <v>204889.70400000006</v>
      </c>
      <c r="AI19" s="129">
        <f t="shared" si="4"/>
        <v>121601.72800000002</v>
      </c>
      <c r="AJ19" s="129">
        <f t="shared" si="5"/>
        <v>14937.592000000001</v>
      </c>
      <c r="AK19" s="129">
        <f t="shared" si="6"/>
        <v>62235.76</v>
      </c>
      <c r="AL19" s="129">
        <f t="shared" si="7"/>
        <v>6206.6480000000001</v>
      </c>
    </row>
    <row r="20" spans="1:38">
      <c r="A20" s="18" t="s">
        <v>134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P20" s="15"/>
      <c r="R20" s="18" t="s">
        <v>13</v>
      </c>
      <c r="S20" s="35">
        <f t="shared" si="2"/>
        <v>600351.79200000002</v>
      </c>
      <c r="T20" s="35">
        <f t="shared" si="2"/>
        <v>58541.728000000003</v>
      </c>
      <c r="U20" s="35">
        <f t="shared" si="2"/>
        <v>112648.60800000001</v>
      </c>
      <c r="V20" s="35">
        <f t="shared" si="2"/>
        <v>14003.64</v>
      </c>
      <c r="W20" s="35">
        <f t="shared" si="2"/>
        <v>469933.79200000002</v>
      </c>
      <c r="X20" s="35">
        <f t="shared" si="2"/>
        <v>6746.9120000000003</v>
      </c>
      <c r="Y20" s="35">
        <f t="shared" si="2"/>
        <v>7574.2879999999996</v>
      </c>
      <c r="Z20" s="35">
        <f t="shared" si="2"/>
        <v>0</v>
      </c>
      <c r="AA20" s="35">
        <f t="shared" si="2"/>
        <v>11583.504000000001</v>
      </c>
      <c r="AB20" s="35">
        <f t="shared" si="2"/>
        <v>1212.9280000000001</v>
      </c>
      <c r="AC20" s="35">
        <f t="shared" si="2"/>
        <v>0</v>
      </c>
      <c r="AD20" s="35">
        <f t="shared" si="2"/>
        <v>0</v>
      </c>
      <c r="AE20" s="35">
        <f t="shared" si="2"/>
        <v>375.904</v>
      </c>
      <c r="AF20" s="35">
        <f t="shared" si="0"/>
        <v>0</v>
      </c>
      <c r="AG20" s="35">
        <f t="shared" si="0"/>
        <v>0</v>
      </c>
      <c r="AH20" s="4">
        <f t="shared" si="3"/>
        <v>1282973.0960000001</v>
      </c>
      <c r="AI20" s="129">
        <f t="shared" si="4"/>
        <v>658893.52</v>
      </c>
      <c r="AJ20" s="129">
        <f t="shared" si="5"/>
        <v>126652.24800000001</v>
      </c>
      <c r="AK20" s="129">
        <f t="shared" si="6"/>
        <v>469933.79200000002</v>
      </c>
      <c r="AL20" s="129">
        <f t="shared" si="7"/>
        <v>27493.536</v>
      </c>
    </row>
    <row r="21" spans="1:38">
      <c r="A21" s="1" t="s">
        <v>135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P21" s="15"/>
      <c r="R21" s="1" t="s">
        <v>16</v>
      </c>
      <c r="S21" s="35">
        <f t="shared" si="2"/>
        <v>240369.44</v>
      </c>
      <c r="T21" s="35">
        <f t="shared" si="2"/>
        <v>38707.472000000002</v>
      </c>
      <c r="U21" s="35">
        <f t="shared" si="2"/>
        <v>29463.224000000002</v>
      </c>
      <c r="V21" s="35">
        <f t="shared" si="2"/>
        <v>5586.3120000000008</v>
      </c>
      <c r="W21" s="35">
        <f t="shared" si="2"/>
        <v>116365.28000000001</v>
      </c>
      <c r="X21" s="35">
        <f t="shared" si="2"/>
        <v>1819.3920000000003</v>
      </c>
      <c r="Y21" s="35">
        <f t="shared" si="2"/>
        <v>5008.4960000000001</v>
      </c>
      <c r="Z21" s="35">
        <f t="shared" si="2"/>
        <v>3854.2960000000003</v>
      </c>
      <c r="AA21" s="35">
        <f t="shared" si="2"/>
        <v>7703.5519999999997</v>
      </c>
      <c r="AB21" s="35">
        <f t="shared" si="2"/>
        <v>379.04</v>
      </c>
      <c r="AC21" s="35">
        <f t="shared" si="2"/>
        <v>0</v>
      </c>
      <c r="AD21" s="35">
        <f t="shared" si="2"/>
        <v>0</v>
      </c>
      <c r="AE21" s="35">
        <f t="shared" si="2"/>
        <v>287.45600000000002</v>
      </c>
      <c r="AF21" s="35">
        <f t="shared" si="2"/>
        <v>0</v>
      </c>
      <c r="AG21" s="35">
        <f t="shared" si="2"/>
        <v>0</v>
      </c>
      <c r="AH21" s="4">
        <f t="shared" si="3"/>
        <v>449543.95999999996</v>
      </c>
      <c r="AI21" s="129">
        <f t="shared" si="4"/>
        <v>279076.91200000001</v>
      </c>
      <c r="AJ21" s="129">
        <f t="shared" si="5"/>
        <v>35049.536</v>
      </c>
      <c r="AK21" s="129">
        <f t="shared" si="6"/>
        <v>116365.28000000001</v>
      </c>
      <c r="AL21" s="129">
        <f t="shared" si="7"/>
        <v>19052.232</v>
      </c>
    </row>
    <row r="22" spans="1:38">
      <c r="A22" s="1" t="s">
        <v>136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P22" s="15"/>
      <c r="R22" s="1" t="s">
        <v>17</v>
      </c>
      <c r="S22" s="35">
        <f t="shared" ref="S22:AG31" si="8">S92*0.8</f>
        <v>57372.4</v>
      </c>
      <c r="T22" s="35">
        <f t="shared" si="8"/>
        <v>4084.7040000000002</v>
      </c>
      <c r="U22" s="35">
        <f t="shared" si="8"/>
        <v>7814.8960000000006</v>
      </c>
      <c r="V22" s="35">
        <f t="shared" si="8"/>
        <v>134.89600000000002</v>
      </c>
      <c r="W22" s="35">
        <f t="shared" si="8"/>
        <v>23734.864000000001</v>
      </c>
      <c r="X22" s="35">
        <f t="shared" si="8"/>
        <v>1895.2</v>
      </c>
      <c r="Y22" s="35">
        <f t="shared" si="8"/>
        <v>457.35200000000009</v>
      </c>
      <c r="Z22" s="35">
        <f t="shared" si="8"/>
        <v>658.80000000000007</v>
      </c>
      <c r="AA22" s="35">
        <f t="shared" si="8"/>
        <v>783.51200000000006</v>
      </c>
      <c r="AB22" s="35">
        <f t="shared" si="8"/>
        <v>75.808000000000007</v>
      </c>
      <c r="AC22" s="35">
        <f t="shared" si="8"/>
        <v>0</v>
      </c>
      <c r="AD22" s="35">
        <f t="shared" si="8"/>
        <v>0</v>
      </c>
      <c r="AE22" s="35">
        <f t="shared" si="8"/>
        <v>44.224000000000004</v>
      </c>
      <c r="AF22" s="35">
        <f t="shared" si="8"/>
        <v>0</v>
      </c>
      <c r="AG22" s="35">
        <f t="shared" si="8"/>
        <v>0</v>
      </c>
      <c r="AH22" s="4">
        <f t="shared" si="3"/>
        <v>97056.656000000003</v>
      </c>
      <c r="AI22" s="129">
        <f t="shared" si="4"/>
        <v>61457.103999999999</v>
      </c>
      <c r="AJ22" s="129">
        <f t="shared" si="5"/>
        <v>7949.7920000000004</v>
      </c>
      <c r="AK22" s="129">
        <f t="shared" si="6"/>
        <v>23734.864000000001</v>
      </c>
      <c r="AL22" s="129">
        <f t="shared" si="7"/>
        <v>3914.8960000000006</v>
      </c>
    </row>
    <row r="23" spans="1:38">
      <c r="A23" s="1" t="s">
        <v>137</v>
      </c>
      <c r="B23" s="35">
        <v>0</v>
      </c>
      <c r="C23" s="35">
        <v>515.35</v>
      </c>
      <c r="D23" s="35">
        <v>0</v>
      </c>
      <c r="E23" s="35">
        <v>422.76</v>
      </c>
      <c r="F23" s="35">
        <v>0</v>
      </c>
      <c r="G23" s="35">
        <v>0</v>
      </c>
      <c r="H23" s="35">
        <v>382.54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1320.65</v>
      </c>
      <c r="P23" s="15"/>
      <c r="R23" s="1" t="s">
        <v>18</v>
      </c>
      <c r="S23" s="35">
        <f t="shared" si="8"/>
        <v>898921.44800000009</v>
      </c>
      <c r="T23" s="35">
        <f t="shared" si="8"/>
        <v>89340.343999999997</v>
      </c>
      <c r="U23" s="35">
        <f t="shared" si="8"/>
        <v>146263.10400000002</v>
      </c>
      <c r="V23" s="35">
        <f t="shared" si="8"/>
        <v>17523.495999999999</v>
      </c>
      <c r="W23" s="35">
        <f t="shared" si="8"/>
        <v>370837.08799999999</v>
      </c>
      <c r="X23" s="35">
        <f t="shared" si="8"/>
        <v>13038.976000000002</v>
      </c>
      <c r="Y23" s="35">
        <f t="shared" si="8"/>
        <v>16169.256000000001</v>
      </c>
      <c r="Z23" s="35">
        <f t="shared" si="8"/>
        <v>2953.0080000000003</v>
      </c>
      <c r="AA23" s="35">
        <f t="shared" si="8"/>
        <v>17016.808000000001</v>
      </c>
      <c r="AB23" s="35">
        <f t="shared" si="8"/>
        <v>1743.5840000000001</v>
      </c>
      <c r="AC23" s="35">
        <f t="shared" si="8"/>
        <v>454.84799999999996</v>
      </c>
      <c r="AD23" s="35">
        <f t="shared" si="8"/>
        <v>0</v>
      </c>
      <c r="AE23" s="35">
        <f t="shared" si="8"/>
        <v>1923.7439999999999</v>
      </c>
      <c r="AF23" s="35">
        <f t="shared" si="8"/>
        <v>0</v>
      </c>
      <c r="AG23" s="35">
        <f t="shared" si="8"/>
        <v>0</v>
      </c>
      <c r="AH23" s="4">
        <f t="shared" si="3"/>
        <v>1576185.7040000001</v>
      </c>
      <c r="AI23" s="129">
        <f t="shared" si="4"/>
        <v>988777.14200000011</v>
      </c>
      <c r="AJ23" s="129">
        <f t="shared" si="5"/>
        <v>164209.36000000004</v>
      </c>
      <c r="AK23" s="129">
        <f t="shared" si="6"/>
        <v>370837.08799999999</v>
      </c>
      <c r="AL23" s="129">
        <f t="shared" si="7"/>
        <v>53682.76400000001</v>
      </c>
    </row>
    <row r="24" spans="1:38">
      <c r="A24" s="1" t="s">
        <v>138</v>
      </c>
      <c r="B24" s="35">
        <v>0</v>
      </c>
      <c r="C24" s="35">
        <v>273.14999999999998</v>
      </c>
      <c r="D24" s="35">
        <v>0</v>
      </c>
      <c r="E24" s="35">
        <v>0</v>
      </c>
      <c r="F24" s="35">
        <v>0</v>
      </c>
      <c r="G24" s="35">
        <v>0</v>
      </c>
      <c r="H24" s="35">
        <v>109.5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382.65</v>
      </c>
      <c r="P24" s="15"/>
      <c r="R24" s="1" t="s">
        <v>20</v>
      </c>
      <c r="S24" s="35">
        <f t="shared" si="8"/>
        <v>116673.04800000001</v>
      </c>
      <c r="T24" s="35">
        <f t="shared" si="8"/>
        <v>20416.216</v>
      </c>
      <c r="U24" s="35">
        <f t="shared" si="8"/>
        <v>9424</v>
      </c>
      <c r="V24" s="35">
        <f t="shared" si="8"/>
        <v>3455.1280000000002</v>
      </c>
      <c r="W24" s="35">
        <f t="shared" si="8"/>
        <v>43968.640000000007</v>
      </c>
      <c r="X24" s="35">
        <f t="shared" si="8"/>
        <v>1667.7760000000003</v>
      </c>
      <c r="Y24" s="35">
        <f t="shared" si="8"/>
        <v>4027.9039999999995</v>
      </c>
      <c r="Z24" s="35">
        <f t="shared" si="8"/>
        <v>0</v>
      </c>
      <c r="AA24" s="35">
        <f t="shared" si="8"/>
        <v>3721.36</v>
      </c>
      <c r="AB24" s="35">
        <f t="shared" si="8"/>
        <v>0</v>
      </c>
      <c r="AC24" s="35">
        <f t="shared" si="8"/>
        <v>0</v>
      </c>
      <c r="AD24" s="35">
        <f t="shared" si="8"/>
        <v>0</v>
      </c>
      <c r="AE24" s="35">
        <f t="shared" si="8"/>
        <v>199.00800000000001</v>
      </c>
      <c r="AF24" s="35">
        <f t="shared" si="8"/>
        <v>0</v>
      </c>
      <c r="AG24" s="35">
        <f t="shared" si="8"/>
        <v>0</v>
      </c>
      <c r="AH24" s="4">
        <f t="shared" si="3"/>
        <v>203553.08000000005</v>
      </c>
      <c r="AI24" s="129">
        <f t="shared" si="4"/>
        <v>137362.41399999999</v>
      </c>
      <c r="AJ24" s="129">
        <f t="shared" si="5"/>
        <v>12879.128000000001</v>
      </c>
      <c r="AK24" s="129">
        <f t="shared" si="6"/>
        <v>43968.640000000007</v>
      </c>
      <c r="AL24" s="129">
        <f t="shared" si="7"/>
        <v>9725.5480000000007</v>
      </c>
    </row>
    <row r="25" spans="1:38">
      <c r="A25" s="1" t="s">
        <v>139</v>
      </c>
      <c r="B25" s="35">
        <v>0</v>
      </c>
      <c r="C25" s="35">
        <v>461.4</v>
      </c>
      <c r="D25" s="35">
        <v>0</v>
      </c>
      <c r="E25" s="35">
        <v>0</v>
      </c>
      <c r="F25" s="35">
        <v>0</v>
      </c>
      <c r="G25" s="35">
        <v>0</v>
      </c>
      <c r="H25" s="35">
        <v>187.02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>SUM(B25:N25)</f>
        <v>648.41999999999996</v>
      </c>
      <c r="P25" s="15"/>
      <c r="R25" s="1" t="s">
        <v>19</v>
      </c>
      <c r="S25" s="35">
        <f t="shared" si="8"/>
        <v>890872.09600000014</v>
      </c>
      <c r="T25" s="35">
        <f t="shared" si="8"/>
        <v>100844.61599999999</v>
      </c>
      <c r="U25" s="35">
        <f t="shared" si="8"/>
        <v>123753.96000000002</v>
      </c>
      <c r="V25" s="35">
        <f t="shared" si="8"/>
        <v>23218.576000000001</v>
      </c>
      <c r="W25" s="35">
        <f t="shared" si="8"/>
        <v>592060.48</v>
      </c>
      <c r="X25" s="35">
        <f t="shared" si="8"/>
        <v>5609.7920000000004</v>
      </c>
      <c r="Y25" s="35">
        <f t="shared" si="8"/>
        <v>19702.135999999999</v>
      </c>
      <c r="Z25" s="35">
        <f t="shared" si="8"/>
        <v>1546.5200000000002</v>
      </c>
      <c r="AA25" s="35">
        <f t="shared" si="8"/>
        <v>17146.528000000002</v>
      </c>
      <c r="AB25" s="35">
        <f t="shared" si="8"/>
        <v>1061.3120000000001</v>
      </c>
      <c r="AC25" s="35">
        <f t="shared" si="8"/>
        <v>0</v>
      </c>
      <c r="AD25" s="35">
        <f t="shared" si="8"/>
        <v>0</v>
      </c>
      <c r="AE25" s="35">
        <f t="shared" si="8"/>
        <v>464.35200000000009</v>
      </c>
      <c r="AF25" s="35">
        <f t="shared" si="8"/>
        <v>0</v>
      </c>
      <c r="AG25" s="35">
        <f t="shared" si="8"/>
        <v>0</v>
      </c>
      <c r="AH25" s="4">
        <f t="shared" si="3"/>
        <v>1776280.3679999998</v>
      </c>
      <c r="AI25" s="129">
        <f t="shared" si="4"/>
        <v>992178.1120000002</v>
      </c>
      <c r="AJ25" s="129">
        <f t="shared" si="5"/>
        <v>146972.53600000002</v>
      </c>
      <c r="AK25" s="129">
        <f t="shared" si="6"/>
        <v>592060.48</v>
      </c>
      <c r="AL25" s="129">
        <f t="shared" si="7"/>
        <v>45717.659999999996</v>
      </c>
    </row>
    <row r="26" spans="1:38">
      <c r="A26" s="1" t="s">
        <v>140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P26" s="15"/>
      <c r="R26" s="1" t="s">
        <v>21</v>
      </c>
      <c r="S26" s="35">
        <f t="shared" si="8"/>
        <v>38741.415999999997</v>
      </c>
      <c r="T26" s="35">
        <f t="shared" si="8"/>
        <v>4340.76</v>
      </c>
      <c r="U26" s="35">
        <f t="shared" si="8"/>
        <v>5782.0640000000003</v>
      </c>
      <c r="V26" s="35">
        <f t="shared" si="8"/>
        <v>923.87199999999996</v>
      </c>
      <c r="W26" s="35">
        <f t="shared" si="8"/>
        <v>43892.832000000002</v>
      </c>
      <c r="X26" s="35">
        <f t="shared" si="8"/>
        <v>530.65600000000006</v>
      </c>
      <c r="Y26" s="35">
        <f t="shared" si="8"/>
        <v>367.67200000000003</v>
      </c>
      <c r="Z26" s="35">
        <f t="shared" si="8"/>
        <v>0</v>
      </c>
      <c r="AA26" s="35">
        <f t="shared" si="8"/>
        <v>972.76800000000003</v>
      </c>
      <c r="AB26" s="35">
        <f t="shared" si="8"/>
        <v>151.61600000000001</v>
      </c>
      <c r="AC26" s="35">
        <f t="shared" si="8"/>
        <v>0</v>
      </c>
      <c r="AD26" s="35">
        <f t="shared" si="8"/>
        <v>0</v>
      </c>
      <c r="AE26" s="35">
        <f t="shared" si="8"/>
        <v>44.224000000000004</v>
      </c>
      <c r="AF26" s="35">
        <f t="shared" si="8"/>
        <v>0</v>
      </c>
      <c r="AG26" s="35">
        <f t="shared" si="8"/>
        <v>0</v>
      </c>
      <c r="AH26" s="4">
        <f t="shared" si="3"/>
        <v>95747.88</v>
      </c>
      <c r="AI26" s="129">
        <f t="shared" si="4"/>
        <v>43082.175999999999</v>
      </c>
      <c r="AJ26" s="129">
        <f t="shared" si="5"/>
        <v>6705.9360000000006</v>
      </c>
      <c r="AK26" s="129">
        <f t="shared" si="6"/>
        <v>43892.832000000002</v>
      </c>
      <c r="AL26" s="129">
        <f t="shared" si="7"/>
        <v>2066.9360000000001</v>
      </c>
    </row>
    <row r="27" spans="1:38">
      <c r="A27" s="2" t="s">
        <v>141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P27" s="15"/>
      <c r="R27" s="2" t="s">
        <v>22</v>
      </c>
      <c r="S27" s="35">
        <f t="shared" si="8"/>
        <v>8818.76</v>
      </c>
      <c r="T27" s="35">
        <f t="shared" si="8"/>
        <v>282.52</v>
      </c>
      <c r="U27" s="35">
        <f t="shared" si="8"/>
        <v>771.13599999999997</v>
      </c>
      <c r="V27" s="35">
        <f t="shared" si="8"/>
        <v>67.84</v>
      </c>
      <c r="W27" s="35">
        <f t="shared" si="8"/>
        <v>8642.1119999999992</v>
      </c>
      <c r="X27" s="35">
        <f t="shared" si="8"/>
        <v>227.42399999999998</v>
      </c>
      <c r="Y27" s="35">
        <f t="shared" si="8"/>
        <v>40.664000000000001</v>
      </c>
      <c r="Z27" s="35">
        <f t="shared" si="8"/>
        <v>0</v>
      </c>
      <c r="AA27" s="35">
        <f t="shared" si="8"/>
        <v>44.768000000000001</v>
      </c>
      <c r="AB27" s="35">
        <f t="shared" si="8"/>
        <v>0</v>
      </c>
      <c r="AC27" s="35">
        <f t="shared" si="8"/>
        <v>0</v>
      </c>
      <c r="AD27" s="35">
        <f t="shared" si="8"/>
        <v>0</v>
      </c>
      <c r="AE27" s="35">
        <f t="shared" si="8"/>
        <v>0</v>
      </c>
      <c r="AF27" s="35">
        <f t="shared" si="8"/>
        <v>0</v>
      </c>
      <c r="AG27" s="35">
        <f t="shared" si="8"/>
        <v>0</v>
      </c>
      <c r="AH27" s="4">
        <f t="shared" si="3"/>
        <v>18895.224000000002</v>
      </c>
      <c r="AI27" s="129">
        <f t="shared" si="4"/>
        <v>9101.2800000000007</v>
      </c>
      <c r="AJ27" s="129">
        <f t="shared" si="5"/>
        <v>838.976</v>
      </c>
      <c r="AK27" s="129">
        <f t="shared" si="6"/>
        <v>8642.1119999999992</v>
      </c>
      <c r="AL27" s="129">
        <f t="shared" si="7"/>
        <v>312.85599999999999</v>
      </c>
    </row>
    <row r="28" spans="1:38">
      <c r="A28" s="1" t="s">
        <v>142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P28" s="15"/>
      <c r="R28" s="1" t="s">
        <v>23</v>
      </c>
      <c r="S28" s="35">
        <f t="shared" si="8"/>
        <v>608264.66399999999</v>
      </c>
      <c r="T28" s="35">
        <f t="shared" si="8"/>
        <v>44899.288</v>
      </c>
      <c r="U28" s="35">
        <f t="shared" si="8"/>
        <v>86300.096000000005</v>
      </c>
      <c r="V28" s="35">
        <f t="shared" si="8"/>
        <v>8171.9920000000002</v>
      </c>
      <c r="W28" s="35">
        <f t="shared" si="8"/>
        <v>336284.288</v>
      </c>
      <c r="X28" s="35">
        <f t="shared" si="8"/>
        <v>3032.3199999999997</v>
      </c>
      <c r="Y28" s="35">
        <f t="shared" si="8"/>
        <v>5986.0160000000005</v>
      </c>
      <c r="Z28" s="35">
        <f t="shared" si="8"/>
        <v>0</v>
      </c>
      <c r="AA28" s="35">
        <f t="shared" si="8"/>
        <v>7762.0319999999992</v>
      </c>
      <c r="AB28" s="35">
        <f t="shared" si="8"/>
        <v>379.04</v>
      </c>
      <c r="AC28" s="35">
        <f t="shared" si="8"/>
        <v>151.61600000000001</v>
      </c>
      <c r="AD28" s="35">
        <f t="shared" si="8"/>
        <v>0</v>
      </c>
      <c r="AE28" s="35">
        <f t="shared" si="8"/>
        <v>619.13599999999997</v>
      </c>
      <c r="AF28" s="35">
        <f t="shared" si="8"/>
        <v>0</v>
      </c>
      <c r="AG28" s="35">
        <f t="shared" si="8"/>
        <v>0</v>
      </c>
      <c r="AH28" s="4">
        <f t="shared" si="3"/>
        <v>1101850.4879999999</v>
      </c>
      <c r="AI28" s="129">
        <f t="shared" si="4"/>
        <v>653163.95200000005</v>
      </c>
      <c r="AJ28" s="129">
        <f t="shared" si="5"/>
        <v>94472.088000000003</v>
      </c>
      <c r="AK28" s="129">
        <f t="shared" si="6"/>
        <v>336284.288</v>
      </c>
      <c r="AL28" s="129">
        <f t="shared" si="7"/>
        <v>17930.16</v>
      </c>
    </row>
    <row r="29" spans="1:38">
      <c r="A29" s="1" t="s">
        <v>143</v>
      </c>
      <c r="B29" s="35">
        <v>0</v>
      </c>
      <c r="C29" s="35">
        <v>1455.68</v>
      </c>
      <c r="D29" s="35">
        <v>0</v>
      </c>
      <c r="E29" s="35">
        <v>0</v>
      </c>
      <c r="F29" s="35">
        <v>0</v>
      </c>
      <c r="G29" s="35">
        <v>0</v>
      </c>
      <c r="H29" s="35">
        <v>594.79000000000008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2050.4700000000003</v>
      </c>
      <c r="P29" s="15"/>
      <c r="R29" s="1" t="s">
        <v>25</v>
      </c>
      <c r="S29" s="35">
        <f t="shared" si="8"/>
        <v>2947508.6720000003</v>
      </c>
      <c r="T29" s="35">
        <f t="shared" si="8"/>
        <v>319783.74400000001</v>
      </c>
      <c r="U29" s="35">
        <f t="shared" si="8"/>
        <v>440752.00800000003</v>
      </c>
      <c r="V29" s="35">
        <f t="shared" si="8"/>
        <v>48310.815999999999</v>
      </c>
      <c r="W29" s="35">
        <f t="shared" si="8"/>
        <v>1947431.7120000003</v>
      </c>
      <c r="X29" s="35">
        <f t="shared" si="8"/>
        <v>15464.832000000002</v>
      </c>
      <c r="Y29" s="35">
        <f t="shared" si="8"/>
        <v>60537.975999999995</v>
      </c>
      <c r="Z29" s="35">
        <f t="shared" si="8"/>
        <v>2094.4</v>
      </c>
      <c r="AA29" s="35">
        <f t="shared" si="8"/>
        <v>51697.584000000003</v>
      </c>
      <c r="AB29" s="35">
        <f t="shared" si="8"/>
        <v>3487.1680000000001</v>
      </c>
      <c r="AC29" s="35">
        <f t="shared" si="8"/>
        <v>758.08</v>
      </c>
      <c r="AD29" s="35">
        <f t="shared" si="8"/>
        <v>0</v>
      </c>
      <c r="AE29" s="35">
        <f t="shared" si="8"/>
        <v>4112.8320000000003</v>
      </c>
      <c r="AF29" s="35">
        <f>AF99</f>
        <v>426.65</v>
      </c>
      <c r="AG29" s="35">
        <f>AG99</f>
        <v>4159.49</v>
      </c>
      <c r="AH29" s="4">
        <f t="shared" si="3"/>
        <v>5846525.9640000015</v>
      </c>
      <c r="AI29" s="129">
        <f t="shared" si="4"/>
        <v>3268748.0960000004</v>
      </c>
      <c r="AJ29" s="129">
        <f t="shared" si="5"/>
        <v>489062.82400000002</v>
      </c>
      <c r="AK29" s="129">
        <f t="shared" si="6"/>
        <v>1947431.7120000003</v>
      </c>
      <c r="AL29" s="129">
        <f t="shared" si="7"/>
        <v>143333.80199999997</v>
      </c>
    </row>
    <row r="30" spans="1:38">
      <c r="A30" s="1" t="s">
        <v>144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15"/>
      <c r="R30" s="1" t="s">
        <v>24</v>
      </c>
      <c r="S30" s="35">
        <f t="shared" si="8"/>
        <v>68569.552000000011</v>
      </c>
      <c r="T30" s="35">
        <f t="shared" si="8"/>
        <v>13463.864000000001</v>
      </c>
      <c r="U30" s="35">
        <f t="shared" si="8"/>
        <v>7813.5600000000013</v>
      </c>
      <c r="V30" s="35">
        <f t="shared" si="8"/>
        <v>476.19200000000001</v>
      </c>
      <c r="W30" s="35">
        <f t="shared" si="8"/>
        <v>44120.256000000001</v>
      </c>
      <c r="X30" s="35">
        <f t="shared" si="8"/>
        <v>1061.3120000000001</v>
      </c>
      <c r="Y30" s="35">
        <f t="shared" si="8"/>
        <v>997.39200000000005</v>
      </c>
      <c r="Z30" s="35">
        <f t="shared" si="8"/>
        <v>0</v>
      </c>
      <c r="AA30" s="35">
        <f t="shared" si="8"/>
        <v>2594.3680000000004</v>
      </c>
      <c r="AB30" s="35">
        <f t="shared" si="8"/>
        <v>0</v>
      </c>
      <c r="AC30" s="35">
        <f t="shared" si="8"/>
        <v>0</v>
      </c>
      <c r="AD30" s="35">
        <f t="shared" si="8"/>
        <v>0</v>
      </c>
      <c r="AE30" s="35">
        <f t="shared" si="8"/>
        <v>44.224000000000004</v>
      </c>
      <c r="AF30" s="35">
        <f t="shared" si="8"/>
        <v>0</v>
      </c>
      <c r="AG30" s="35">
        <f t="shared" si="8"/>
        <v>0</v>
      </c>
      <c r="AH30" s="4">
        <f t="shared" si="3"/>
        <v>139140.71999999997</v>
      </c>
      <c r="AI30" s="129">
        <f t="shared" si="4"/>
        <v>82033.416000000012</v>
      </c>
      <c r="AJ30" s="129">
        <f t="shared" si="5"/>
        <v>8289.7520000000004</v>
      </c>
      <c r="AK30" s="129">
        <f t="shared" si="6"/>
        <v>44120.256000000001</v>
      </c>
      <c r="AL30" s="129">
        <f t="shared" si="7"/>
        <v>4697.2960000000003</v>
      </c>
    </row>
    <row r="31" spans="1:38">
      <c r="A31" s="1" t="s">
        <v>145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P31" s="15"/>
      <c r="R31" s="1" t="s">
        <v>26</v>
      </c>
      <c r="S31" s="35">
        <f t="shared" si="8"/>
        <v>28708.768</v>
      </c>
      <c r="T31" s="35">
        <f t="shared" si="8"/>
        <v>5455.2960000000003</v>
      </c>
      <c r="U31" s="35">
        <f t="shared" si="8"/>
        <v>3622.56</v>
      </c>
      <c r="V31" s="35">
        <f t="shared" si="8"/>
        <v>403.63200000000001</v>
      </c>
      <c r="W31" s="35">
        <f t="shared" si="8"/>
        <v>27669.920000000002</v>
      </c>
      <c r="X31" s="35">
        <f t="shared" si="8"/>
        <v>682.27199999999993</v>
      </c>
      <c r="Y31" s="35">
        <f t="shared" si="8"/>
        <v>1580.4639999999999</v>
      </c>
      <c r="Z31" s="35">
        <f t="shared" si="8"/>
        <v>442.22399999999999</v>
      </c>
      <c r="AA31" s="35">
        <f t="shared" si="8"/>
        <v>627.52800000000013</v>
      </c>
      <c r="AB31" s="35">
        <f t="shared" si="8"/>
        <v>151.61600000000001</v>
      </c>
      <c r="AC31" s="35">
        <f t="shared" si="8"/>
        <v>0</v>
      </c>
      <c r="AD31" s="35">
        <f t="shared" si="8"/>
        <v>0</v>
      </c>
      <c r="AE31" s="35">
        <f t="shared" si="8"/>
        <v>44.224000000000004</v>
      </c>
      <c r="AF31" s="35">
        <f t="shared" si="8"/>
        <v>0</v>
      </c>
      <c r="AG31" s="35">
        <f t="shared" si="8"/>
        <v>0</v>
      </c>
      <c r="AH31" s="4">
        <f t="shared" si="3"/>
        <v>69388.503999999986</v>
      </c>
      <c r="AI31" s="129">
        <f t="shared" si="4"/>
        <v>34164.063999999998</v>
      </c>
      <c r="AJ31" s="129">
        <f t="shared" si="5"/>
        <v>4026.192</v>
      </c>
      <c r="AK31" s="129">
        <f t="shared" si="6"/>
        <v>27669.920000000002</v>
      </c>
      <c r="AL31" s="129">
        <f t="shared" si="7"/>
        <v>3528.3280000000004</v>
      </c>
    </row>
    <row r="32" spans="1:38">
      <c r="A32" s="6" t="s">
        <v>37</v>
      </c>
      <c r="B32" s="7">
        <f>SUM(B5:B31)</f>
        <v>0</v>
      </c>
      <c r="C32" s="7">
        <f>SUM(C5:C31)</f>
        <v>3108.9840000000004</v>
      </c>
      <c r="D32" s="7">
        <f>SUM(D5:D31)</f>
        <v>0</v>
      </c>
      <c r="E32" s="7">
        <f>SUM(E5:E31)</f>
        <v>422.76</v>
      </c>
      <c r="F32" s="7">
        <f t="shared" ref="F32:N32" si="9">SUM(F5:F31)</f>
        <v>0</v>
      </c>
      <c r="G32" s="7">
        <f t="shared" si="9"/>
        <v>0</v>
      </c>
      <c r="H32" s="7">
        <f t="shared" si="9"/>
        <v>1431.5300000000002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>SUM(O5:O31)</f>
        <v>4963.2740000000003</v>
      </c>
      <c r="P32" s="15"/>
      <c r="R32" s="6" t="s">
        <v>37</v>
      </c>
      <c r="S32" s="7">
        <f>SUM(S5:S31)</f>
        <v>9115036.4959999975</v>
      </c>
      <c r="T32" s="7">
        <f>SUM(T5:T31)</f>
        <v>1056178.2880000002</v>
      </c>
      <c r="U32" s="7">
        <f>SUM(U5:U31)</f>
        <v>1314339.7840000005</v>
      </c>
      <c r="V32" s="7">
        <f>SUM(V5:V31)</f>
        <v>176850.68800000002</v>
      </c>
      <c r="W32" s="7">
        <f t="shared" ref="W32:AG32" si="10">SUM(W5:W31)</f>
        <v>5387584.8480000002</v>
      </c>
      <c r="X32" s="7">
        <f t="shared" si="10"/>
        <v>83995.263999999996</v>
      </c>
      <c r="Y32" s="7">
        <f t="shared" si="10"/>
        <v>189939.17600000001</v>
      </c>
      <c r="Z32" s="7">
        <f t="shared" si="10"/>
        <v>18529.28</v>
      </c>
      <c r="AA32" s="7">
        <f t="shared" si="10"/>
        <v>176268.09599999999</v>
      </c>
      <c r="AB32" s="7">
        <f t="shared" si="10"/>
        <v>14024.48</v>
      </c>
      <c r="AC32" s="7">
        <f t="shared" si="10"/>
        <v>1667.7759999999998</v>
      </c>
      <c r="AD32" s="7">
        <f t="shared" si="10"/>
        <v>2989.1680000000001</v>
      </c>
      <c r="AE32" s="7">
        <f t="shared" si="10"/>
        <v>10879.104000000001</v>
      </c>
      <c r="AF32" s="7">
        <f t="shared" si="10"/>
        <v>467.65</v>
      </c>
      <c r="AG32" s="7">
        <f t="shared" si="10"/>
        <v>4159.49</v>
      </c>
      <c r="AH32" s="7">
        <f>SUM(AH5:AH31)</f>
        <v>17552909.588</v>
      </c>
      <c r="AI32" s="129">
        <f t="shared" si="4"/>
        <v>10174323.767999997</v>
      </c>
      <c r="AJ32" s="129">
        <f t="shared" si="5"/>
        <v>1491613.2320000005</v>
      </c>
      <c r="AK32" s="129">
        <f t="shared" si="6"/>
        <v>5387584.8480000002</v>
      </c>
      <c r="AL32" s="129">
        <f t="shared" si="7"/>
        <v>504351.01400000002</v>
      </c>
    </row>
    <row r="33" spans="1:38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20"/>
      <c r="P33" s="15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  <c r="AI33" s="129"/>
      <c r="AJ33" s="129"/>
      <c r="AK33" s="129"/>
      <c r="AL33" s="129"/>
    </row>
    <row r="34" spans="1:38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P34" s="15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  <c r="AI34" s="129"/>
      <c r="AJ34" s="129"/>
      <c r="AK34" s="129"/>
      <c r="AL34" s="129"/>
    </row>
    <row r="35" spans="1:38">
      <c r="A35" s="42" t="s">
        <v>14</v>
      </c>
      <c r="B35" s="295" t="s">
        <v>46</v>
      </c>
      <c r="C35" s="295"/>
      <c r="D35" s="295"/>
      <c r="E35" s="295"/>
      <c r="F35" s="295"/>
      <c r="G35" s="295"/>
      <c r="H35" s="295"/>
      <c r="I35" s="32"/>
      <c r="J35" s="32"/>
      <c r="K35" s="32"/>
      <c r="L35" s="32"/>
      <c r="M35" s="32"/>
      <c r="N35" s="32"/>
      <c r="O35" s="33"/>
      <c r="P35" s="15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  <c r="AI35" s="129"/>
      <c r="AJ35" s="129"/>
      <c r="AK35" s="129"/>
      <c r="AL35" s="129"/>
    </row>
    <row r="36" spans="1:38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P36" s="15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  <c r="AI36" s="129"/>
      <c r="AJ36" s="129"/>
      <c r="AK36" s="129"/>
      <c r="AL36" s="129"/>
    </row>
    <row r="37" spans="1:38" ht="46.5">
      <c r="A37" s="292" t="s">
        <v>62</v>
      </c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4"/>
      <c r="P37" s="15"/>
      <c r="R37" s="292" t="s">
        <v>64</v>
      </c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4"/>
      <c r="AI37" s="129"/>
      <c r="AJ37" s="129"/>
      <c r="AK37" s="129"/>
      <c r="AL37" s="129"/>
    </row>
    <row r="38" spans="1:38" ht="21.75" customHeight="1">
      <c r="A38" s="290" t="s">
        <v>33</v>
      </c>
      <c r="B38" s="287" t="s">
        <v>27</v>
      </c>
      <c r="C38" s="288"/>
      <c r="D38" s="287" t="s">
        <v>29</v>
      </c>
      <c r="E38" s="288"/>
      <c r="F38" s="285" t="s">
        <v>28</v>
      </c>
      <c r="G38" s="285" t="s">
        <v>36</v>
      </c>
      <c r="H38" s="285" t="s">
        <v>30</v>
      </c>
      <c r="I38" s="285" t="s">
        <v>31</v>
      </c>
      <c r="J38" s="285" t="s">
        <v>41</v>
      </c>
      <c r="K38" s="285" t="s">
        <v>35</v>
      </c>
      <c r="L38" s="285" t="s">
        <v>40</v>
      </c>
      <c r="M38" s="285" t="s">
        <v>42</v>
      </c>
      <c r="N38" s="285" t="s">
        <v>45</v>
      </c>
      <c r="O38" s="285" t="s">
        <v>34</v>
      </c>
      <c r="P38" s="15"/>
      <c r="R38" s="290" t="s">
        <v>33</v>
      </c>
      <c r="S38" s="287" t="s">
        <v>27</v>
      </c>
      <c r="T38" s="288"/>
      <c r="U38" s="287" t="s">
        <v>29</v>
      </c>
      <c r="V38" s="288"/>
      <c r="W38" s="285" t="s">
        <v>28</v>
      </c>
      <c r="X38" s="285" t="s">
        <v>36</v>
      </c>
      <c r="Y38" s="285" t="s">
        <v>30</v>
      </c>
      <c r="Z38" s="285" t="s">
        <v>31</v>
      </c>
      <c r="AA38" s="285" t="s">
        <v>41</v>
      </c>
      <c r="AB38" s="285" t="s">
        <v>35</v>
      </c>
      <c r="AC38" s="285" t="s">
        <v>40</v>
      </c>
      <c r="AD38" s="285" t="s">
        <v>42</v>
      </c>
      <c r="AE38" s="285" t="s">
        <v>45</v>
      </c>
      <c r="AF38" s="287" t="s">
        <v>52</v>
      </c>
      <c r="AG38" s="288"/>
      <c r="AH38" s="285" t="s">
        <v>34</v>
      </c>
      <c r="AI38" s="129"/>
      <c r="AJ38" s="129"/>
      <c r="AK38" s="129"/>
      <c r="AL38" s="129"/>
    </row>
    <row r="39" spans="1:38" ht="30">
      <c r="A39" s="291"/>
      <c r="B39" s="56" t="s">
        <v>43</v>
      </c>
      <c r="C39" s="56" t="s">
        <v>44</v>
      </c>
      <c r="D39" s="56" t="s">
        <v>43</v>
      </c>
      <c r="E39" s="56" t="s">
        <v>44</v>
      </c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15"/>
      <c r="R39" s="291"/>
      <c r="S39" s="56" t="s">
        <v>43</v>
      </c>
      <c r="T39" s="56" t="s">
        <v>44</v>
      </c>
      <c r="U39" s="56" t="s">
        <v>43</v>
      </c>
      <c r="V39" s="56" t="s">
        <v>44</v>
      </c>
      <c r="W39" s="286"/>
      <c r="X39" s="286"/>
      <c r="Y39" s="286"/>
      <c r="Z39" s="286"/>
      <c r="AA39" s="286"/>
      <c r="AB39" s="286"/>
      <c r="AC39" s="286"/>
      <c r="AD39" s="286"/>
      <c r="AE39" s="286"/>
      <c r="AF39" s="55" t="s">
        <v>53</v>
      </c>
      <c r="AG39" s="55" t="s">
        <v>54</v>
      </c>
      <c r="AH39" s="286"/>
      <c r="AI39" s="129" t="s">
        <v>230</v>
      </c>
      <c r="AJ39" s="129" t="s">
        <v>231</v>
      </c>
      <c r="AK39" s="129" t="s">
        <v>28</v>
      </c>
      <c r="AL39" s="129" t="s">
        <v>233</v>
      </c>
    </row>
    <row r="40" spans="1:38">
      <c r="A40" s="1" t="s">
        <v>119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P40" s="15"/>
      <c r="R40" s="1" t="s">
        <v>0</v>
      </c>
      <c r="S40" s="35">
        <f>S75*0.2</f>
        <v>4279.6980000000003</v>
      </c>
      <c r="T40" s="35">
        <f t="shared" ref="T40:AE40" si="11">T75*0.2</f>
        <v>476.17600000000004</v>
      </c>
      <c r="U40" s="35">
        <f t="shared" si="11"/>
        <v>602.53200000000004</v>
      </c>
      <c r="V40" s="35">
        <f t="shared" si="11"/>
        <v>53.378</v>
      </c>
      <c r="W40" s="35">
        <f t="shared" si="11"/>
        <v>2785.944</v>
      </c>
      <c r="X40" s="35">
        <f t="shared" si="11"/>
        <v>75.807999999999993</v>
      </c>
      <c r="Y40" s="35">
        <f t="shared" si="11"/>
        <v>73.42</v>
      </c>
      <c r="Z40" s="35">
        <f t="shared" si="11"/>
        <v>0</v>
      </c>
      <c r="AA40" s="35">
        <f t="shared" si="11"/>
        <v>65.251999999999995</v>
      </c>
      <c r="AB40" s="35">
        <f t="shared" si="11"/>
        <v>0</v>
      </c>
      <c r="AC40" s="35">
        <f t="shared" si="11"/>
        <v>0</v>
      </c>
      <c r="AD40" s="35">
        <f t="shared" si="11"/>
        <v>0</v>
      </c>
      <c r="AE40" s="35">
        <f t="shared" si="11"/>
        <v>0</v>
      </c>
      <c r="AF40" s="35">
        <f t="shared" ref="AF40:AG55" si="12">AF75*0.2</f>
        <v>0</v>
      </c>
      <c r="AG40" s="35">
        <f t="shared" si="12"/>
        <v>0</v>
      </c>
      <c r="AH40" s="4">
        <f>SUM(S40:AG40)</f>
        <v>8412.2080000000005</v>
      </c>
      <c r="AI40" s="129">
        <f>B40+C40+S40+T40</f>
        <v>4755.8740000000007</v>
      </c>
      <c r="AJ40" s="129">
        <f>D40+E40+U40+V40</f>
        <v>655.91000000000008</v>
      </c>
      <c r="AK40" s="129">
        <f>F40+W40</f>
        <v>2785.944</v>
      </c>
      <c r="AL40" s="129">
        <f>SUM(G40:N40)+SUM(X40:AG40)</f>
        <v>214.48000000000002</v>
      </c>
    </row>
    <row r="41" spans="1:38">
      <c r="A41" s="1" t="s">
        <v>120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13">SUM(B41:N41)</f>
        <v>0</v>
      </c>
      <c r="P41" s="15"/>
      <c r="R41" s="1" t="s">
        <v>1</v>
      </c>
      <c r="S41" s="35">
        <f t="shared" ref="S41:AE41" si="14">S76*0.2</f>
        <v>23531.042000000001</v>
      </c>
      <c r="T41" s="35">
        <f t="shared" si="14"/>
        <v>3421.4960000000001</v>
      </c>
      <c r="U41" s="35">
        <f t="shared" si="14"/>
        <v>1554.692</v>
      </c>
      <c r="V41" s="35">
        <f t="shared" si="14"/>
        <v>178.47400000000002</v>
      </c>
      <c r="W41" s="35">
        <f t="shared" si="14"/>
        <v>10044.560000000001</v>
      </c>
      <c r="X41" s="35">
        <f t="shared" si="14"/>
        <v>227.42399999999998</v>
      </c>
      <c r="Y41" s="35">
        <f t="shared" si="14"/>
        <v>509.80000000000013</v>
      </c>
      <c r="Z41" s="35">
        <f t="shared" si="14"/>
        <v>106.756</v>
      </c>
      <c r="AA41" s="35">
        <f t="shared" si="14"/>
        <v>469.13599999999997</v>
      </c>
      <c r="AB41" s="35">
        <f t="shared" si="14"/>
        <v>0</v>
      </c>
      <c r="AC41" s="35">
        <f t="shared" si="14"/>
        <v>0</v>
      </c>
      <c r="AD41" s="35">
        <f t="shared" si="14"/>
        <v>0</v>
      </c>
      <c r="AE41" s="35">
        <f t="shared" si="14"/>
        <v>22.112000000000002</v>
      </c>
      <c r="AF41" s="35">
        <f t="shared" si="12"/>
        <v>0</v>
      </c>
      <c r="AG41" s="35">
        <f t="shared" si="12"/>
        <v>0</v>
      </c>
      <c r="AH41" s="4">
        <f t="shared" ref="AH41:AH66" si="15">SUM(S41:AG41)</f>
        <v>40065.491999999998</v>
      </c>
      <c r="AI41" s="129">
        <f t="shared" ref="AI41:AI67" si="16">B41+C41+S41+T41</f>
        <v>26952.538</v>
      </c>
      <c r="AJ41" s="129">
        <f t="shared" ref="AJ41:AJ67" si="17">D41+E41+U41+V41</f>
        <v>1733.1659999999999</v>
      </c>
      <c r="AK41" s="129">
        <f t="shared" ref="AK41:AK67" si="18">F41+W41</f>
        <v>10044.560000000001</v>
      </c>
      <c r="AL41" s="129">
        <f t="shared" ref="AL41:AL67" si="19">SUM(G41:N41)+SUM(X41:AG41)</f>
        <v>1335.2280000000001</v>
      </c>
    </row>
    <row r="42" spans="1:38">
      <c r="A42" s="18" t="s">
        <v>121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13"/>
        <v>0</v>
      </c>
      <c r="P42" s="15"/>
      <c r="R42" s="18" t="s">
        <v>2</v>
      </c>
      <c r="S42" s="35">
        <f t="shared" ref="S42:AE42" si="20">S77*0.2</f>
        <v>4811.8280000000004</v>
      </c>
      <c r="T42" s="35">
        <f t="shared" si="20"/>
        <v>1259.932</v>
      </c>
      <c r="U42" s="35">
        <f t="shared" si="20"/>
        <v>270.86399999999998</v>
      </c>
      <c r="V42" s="35">
        <f t="shared" si="20"/>
        <v>86.998000000000005</v>
      </c>
      <c r="W42" s="35">
        <f t="shared" si="20"/>
        <v>4434.768</v>
      </c>
      <c r="X42" s="35">
        <f t="shared" si="20"/>
        <v>701.22400000000005</v>
      </c>
      <c r="Y42" s="35">
        <f t="shared" si="20"/>
        <v>145.78799999999998</v>
      </c>
      <c r="Z42" s="35">
        <f t="shared" si="20"/>
        <v>53.85</v>
      </c>
      <c r="AA42" s="35">
        <f t="shared" si="20"/>
        <v>213.76599999999999</v>
      </c>
      <c r="AB42" s="35">
        <f t="shared" si="20"/>
        <v>37.904000000000003</v>
      </c>
      <c r="AC42" s="35">
        <f t="shared" si="20"/>
        <v>0</v>
      </c>
      <c r="AD42" s="35">
        <f t="shared" si="20"/>
        <v>0</v>
      </c>
      <c r="AE42" s="35">
        <f t="shared" si="20"/>
        <v>0</v>
      </c>
      <c r="AF42" s="35">
        <f t="shared" si="12"/>
        <v>0</v>
      </c>
      <c r="AG42" s="35">
        <f t="shared" si="12"/>
        <v>0</v>
      </c>
      <c r="AH42" s="4">
        <f t="shared" si="15"/>
        <v>12016.922</v>
      </c>
      <c r="AI42" s="129">
        <f t="shared" si="16"/>
        <v>6071.76</v>
      </c>
      <c r="AJ42" s="129">
        <f t="shared" si="17"/>
        <v>357.86199999999997</v>
      </c>
      <c r="AK42" s="129">
        <f t="shared" si="18"/>
        <v>4434.768</v>
      </c>
      <c r="AL42" s="129">
        <f t="shared" si="19"/>
        <v>1152.5320000000002</v>
      </c>
    </row>
    <row r="43" spans="1:38">
      <c r="A43" s="2" t="s">
        <v>122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13"/>
        <v>0</v>
      </c>
      <c r="P43" s="15"/>
      <c r="R43" s="2" t="s">
        <v>3</v>
      </c>
      <c r="S43" s="35">
        <f t="shared" ref="S43:AG43" si="21">S78*0.2</f>
        <v>14505.726000000002</v>
      </c>
      <c r="T43" s="35">
        <f t="shared" si="21"/>
        <v>6052.3120000000008</v>
      </c>
      <c r="U43" s="35">
        <f t="shared" si="21"/>
        <v>1959.6120000000001</v>
      </c>
      <c r="V43" s="35">
        <f t="shared" si="21"/>
        <v>227.92800000000003</v>
      </c>
      <c r="W43" s="35">
        <f t="shared" si="21"/>
        <v>8528.4</v>
      </c>
      <c r="X43" s="35">
        <f t="shared" si="21"/>
        <v>170.56799999999998</v>
      </c>
      <c r="Y43" s="35">
        <f t="shared" si="21"/>
        <v>774.23200000000008</v>
      </c>
      <c r="Z43" s="35">
        <f t="shared" si="21"/>
        <v>0</v>
      </c>
      <c r="AA43" s="35">
        <f t="shared" si="21"/>
        <v>800.29600000000005</v>
      </c>
      <c r="AB43" s="35">
        <f t="shared" si="21"/>
        <v>0</v>
      </c>
      <c r="AC43" s="35">
        <f t="shared" si="21"/>
        <v>0</v>
      </c>
      <c r="AD43" s="35">
        <f t="shared" si="21"/>
        <v>0</v>
      </c>
      <c r="AE43" s="35">
        <f t="shared" si="21"/>
        <v>5.5280000000000005</v>
      </c>
      <c r="AF43" s="35">
        <f t="shared" si="21"/>
        <v>6.5840000000000005</v>
      </c>
      <c r="AG43" s="35">
        <f t="shared" si="21"/>
        <v>0</v>
      </c>
      <c r="AH43" s="4">
        <f t="shared" si="15"/>
        <v>33031.186000000002</v>
      </c>
      <c r="AI43" s="129">
        <f t="shared" si="16"/>
        <v>20558.038000000004</v>
      </c>
      <c r="AJ43" s="129">
        <f t="shared" si="17"/>
        <v>2187.54</v>
      </c>
      <c r="AK43" s="129">
        <f t="shared" si="18"/>
        <v>8528.4</v>
      </c>
      <c r="AL43" s="129">
        <f t="shared" si="19"/>
        <v>1757.2080000000001</v>
      </c>
    </row>
    <row r="44" spans="1:38">
      <c r="A44" s="1" t="s">
        <v>123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13"/>
        <v>0</v>
      </c>
      <c r="P44" s="15"/>
      <c r="R44" s="1" t="s">
        <v>4</v>
      </c>
      <c r="S44" s="35">
        <f t="shared" ref="S44:AE44" si="22">S79*0.2</f>
        <v>74492.430000000008</v>
      </c>
      <c r="T44" s="35">
        <f t="shared" si="22"/>
        <v>7373.1620000000003</v>
      </c>
      <c r="U44" s="35">
        <f t="shared" si="22"/>
        <v>13060.344000000001</v>
      </c>
      <c r="V44" s="35">
        <f t="shared" si="22"/>
        <v>916.91399999999999</v>
      </c>
      <c r="W44" s="35">
        <f t="shared" si="22"/>
        <v>31972.024000000001</v>
      </c>
      <c r="X44" s="35">
        <f t="shared" si="22"/>
        <v>966.55200000000013</v>
      </c>
      <c r="Y44" s="35">
        <f t="shared" si="22"/>
        <v>1247.0159999999998</v>
      </c>
      <c r="Z44" s="35">
        <f t="shared" si="22"/>
        <v>0</v>
      </c>
      <c r="AA44" s="35">
        <f t="shared" si="22"/>
        <v>1253.356</v>
      </c>
      <c r="AB44" s="35">
        <f t="shared" si="22"/>
        <v>170.56800000000001</v>
      </c>
      <c r="AC44" s="35">
        <f t="shared" si="22"/>
        <v>75.808000000000007</v>
      </c>
      <c r="AD44" s="35">
        <f t="shared" si="22"/>
        <v>0</v>
      </c>
      <c r="AE44" s="35">
        <f t="shared" si="22"/>
        <v>93.975999999999999</v>
      </c>
      <c r="AF44" s="35">
        <f t="shared" si="12"/>
        <v>0</v>
      </c>
      <c r="AG44" s="35">
        <f t="shared" si="12"/>
        <v>0</v>
      </c>
      <c r="AH44" s="4">
        <f t="shared" si="15"/>
        <v>131622.15</v>
      </c>
      <c r="AI44" s="129">
        <f t="shared" si="16"/>
        <v>81865.592000000004</v>
      </c>
      <c r="AJ44" s="129">
        <f t="shared" si="17"/>
        <v>13977.258000000002</v>
      </c>
      <c r="AK44" s="129">
        <f t="shared" si="18"/>
        <v>31972.024000000001</v>
      </c>
      <c r="AL44" s="129">
        <f t="shared" si="19"/>
        <v>3807.2760000000003</v>
      </c>
    </row>
    <row r="45" spans="1:38">
      <c r="A45" s="1" t="s">
        <v>124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13"/>
        <v>0</v>
      </c>
      <c r="P45" s="15"/>
      <c r="R45" s="1" t="s">
        <v>5</v>
      </c>
      <c r="S45" s="35">
        <f t="shared" ref="S45:AE45" si="23">S80*0.2</f>
        <v>35981.21</v>
      </c>
      <c r="T45" s="35">
        <f t="shared" si="23"/>
        <v>3423.4620000000004</v>
      </c>
      <c r="U45" s="35">
        <f t="shared" si="23"/>
        <v>4184.5540000000001</v>
      </c>
      <c r="V45" s="35">
        <f t="shared" si="23"/>
        <v>610.178</v>
      </c>
      <c r="W45" s="35">
        <f t="shared" si="23"/>
        <v>14706.752</v>
      </c>
      <c r="X45" s="35">
        <f t="shared" si="23"/>
        <v>151.61600000000001</v>
      </c>
      <c r="Y45" s="35">
        <f t="shared" si="23"/>
        <v>594.8359999999999</v>
      </c>
      <c r="Z45" s="35">
        <f t="shared" si="23"/>
        <v>869.34799999999996</v>
      </c>
      <c r="AA45" s="35">
        <f t="shared" si="23"/>
        <v>506.88000000000005</v>
      </c>
      <c r="AB45" s="35">
        <f t="shared" si="23"/>
        <v>227.42399999999998</v>
      </c>
      <c r="AC45" s="35">
        <f t="shared" si="23"/>
        <v>0</v>
      </c>
      <c r="AD45" s="35">
        <f t="shared" si="23"/>
        <v>0</v>
      </c>
      <c r="AE45" s="35">
        <f t="shared" si="23"/>
        <v>38.695999999999998</v>
      </c>
      <c r="AF45" s="35">
        <f t="shared" si="12"/>
        <v>0</v>
      </c>
      <c r="AG45" s="35">
        <f t="shared" si="12"/>
        <v>0</v>
      </c>
      <c r="AH45" s="4">
        <f t="shared" si="15"/>
        <v>61294.955999999998</v>
      </c>
      <c r="AI45" s="129">
        <f t="shared" si="16"/>
        <v>39404.671999999999</v>
      </c>
      <c r="AJ45" s="129">
        <f t="shared" si="17"/>
        <v>4794.732</v>
      </c>
      <c r="AK45" s="129">
        <f t="shared" si="18"/>
        <v>14706.752</v>
      </c>
      <c r="AL45" s="129">
        <f t="shared" si="19"/>
        <v>2388.7999999999997</v>
      </c>
    </row>
    <row r="46" spans="1:38">
      <c r="A46" s="1" t="s">
        <v>125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13"/>
        <v>0</v>
      </c>
      <c r="P46" s="15"/>
      <c r="R46" s="1" t="s">
        <v>6</v>
      </c>
      <c r="S46" s="35">
        <f t="shared" ref="S46:AE46" si="24">S81*0.2</f>
        <v>80384.61</v>
      </c>
      <c r="T46" s="35">
        <f t="shared" si="24"/>
        <v>8619.0700000000015</v>
      </c>
      <c r="U46" s="35">
        <f t="shared" si="24"/>
        <v>8105.6</v>
      </c>
      <c r="V46" s="35">
        <f t="shared" si="24"/>
        <v>1357.2920000000001</v>
      </c>
      <c r="W46" s="35">
        <f t="shared" si="24"/>
        <v>20164.928</v>
      </c>
      <c r="X46" s="35">
        <f t="shared" si="24"/>
        <v>890.74400000000014</v>
      </c>
      <c r="Y46" s="35">
        <f t="shared" si="24"/>
        <v>1587.1819999999998</v>
      </c>
      <c r="Z46" s="35">
        <f t="shared" si="24"/>
        <v>0</v>
      </c>
      <c r="AA46" s="35">
        <f t="shared" si="24"/>
        <v>1435.7440000000001</v>
      </c>
      <c r="AB46" s="35">
        <f t="shared" si="24"/>
        <v>75.808000000000007</v>
      </c>
      <c r="AC46" s="35">
        <f t="shared" si="24"/>
        <v>0</v>
      </c>
      <c r="AD46" s="35">
        <f t="shared" si="24"/>
        <v>0</v>
      </c>
      <c r="AE46" s="35">
        <f t="shared" si="24"/>
        <v>66.335999999999999</v>
      </c>
      <c r="AF46" s="35">
        <f t="shared" si="12"/>
        <v>0</v>
      </c>
      <c r="AG46" s="35">
        <f t="shared" si="12"/>
        <v>0</v>
      </c>
      <c r="AH46" s="4">
        <f t="shared" si="15"/>
        <v>122687.31400000003</v>
      </c>
      <c r="AI46" s="129">
        <f t="shared" si="16"/>
        <v>89003.680000000008</v>
      </c>
      <c r="AJ46" s="129">
        <f t="shared" si="17"/>
        <v>9462.8919999999998</v>
      </c>
      <c r="AK46" s="129">
        <f t="shared" si="18"/>
        <v>20164.928</v>
      </c>
      <c r="AL46" s="129">
        <f t="shared" si="19"/>
        <v>4055.8139999999999</v>
      </c>
    </row>
    <row r="47" spans="1:38">
      <c r="A47" s="1" t="s">
        <v>126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13"/>
        <v>0</v>
      </c>
      <c r="P47" s="15"/>
      <c r="R47" s="1" t="s">
        <v>7</v>
      </c>
      <c r="S47" s="35">
        <f t="shared" ref="S47:AE47" si="25">S82*0.2</f>
        <v>64207.624000000003</v>
      </c>
      <c r="T47" s="35">
        <f t="shared" si="25"/>
        <v>6954.4160000000011</v>
      </c>
      <c r="U47" s="35">
        <f t="shared" si="25"/>
        <v>7862.3780000000006</v>
      </c>
      <c r="V47" s="35">
        <f t="shared" si="25"/>
        <v>894.63200000000006</v>
      </c>
      <c r="W47" s="35">
        <f t="shared" si="25"/>
        <v>23139.74</v>
      </c>
      <c r="X47" s="35">
        <f t="shared" si="25"/>
        <v>227.42400000000004</v>
      </c>
      <c r="Y47" s="35">
        <f t="shared" si="25"/>
        <v>1049.8380000000002</v>
      </c>
      <c r="Z47" s="35">
        <f t="shared" si="25"/>
        <v>162.47800000000001</v>
      </c>
      <c r="AA47" s="35">
        <f t="shared" si="25"/>
        <v>1001.3600000000001</v>
      </c>
      <c r="AB47" s="35">
        <f t="shared" si="25"/>
        <v>227.42399999999998</v>
      </c>
      <c r="AC47" s="35">
        <f t="shared" si="25"/>
        <v>0</v>
      </c>
      <c r="AD47" s="35">
        <f t="shared" si="25"/>
        <v>0</v>
      </c>
      <c r="AE47" s="35">
        <f t="shared" si="25"/>
        <v>27.64</v>
      </c>
      <c r="AF47" s="35">
        <f t="shared" si="12"/>
        <v>0</v>
      </c>
      <c r="AG47" s="35">
        <f t="shared" si="12"/>
        <v>0</v>
      </c>
      <c r="AH47" s="4">
        <f t="shared" si="15"/>
        <v>105754.95400000001</v>
      </c>
      <c r="AI47" s="129">
        <f t="shared" si="16"/>
        <v>71162.040000000008</v>
      </c>
      <c r="AJ47" s="129">
        <f t="shared" si="17"/>
        <v>8757.01</v>
      </c>
      <c r="AK47" s="129">
        <f t="shared" si="18"/>
        <v>23139.74</v>
      </c>
      <c r="AL47" s="129">
        <f t="shared" si="19"/>
        <v>2696.1640000000002</v>
      </c>
    </row>
    <row r="48" spans="1:38">
      <c r="A48" s="1" t="s">
        <v>127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13"/>
        <v>0</v>
      </c>
      <c r="P48" s="15"/>
      <c r="R48" s="1" t="s">
        <v>8</v>
      </c>
      <c r="S48" s="35">
        <f t="shared" ref="S48:AE48" si="26">S83*0.2</f>
        <v>50022.118000000002</v>
      </c>
      <c r="T48" s="35">
        <f t="shared" si="26"/>
        <v>7132.1600000000008</v>
      </c>
      <c r="U48" s="35">
        <f t="shared" si="26"/>
        <v>7539.4619999999995</v>
      </c>
      <c r="V48" s="35">
        <f t="shared" si="26"/>
        <v>1454.9380000000001</v>
      </c>
      <c r="W48" s="35">
        <f t="shared" si="26"/>
        <v>37695.528000000006</v>
      </c>
      <c r="X48" s="35">
        <f t="shared" si="26"/>
        <v>1326.6400000000003</v>
      </c>
      <c r="Y48" s="35">
        <f t="shared" si="26"/>
        <v>1478.9359999999997</v>
      </c>
      <c r="Z48" s="35">
        <f t="shared" si="26"/>
        <v>42.701999999999998</v>
      </c>
      <c r="AA48" s="35">
        <f t="shared" si="26"/>
        <v>1435.7080000000003</v>
      </c>
      <c r="AB48" s="35">
        <f t="shared" si="26"/>
        <v>75.808000000000007</v>
      </c>
      <c r="AC48" s="35">
        <f t="shared" si="26"/>
        <v>0</v>
      </c>
      <c r="AD48" s="35">
        <f t="shared" si="26"/>
        <v>0</v>
      </c>
      <c r="AE48" s="35">
        <f t="shared" si="26"/>
        <v>44.224000000000004</v>
      </c>
      <c r="AF48" s="35">
        <f t="shared" si="12"/>
        <v>0</v>
      </c>
      <c r="AG48" s="35">
        <f t="shared" si="12"/>
        <v>0</v>
      </c>
      <c r="AH48" s="4">
        <f t="shared" si="15"/>
        <v>108248.22400000002</v>
      </c>
      <c r="AI48" s="129">
        <f t="shared" si="16"/>
        <v>57154.278000000006</v>
      </c>
      <c r="AJ48" s="129">
        <f t="shared" si="17"/>
        <v>8994.4</v>
      </c>
      <c r="AK48" s="129">
        <f t="shared" si="18"/>
        <v>37695.528000000006</v>
      </c>
      <c r="AL48" s="129">
        <f t="shared" si="19"/>
        <v>4404.0180000000009</v>
      </c>
    </row>
    <row r="49" spans="1:38">
      <c r="A49" s="2" t="s">
        <v>128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13"/>
        <v>0</v>
      </c>
      <c r="P49" s="15"/>
      <c r="R49" s="2" t="s">
        <v>9</v>
      </c>
      <c r="S49" s="35">
        <f t="shared" ref="S49:AE49" si="27">S84*0.2</f>
        <v>15414.786</v>
      </c>
      <c r="T49" s="35">
        <f t="shared" si="27"/>
        <v>2359.326</v>
      </c>
      <c r="U49" s="35">
        <f t="shared" si="27"/>
        <v>2261.3319999999999</v>
      </c>
      <c r="V49" s="35">
        <f t="shared" si="27"/>
        <v>191.16200000000001</v>
      </c>
      <c r="W49" s="35">
        <f t="shared" si="27"/>
        <v>7163.8559999999998</v>
      </c>
      <c r="X49" s="35">
        <f t="shared" si="27"/>
        <v>189.51999999999998</v>
      </c>
      <c r="Y49" s="35">
        <f t="shared" si="27"/>
        <v>452.96399999999994</v>
      </c>
      <c r="Z49" s="35">
        <f t="shared" si="27"/>
        <v>56.855999999999995</v>
      </c>
      <c r="AA49" s="35">
        <f t="shared" si="27"/>
        <v>249.22199999999998</v>
      </c>
      <c r="AB49" s="35">
        <f t="shared" si="27"/>
        <v>37.904000000000003</v>
      </c>
      <c r="AC49" s="35">
        <f t="shared" si="27"/>
        <v>0</v>
      </c>
      <c r="AD49" s="35">
        <f t="shared" si="27"/>
        <v>0</v>
      </c>
      <c r="AE49" s="35">
        <f t="shared" si="27"/>
        <v>22.112000000000002</v>
      </c>
      <c r="AF49" s="35">
        <f t="shared" si="12"/>
        <v>0</v>
      </c>
      <c r="AG49" s="35">
        <f t="shared" si="12"/>
        <v>0</v>
      </c>
      <c r="AH49" s="4">
        <f t="shared" si="15"/>
        <v>28399.040000000001</v>
      </c>
      <c r="AI49" s="129">
        <f t="shared" si="16"/>
        <v>17774.112000000001</v>
      </c>
      <c r="AJ49" s="129">
        <f t="shared" si="17"/>
        <v>2452.4939999999997</v>
      </c>
      <c r="AK49" s="129">
        <f t="shared" si="18"/>
        <v>7163.8559999999998</v>
      </c>
      <c r="AL49" s="129">
        <f t="shared" si="19"/>
        <v>1008.5779999999999</v>
      </c>
    </row>
    <row r="50" spans="1:38">
      <c r="A50" s="18" t="s">
        <v>129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13"/>
        <v>0</v>
      </c>
      <c r="P50" s="15"/>
      <c r="R50" s="18" t="s">
        <v>10</v>
      </c>
      <c r="S50" s="35">
        <f t="shared" ref="S50:AE50" si="28">S85*0.2</f>
        <v>32307.846000000005</v>
      </c>
      <c r="T50" s="35">
        <f t="shared" si="28"/>
        <v>4601.9259999999995</v>
      </c>
      <c r="U50" s="35">
        <f t="shared" si="28"/>
        <v>3997.31</v>
      </c>
      <c r="V50" s="35">
        <f t="shared" si="28"/>
        <v>455.81400000000008</v>
      </c>
      <c r="W50" s="35">
        <f t="shared" si="28"/>
        <v>41163.744000000006</v>
      </c>
      <c r="X50" s="35">
        <f t="shared" si="28"/>
        <v>397.99200000000002</v>
      </c>
      <c r="Y50" s="35">
        <f t="shared" si="28"/>
        <v>395.95400000000006</v>
      </c>
      <c r="Z50" s="35">
        <f t="shared" si="28"/>
        <v>209.44000000000003</v>
      </c>
      <c r="AA50" s="35">
        <f t="shared" si="28"/>
        <v>840.13800000000015</v>
      </c>
      <c r="AB50" s="35">
        <f t="shared" si="28"/>
        <v>18.952000000000002</v>
      </c>
      <c r="AC50" s="35">
        <f t="shared" si="28"/>
        <v>0</v>
      </c>
      <c r="AD50" s="35">
        <f t="shared" si="28"/>
        <v>747.29200000000003</v>
      </c>
      <c r="AE50" s="35">
        <f t="shared" si="28"/>
        <v>38.695999999999998</v>
      </c>
      <c r="AF50" s="35">
        <f t="shared" si="12"/>
        <v>0</v>
      </c>
      <c r="AG50" s="35">
        <f t="shared" si="12"/>
        <v>0</v>
      </c>
      <c r="AH50" s="4">
        <f t="shared" si="15"/>
        <v>85175.104000000021</v>
      </c>
      <c r="AI50" s="129">
        <f t="shared" si="16"/>
        <v>36909.772000000004</v>
      </c>
      <c r="AJ50" s="129">
        <f t="shared" si="17"/>
        <v>4453.1239999999998</v>
      </c>
      <c r="AK50" s="129">
        <f t="shared" si="18"/>
        <v>41163.744000000006</v>
      </c>
      <c r="AL50" s="129">
        <f t="shared" si="19"/>
        <v>2648.4640000000004</v>
      </c>
    </row>
    <row r="51" spans="1:38">
      <c r="A51" s="1" t="s">
        <v>130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13"/>
        <v>0</v>
      </c>
      <c r="P51" s="15"/>
      <c r="R51" s="1" t="s">
        <v>11</v>
      </c>
      <c r="S51" s="35">
        <f t="shared" ref="S51:AE51" si="29">S86*0.2</f>
        <v>31496.056</v>
      </c>
      <c r="T51" s="35">
        <f t="shared" si="29"/>
        <v>4505.4060000000009</v>
      </c>
      <c r="U51" s="35">
        <f t="shared" si="29"/>
        <v>5314.9940000000006</v>
      </c>
      <c r="V51" s="35">
        <f t="shared" si="29"/>
        <v>555.71400000000006</v>
      </c>
      <c r="W51" s="35">
        <f t="shared" si="29"/>
        <v>34094.648000000001</v>
      </c>
      <c r="X51" s="35">
        <f t="shared" si="29"/>
        <v>435.89600000000002</v>
      </c>
      <c r="Y51" s="35">
        <f t="shared" si="29"/>
        <v>984.9580000000002</v>
      </c>
      <c r="Z51" s="35">
        <f t="shared" si="29"/>
        <v>243.57800000000003</v>
      </c>
      <c r="AA51" s="35">
        <f t="shared" si="29"/>
        <v>603.91999999999996</v>
      </c>
      <c r="AB51" s="35">
        <f t="shared" si="29"/>
        <v>94.76</v>
      </c>
      <c r="AC51" s="35">
        <f t="shared" si="29"/>
        <v>0</v>
      </c>
      <c r="AD51" s="35">
        <f t="shared" si="29"/>
        <v>0</v>
      </c>
      <c r="AE51" s="35">
        <f t="shared" si="29"/>
        <v>33.167999999999999</v>
      </c>
      <c r="AF51" s="35">
        <f t="shared" si="12"/>
        <v>3.6659999999999999</v>
      </c>
      <c r="AG51" s="35">
        <f t="shared" si="12"/>
        <v>0</v>
      </c>
      <c r="AH51" s="4">
        <f t="shared" si="15"/>
        <v>78366.763999999981</v>
      </c>
      <c r="AI51" s="129">
        <f t="shared" si="16"/>
        <v>36001.462</v>
      </c>
      <c r="AJ51" s="129">
        <f t="shared" si="17"/>
        <v>5870.7080000000005</v>
      </c>
      <c r="AK51" s="129">
        <f t="shared" si="18"/>
        <v>34094.648000000001</v>
      </c>
      <c r="AL51" s="129">
        <f t="shared" si="19"/>
        <v>2399.9460000000008</v>
      </c>
    </row>
    <row r="52" spans="1:38">
      <c r="A52" s="1" t="s">
        <v>131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13"/>
        <v>0</v>
      </c>
      <c r="P52" s="15"/>
      <c r="R52" s="1" t="s">
        <v>12</v>
      </c>
      <c r="S52" s="35">
        <f t="shared" ref="S52:AE52" si="30">S87*0.2</f>
        <v>168876.43799999999</v>
      </c>
      <c r="T52" s="35">
        <f t="shared" si="30"/>
        <v>24460.504000000001</v>
      </c>
      <c r="U52" s="35">
        <f t="shared" si="30"/>
        <v>23820</v>
      </c>
      <c r="V52" s="35">
        <f t="shared" si="30"/>
        <v>4848.3580000000002</v>
      </c>
      <c r="W52" s="35">
        <f t="shared" si="30"/>
        <v>77456.824000000008</v>
      </c>
      <c r="X52" s="35">
        <f t="shared" si="30"/>
        <v>1402.4480000000001</v>
      </c>
      <c r="Y52" s="35">
        <f t="shared" si="30"/>
        <v>6000.0020000000004</v>
      </c>
      <c r="Z52" s="35">
        <f t="shared" si="30"/>
        <v>0</v>
      </c>
      <c r="AA52" s="35">
        <f t="shared" si="30"/>
        <v>3438.0340000000006</v>
      </c>
      <c r="AB52" s="35">
        <f t="shared" si="30"/>
        <v>379.04</v>
      </c>
      <c r="AC52" s="35">
        <f t="shared" si="30"/>
        <v>0</v>
      </c>
      <c r="AD52" s="35">
        <f t="shared" si="30"/>
        <v>0</v>
      </c>
      <c r="AE52" s="35">
        <f t="shared" si="30"/>
        <v>210.06399999999999</v>
      </c>
      <c r="AF52" s="35">
        <f t="shared" si="12"/>
        <v>0</v>
      </c>
      <c r="AG52" s="35">
        <f t="shared" si="12"/>
        <v>0</v>
      </c>
      <c r="AH52" s="4">
        <f t="shared" si="15"/>
        <v>310891.71199999994</v>
      </c>
      <c r="AI52" s="129">
        <f t="shared" si="16"/>
        <v>193336.94199999998</v>
      </c>
      <c r="AJ52" s="129">
        <f t="shared" si="17"/>
        <v>28668.358</v>
      </c>
      <c r="AK52" s="129">
        <f t="shared" si="18"/>
        <v>77456.824000000008</v>
      </c>
      <c r="AL52" s="129">
        <f t="shared" si="19"/>
        <v>11429.588000000002</v>
      </c>
    </row>
    <row r="53" spans="1:38">
      <c r="A53" s="1" t="s">
        <v>132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13"/>
        <v>0</v>
      </c>
      <c r="P53" s="15"/>
      <c r="R53" s="1" t="s">
        <v>15</v>
      </c>
      <c r="S53" s="35">
        <f t="shared" ref="S53:AE53" si="31">S88*0.2</f>
        <v>25387.47</v>
      </c>
      <c r="T53" s="35">
        <f t="shared" si="31"/>
        <v>4748.6880000000001</v>
      </c>
      <c r="U53" s="35">
        <f t="shared" si="31"/>
        <v>1542.7280000000001</v>
      </c>
      <c r="V53" s="35">
        <f t="shared" si="31"/>
        <v>983.63600000000008</v>
      </c>
      <c r="W53" s="35">
        <f t="shared" si="31"/>
        <v>11750.24</v>
      </c>
      <c r="X53" s="35">
        <f t="shared" si="31"/>
        <v>739.12800000000004</v>
      </c>
      <c r="Y53" s="35">
        <f t="shared" si="31"/>
        <v>869.61200000000008</v>
      </c>
      <c r="Z53" s="35">
        <f t="shared" si="31"/>
        <v>0</v>
      </c>
      <c r="AA53" s="35">
        <f t="shared" si="31"/>
        <v>693.33600000000001</v>
      </c>
      <c r="AB53" s="35">
        <f t="shared" si="31"/>
        <v>0</v>
      </c>
      <c r="AC53" s="35">
        <f t="shared" si="31"/>
        <v>0</v>
      </c>
      <c r="AD53" s="35">
        <f t="shared" si="31"/>
        <v>0</v>
      </c>
      <c r="AE53" s="35">
        <f t="shared" si="31"/>
        <v>38.695999999999998</v>
      </c>
      <c r="AF53" s="35">
        <f t="shared" si="12"/>
        <v>0</v>
      </c>
      <c r="AG53" s="35">
        <f t="shared" si="12"/>
        <v>0</v>
      </c>
      <c r="AH53" s="4">
        <f t="shared" si="15"/>
        <v>46753.534000000007</v>
      </c>
      <c r="AI53" s="129">
        <f t="shared" si="16"/>
        <v>30136.158000000003</v>
      </c>
      <c r="AJ53" s="129">
        <f t="shared" si="17"/>
        <v>2526.364</v>
      </c>
      <c r="AK53" s="129">
        <f t="shared" si="18"/>
        <v>11750.24</v>
      </c>
      <c r="AL53" s="129">
        <f t="shared" si="19"/>
        <v>2340.7719999999999</v>
      </c>
    </row>
    <row r="54" spans="1:38">
      <c r="A54" s="42" t="s">
        <v>133</v>
      </c>
      <c r="B54" s="35">
        <v>0</v>
      </c>
      <c r="C54" s="35">
        <v>16.806000000000001</v>
      </c>
      <c r="D54" s="35">
        <v>0</v>
      </c>
      <c r="E54" s="35">
        <v>0</v>
      </c>
      <c r="F54" s="35">
        <v>0</v>
      </c>
      <c r="G54" s="35">
        <v>0</v>
      </c>
      <c r="H54" s="35">
        <v>6.2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13"/>
        <v>23.006</v>
      </c>
      <c r="P54" s="15"/>
      <c r="R54" s="1" t="s">
        <v>14</v>
      </c>
      <c r="S54" s="35">
        <f t="shared" ref="S54:AE54" si="32">S89*0.2</f>
        <v>26767.228000000003</v>
      </c>
      <c r="T54" s="35">
        <f t="shared" si="32"/>
        <v>3616.3980000000006</v>
      </c>
      <c r="U54" s="35">
        <f t="shared" si="32"/>
        <v>2906.2400000000002</v>
      </c>
      <c r="V54" s="35">
        <f t="shared" si="32"/>
        <v>828.15800000000002</v>
      </c>
      <c r="W54" s="35">
        <f t="shared" si="32"/>
        <v>15558.94</v>
      </c>
      <c r="X54" s="35">
        <f t="shared" si="32"/>
        <v>151.61599999999999</v>
      </c>
      <c r="Y54" s="35">
        <f t="shared" si="32"/>
        <v>707.85199999999998</v>
      </c>
      <c r="Z54" s="35">
        <f t="shared" si="32"/>
        <v>0</v>
      </c>
      <c r="AA54" s="35">
        <f t="shared" si="32"/>
        <v>647.298</v>
      </c>
      <c r="AB54" s="35">
        <f t="shared" si="32"/>
        <v>0</v>
      </c>
      <c r="AC54" s="35">
        <f t="shared" si="32"/>
        <v>0</v>
      </c>
      <c r="AD54" s="35">
        <f t="shared" si="32"/>
        <v>0</v>
      </c>
      <c r="AE54" s="35">
        <f t="shared" si="32"/>
        <v>38.695999999999998</v>
      </c>
      <c r="AF54" s="35">
        <f t="shared" si="12"/>
        <v>0</v>
      </c>
      <c r="AG54" s="35">
        <f t="shared" si="12"/>
        <v>0</v>
      </c>
      <c r="AH54" s="4">
        <f t="shared" si="15"/>
        <v>51222.426000000014</v>
      </c>
      <c r="AI54" s="129">
        <f t="shared" si="16"/>
        <v>30400.432000000004</v>
      </c>
      <c r="AJ54" s="129">
        <f t="shared" si="17"/>
        <v>3734.3980000000001</v>
      </c>
      <c r="AK54" s="129">
        <f t="shared" si="18"/>
        <v>15558.94</v>
      </c>
      <c r="AL54" s="129">
        <f t="shared" si="19"/>
        <v>1551.662</v>
      </c>
    </row>
    <row r="55" spans="1:38">
      <c r="A55" s="18" t="s">
        <v>134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13"/>
        <v>0</v>
      </c>
      <c r="P55" s="15"/>
      <c r="R55" s="18" t="s">
        <v>13</v>
      </c>
      <c r="S55" s="35">
        <f t="shared" ref="S55:AE55" si="33">S90*0.2</f>
        <v>150087.948</v>
      </c>
      <c r="T55" s="35">
        <f t="shared" si="33"/>
        <v>14635.432000000001</v>
      </c>
      <c r="U55" s="35">
        <f t="shared" si="33"/>
        <v>28162.152000000002</v>
      </c>
      <c r="V55" s="35">
        <f t="shared" si="33"/>
        <v>3500.91</v>
      </c>
      <c r="W55" s="35">
        <f t="shared" si="33"/>
        <v>117483.448</v>
      </c>
      <c r="X55" s="35">
        <f t="shared" si="33"/>
        <v>1686.7280000000001</v>
      </c>
      <c r="Y55" s="35">
        <f t="shared" si="33"/>
        <v>1893.5719999999999</v>
      </c>
      <c r="Z55" s="35">
        <f t="shared" si="33"/>
        <v>0</v>
      </c>
      <c r="AA55" s="35">
        <f t="shared" si="33"/>
        <v>2895.8760000000002</v>
      </c>
      <c r="AB55" s="35">
        <f t="shared" si="33"/>
        <v>303.23200000000003</v>
      </c>
      <c r="AC55" s="35">
        <f t="shared" si="33"/>
        <v>0</v>
      </c>
      <c r="AD55" s="35">
        <f t="shared" si="33"/>
        <v>0</v>
      </c>
      <c r="AE55" s="35">
        <f t="shared" si="33"/>
        <v>93.975999999999999</v>
      </c>
      <c r="AF55" s="35">
        <f t="shared" si="12"/>
        <v>0</v>
      </c>
      <c r="AG55" s="35">
        <f t="shared" si="12"/>
        <v>0</v>
      </c>
      <c r="AH55" s="4">
        <f t="shared" si="15"/>
        <v>320743.27400000003</v>
      </c>
      <c r="AI55" s="129">
        <f t="shared" si="16"/>
        <v>164723.38</v>
      </c>
      <c r="AJ55" s="129">
        <f t="shared" si="17"/>
        <v>31663.062000000002</v>
      </c>
      <c r="AK55" s="129">
        <f t="shared" si="18"/>
        <v>117483.448</v>
      </c>
      <c r="AL55" s="129">
        <f t="shared" si="19"/>
        <v>6873.384</v>
      </c>
    </row>
    <row r="56" spans="1:38">
      <c r="A56" s="1" t="s">
        <v>135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13"/>
        <v>0</v>
      </c>
      <c r="P56" s="15"/>
      <c r="R56" s="1" t="s">
        <v>16</v>
      </c>
      <c r="S56" s="35">
        <f t="shared" ref="S56:AE56" si="34">S91*0.2</f>
        <v>60092.36</v>
      </c>
      <c r="T56" s="35">
        <f t="shared" si="34"/>
        <v>9676.8680000000004</v>
      </c>
      <c r="U56" s="35">
        <f t="shared" si="34"/>
        <v>7365.8060000000005</v>
      </c>
      <c r="V56" s="35">
        <f t="shared" si="34"/>
        <v>1396.5780000000002</v>
      </c>
      <c r="W56" s="35">
        <f t="shared" si="34"/>
        <v>29091.320000000003</v>
      </c>
      <c r="X56" s="35">
        <f t="shared" si="34"/>
        <v>454.84800000000007</v>
      </c>
      <c r="Y56" s="35">
        <f t="shared" si="34"/>
        <v>1252.124</v>
      </c>
      <c r="Z56" s="35">
        <f t="shared" si="34"/>
        <v>963.57400000000007</v>
      </c>
      <c r="AA56" s="35">
        <f t="shared" si="34"/>
        <v>1925.8879999999999</v>
      </c>
      <c r="AB56" s="35">
        <f t="shared" si="34"/>
        <v>94.76</v>
      </c>
      <c r="AC56" s="35">
        <f t="shared" si="34"/>
        <v>0</v>
      </c>
      <c r="AD56" s="35">
        <f t="shared" si="34"/>
        <v>0</v>
      </c>
      <c r="AE56" s="35">
        <f t="shared" si="34"/>
        <v>71.864000000000004</v>
      </c>
      <c r="AF56" s="35">
        <f t="shared" ref="AF56:AG56" si="35">AF91*0.2</f>
        <v>0</v>
      </c>
      <c r="AG56" s="35">
        <f t="shared" si="35"/>
        <v>0</v>
      </c>
      <c r="AH56" s="4">
        <f t="shared" si="15"/>
        <v>112385.98999999999</v>
      </c>
      <c r="AI56" s="129">
        <f t="shared" si="16"/>
        <v>69769.228000000003</v>
      </c>
      <c r="AJ56" s="129">
        <f t="shared" si="17"/>
        <v>8762.384</v>
      </c>
      <c r="AK56" s="129">
        <f t="shared" si="18"/>
        <v>29091.320000000003</v>
      </c>
      <c r="AL56" s="129">
        <f t="shared" si="19"/>
        <v>4763.058</v>
      </c>
    </row>
    <row r="57" spans="1:38">
      <c r="A57" s="1" t="s">
        <v>136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13"/>
        <v>0</v>
      </c>
      <c r="P57" s="15"/>
      <c r="R57" s="1" t="s">
        <v>17</v>
      </c>
      <c r="S57" s="35">
        <f t="shared" ref="S57:AE57" si="36">S92*0.2</f>
        <v>14343.1</v>
      </c>
      <c r="T57" s="35">
        <f t="shared" si="36"/>
        <v>1021.176</v>
      </c>
      <c r="U57" s="35">
        <f t="shared" si="36"/>
        <v>1953.7240000000002</v>
      </c>
      <c r="V57" s="35">
        <f t="shared" si="36"/>
        <v>33.724000000000004</v>
      </c>
      <c r="W57" s="35">
        <f t="shared" si="36"/>
        <v>5933.7160000000003</v>
      </c>
      <c r="X57" s="35">
        <f t="shared" si="36"/>
        <v>473.8</v>
      </c>
      <c r="Y57" s="35">
        <f t="shared" si="36"/>
        <v>114.33800000000002</v>
      </c>
      <c r="Z57" s="35">
        <f t="shared" si="36"/>
        <v>164.70000000000002</v>
      </c>
      <c r="AA57" s="35">
        <f t="shared" si="36"/>
        <v>195.87800000000001</v>
      </c>
      <c r="AB57" s="35">
        <f t="shared" si="36"/>
        <v>18.952000000000002</v>
      </c>
      <c r="AC57" s="35">
        <f t="shared" si="36"/>
        <v>0</v>
      </c>
      <c r="AD57" s="35">
        <f t="shared" si="36"/>
        <v>0</v>
      </c>
      <c r="AE57" s="35">
        <f t="shared" si="36"/>
        <v>11.056000000000001</v>
      </c>
      <c r="AF57" s="35">
        <f t="shared" ref="AF57:AG66" si="37">AF92*0.2</f>
        <v>0</v>
      </c>
      <c r="AG57" s="35">
        <f t="shared" si="37"/>
        <v>0</v>
      </c>
      <c r="AH57" s="4">
        <f t="shared" si="15"/>
        <v>24264.164000000001</v>
      </c>
      <c r="AI57" s="129">
        <f t="shared" si="16"/>
        <v>15364.276</v>
      </c>
      <c r="AJ57" s="129">
        <f t="shared" si="17"/>
        <v>1987.4480000000001</v>
      </c>
      <c r="AK57" s="129">
        <f t="shared" si="18"/>
        <v>5933.7160000000003</v>
      </c>
      <c r="AL57" s="129">
        <f t="shared" si="19"/>
        <v>978.72400000000016</v>
      </c>
    </row>
    <row r="58" spans="1:38">
      <c r="A58" s="1" t="s">
        <v>137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13"/>
        <v>0</v>
      </c>
      <c r="P58" s="15"/>
      <c r="R58" s="1" t="s">
        <v>18</v>
      </c>
      <c r="S58" s="35">
        <f t="shared" ref="S58:AE58" si="38">S93*0.2</f>
        <v>224730.36200000002</v>
      </c>
      <c r="T58" s="35">
        <f t="shared" si="38"/>
        <v>22335.085999999999</v>
      </c>
      <c r="U58" s="35">
        <f t="shared" si="38"/>
        <v>36565.776000000005</v>
      </c>
      <c r="V58" s="35">
        <f t="shared" si="38"/>
        <v>4380.8739999999998</v>
      </c>
      <c r="W58" s="35">
        <f t="shared" si="38"/>
        <v>92709.271999999997</v>
      </c>
      <c r="X58" s="35">
        <f t="shared" si="38"/>
        <v>3259.7440000000006</v>
      </c>
      <c r="Y58" s="35">
        <f t="shared" si="38"/>
        <v>4042.3140000000003</v>
      </c>
      <c r="Z58" s="35">
        <f t="shared" si="38"/>
        <v>738.25200000000007</v>
      </c>
      <c r="AA58" s="35">
        <f t="shared" si="38"/>
        <v>4254.2020000000002</v>
      </c>
      <c r="AB58" s="35">
        <f t="shared" si="38"/>
        <v>435.89600000000002</v>
      </c>
      <c r="AC58" s="35">
        <f t="shared" si="38"/>
        <v>113.71199999999999</v>
      </c>
      <c r="AD58" s="35">
        <f t="shared" si="38"/>
        <v>0</v>
      </c>
      <c r="AE58" s="35">
        <f t="shared" si="38"/>
        <v>480.93599999999998</v>
      </c>
      <c r="AF58" s="35">
        <f t="shared" si="37"/>
        <v>0</v>
      </c>
      <c r="AG58" s="35">
        <f t="shared" si="37"/>
        <v>0</v>
      </c>
      <c r="AH58" s="4">
        <f t="shared" si="15"/>
        <v>394046.42600000004</v>
      </c>
      <c r="AI58" s="129">
        <f t="shared" si="16"/>
        <v>247065.44800000003</v>
      </c>
      <c r="AJ58" s="129">
        <f t="shared" si="17"/>
        <v>40946.650000000009</v>
      </c>
      <c r="AK58" s="129">
        <f t="shared" si="18"/>
        <v>92709.271999999997</v>
      </c>
      <c r="AL58" s="129">
        <f t="shared" si="19"/>
        <v>13325.056000000002</v>
      </c>
    </row>
    <row r="59" spans="1:38">
      <c r="A59" s="1" t="s">
        <v>138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13"/>
        <v>0</v>
      </c>
      <c r="P59" s="15"/>
      <c r="R59" s="1" t="s">
        <v>20</v>
      </c>
      <c r="S59" s="35">
        <f t="shared" ref="S59:AE59" si="39">S94*0.2</f>
        <v>29168.262000000002</v>
      </c>
      <c r="T59" s="35">
        <f t="shared" si="39"/>
        <v>5104.0540000000001</v>
      </c>
      <c r="U59" s="35">
        <f t="shared" si="39"/>
        <v>2356</v>
      </c>
      <c r="V59" s="35">
        <f t="shared" si="39"/>
        <v>863.78200000000004</v>
      </c>
      <c r="W59" s="35">
        <f t="shared" si="39"/>
        <v>10992.160000000002</v>
      </c>
      <c r="X59" s="35">
        <f t="shared" si="39"/>
        <v>416.94400000000007</v>
      </c>
      <c r="Y59" s="35">
        <f t="shared" si="39"/>
        <v>1006.9759999999999</v>
      </c>
      <c r="Z59" s="35">
        <f t="shared" si="39"/>
        <v>0</v>
      </c>
      <c r="AA59" s="35">
        <f t="shared" si="39"/>
        <v>930.34</v>
      </c>
      <c r="AB59" s="35">
        <f t="shared" si="39"/>
        <v>0</v>
      </c>
      <c r="AC59" s="35">
        <f t="shared" si="39"/>
        <v>0</v>
      </c>
      <c r="AD59" s="35">
        <f t="shared" si="39"/>
        <v>0</v>
      </c>
      <c r="AE59" s="35">
        <f t="shared" si="39"/>
        <v>49.752000000000002</v>
      </c>
      <c r="AF59" s="35">
        <f t="shared" si="37"/>
        <v>0</v>
      </c>
      <c r="AG59" s="35">
        <f t="shared" si="37"/>
        <v>0</v>
      </c>
      <c r="AH59" s="4">
        <f t="shared" si="15"/>
        <v>50888.270000000011</v>
      </c>
      <c r="AI59" s="129">
        <f t="shared" si="16"/>
        <v>34272.316000000006</v>
      </c>
      <c r="AJ59" s="129">
        <f t="shared" si="17"/>
        <v>3219.7820000000002</v>
      </c>
      <c r="AK59" s="129">
        <f t="shared" si="18"/>
        <v>10992.160000000002</v>
      </c>
      <c r="AL59" s="129">
        <f t="shared" si="19"/>
        <v>2404.0120000000002</v>
      </c>
    </row>
    <row r="60" spans="1:38">
      <c r="A60" s="1" t="s">
        <v>139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13"/>
        <v>0</v>
      </c>
      <c r="P60" s="15"/>
      <c r="R60" s="1" t="s">
        <v>19</v>
      </c>
      <c r="S60" s="35">
        <f t="shared" ref="S60:AE60" si="40">S95*0.2</f>
        <v>222718.02400000003</v>
      </c>
      <c r="T60" s="35">
        <f t="shared" si="40"/>
        <v>25211.153999999999</v>
      </c>
      <c r="U60" s="35">
        <f t="shared" si="40"/>
        <v>30938.490000000005</v>
      </c>
      <c r="V60" s="35">
        <f t="shared" si="40"/>
        <v>5804.6440000000002</v>
      </c>
      <c r="W60" s="35">
        <f t="shared" si="40"/>
        <v>148015.12</v>
      </c>
      <c r="X60" s="35">
        <f t="shared" si="40"/>
        <v>1402.4480000000001</v>
      </c>
      <c r="Y60" s="35">
        <f t="shared" si="40"/>
        <v>4925.5339999999997</v>
      </c>
      <c r="Z60" s="35">
        <f t="shared" si="40"/>
        <v>386.63000000000005</v>
      </c>
      <c r="AA60" s="35">
        <f t="shared" si="40"/>
        <v>4286.6320000000005</v>
      </c>
      <c r="AB60" s="35">
        <f t="shared" si="40"/>
        <v>265.32800000000003</v>
      </c>
      <c r="AC60" s="35">
        <f t="shared" si="40"/>
        <v>0</v>
      </c>
      <c r="AD60" s="35">
        <f t="shared" si="40"/>
        <v>0</v>
      </c>
      <c r="AE60" s="35">
        <f t="shared" si="40"/>
        <v>116.08800000000002</v>
      </c>
      <c r="AF60" s="35">
        <f t="shared" si="37"/>
        <v>0</v>
      </c>
      <c r="AG60" s="35">
        <f t="shared" si="37"/>
        <v>0</v>
      </c>
      <c r="AH60" s="4">
        <f t="shared" si="15"/>
        <v>444070.09199999995</v>
      </c>
      <c r="AI60" s="129">
        <f t="shared" si="16"/>
        <v>247929.17800000004</v>
      </c>
      <c r="AJ60" s="129">
        <f t="shared" si="17"/>
        <v>36743.134000000005</v>
      </c>
      <c r="AK60" s="129">
        <f t="shared" si="18"/>
        <v>148015.12</v>
      </c>
      <c r="AL60" s="129">
        <f t="shared" si="19"/>
        <v>11382.66</v>
      </c>
    </row>
    <row r="61" spans="1:38">
      <c r="A61" s="18" t="s">
        <v>140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13"/>
        <v>0</v>
      </c>
      <c r="P61" s="15"/>
      <c r="R61" s="18" t="s">
        <v>21</v>
      </c>
      <c r="S61" s="35">
        <f t="shared" ref="S61:AE61" si="41">S96*0.2</f>
        <v>9685.3539999999994</v>
      </c>
      <c r="T61" s="35">
        <f t="shared" si="41"/>
        <v>1085.19</v>
      </c>
      <c r="U61" s="35">
        <f t="shared" si="41"/>
        <v>1445.5160000000001</v>
      </c>
      <c r="V61" s="35">
        <f t="shared" si="41"/>
        <v>230.96799999999999</v>
      </c>
      <c r="W61" s="35">
        <f t="shared" si="41"/>
        <v>10973.208000000001</v>
      </c>
      <c r="X61" s="35">
        <f t="shared" si="41"/>
        <v>132.66400000000002</v>
      </c>
      <c r="Y61" s="35">
        <f t="shared" si="41"/>
        <v>91.918000000000006</v>
      </c>
      <c r="Z61" s="35">
        <f t="shared" si="41"/>
        <v>0</v>
      </c>
      <c r="AA61" s="35">
        <f t="shared" si="41"/>
        <v>243.19200000000001</v>
      </c>
      <c r="AB61" s="35">
        <f t="shared" si="41"/>
        <v>37.904000000000003</v>
      </c>
      <c r="AC61" s="35">
        <f t="shared" si="41"/>
        <v>0</v>
      </c>
      <c r="AD61" s="35">
        <f t="shared" si="41"/>
        <v>0</v>
      </c>
      <c r="AE61" s="35">
        <f t="shared" si="41"/>
        <v>11.056000000000001</v>
      </c>
      <c r="AF61" s="35">
        <f t="shared" si="37"/>
        <v>0</v>
      </c>
      <c r="AG61" s="35">
        <f t="shared" si="37"/>
        <v>0</v>
      </c>
      <c r="AH61" s="4">
        <f t="shared" si="15"/>
        <v>23936.97</v>
      </c>
      <c r="AI61" s="129">
        <f t="shared" si="16"/>
        <v>10770.544</v>
      </c>
      <c r="AJ61" s="129">
        <f t="shared" si="17"/>
        <v>1676.4840000000002</v>
      </c>
      <c r="AK61" s="129">
        <f t="shared" si="18"/>
        <v>10973.208000000001</v>
      </c>
      <c r="AL61" s="129">
        <f t="shared" si="19"/>
        <v>516.73400000000004</v>
      </c>
    </row>
    <row r="62" spans="1:38">
      <c r="A62" s="2" t="s">
        <v>141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13"/>
        <v>0</v>
      </c>
      <c r="P62" s="15"/>
      <c r="R62" s="2" t="s">
        <v>22</v>
      </c>
      <c r="S62" s="35">
        <f t="shared" ref="S62:AE62" si="42">S97*0.2</f>
        <v>2204.69</v>
      </c>
      <c r="T62" s="35">
        <f t="shared" si="42"/>
        <v>70.63</v>
      </c>
      <c r="U62" s="35">
        <f t="shared" si="42"/>
        <v>192.78399999999999</v>
      </c>
      <c r="V62" s="35">
        <f t="shared" si="42"/>
        <v>16.96</v>
      </c>
      <c r="W62" s="35">
        <f t="shared" si="42"/>
        <v>2160.5279999999998</v>
      </c>
      <c r="X62" s="35">
        <f t="shared" si="42"/>
        <v>56.855999999999995</v>
      </c>
      <c r="Y62" s="35">
        <f t="shared" si="42"/>
        <v>10.166</v>
      </c>
      <c r="Z62" s="35">
        <f t="shared" si="42"/>
        <v>0</v>
      </c>
      <c r="AA62" s="35">
        <f t="shared" si="42"/>
        <v>11.192</v>
      </c>
      <c r="AB62" s="35">
        <f t="shared" si="42"/>
        <v>0</v>
      </c>
      <c r="AC62" s="35">
        <f t="shared" si="42"/>
        <v>0</v>
      </c>
      <c r="AD62" s="35">
        <f t="shared" si="42"/>
        <v>0</v>
      </c>
      <c r="AE62" s="35">
        <f t="shared" si="42"/>
        <v>0</v>
      </c>
      <c r="AF62" s="35">
        <f t="shared" si="37"/>
        <v>0</v>
      </c>
      <c r="AG62" s="35">
        <f t="shared" si="37"/>
        <v>0</v>
      </c>
      <c r="AH62" s="4">
        <f t="shared" si="15"/>
        <v>4723.8060000000005</v>
      </c>
      <c r="AI62" s="129">
        <f t="shared" si="16"/>
        <v>2275.3200000000002</v>
      </c>
      <c r="AJ62" s="129">
        <f t="shared" si="17"/>
        <v>209.744</v>
      </c>
      <c r="AK62" s="129">
        <f t="shared" si="18"/>
        <v>2160.5279999999998</v>
      </c>
      <c r="AL62" s="129">
        <f t="shared" si="19"/>
        <v>78.213999999999999</v>
      </c>
    </row>
    <row r="63" spans="1:38">
      <c r="A63" s="1" t="s">
        <v>142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13"/>
        <v>0</v>
      </c>
      <c r="P63" s="15"/>
      <c r="R63" s="1" t="s">
        <v>23</v>
      </c>
      <c r="S63" s="35">
        <f t="shared" ref="S63:AE63" si="43">S98*0.2</f>
        <v>152066.166</v>
      </c>
      <c r="T63" s="35">
        <f t="shared" si="43"/>
        <v>11224.822</v>
      </c>
      <c r="U63" s="35">
        <f t="shared" si="43"/>
        <v>21575.024000000001</v>
      </c>
      <c r="V63" s="35">
        <f t="shared" si="43"/>
        <v>2042.998</v>
      </c>
      <c r="W63" s="35">
        <f t="shared" si="43"/>
        <v>84071.072</v>
      </c>
      <c r="X63" s="35">
        <f t="shared" si="43"/>
        <v>758.07999999999993</v>
      </c>
      <c r="Y63" s="35">
        <f t="shared" si="43"/>
        <v>1496.5040000000001</v>
      </c>
      <c r="Z63" s="35">
        <f t="shared" si="43"/>
        <v>0</v>
      </c>
      <c r="AA63" s="35">
        <f t="shared" si="43"/>
        <v>1940.5079999999998</v>
      </c>
      <c r="AB63" s="35">
        <f t="shared" si="43"/>
        <v>94.76</v>
      </c>
      <c r="AC63" s="35">
        <f t="shared" si="43"/>
        <v>37.904000000000003</v>
      </c>
      <c r="AD63" s="35">
        <f t="shared" si="43"/>
        <v>0</v>
      </c>
      <c r="AE63" s="35">
        <f t="shared" si="43"/>
        <v>154.78399999999999</v>
      </c>
      <c r="AF63" s="35">
        <f t="shared" si="37"/>
        <v>0</v>
      </c>
      <c r="AG63" s="35">
        <f t="shared" si="37"/>
        <v>0</v>
      </c>
      <c r="AH63" s="4">
        <f t="shared" si="15"/>
        <v>275462.62199999997</v>
      </c>
      <c r="AI63" s="129">
        <f t="shared" si="16"/>
        <v>163290.98800000001</v>
      </c>
      <c r="AJ63" s="129">
        <f t="shared" si="17"/>
        <v>23618.022000000001</v>
      </c>
      <c r="AK63" s="129">
        <f t="shared" si="18"/>
        <v>84071.072</v>
      </c>
      <c r="AL63" s="129">
        <f t="shared" si="19"/>
        <v>4482.54</v>
      </c>
    </row>
    <row r="64" spans="1:38">
      <c r="A64" s="1" t="s">
        <v>143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13"/>
        <v>0</v>
      </c>
      <c r="P64" s="15"/>
      <c r="R64" s="1" t="s">
        <v>25</v>
      </c>
      <c r="S64" s="35">
        <f t="shared" ref="S64:AE64" si="44">S99*0.2</f>
        <v>736877.16800000006</v>
      </c>
      <c r="T64" s="35">
        <f t="shared" si="44"/>
        <v>79945.936000000002</v>
      </c>
      <c r="U64" s="35">
        <f t="shared" si="44"/>
        <v>110188.00200000001</v>
      </c>
      <c r="V64" s="35">
        <f t="shared" si="44"/>
        <v>12077.704</v>
      </c>
      <c r="W64" s="35">
        <f t="shared" si="44"/>
        <v>486857.92800000007</v>
      </c>
      <c r="X64" s="35">
        <f t="shared" si="44"/>
        <v>3866.2080000000005</v>
      </c>
      <c r="Y64" s="35">
        <f t="shared" si="44"/>
        <v>15134.493999999999</v>
      </c>
      <c r="Z64" s="35">
        <f t="shared" si="44"/>
        <v>523.6</v>
      </c>
      <c r="AA64" s="35">
        <f t="shared" si="44"/>
        <v>12924.396000000001</v>
      </c>
      <c r="AB64" s="35">
        <f t="shared" si="44"/>
        <v>871.79200000000003</v>
      </c>
      <c r="AC64" s="35">
        <f t="shared" si="44"/>
        <v>189.52</v>
      </c>
      <c r="AD64" s="35">
        <f t="shared" si="44"/>
        <v>0</v>
      </c>
      <c r="AE64" s="35">
        <f t="shared" si="44"/>
        <v>1028.2080000000001</v>
      </c>
      <c r="AF64" s="35">
        <v>0</v>
      </c>
      <c r="AG64" s="35">
        <v>0</v>
      </c>
      <c r="AH64" s="4">
        <f t="shared" si="15"/>
        <v>1460484.9560000002</v>
      </c>
      <c r="AI64" s="129">
        <f t="shared" si="16"/>
        <v>816823.10400000005</v>
      </c>
      <c r="AJ64" s="129">
        <f t="shared" si="17"/>
        <v>122265.70600000001</v>
      </c>
      <c r="AK64" s="129">
        <f t="shared" si="18"/>
        <v>486857.92800000007</v>
      </c>
      <c r="AL64" s="129">
        <f t="shared" si="19"/>
        <v>34538.217999999993</v>
      </c>
    </row>
    <row r="65" spans="1:38">
      <c r="A65" s="1" t="s">
        <v>144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13"/>
        <v>0</v>
      </c>
      <c r="P65" s="15"/>
      <c r="R65" s="1" t="s">
        <v>24</v>
      </c>
      <c r="S65" s="35">
        <f t="shared" ref="S65:AE65" si="45">S100*0.2</f>
        <v>17142.388000000003</v>
      </c>
      <c r="T65" s="35">
        <f t="shared" si="45"/>
        <v>3365.9660000000003</v>
      </c>
      <c r="U65" s="35">
        <f t="shared" si="45"/>
        <v>1953.3900000000003</v>
      </c>
      <c r="V65" s="35">
        <f t="shared" si="45"/>
        <v>119.048</v>
      </c>
      <c r="W65" s="35">
        <f t="shared" si="45"/>
        <v>11030.064</v>
      </c>
      <c r="X65" s="35">
        <f t="shared" si="45"/>
        <v>265.32800000000003</v>
      </c>
      <c r="Y65" s="35">
        <f t="shared" si="45"/>
        <v>249.34800000000001</v>
      </c>
      <c r="Z65" s="35">
        <f t="shared" si="45"/>
        <v>0</v>
      </c>
      <c r="AA65" s="35">
        <f t="shared" si="45"/>
        <v>648.5920000000001</v>
      </c>
      <c r="AB65" s="35">
        <f t="shared" si="45"/>
        <v>0</v>
      </c>
      <c r="AC65" s="35">
        <f t="shared" si="45"/>
        <v>0</v>
      </c>
      <c r="AD65" s="35">
        <f t="shared" si="45"/>
        <v>0</v>
      </c>
      <c r="AE65" s="35">
        <f t="shared" si="45"/>
        <v>11.056000000000001</v>
      </c>
      <c r="AF65" s="35">
        <f t="shared" si="37"/>
        <v>0</v>
      </c>
      <c r="AG65" s="35">
        <f t="shared" si="37"/>
        <v>0</v>
      </c>
      <c r="AH65" s="4">
        <f t="shared" si="15"/>
        <v>34785.179999999993</v>
      </c>
      <c r="AI65" s="129">
        <f t="shared" si="16"/>
        <v>20508.354000000003</v>
      </c>
      <c r="AJ65" s="129">
        <f t="shared" si="17"/>
        <v>2072.4380000000001</v>
      </c>
      <c r="AK65" s="129">
        <f t="shared" si="18"/>
        <v>11030.064</v>
      </c>
      <c r="AL65" s="129">
        <f t="shared" si="19"/>
        <v>1174.3240000000001</v>
      </c>
    </row>
    <row r="66" spans="1:38">
      <c r="A66" s="1" t="s">
        <v>145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13"/>
        <v>0</v>
      </c>
      <c r="P66" s="15"/>
      <c r="R66" s="1" t="s">
        <v>26</v>
      </c>
      <c r="S66" s="35">
        <f t="shared" ref="S66:AE66" si="46">S101*0.2</f>
        <v>7177.192</v>
      </c>
      <c r="T66" s="35">
        <f t="shared" si="46"/>
        <v>1363.8240000000001</v>
      </c>
      <c r="U66" s="35">
        <f t="shared" si="46"/>
        <v>905.64</v>
      </c>
      <c r="V66" s="35">
        <f t="shared" si="46"/>
        <v>100.908</v>
      </c>
      <c r="W66" s="35">
        <f t="shared" si="46"/>
        <v>6917.4800000000005</v>
      </c>
      <c r="X66" s="35">
        <f t="shared" si="46"/>
        <v>170.56799999999998</v>
      </c>
      <c r="Y66" s="35">
        <f t="shared" si="46"/>
        <v>395.11599999999999</v>
      </c>
      <c r="Z66" s="35">
        <f t="shared" si="46"/>
        <v>110.556</v>
      </c>
      <c r="AA66" s="35">
        <f t="shared" si="46"/>
        <v>156.88200000000003</v>
      </c>
      <c r="AB66" s="35">
        <f t="shared" si="46"/>
        <v>37.904000000000003</v>
      </c>
      <c r="AC66" s="35">
        <f t="shared" si="46"/>
        <v>0</v>
      </c>
      <c r="AD66" s="35">
        <f t="shared" si="46"/>
        <v>0</v>
      </c>
      <c r="AE66" s="35">
        <f t="shared" si="46"/>
        <v>11.056000000000001</v>
      </c>
      <c r="AF66" s="35">
        <f t="shared" si="37"/>
        <v>0</v>
      </c>
      <c r="AG66" s="35">
        <f t="shared" si="37"/>
        <v>0</v>
      </c>
      <c r="AH66" s="4">
        <f t="shared" si="15"/>
        <v>17347.125999999997</v>
      </c>
      <c r="AI66" s="129">
        <f t="shared" si="16"/>
        <v>8541.0159999999996</v>
      </c>
      <c r="AJ66" s="129">
        <f t="shared" si="17"/>
        <v>1006.548</v>
      </c>
      <c r="AK66" s="129">
        <f t="shared" si="18"/>
        <v>6917.4800000000005</v>
      </c>
      <c r="AL66" s="129">
        <f t="shared" si="19"/>
        <v>882.08200000000011</v>
      </c>
    </row>
    <row r="67" spans="1:38">
      <c r="A67" s="8" t="s">
        <v>37</v>
      </c>
      <c r="B67" s="9">
        <f>SUM(B40:B66)</f>
        <v>0</v>
      </c>
      <c r="C67" s="9">
        <f t="shared" ref="C67:N67" si="47">SUM(C40:C66)</f>
        <v>16.806000000000001</v>
      </c>
      <c r="D67" s="9">
        <f t="shared" si="47"/>
        <v>0</v>
      </c>
      <c r="E67" s="9">
        <f t="shared" si="47"/>
        <v>0</v>
      </c>
      <c r="F67" s="9">
        <f t="shared" si="47"/>
        <v>0</v>
      </c>
      <c r="G67" s="9">
        <f t="shared" si="47"/>
        <v>0</v>
      </c>
      <c r="H67" s="9">
        <f t="shared" si="47"/>
        <v>6.2</v>
      </c>
      <c r="I67" s="9">
        <f t="shared" si="47"/>
        <v>0</v>
      </c>
      <c r="J67" s="9">
        <f t="shared" si="47"/>
        <v>0</v>
      </c>
      <c r="K67" s="9">
        <f t="shared" si="47"/>
        <v>0</v>
      </c>
      <c r="L67" s="9">
        <f t="shared" si="47"/>
        <v>0</v>
      </c>
      <c r="M67" s="9">
        <f t="shared" si="47"/>
        <v>0</v>
      </c>
      <c r="N67" s="9">
        <f t="shared" si="47"/>
        <v>0</v>
      </c>
      <c r="O67" s="13">
        <f>SUM(O40:O66)</f>
        <v>23.006</v>
      </c>
      <c r="P67" s="15"/>
      <c r="R67" s="8" t="s">
        <v>37</v>
      </c>
      <c r="S67" s="9">
        <f>SUM(S40:S66)</f>
        <v>2278759.1239999994</v>
      </c>
      <c r="T67" s="9">
        <f t="shared" ref="T67:AG67" si="48">SUM(T40:T66)</f>
        <v>264044.57200000004</v>
      </c>
      <c r="U67" s="9">
        <f t="shared" si="48"/>
        <v>328584.94600000011</v>
      </c>
      <c r="V67" s="9">
        <f t="shared" si="48"/>
        <v>44212.672000000006</v>
      </c>
      <c r="W67" s="9">
        <f t="shared" si="48"/>
        <v>1346896.2120000001</v>
      </c>
      <c r="X67" s="9">
        <f t="shared" si="48"/>
        <v>20998.815999999999</v>
      </c>
      <c r="Y67" s="9">
        <f t="shared" si="48"/>
        <v>47484.794000000002</v>
      </c>
      <c r="Z67" s="9">
        <f t="shared" si="48"/>
        <v>4632.32</v>
      </c>
      <c r="AA67" s="9">
        <f t="shared" si="48"/>
        <v>44067.023999999998</v>
      </c>
      <c r="AB67" s="9">
        <f t="shared" si="48"/>
        <v>3506.12</v>
      </c>
      <c r="AC67" s="9">
        <f t="shared" si="48"/>
        <v>416.94399999999996</v>
      </c>
      <c r="AD67" s="9">
        <f t="shared" si="48"/>
        <v>747.29200000000003</v>
      </c>
      <c r="AE67" s="9">
        <f t="shared" si="48"/>
        <v>2719.7760000000003</v>
      </c>
      <c r="AF67" s="9">
        <f t="shared" si="48"/>
        <v>10.25</v>
      </c>
      <c r="AG67" s="9">
        <f t="shared" si="48"/>
        <v>0</v>
      </c>
      <c r="AH67" s="13">
        <f>SUM(AH40:AH66)</f>
        <v>4387080.8619999997</v>
      </c>
      <c r="AI67" s="129">
        <f t="shared" si="16"/>
        <v>2542820.5019999994</v>
      </c>
      <c r="AJ67" s="129">
        <f t="shared" si="17"/>
        <v>372797.61800000013</v>
      </c>
      <c r="AK67" s="129">
        <f t="shared" si="18"/>
        <v>1346896.2120000001</v>
      </c>
      <c r="AL67" s="129">
        <f t="shared" si="19"/>
        <v>124589.53599999999</v>
      </c>
    </row>
    <row r="68" spans="1:38" ht="18.75">
      <c r="O68" s="3"/>
      <c r="R68" s="44" t="s">
        <v>50</v>
      </c>
      <c r="AH68" s="3"/>
      <c r="AI68" s="129"/>
      <c r="AJ68" s="129"/>
      <c r="AK68" s="129"/>
      <c r="AL68" s="129"/>
    </row>
    <row r="69" spans="1:38" s="34" customFormat="1">
      <c r="A69" s="39" t="s">
        <v>14</v>
      </c>
      <c r="B69" s="35">
        <f>B19*0.2</f>
        <v>0</v>
      </c>
      <c r="C69" s="35">
        <f>C19*0.2</f>
        <v>13.444800000000001</v>
      </c>
      <c r="D69" s="35">
        <f t="shared" ref="D69:N69" si="49">D19*0.2</f>
        <v>0</v>
      </c>
      <c r="E69" s="35">
        <f t="shared" si="49"/>
        <v>0</v>
      </c>
      <c r="F69" s="35">
        <f t="shared" si="49"/>
        <v>0</v>
      </c>
      <c r="G69" s="35">
        <f t="shared" si="49"/>
        <v>0</v>
      </c>
      <c r="H69" s="35">
        <f t="shared" si="49"/>
        <v>4.9600000000000009</v>
      </c>
      <c r="I69" s="35">
        <f t="shared" si="49"/>
        <v>0</v>
      </c>
      <c r="J69" s="35">
        <f t="shared" si="49"/>
        <v>0</v>
      </c>
      <c r="K69" s="35">
        <f t="shared" si="49"/>
        <v>0</v>
      </c>
      <c r="L69" s="35">
        <f t="shared" si="49"/>
        <v>0</v>
      </c>
      <c r="M69" s="35">
        <f t="shared" si="49"/>
        <v>0</v>
      </c>
      <c r="N69" s="35">
        <f t="shared" si="49"/>
        <v>0</v>
      </c>
      <c r="O69" s="4">
        <f>SUM(B69:N69)</f>
        <v>18.404800000000002</v>
      </c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  <c r="AI69" s="130"/>
      <c r="AJ69" s="130"/>
      <c r="AK69" s="130"/>
      <c r="AL69" s="130"/>
    </row>
    <row r="70" spans="1:38">
      <c r="L70" s="3"/>
      <c r="M70" s="3"/>
      <c r="N70" s="3"/>
      <c r="R70"/>
      <c r="AC70" s="3"/>
      <c r="AD70" s="3"/>
      <c r="AE70" s="3"/>
      <c r="AF70" s="3"/>
      <c r="AG70" s="3"/>
      <c r="AI70" s="129"/>
      <c r="AJ70" s="129"/>
      <c r="AK70" s="129"/>
      <c r="AL70" s="129"/>
    </row>
    <row r="71" spans="1:38">
      <c r="R71"/>
      <c r="AI71" s="129"/>
      <c r="AJ71" s="129"/>
      <c r="AK71" s="129"/>
      <c r="AL71" s="129"/>
    </row>
    <row r="72" spans="1:38" ht="46.5">
      <c r="A72" s="292" t="s">
        <v>38</v>
      </c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  <c r="R72" s="292" t="s">
        <v>48</v>
      </c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4"/>
      <c r="AI72" s="129"/>
      <c r="AJ72" s="129"/>
      <c r="AK72" s="129"/>
      <c r="AL72" s="129"/>
    </row>
    <row r="73" spans="1:38">
      <c r="A73" s="290" t="s">
        <v>33</v>
      </c>
      <c r="B73" s="287" t="s">
        <v>27</v>
      </c>
      <c r="C73" s="288"/>
      <c r="D73" s="287" t="s">
        <v>29</v>
      </c>
      <c r="E73" s="288"/>
      <c r="F73" s="285" t="s">
        <v>28</v>
      </c>
      <c r="G73" s="285" t="s">
        <v>36</v>
      </c>
      <c r="H73" s="285" t="s">
        <v>30</v>
      </c>
      <c r="I73" s="285" t="s">
        <v>31</v>
      </c>
      <c r="J73" s="285" t="s">
        <v>41</v>
      </c>
      <c r="K73" s="285" t="s">
        <v>35</v>
      </c>
      <c r="L73" s="285" t="s">
        <v>40</v>
      </c>
      <c r="M73" s="285" t="s">
        <v>42</v>
      </c>
      <c r="N73" s="285" t="s">
        <v>45</v>
      </c>
      <c r="O73" s="285" t="s">
        <v>34</v>
      </c>
      <c r="R73" s="290" t="s">
        <v>33</v>
      </c>
      <c r="S73" s="287" t="s">
        <v>27</v>
      </c>
      <c r="T73" s="288"/>
      <c r="U73" s="287" t="s">
        <v>29</v>
      </c>
      <c r="V73" s="288"/>
      <c r="W73" s="285" t="s">
        <v>28</v>
      </c>
      <c r="X73" s="285" t="s">
        <v>36</v>
      </c>
      <c r="Y73" s="285" t="s">
        <v>30</v>
      </c>
      <c r="Z73" s="285" t="s">
        <v>31</v>
      </c>
      <c r="AA73" s="285" t="s">
        <v>41</v>
      </c>
      <c r="AB73" s="285" t="s">
        <v>35</v>
      </c>
      <c r="AC73" s="285" t="s">
        <v>40</v>
      </c>
      <c r="AD73" s="285" t="s">
        <v>42</v>
      </c>
      <c r="AE73" s="285" t="s">
        <v>45</v>
      </c>
      <c r="AF73" s="287" t="s">
        <v>52</v>
      </c>
      <c r="AG73" s="288"/>
      <c r="AH73" s="285" t="s">
        <v>34</v>
      </c>
      <c r="AI73" s="129"/>
      <c r="AJ73" s="129"/>
      <c r="AK73" s="129"/>
      <c r="AL73" s="129"/>
    </row>
    <row r="74" spans="1:38" ht="43.5" customHeight="1">
      <c r="A74" s="291"/>
      <c r="B74" s="56" t="s">
        <v>43</v>
      </c>
      <c r="C74" s="56" t="s">
        <v>44</v>
      </c>
      <c r="D74" s="56" t="s">
        <v>43</v>
      </c>
      <c r="E74" s="56" t="s">
        <v>44</v>
      </c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R74" s="291"/>
      <c r="S74" s="56" t="s">
        <v>43</v>
      </c>
      <c r="T74" s="56" t="s">
        <v>44</v>
      </c>
      <c r="U74" s="56" t="s">
        <v>43</v>
      </c>
      <c r="V74" s="56" t="s">
        <v>44</v>
      </c>
      <c r="W74" s="286"/>
      <c r="X74" s="286"/>
      <c r="Y74" s="286"/>
      <c r="Z74" s="286"/>
      <c r="AA74" s="286"/>
      <c r="AB74" s="286"/>
      <c r="AC74" s="286"/>
      <c r="AD74" s="286"/>
      <c r="AE74" s="286"/>
      <c r="AF74" s="55" t="s">
        <v>53</v>
      </c>
      <c r="AG74" s="55" t="s">
        <v>54</v>
      </c>
      <c r="AH74" s="286"/>
      <c r="AI74" s="129" t="s">
        <v>230</v>
      </c>
      <c r="AJ74" s="129" t="s">
        <v>231</v>
      </c>
      <c r="AK74" s="129" t="s">
        <v>28</v>
      </c>
      <c r="AL74" s="129" t="s">
        <v>233</v>
      </c>
    </row>
    <row r="75" spans="1:38">
      <c r="A75" s="1" t="s">
        <v>119</v>
      </c>
      <c r="B75" s="22">
        <f>B5+B40</f>
        <v>0</v>
      </c>
      <c r="C75" s="22">
        <f t="shared" ref="C75:N75" si="50">C5+C40</f>
        <v>0</v>
      </c>
      <c r="D75" s="22">
        <f t="shared" si="50"/>
        <v>0</v>
      </c>
      <c r="E75" s="22">
        <f t="shared" si="50"/>
        <v>0</v>
      </c>
      <c r="F75" s="22">
        <f t="shared" si="50"/>
        <v>0</v>
      </c>
      <c r="G75" s="22">
        <f t="shared" si="50"/>
        <v>0</v>
      </c>
      <c r="H75" s="22">
        <f t="shared" si="50"/>
        <v>0</v>
      </c>
      <c r="I75" s="22">
        <f t="shared" si="50"/>
        <v>0</v>
      </c>
      <c r="J75" s="22">
        <f t="shared" si="50"/>
        <v>0</v>
      </c>
      <c r="K75" s="22">
        <f t="shared" si="50"/>
        <v>0</v>
      </c>
      <c r="L75" s="22">
        <f t="shared" si="50"/>
        <v>0</v>
      </c>
      <c r="M75" s="22">
        <f t="shared" si="50"/>
        <v>0</v>
      </c>
      <c r="N75" s="22">
        <f t="shared" si="50"/>
        <v>0</v>
      </c>
      <c r="O75" s="12">
        <f>SUM(B75:N75)</f>
        <v>0</v>
      </c>
      <c r="R75" s="2" t="s">
        <v>0</v>
      </c>
      <c r="S75" s="22">
        <v>21398.49</v>
      </c>
      <c r="T75" s="22">
        <v>2380.88</v>
      </c>
      <c r="U75" s="22">
        <v>3012.66</v>
      </c>
      <c r="V75" s="22">
        <v>266.89</v>
      </c>
      <c r="W75" s="22">
        <v>13929.72</v>
      </c>
      <c r="X75" s="22">
        <v>379.03999999999996</v>
      </c>
      <c r="Y75" s="22">
        <v>367.1</v>
      </c>
      <c r="Z75" s="22">
        <v>0</v>
      </c>
      <c r="AA75" s="22">
        <v>326.26</v>
      </c>
      <c r="AB75" s="22"/>
      <c r="AC75" s="22">
        <v>0</v>
      </c>
      <c r="AD75" s="22">
        <v>0</v>
      </c>
      <c r="AE75" s="22"/>
      <c r="AF75" s="22">
        <v>0</v>
      </c>
      <c r="AG75" s="22">
        <v>0</v>
      </c>
      <c r="AH75" s="12">
        <f>SUM(S75:AG75)</f>
        <v>42061.04</v>
      </c>
      <c r="AI75" s="129">
        <f>B75+C75+S75+T75</f>
        <v>23779.370000000003</v>
      </c>
      <c r="AJ75" s="129">
        <f>D75+E75+U75+V75</f>
        <v>3279.5499999999997</v>
      </c>
      <c r="AK75" s="129">
        <f>F75+W75</f>
        <v>13929.72</v>
      </c>
      <c r="AL75" s="129">
        <f>SUM(G75:N75)+SUM(X75:AG75)</f>
        <v>1072.4000000000001</v>
      </c>
    </row>
    <row r="76" spans="1:38">
      <c r="A76" s="1" t="s">
        <v>120</v>
      </c>
      <c r="B76" s="22">
        <f t="shared" ref="B76:N91" si="51">B6+B41</f>
        <v>0</v>
      </c>
      <c r="C76" s="22">
        <f t="shared" si="51"/>
        <v>0</v>
      </c>
      <c r="D76" s="22">
        <f t="shared" si="51"/>
        <v>0</v>
      </c>
      <c r="E76" s="22">
        <f t="shared" si="51"/>
        <v>0</v>
      </c>
      <c r="F76" s="22">
        <f t="shared" si="51"/>
        <v>0</v>
      </c>
      <c r="G76" s="22">
        <f t="shared" si="51"/>
        <v>0</v>
      </c>
      <c r="H76" s="22">
        <f t="shared" si="51"/>
        <v>0</v>
      </c>
      <c r="I76" s="22">
        <f t="shared" si="51"/>
        <v>0</v>
      </c>
      <c r="J76" s="22">
        <f t="shared" si="51"/>
        <v>0</v>
      </c>
      <c r="K76" s="22">
        <f t="shared" si="51"/>
        <v>0</v>
      </c>
      <c r="L76" s="22">
        <f t="shared" si="51"/>
        <v>0</v>
      </c>
      <c r="M76" s="22">
        <f t="shared" si="51"/>
        <v>0</v>
      </c>
      <c r="N76" s="22">
        <f t="shared" si="51"/>
        <v>0</v>
      </c>
      <c r="O76" s="12">
        <f t="shared" ref="O76:O101" si="52">SUM(B76:N76)</f>
        <v>0</v>
      </c>
      <c r="R76" s="2" t="s">
        <v>1</v>
      </c>
      <c r="S76" s="22">
        <v>117655.21</v>
      </c>
      <c r="T76" s="22">
        <v>17107.48</v>
      </c>
      <c r="U76" s="22">
        <v>7773.46</v>
      </c>
      <c r="V76" s="22">
        <v>892.37</v>
      </c>
      <c r="W76" s="22">
        <v>50222.8</v>
      </c>
      <c r="X76" s="22">
        <v>1137.1199999999999</v>
      </c>
      <c r="Y76" s="22">
        <v>2549.0000000000005</v>
      </c>
      <c r="Z76" s="22">
        <v>533.78</v>
      </c>
      <c r="AA76" s="22">
        <v>2345.6799999999998</v>
      </c>
      <c r="AB76" s="22"/>
      <c r="AC76" s="22">
        <v>0</v>
      </c>
      <c r="AD76" s="22">
        <v>0</v>
      </c>
      <c r="AE76" s="22">
        <v>110.56</v>
      </c>
      <c r="AF76" s="22">
        <v>0</v>
      </c>
      <c r="AG76" s="22">
        <v>0</v>
      </c>
      <c r="AH76" s="12">
        <f>SUM(S76:AG76)</f>
        <v>200327.46</v>
      </c>
      <c r="AI76" s="129">
        <f t="shared" ref="AI76:AI102" si="53">B76+C76+S76+T76</f>
        <v>134762.69</v>
      </c>
      <c r="AJ76" s="129">
        <f t="shared" ref="AJ76:AJ102" si="54">D76+E76+U76+V76</f>
        <v>8665.83</v>
      </c>
      <c r="AK76" s="129">
        <f t="shared" ref="AK76:AK102" si="55">F76+W76</f>
        <v>50222.8</v>
      </c>
      <c r="AL76" s="129">
        <f t="shared" ref="AL76:AL102" si="56">SUM(G76:N76)+SUM(X76:AG76)</f>
        <v>6676.14</v>
      </c>
    </row>
    <row r="77" spans="1:38">
      <c r="A77" s="18" t="s">
        <v>121</v>
      </c>
      <c r="B77" s="22">
        <f t="shared" si="51"/>
        <v>0</v>
      </c>
      <c r="C77" s="22">
        <f t="shared" si="51"/>
        <v>0</v>
      </c>
      <c r="D77" s="22">
        <f t="shared" si="51"/>
        <v>0</v>
      </c>
      <c r="E77" s="22">
        <f t="shared" si="51"/>
        <v>0</v>
      </c>
      <c r="F77" s="22">
        <f t="shared" si="51"/>
        <v>0</v>
      </c>
      <c r="G77" s="22">
        <f t="shared" si="51"/>
        <v>0</v>
      </c>
      <c r="H77" s="22">
        <f t="shared" si="51"/>
        <v>0</v>
      </c>
      <c r="I77" s="22">
        <f t="shared" si="51"/>
        <v>0</v>
      </c>
      <c r="J77" s="22">
        <f t="shared" si="51"/>
        <v>0</v>
      </c>
      <c r="K77" s="22">
        <f t="shared" si="51"/>
        <v>0</v>
      </c>
      <c r="L77" s="22">
        <f t="shared" si="51"/>
        <v>0</v>
      </c>
      <c r="M77" s="22">
        <f t="shared" si="51"/>
        <v>0</v>
      </c>
      <c r="N77" s="22">
        <f t="shared" si="51"/>
        <v>0</v>
      </c>
      <c r="O77" s="12">
        <f t="shared" si="52"/>
        <v>0</v>
      </c>
      <c r="R77" s="2" t="s">
        <v>2</v>
      </c>
      <c r="S77" s="22">
        <v>24059.14</v>
      </c>
      <c r="T77" s="22">
        <v>6299.66</v>
      </c>
      <c r="U77" s="22">
        <v>1354.32</v>
      </c>
      <c r="V77" s="22">
        <v>434.99</v>
      </c>
      <c r="W77" s="22">
        <v>22173.84</v>
      </c>
      <c r="X77" s="22">
        <v>3506.12</v>
      </c>
      <c r="Y77" s="22">
        <v>728.93999999999994</v>
      </c>
      <c r="Z77" s="22">
        <v>269.25</v>
      </c>
      <c r="AA77" s="22">
        <v>1068.83</v>
      </c>
      <c r="AB77" s="22">
        <v>189.52</v>
      </c>
      <c r="AC77" s="22">
        <v>0</v>
      </c>
      <c r="AD77" s="22">
        <v>0</v>
      </c>
      <c r="AE77" s="22"/>
      <c r="AF77" s="22">
        <v>0</v>
      </c>
      <c r="AG77" s="22">
        <v>0</v>
      </c>
      <c r="AH77" s="12">
        <f t="shared" ref="AH77:AH101" si="57">SUM(S77:AG77)</f>
        <v>60084.61</v>
      </c>
      <c r="AI77" s="129">
        <f t="shared" si="53"/>
        <v>30358.799999999999</v>
      </c>
      <c r="AJ77" s="129">
        <f t="shared" si="54"/>
        <v>1789.31</v>
      </c>
      <c r="AK77" s="129">
        <f t="shared" si="55"/>
        <v>22173.84</v>
      </c>
      <c r="AL77" s="129">
        <f t="shared" si="56"/>
        <v>5762.66</v>
      </c>
    </row>
    <row r="78" spans="1:38">
      <c r="A78" s="2" t="s">
        <v>122</v>
      </c>
      <c r="B78" s="22">
        <f t="shared" si="51"/>
        <v>0</v>
      </c>
      <c r="C78" s="22">
        <f t="shared" si="51"/>
        <v>0</v>
      </c>
      <c r="D78" s="22">
        <f t="shared" si="51"/>
        <v>0</v>
      </c>
      <c r="E78" s="22">
        <f t="shared" si="51"/>
        <v>0</v>
      </c>
      <c r="F78" s="22">
        <f t="shared" si="51"/>
        <v>0</v>
      </c>
      <c r="G78" s="22">
        <f t="shared" si="51"/>
        <v>0</v>
      </c>
      <c r="H78" s="22">
        <f t="shared" si="51"/>
        <v>0</v>
      </c>
      <c r="I78" s="22">
        <f t="shared" si="51"/>
        <v>0</v>
      </c>
      <c r="J78" s="22">
        <f t="shared" si="51"/>
        <v>0</v>
      </c>
      <c r="K78" s="22">
        <f t="shared" si="51"/>
        <v>0</v>
      </c>
      <c r="L78" s="22">
        <f t="shared" si="51"/>
        <v>0</v>
      </c>
      <c r="M78" s="22">
        <f t="shared" si="51"/>
        <v>0</v>
      </c>
      <c r="N78" s="22">
        <f t="shared" si="51"/>
        <v>0</v>
      </c>
      <c r="O78" s="12">
        <f t="shared" si="52"/>
        <v>0</v>
      </c>
      <c r="R78" s="2" t="s">
        <v>3</v>
      </c>
      <c r="S78" s="22">
        <v>72528.63</v>
      </c>
      <c r="T78" s="22">
        <v>30261.56</v>
      </c>
      <c r="U78" s="22">
        <v>9798.06</v>
      </c>
      <c r="V78" s="22">
        <v>1139.6400000000001</v>
      </c>
      <c r="W78" s="22">
        <v>42642</v>
      </c>
      <c r="X78" s="22">
        <v>852.83999999999992</v>
      </c>
      <c r="Y78" s="22">
        <v>3871.1600000000003</v>
      </c>
      <c r="Z78" s="22">
        <v>0</v>
      </c>
      <c r="AA78" s="22">
        <v>4001.48</v>
      </c>
      <c r="AB78" s="22"/>
      <c r="AC78" s="22">
        <v>0</v>
      </c>
      <c r="AD78" s="22">
        <v>0</v>
      </c>
      <c r="AE78" s="22">
        <v>27.64</v>
      </c>
      <c r="AF78" s="22">
        <v>32.92</v>
      </c>
      <c r="AG78" s="22">
        <v>0</v>
      </c>
      <c r="AH78" s="12">
        <f t="shared" si="57"/>
        <v>165155.93000000005</v>
      </c>
      <c r="AI78" s="129">
        <f t="shared" si="53"/>
        <v>102790.19</v>
      </c>
      <c r="AJ78" s="129">
        <f t="shared" si="54"/>
        <v>10937.699999999999</v>
      </c>
      <c r="AK78" s="129">
        <f t="shared" si="55"/>
        <v>42642</v>
      </c>
      <c r="AL78" s="129">
        <f t="shared" si="56"/>
        <v>8786.0399999999991</v>
      </c>
    </row>
    <row r="79" spans="1:38">
      <c r="A79" s="1" t="s">
        <v>123</v>
      </c>
      <c r="B79" s="22">
        <f t="shared" si="51"/>
        <v>0</v>
      </c>
      <c r="C79" s="22">
        <f t="shared" si="51"/>
        <v>0</v>
      </c>
      <c r="D79" s="22">
        <f t="shared" si="51"/>
        <v>0</v>
      </c>
      <c r="E79" s="22">
        <f t="shared" si="51"/>
        <v>0</v>
      </c>
      <c r="F79" s="22">
        <f t="shared" si="51"/>
        <v>0</v>
      </c>
      <c r="G79" s="22">
        <f t="shared" si="51"/>
        <v>0</v>
      </c>
      <c r="H79" s="22">
        <f t="shared" si="51"/>
        <v>0</v>
      </c>
      <c r="I79" s="22">
        <f t="shared" si="51"/>
        <v>0</v>
      </c>
      <c r="J79" s="22">
        <f t="shared" si="51"/>
        <v>0</v>
      </c>
      <c r="K79" s="22">
        <f t="shared" si="51"/>
        <v>0</v>
      </c>
      <c r="L79" s="22">
        <f t="shared" si="51"/>
        <v>0</v>
      </c>
      <c r="M79" s="22">
        <f t="shared" si="51"/>
        <v>0</v>
      </c>
      <c r="N79" s="22">
        <f t="shared" si="51"/>
        <v>0</v>
      </c>
      <c r="O79" s="12">
        <f t="shared" si="52"/>
        <v>0</v>
      </c>
      <c r="R79" s="2" t="s">
        <v>4</v>
      </c>
      <c r="S79" s="22">
        <v>372462.15</v>
      </c>
      <c r="T79" s="22">
        <v>36865.81</v>
      </c>
      <c r="U79" s="22">
        <v>65301.72</v>
      </c>
      <c r="V79" s="22">
        <v>4584.57</v>
      </c>
      <c r="W79" s="22">
        <v>159860.12</v>
      </c>
      <c r="X79" s="22">
        <v>4832.76</v>
      </c>
      <c r="Y79" s="22">
        <v>6235.079999999999</v>
      </c>
      <c r="Z79" s="22">
        <v>0</v>
      </c>
      <c r="AA79" s="22">
        <v>6266.78</v>
      </c>
      <c r="AB79" s="22">
        <v>852.84</v>
      </c>
      <c r="AC79" s="22">
        <v>379.04</v>
      </c>
      <c r="AD79" s="22">
        <v>0</v>
      </c>
      <c r="AE79" s="22">
        <v>469.88</v>
      </c>
      <c r="AF79" s="22">
        <v>0</v>
      </c>
      <c r="AG79" s="22">
        <v>0</v>
      </c>
      <c r="AH79" s="12">
        <f t="shared" si="57"/>
        <v>658110.75000000012</v>
      </c>
      <c r="AI79" s="129">
        <f t="shared" si="53"/>
        <v>409327.96</v>
      </c>
      <c r="AJ79" s="129">
        <f t="shared" si="54"/>
        <v>69886.290000000008</v>
      </c>
      <c r="AK79" s="129">
        <f t="shared" si="55"/>
        <v>159860.12</v>
      </c>
      <c r="AL79" s="129">
        <f t="shared" si="56"/>
        <v>19036.38</v>
      </c>
    </row>
    <row r="80" spans="1:38">
      <c r="A80" s="1" t="s">
        <v>124</v>
      </c>
      <c r="B80" s="22">
        <f t="shared" si="51"/>
        <v>0</v>
      </c>
      <c r="C80" s="22">
        <f t="shared" si="51"/>
        <v>0</v>
      </c>
      <c r="D80" s="22">
        <f t="shared" si="51"/>
        <v>0</v>
      </c>
      <c r="E80" s="22">
        <f t="shared" si="51"/>
        <v>0</v>
      </c>
      <c r="F80" s="22">
        <f t="shared" si="51"/>
        <v>0</v>
      </c>
      <c r="G80" s="22">
        <f t="shared" si="51"/>
        <v>0</v>
      </c>
      <c r="H80" s="22">
        <f t="shared" si="51"/>
        <v>0</v>
      </c>
      <c r="I80" s="22">
        <f t="shared" si="51"/>
        <v>0</v>
      </c>
      <c r="J80" s="22">
        <f t="shared" si="51"/>
        <v>0</v>
      </c>
      <c r="K80" s="22">
        <f t="shared" si="51"/>
        <v>0</v>
      </c>
      <c r="L80" s="22">
        <f t="shared" si="51"/>
        <v>0</v>
      </c>
      <c r="M80" s="22">
        <f t="shared" si="51"/>
        <v>0</v>
      </c>
      <c r="N80" s="22">
        <f t="shared" si="51"/>
        <v>0</v>
      </c>
      <c r="O80" s="12">
        <f t="shared" si="52"/>
        <v>0</v>
      </c>
      <c r="R80" s="2" t="s">
        <v>5</v>
      </c>
      <c r="S80" s="22">
        <v>179906.05</v>
      </c>
      <c r="T80" s="22">
        <v>17117.310000000001</v>
      </c>
      <c r="U80" s="22">
        <v>20922.77</v>
      </c>
      <c r="V80" s="22">
        <v>3050.89</v>
      </c>
      <c r="W80" s="22">
        <v>73533.759999999995</v>
      </c>
      <c r="X80" s="22">
        <v>758.08</v>
      </c>
      <c r="Y80" s="22">
        <v>2974.1799999999994</v>
      </c>
      <c r="Z80" s="22">
        <v>4346.74</v>
      </c>
      <c r="AA80" s="22">
        <v>2534.4</v>
      </c>
      <c r="AB80" s="22">
        <v>1137.1199999999999</v>
      </c>
      <c r="AC80" s="22">
        <v>0</v>
      </c>
      <c r="AD80" s="22">
        <v>0</v>
      </c>
      <c r="AE80" s="22">
        <v>193.48</v>
      </c>
      <c r="AF80" s="22">
        <v>0</v>
      </c>
      <c r="AG80" s="22">
        <v>0</v>
      </c>
      <c r="AH80" s="12">
        <f t="shared" si="57"/>
        <v>306474.77999999997</v>
      </c>
      <c r="AI80" s="129">
        <f t="shared" si="53"/>
        <v>197023.35999999999</v>
      </c>
      <c r="AJ80" s="129">
        <f t="shared" si="54"/>
        <v>23973.66</v>
      </c>
      <c r="AK80" s="129">
        <f t="shared" si="55"/>
        <v>73533.759999999995</v>
      </c>
      <c r="AL80" s="129">
        <f t="shared" si="56"/>
        <v>11944</v>
      </c>
    </row>
    <row r="81" spans="1:38">
      <c r="A81" s="1" t="s">
        <v>125</v>
      </c>
      <c r="B81" s="22">
        <f t="shared" si="51"/>
        <v>0</v>
      </c>
      <c r="C81" s="22">
        <f t="shared" si="51"/>
        <v>0</v>
      </c>
      <c r="D81" s="22">
        <f t="shared" si="51"/>
        <v>0</v>
      </c>
      <c r="E81" s="22">
        <f t="shared" si="51"/>
        <v>0</v>
      </c>
      <c r="F81" s="22">
        <f t="shared" si="51"/>
        <v>0</v>
      </c>
      <c r="G81" s="22">
        <f t="shared" si="51"/>
        <v>0</v>
      </c>
      <c r="H81" s="22">
        <f t="shared" si="51"/>
        <v>0</v>
      </c>
      <c r="I81" s="22">
        <f t="shared" si="51"/>
        <v>0</v>
      </c>
      <c r="J81" s="22">
        <f t="shared" si="51"/>
        <v>0</v>
      </c>
      <c r="K81" s="22">
        <f t="shared" si="51"/>
        <v>0</v>
      </c>
      <c r="L81" s="22">
        <f t="shared" si="51"/>
        <v>0</v>
      </c>
      <c r="M81" s="22">
        <f t="shared" si="51"/>
        <v>0</v>
      </c>
      <c r="N81" s="22">
        <f t="shared" si="51"/>
        <v>0</v>
      </c>
      <c r="O81" s="12">
        <f t="shared" si="52"/>
        <v>0</v>
      </c>
      <c r="R81" s="2" t="s">
        <v>6</v>
      </c>
      <c r="S81" s="22">
        <v>401923.05</v>
      </c>
      <c r="T81" s="22">
        <v>43095.350000000006</v>
      </c>
      <c r="U81" s="22">
        <v>40528</v>
      </c>
      <c r="V81" s="22">
        <v>6786.46</v>
      </c>
      <c r="W81" s="22">
        <v>100824.64</v>
      </c>
      <c r="X81" s="22">
        <v>4453.72</v>
      </c>
      <c r="Y81" s="22">
        <v>7935.9099999999989</v>
      </c>
      <c r="Z81" s="22">
        <v>0</v>
      </c>
      <c r="AA81" s="22">
        <v>7178.72</v>
      </c>
      <c r="AB81" s="22">
        <v>379.04</v>
      </c>
      <c r="AC81" s="22">
        <v>0</v>
      </c>
      <c r="AD81" s="22">
        <v>0</v>
      </c>
      <c r="AE81" s="22">
        <v>331.68</v>
      </c>
      <c r="AF81" s="22">
        <v>0</v>
      </c>
      <c r="AG81" s="22">
        <v>0</v>
      </c>
      <c r="AH81" s="12">
        <f t="shared" si="57"/>
        <v>613436.57000000007</v>
      </c>
      <c r="AI81" s="129">
        <f t="shared" si="53"/>
        <v>445018.4</v>
      </c>
      <c r="AJ81" s="129">
        <f t="shared" si="54"/>
        <v>47314.46</v>
      </c>
      <c r="AK81" s="129">
        <f t="shared" si="55"/>
        <v>100824.64</v>
      </c>
      <c r="AL81" s="129">
        <f t="shared" si="56"/>
        <v>20279.07</v>
      </c>
    </row>
    <row r="82" spans="1:38">
      <c r="A82" s="1" t="s">
        <v>126</v>
      </c>
      <c r="B82" s="22">
        <f t="shared" si="51"/>
        <v>0</v>
      </c>
      <c r="C82" s="22">
        <f t="shared" si="51"/>
        <v>0</v>
      </c>
      <c r="D82" s="22">
        <f t="shared" si="51"/>
        <v>0</v>
      </c>
      <c r="E82" s="22">
        <f t="shared" si="51"/>
        <v>0</v>
      </c>
      <c r="F82" s="22">
        <f t="shared" si="51"/>
        <v>0</v>
      </c>
      <c r="G82" s="22">
        <f t="shared" si="51"/>
        <v>0</v>
      </c>
      <c r="H82" s="22">
        <f t="shared" si="51"/>
        <v>0</v>
      </c>
      <c r="I82" s="22">
        <f t="shared" si="51"/>
        <v>0</v>
      </c>
      <c r="J82" s="22">
        <f>J12+J47</f>
        <v>0</v>
      </c>
      <c r="K82" s="22">
        <f t="shared" si="51"/>
        <v>0</v>
      </c>
      <c r="L82" s="22">
        <f t="shared" si="51"/>
        <v>0</v>
      </c>
      <c r="M82" s="22">
        <f t="shared" si="51"/>
        <v>0</v>
      </c>
      <c r="N82" s="22">
        <f t="shared" si="51"/>
        <v>0</v>
      </c>
      <c r="O82" s="12">
        <f t="shared" si="52"/>
        <v>0</v>
      </c>
      <c r="R82" s="2" t="s">
        <v>7</v>
      </c>
      <c r="S82" s="22">
        <v>321038.12</v>
      </c>
      <c r="T82" s="22">
        <v>34772.080000000002</v>
      </c>
      <c r="U82" s="22">
        <v>39311.89</v>
      </c>
      <c r="V82" s="22">
        <v>4473.16</v>
      </c>
      <c r="W82" s="22">
        <v>115698.7</v>
      </c>
      <c r="X82" s="22">
        <v>1137.1200000000001</v>
      </c>
      <c r="Y82" s="22">
        <v>5249.1900000000005</v>
      </c>
      <c r="Z82" s="22">
        <v>812.39</v>
      </c>
      <c r="AA82" s="22">
        <v>5006.8</v>
      </c>
      <c r="AB82" s="22">
        <v>1137.1199999999999</v>
      </c>
      <c r="AC82" s="22">
        <v>0</v>
      </c>
      <c r="AD82" s="22">
        <v>0</v>
      </c>
      <c r="AE82" s="22">
        <v>138.19999999999999</v>
      </c>
      <c r="AF82" s="22">
        <v>0</v>
      </c>
      <c r="AG82" s="22">
        <v>0</v>
      </c>
      <c r="AH82" s="12">
        <f t="shared" si="57"/>
        <v>528774.77</v>
      </c>
      <c r="AI82" s="129">
        <f t="shared" si="53"/>
        <v>355810.2</v>
      </c>
      <c r="AJ82" s="129">
        <f t="shared" si="54"/>
        <v>43785.05</v>
      </c>
      <c r="AK82" s="129">
        <f t="shared" si="55"/>
        <v>115698.7</v>
      </c>
      <c r="AL82" s="129">
        <f t="shared" si="56"/>
        <v>13480.82</v>
      </c>
    </row>
    <row r="83" spans="1:38">
      <c r="A83" s="1" t="s">
        <v>127</v>
      </c>
      <c r="B83" s="22">
        <f t="shared" si="51"/>
        <v>0</v>
      </c>
      <c r="C83" s="22">
        <f t="shared" si="51"/>
        <v>0</v>
      </c>
      <c r="D83" s="22">
        <f t="shared" si="51"/>
        <v>0</v>
      </c>
      <c r="E83" s="22">
        <f t="shared" si="51"/>
        <v>0</v>
      </c>
      <c r="F83" s="22">
        <f t="shared" si="51"/>
        <v>0</v>
      </c>
      <c r="G83" s="22">
        <f t="shared" si="51"/>
        <v>0</v>
      </c>
      <c r="H83" s="22">
        <f t="shared" si="51"/>
        <v>0</v>
      </c>
      <c r="I83" s="22">
        <f t="shared" si="51"/>
        <v>0</v>
      </c>
      <c r="J83" s="22">
        <f t="shared" si="51"/>
        <v>0</v>
      </c>
      <c r="K83" s="22">
        <f t="shared" si="51"/>
        <v>0</v>
      </c>
      <c r="L83" s="22">
        <f t="shared" si="51"/>
        <v>0</v>
      </c>
      <c r="M83" s="22">
        <f t="shared" si="51"/>
        <v>0</v>
      </c>
      <c r="N83" s="22">
        <f t="shared" si="51"/>
        <v>0</v>
      </c>
      <c r="O83" s="12">
        <f t="shared" si="52"/>
        <v>0</v>
      </c>
      <c r="R83" s="2" t="s">
        <v>8</v>
      </c>
      <c r="S83" s="22">
        <v>250110.59</v>
      </c>
      <c r="T83" s="22">
        <v>35660.800000000003</v>
      </c>
      <c r="U83" s="22">
        <v>37697.31</v>
      </c>
      <c r="V83" s="22">
        <v>7274.69</v>
      </c>
      <c r="W83" s="22">
        <v>188477.64</v>
      </c>
      <c r="X83" s="22">
        <v>6633.2000000000007</v>
      </c>
      <c r="Y83" s="22">
        <v>7394.6799999999985</v>
      </c>
      <c r="Z83" s="22">
        <v>213.51</v>
      </c>
      <c r="AA83" s="22">
        <v>7178.5400000000009</v>
      </c>
      <c r="AB83" s="22">
        <v>379.04</v>
      </c>
      <c r="AC83" s="22">
        <v>0</v>
      </c>
      <c r="AD83" s="22">
        <v>0</v>
      </c>
      <c r="AE83" s="22">
        <v>221.12</v>
      </c>
      <c r="AF83" s="22">
        <v>0</v>
      </c>
      <c r="AG83" s="22">
        <v>0</v>
      </c>
      <c r="AH83" s="12">
        <f t="shared" si="57"/>
        <v>541241.12000000011</v>
      </c>
      <c r="AI83" s="129">
        <f t="shared" si="53"/>
        <v>285771.39</v>
      </c>
      <c r="AJ83" s="129">
        <f t="shared" si="54"/>
        <v>44972</v>
      </c>
      <c r="AK83" s="129">
        <f t="shared" si="55"/>
        <v>188477.64</v>
      </c>
      <c r="AL83" s="129">
        <f t="shared" si="56"/>
        <v>22020.09</v>
      </c>
    </row>
    <row r="84" spans="1:38">
      <c r="A84" s="2" t="s">
        <v>128</v>
      </c>
      <c r="B84" s="22">
        <f t="shared" si="51"/>
        <v>0</v>
      </c>
      <c r="C84" s="22">
        <f t="shared" si="51"/>
        <v>0</v>
      </c>
      <c r="D84" s="22">
        <f t="shared" si="51"/>
        <v>0</v>
      </c>
      <c r="E84" s="22">
        <f t="shared" si="51"/>
        <v>0</v>
      </c>
      <c r="F84" s="22">
        <f t="shared" si="51"/>
        <v>0</v>
      </c>
      <c r="G84" s="22">
        <f t="shared" si="51"/>
        <v>0</v>
      </c>
      <c r="H84" s="22">
        <f t="shared" si="51"/>
        <v>0</v>
      </c>
      <c r="I84" s="22">
        <f t="shared" si="51"/>
        <v>0</v>
      </c>
      <c r="J84" s="22">
        <f t="shared" si="51"/>
        <v>0</v>
      </c>
      <c r="K84" s="22">
        <f t="shared" si="51"/>
        <v>0</v>
      </c>
      <c r="L84" s="22">
        <f t="shared" si="51"/>
        <v>0</v>
      </c>
      <c r="M84" s="22">
        <f t="shared" si="51"/>
        <v>0</v>
      </c>
      <c r="N84" s="22">
        <f t="shared" si="51"/>
        <v>0</v>
      </c>
      <c r="O84" s="12">
        <f t="shared" si="52"/>
        <v>0</v>
      </c>
      <c r="R84" s="2" t="s">
        <v>9</v>
      </c>
      <c r="S84" s="22">
        <v>77073.929999999993</v>
      </c>
      <c r="T84" s="22">
        <v>11796.63</v>
      </c>
      <c r="U84" s="22">
        <v>11306.66</v>
      </c>
      <c r="V84" s="22">
        <v>955.81</v>
      </c>
      <c r="W84" s="22">
        <v>35819.279999999999</v>
      </c>
      <c r="X84" s="22">
        <v>947.59999999999991</v>
      </c>
      <c r="Y84" s="22">
        <v>2264.8199999999997</v>
      </c>
      <c r="Z84" s="22">
        <v>284.27999999999997</v>
      </c>
      <c r="AA84" s="22">
        <v>1246.1099999999999</v>
      </c>
      <c r="AB84" s="22">
        <v>189.52</v>
      </c>
      <c r="AC84" s="22">
        <v>0</v>
      </c>
      <c r="AD84" s="22">
        <v>0</v>
      </c>
      <c r="AE84" s="22">
        <v>110.56</v>
      </c>
      <c r="AF84" s="22">
        <v>0</v>
      </c>
      <c r="AG84" s="22">
        <v>0</v>
      </c>
      <c r="AH84" s="12">
        <f t="shared" si="57"/>
        <v>141995.19999999998</v>
      </c>
      <c r="AI84" s="129">
        <f t="shared" si="53"/>
        <v>88870.56</v>
      </c>
      <c r="AJ84" s="129">
        <f t="shared" si="54"/>
        <v>12262.47</v>
      </c>
      <c r="AK84" s="129">
        <f t="shared" si="55"/>
        <v>35819.279999999999</v>
      </c>
      <c r="AL84" s="129">
        <f t="shared" si="56"/>
        <v>5042.8900000000003</v>
      </c>
    </row>
    <row r="85" spans="1:38">
      <c r="A85" s="18" t="s">
        <v>129</v>
      </c>
      <c r="B85" s="22">
        <f t="shared" si="51"/>
        <v>0</v>
      </c>
      <c r="C85" s="22">
        <f t="shared" si="51"/>
        <v>0</v>
      </c>
      <c r="D85" s="22">
        <f t="shared" si="51"/>
        <v>0</v>
      </c>
      <c r="E85" s="22">
        <f t="shared" si="51"/>
        <v>0</v>
      </c>
      <c r="F85" s="22">
        <f t="shared" si="51"/>
        <v>0</v>
      </c>
      <c r="G85" s="22">
        <f t="shared" si="51"/>
        <v>0</v>
      </c>
      <c r="H85" s="22">
        <f t="shared" si="51"/>
        <v>0</v>
      </c>
      <c r="I85" s="22">
        <f t="shared" si="51"/>
        <v>0</v>
      </c>
      <c r="J85" s="22">
        <f t="shared" si="51"/>
        <v>0</v>
      </c>
      <c r="K85" s="22">
        <f t="shared" si="51"/>
        <v>0</v>
      </c>
      <c r="L85" s="22">
        <f t="shared" si="51"/>
        <v>0</v>
      </c>
      <c r="M85" s="22">
        <f t="shared" si="51"/>
        <v>0</v>
      </c>
      <c r="N85" s="22">
        <f t="shared" si="51"/>
        <v>0</v>
      </c>
      <c r="O85" s="12">
        <f t="shared" si="52"/>
        <v>0</v>
      </c>
      <c r="R85" s="2" t="s">
        <v>10</v>
      </c>
      <c r="S85" s="22">
        <v>161539.23000000001</v>
      </c>
      <c r="T85" s="22">
        <v>23009.629999999997</v>
      </c>
      <c r="U85" s="22">
        <v>19986.55</v>
      </c>
      <c r="V85" s="22">
        <v>2279.0700000000002</v>
      </c>
      <c r="W85" s="22">
        <v>205818.72</v>
      </c>
      <c r="X85" s="22">
        <v>1989.96</v>
      </c>
      <c r="Y85" s="22">
        <v>1979.7700000000002</v>
      </c>
      <c r="Z85" s="22">
        <v>1047.2</v>
      </c>
      <c r="AA85" s="22">
        <v>4200.6900000000005</v>
      </c>
      <c r="AB85" s="22">
        <v>94.76</v>
      </c>
      <c r="AC85" s="22">
        <v>0</v>
      </c>
      <c r="AD85" s="22">
        <v>3736.46</v>
      </c>
      <c r="AE85" s="22">
        <v>193.48</v>
      </c>
      <c r="AF85" s="22">
        <v>0</v>
      </c>
      <c r="AG85" s="22">
        <v>0</v>
      </c>
      <c r="AH85" s="12">
        <f t="shared" si="57"/>
        <v>425875.52000000008</v>
      </c>
      <c r="AI85" s="129">
        <f t="shared" si="53"/>
        <v>184548.86000000002</v>
      </c>
      <c r="AJ85" s="129">
        <f t="shared" si="54"/>
        <v>22265.62</v>
      </c>
      <c r="AK85" s="129">
        <f t="shared" si="55"/>
        <v>205818.72</v>
      </c>
      <c r="AL85" s="129">
        <f t="shared" si="56"/>
        <v>13242.32</v>
      </c>
    </row>
    <row r="86" spans="1:38">
      <c r="A86" s="1" t="s">
        <v>130</v>
      </c>
      <c r="B86" s="22">
        <f t="shared" si="51"/>
        <v>0</v>
      </c>
      <c r="C86" s="22">
        <f t="shared" si="51"/>
        <v>0</v>
      </c>
      <c r="D86" s="22">
        <f t="shared" si="51"/>
        <v>0</v>
      </c>
      <c r="E86" s="22">
        <f t="shared" si="51"/>
        <v>0</v>
      </c>
      <c r="F86" s="22">
        <f t="shared" si="51"/>
        <v>0</v>
      </c>
      <c r="G86" s="22">
        <f t="shared" si="51"/>
        <v>0</v>
      </c>
      <c r="H86" s="22">
        <f t="shared" si="51"/>
        <v>0</v>
      </c>
      <c r="I86" s="22">
        <f t="shared" si="51"/>
        <v>0</v>
      </c>
      <c r="J86" s="22">
        <f t="shared" si="51"/>
        <v>0</v>
      </c>
      <c r="K86" s="22">
        <f t="shared" si="51"/>
        <v>0</v>
      </c>
      <c r="L86" s="22">
        <f t="shared" si="51"/>
        <v>0</v>
      </c>
      <c r="M86" s="22">
        <f t="shared" si="51"/>
        <v>0</v>
      </c>
      <c r="N86" s="22">
        <f t="shared" si="51"/>
        <v>0</v>
      </c>
      <c r="O86" s="12">
        <f t="shared" si="52"/>
        <v>0</v>
      </c>
      <c r="R86" s="2" t="s">
        <v>11</v>
      </c>
      <c r="S86" s="22">
        <v>157480.28</v>
      </c>
      <c r="T86" s="22">
        <v>22527.030000000002</v>
      </c>
      <c r="U86" s="22">
        <v>26574.97</v>
      </c>
      <c r="V86" s="22">
        <v>2778.57</v>
      </c>
      <c r="W86" s="22">
        <v>170473.24</v>
      </c>
      <c r="X86" s="22">
        <v>2179.48</v>
      </c>
      <c r="Y86" s="22">
        <v>4924.7900000000009</v>
      </c>
      <c r="Z86" s="22">
        <v>1217.8900000000001</v>
      </c>
      <c r="AA86" s="22">
        <v>3019.6</v>
      </c>
      <c r="AB86" s="22">
        <v>473.8</v>
      </c>
      <c r="AC86" s="22">
        <v>0</v>
      </c>
      <c r="AD86" s="22">
        <v>0</v>
      </c>
      <c r="AE86" s="22">
        <v>165.84</v>
      </c>
      <c r="AF86" s="22">
        <v>18.329999999999998</v>
      </c>
      <c r="AG86" s="22">
        <v>0</v>
      </c>
      <c r="AH86" s="12">
        <f t="shared" si="57"/>
        <v>391833.81999999995</v>
      </c>
      <c r="AI86" s="129">
        <f t="shared" si="53"/>
        <v>180007.31</v>
      </c>
      <c r="AJ86" s="129">
        <f t="shared" si="54"/>
        <v>29353.54</v>
      </c>
      <c r="AK86" s="129">
        <f t="shared" si="55"/>
        <v>170473.24</v>
      </c>
      <c r="AL86" s="129">
        <f t="shared" si="56"/>
        <v>11999.73</v>
      </c>
    </row>
    <row r="87" spans="1:38">
      <c r="A87" s="1" t="s">
        <v>131</v>
      </c>
      <c r="B87" s="22">
        <f t="shared" si="51"/>
        <v>0</v>
      </c>
      <c r="C87" s="22">
        <f t="shared" si="51"/>
        <v>336.18</v>
      </c>
      <c r="D87" s="22">
        <f t="shared" si="51"/>
        <v>0</v>
      </c>
      <c r="E87" s="22">
        <f t="shared" si="51"/>
        <v>0</v>
      </c>
      <c r="F87" s="22">
        <f t="shared" si="51"/>
        <v>0</v>
      </c>
      <c r="G87" s="22">
        <f t="shared" si="51"/>
        <v>0</v>
      </c>
      <c r="H87" s="22">
        <f t="shared" si="51"/>
        <v>132.88</v>
      </c>
      <c r="I87" s="22">
        <f t="shared" si="51"/>
        <v>0</v>
      </c>
      <c r="J87" s="22">
        <f t="shared" si="51"/>
        <v>0</v>
      </c>
      <c r="K87" s="22">
        <f t="shared" si="51"/>
        <v>0</v>
      </c>
      <c r="L87" s="22">
        <f t="shared" si="51"/>
        <v>0</v>
      </c>
      <c r="M87" s="22">
        <f t="shared" si="51"/>
        <v>0</v>
      </c>
      <c r="N87" s="22">
        <f t="shared" si="51"/>
        <v>0</v>
      </c>
      <c r="O87" s="12">
        <f t="shared" si="52"/>
        <v>469.06</v>
      </c>
      <c r="R87" s="2" t="s">
        <v>12</v>
      </c>
      <c r="S87" s="22">
        <v>844382.19</v>
      </c>
      <c r="T87" s="22">
        <v>122302.51999999999</v>
      </c>
      <c r="U87" s="22">
        <v>119100</v>
      </c>
      <c r="V87" s="22">
        <v>24241.79</v>
      </c>
      <c r="W87" s="22">
        <v>387284.12</v>
      </c>
      <c r="X87" s="22">
        <v>7012.24</v>
      </c>
      <c r="Y87" s="22">
        <v>30000.01</v>
      </c>
      <c r="Z87" s="22">
        <v>0</v>
      </c>
      <c r="AA87" s="22">
        <v>17190.170000000002</v>
      </c>
      <c r="AB87" s="22">
        <v>1895.2</v>
      </c>
      <c r="AC87" s="22">
        <v>0</v>
      </c>
      <c r="AD87" s="22">
        <v>0</v>
      </c>
      <c r="AE87" s="22">
        <v>1050.32</v>
      </c>
      <c r="AF87" s="22">
        <v>0</v>
      </c>
      <c r="AG87" s="22">
        <v>0</v>
      </c>
      <c r="AH87" s="12">
        <f t="shared" si="57"/>
        <v>1554458.56</v>
      </c>
      <c r="AI87" s="129">
        <f t="shared" si="53"/>
        <v>967020.89</v>
      </c>
      <c r="AJ87" s="129">
        <f t="shared" si="54"/>
        <v>143341.79</v>
      </c>
      <c r="AK87" s="129">
        <f t="shared" si="55"/>
        <v>387284.12</v>
      </c>
      <c r="AL87" s="129">
        <f t="shared" si="56"/>
        <v>57280.819999999992</v>
      </c>
    </row>
    <row r="88" spans="1:38">
      <c r="A88" s="1" t="s">
        <v>132</v>
      </c>
      <c r="B88" s="22">
        <f t="shared" si="51"/>
        <v>0</v>
      </c>
      <c r="C88" s="22">
        <f t="shared" si="51"/>
        <v>0</v>
      </c>
      <c r="D88" s="22">
        <f t="shared" si="51"/>
        <v>0</v>
      </c>
      <c r="E88" s="22">
        <f t="shared" si="51"/>
        <v>0</v>
      </c>
      <c r="F88" s="22">
        <f t="shared" si="51"/>
        <v>0</v>
      </c>
      <c r="G88" s="22">
        <f t="shared" si="51"/>
        <v>0</v>
      </c>
      <c r="H88" s="22">
        <f t="shared" si="51"/>
        <v>0</v>
      </c>
      <c r="I88" s="22">
        <f t="shared" si="51"/>
        <v>0</v>
      </c>
      <c r="J88" s="22">
        <f t="shared" si="51"/>
        <v>0</v>
      </c>
      <c r="K88" s="22">
        <f t="shared" si="51"/>
        <v>0</v>
      </c>
      <c r="L88" s="22">
        <f t="shared" si="51"/>
        <v>0</v>
      </c>
      <c r="M88" s="22">
        <f t="shared" si="51"/>
        <v>0</v>
      </c>
      <c r="N88" s="22">
        <f t="shared" si="51"/>
        <v>0</v>
      </c>
      <c r="O88" s="12">
        <f t="shared" si="52"/>
        <v>0</v>
      </c>
      <c r="R88" s="2" t="s">
        <v>15</v>
      </c>
      <c r="S88" s="22">
        <v>126937.35</v>
      </c>
      <c r="T88" s="22">
        <v>23743.439999999999</v>
      </c>
      <c r="U88" s="22">
        <v>7713.64</v>
      </c>
      <c r="V88" s="22">
        <v>4918.18</v>
      </c>
      <c r="W88" s="22">
        <v>58751.199999999997</v>
      </c>
      <c r="X88" s="22">
        <v>3695.64</v>
      </c>
      <c r="Y88" s="22">
        <v>4348.0600000000004</v>
      </c>
      <c r="Z88" s="22">
        <v>0</v>
      </c>
      <c r="AA88" s="22">
        <v>3466.68</v>
      </c>
      <c r="AB88" s="22"/>
      <c r="AC88" s="22">
        <v>0</v>
      </c>
      <c r="AD88" s="22">
        <v>0</v>
      </c>
      <c r="AE88" s="22">
        <v>193.48</v>
      </c>
      <c r="AF88" s="22">
        <v>0</v>
      </c>
      <c r="AG88" s="22">
        <v>0</v>
      </c>
      <c r="AH88" s="12">
        <f t="shared" si="57"/>
        <v>233767.67</v>
      </c>
      <c r="AI88" s="129">
        <f t="shared" si="53"/>
        <v>150680.79</v>
      </c>
      <c r="AJ88" s="129">
        <f t="shared" si="54"/>
        <v>12631.82</v>
      </c>
      <c r="AK88" s="129">
        <f t="shared" si="55"/>
        <v>58751.199999999997</v>
      </c>
      <c r="AL88" s="129">
        <f t="shared" si="56"/>
        <v>11703.86</v>
      </c>
    </row>
    <row r="89" spans="1:38">
      <c r="A89" s="1" t="s">
        <v>133</v>
      </c>
      <c r="B89" s="22">
        <f t="shared" si="51"/>
        <v>0</v>
      </c>
      <c r="C89" s="22">
        <f t="shared" si="51"/>
        <v>84.03</v>
      </c>
      <c r="D89" s="22">
        <f t="shared" si="51"/>
        <v>0</v>
      </c>
      <c r="E89" s="22">
        <f t="shared" si="51"/>
        <v>0</v>
      </c>
      <c r="F89" s="22">
        <f t="shared" si="51"/>
        <v>0</v>
      </c>
      <c r="G89" s="22">
        <f t="shared" si="51"/>
        <v>0</v>
      </c>
      <c r="H89" s="22">
        <f t="shared" si="51"/>
        <v>31</v>
      </c>
      <c r="I89" s="22">
        <f t="shared" si="51"/>
        <v>0</v>
      </c>
      <c r="J89" s="22">
        <f t="shared" si="51"/>
        <v>0</v>
      </c>
      <c r="K89" s="22">
        <f t="shared" si="51"/>
        <v>0</v>
      </c>
      <c r="L89" s="22">
        <f t="shared" si="51"/>
        <v>0</v>
      </c>
      <c r="M89" s="22">
        <f t="shared" si="51"/>
        <v>0</v>
      </c>
      <c r="N89" s="22">
        <f t="shared" si="51"/>
        <v>0</v>
      </c>
      <c r="O89" s="12">
        <f t="shared" si="52"/>
        <v>115.03</v>
      </c>
      <c r="R89" s="2" t="s">
        <v>14</v>
      </c>
      <c r="S89" s="22">
        <v>133836.14000000001</v>
      </c>
      <c r="T89" s="22">
        <v>18081.990000000002</v>
      </c>
      <c r="U89" s="22">
        <v>14531.2</v>
      </c>
      <c r="V89" s="22">
        <v>4140.79</v>
      </c>
      <c r="W89" s="22">
        <v>77794.7</v>
      </c>
      <c r="X89" s="22">
        <v>758.07999999999993</v>
      </c>
      <c r="Y89" s="22">
        <v>3539.2599999999998</v>
      </c>
      <c r="Z89" s="22">
        <v>0</v>
      </c>
      <c r="AA89" s="22">
        <v>3236.49</v>
      </c>
      <c r="AB89" s="22"/>
      <c r="AC89" s="22">
        <v>0</v>
      </c>
      <c r="AD89" s="22">
        <v>0</v>
      </c>
      <c r="AE89" s="22">
        <v>193.48</v>
      </c>
      <c r="AF89" s="22">
        <v>0</v>
      </c>
      <c r="AG89" s="22">
        <v>0</v>
      </c>
      <c r="AH89" s="12">
        <f t="shared" si="57"/>
        <v>256112.13</v>
      </c>
      <c r="AI89" s="129">
        <f t="shared" si="53"/>
        <v>152002.16</v>
      </c>
      <c r="AJ89" s="129">
        <f t="shared" si="54"/>
        <v>18671.990000000002</v>
      </c>
      <c r="AK89" s="129">
        <f t="shared" si="55"/>
        <v>77794.7</v>
      </c>
      <c r="AL89" s="129">
        <f t="shared" si="56"/>
        <v>7758.3099999999995</v>
      </c>
    </row>
    <row r="90" spans="1:38">
      <c r="A90" s="18" t="s">
        <v>134</v>
      </c>
      <c r="B90" s="22">
        <f t="shared" si="51"/>
        <v>0</v>
      </c>
      <c r="C90" s="22">
        <f t="shared" si="51"/>
        <v>0</v>
      </c>
      <c r="D90" s="22">
        <f t="shared" si="51"/>
        <v>0</v>
      </c>
      <c r="E90" s="22">
        <f t="shared" si="51"/>
        <v>0</v>
      </c>
      <c r="F90" s="22">
        <f t="shared" si="51"/>
        <v>0</v>
      </c>
      <c r="G90" s="22">
        <f t="shared" si="51"/>
        <v>0</v>
      </c>
      <c r="H90" s="22">
        <f t="shared" si="51"/>
        <v>0</v>
      </c>
      <c r="I90" s="22">
        <f t="shared" si="51"/>
        <v>0</v>
      </c>
      <c r="J90" s="22">
        <f t="shared" si="51"/>
        <v>0</v>
      </c>
      <c r="K90" s="22">
        <f t="shared" si="51"/>
        <v>0</v>
      </c>
      <c r="L90" s="22">
        <f t="shared" si="51"/>
        <v>0</v>
      </c>
      <c r="M90" s="22">
        <f t="shared" si="51"/>
        <v>0</v>
      </c>
      <c r="N90" s="22">
        <f t="shared" si="51"/>
        <v>0</v>
      </c>
      <c r="O90" s="12">
        <f t="shared" si="52"/>
        <v>0</v>
      </c>
      <c r="R90" s="2" t="s">
        <v>13</v>
      </c>
      <c r="S90" s="22">
        <v>750439.74</v>
      </c>
      <c r="T90" s="22">
        <v>73177.16</v>
      </c>
      <c r="U90" s="22">
        <v>140810.76</v>
      </c>
      <c r="V90" s="22">
        <v>17504.55</v>
      </c>
      <c r="W90" s="22">
        <v>587417.24</v>
      </c>
      <c r="X90" s="22">
        <v>8433.64</v>
      </c>
      <c r="Y90" s="22">
        <v>9467.8599999999988</v>
      </c>
      <c r="Z90" s="22">
        <v>0</v>
      </c>
      <c r="AA90" s="22">
        <v>14479.380000000001</v>
      </c>
      <c r="AB90" s="22">
        <v>1516.16</v>
      </c>
      <c r="AC90" s="22">
        <v>0</v>
      </c>
      <c r="AD90" s="22">
        <v>0</v>
      </c>
      <c r="AE90" s="22">
        <v>469.88</v>
      </c>
      <c r="AF90" s="22">
        <v>0</v>
      </c>
      <c r="AG90" s="22">
        <v>0</v>
      </c>
      <c r="AH90" s="12">
        <f t="shared" si="57"/>
        <v>1603716.3699999999</v>
      </c>
      <c r="AI90" s="129">
        <f t="shared" si="53"/>
        <v>823616.9</v>
      </c>
      <c r="AJ90" s="129">
        <f t="shared" si="54"/>
        <v>158315.31</v>
      </c>
      <c r="AK90" s="129">
        <f t="shared" si="55"/>
        <v>587417.24</v>
      </c>
      <c r="AL90" s="129">
        <f t="shared" si="56"/>
        <v>34366.92</v>
      </c>
    </row>
    <row r="91" spans="1:38">
      <c r="A91" s="1" t="s">
        <v>135</v>
      </c>
      <c r="B91" s="22">
        <f t="shared" si="51"/>
        <v>0</v>
      </c>
      <c r="C91" s="22">
        <f t="shared" si="51"/>
        <v>0</v>
      </c>
      <c r="D91" s="22">
        <f t="shared" si="51"/>
        <v>0</v>
      </c>
      <c r="E91" s="22">
        <f t="shared" si="51"/>
        <v>0</v>
      </c>
      <c r="F91" s="22">
        <f t="shared" si="51"/>
        <v>0</v>
      </c>
      <c r="G91" s="22">
        <f t="shared" si="51"/>
        <v>0</v>
      </c>
      <c r="H91" s="22">
        <f t="shared" si="51"/>
        <v>0</v>
      </c>
      <c r="I91" s="22">
        <f t="shared" si="51"/>
        <v>0</v>
      </c>
      <c r="J91" s="22">
        <f t="shared" si="51"/>
        <v>0</v>
      </c>
      <c r="K91" s="22">
        <f t="shared" si="51"/>
        <v>0</v>
      </c>
      <c r="L91" s="22">
        <f t="shared" si="51"/>
        <v>0</v>
      </c>
      <c r="M91" s="22">
        <f t="shared" si="51"/>
        <v>0</v>
      </c>
      <c r="N91" s="22">
        <f t="shared" si="51"/>
        <v>0</v>
      </c>
      <c r="O91" s="12">
        <f t="shared" si="52"/>
        <v>0</v>
      </c>
      <c r="R91" s="2" t="s">
        <v>16</v>
      </c>
      <c r="S91" s="22">
        <v>300461.8</v>
      </c>
      <c r="T91" s="22">
        <v>48384.34</v>
      </c>
      <c r="U91" s="22">
        <v>36829.03</v>
      </c>
      <c r="V91" s="22">
        <v>6982.89</v>
      </c>
      <c r="W91" s="22">
        <v>145456.6</v>
      </c>
      <c r="X91" s="22">
        <v>2274.2400000000002</v>
      </c>
      <c r="Y91" s="22">
        <v>6260.62</v>
      </c>
      <c r="Z91" s="22">
        <v>4817.87</v>
      </c>
      <c r="AA91" s="22">
        <v>9629.4399999999987</v>
      </c>
      <c r="AB91" s="22">
        <v>473.8</v>
      </c>
      <c r="AC91" s="22">
        <v>0</v>
      </c>
      <c r="AD91" s="22">
        <v>0</v>
      </c>
      <c r="AE91" s="22">
        <v>359.32</v>
      </c>
      <c r="AF91" s="22">
        <v>0</v>
      </c>
      <c r="AG91" s="22">
        <v>0</v>
      </c>
      <c r="AH91" s="12">
        <f t="shared" si="57"/>
        <v>561929.94999999995</v>
      </c>
      <c r="AI91" s="129">
        <f t="shared" si="53"/>
        <v>348846.14</v>
      </c>
      <c r="AJ91" s="129">
        <f t="shared" si="54"/>
        <v>43811.92</v>
      </c>
      <c r="AK91" s="129">
        <f t="shared" si="55"/>
        <v>145456.6</v>
      </c>
      <c r="AL91" s="129">
        <f t="shared" si="56"/>
        <v>23815.289999999997</v>
      </c>
    </row>
    <row r="92" spans="1:38">
      <c r="A92" s="1" t="s">
        <v>136</v>
      </c>
      <c r="B92" s="22">
        <f t="shared" ref="B92:N101" si="58">B22+B57</f>
        <v>0</v>
      </c>
      <c r="C92" s="22">
        <f t="shared" si="58"/>
        <v>0</v>
      </c>
      <c r="D92" s="22">
        <f t="shared" si="58"/>
        <v>0</v>
      </c>
      <c r="E92" s="22">
        <f t="shared" si="58"/>
        <v>0</v>
      </c>
      <c r="F92" s="22">
        <f t="shared" si="58"/>
        <v>0</v>
      </c>
      <c r="G92" s="22">
        <f t="shared" si="58"/>
        <v>0</v>
      </c>
      <c r="H92" s="22">
        <f t="shared" si="58"/>
        <v>0</v>
      </c>
      <c r="I92" s="22">
        <f t="shared" si="58"/>
        <v>0</v>
      </c>
      <c r="J92" s="22">
        <f t="shared" si="58"/>
        <v>0</v>
      </c>
      <c r="K92" s="22">
        <f t="shared" si="58"/>
        <v>0</v>
      </c>
      <c r="L92" s="22">
        <f t="shared" si="58"/>
        <v>0</v>
      </c>
      <c r="M92" s="22">
        <f t="shared" si="58"/>
        <v>0</v>
      </c>
      <c r="N92" s="22">
        <f t="shared" si="58"/>
        <v>0</v>
      </c>
      <c r="O92" s="12">
        <f t="shared" si="52"/>
        <v>0</v>
      </c>
      <c r="R92" s="2" t="s">
        <v>17</v>
      </c>
      <c r="S92" s="22">
        <v>71715.5</v>
      </c>
      <c r="T92" s="22">
        <v>5105.88</v>
      </c>
      <c r="U92" s="22">
        <v>9768.6200000000008</v>
      </c>
      <c r="V92" s="22">
        <v>168.62</v>
      </c>
      <c r="W92" s="22">
        <v>29668.58</v>
      </c>
      <c r="X92" s="22">
        <v>2369</v>
      </c>
      <c r="Y92" s="22">
        <v>571.69000000000005</v>
      </c>
      <c r="Z92" s="22">
        <v>823.5</v>
      </c>
      <c r="AA92" s="22">
        <v>979.39</v>
      </c>
      <c r="AB92" s="22">
        <v>94.76</v>
      </c>
      <c r="AC92" s="22">
        <v>0</v>
      </c>
      <c r="AD92" s="22">
        <v>0</v>
      </c>
      <c r="AE92" s="22">
        <v>55.28</v>
      </c>
      <c r="AF92" s="22">
        <v>0</v>
      </c>
      <c r="AG92" s="22">
        <v>0</v>
      </c>
      <c r="AH92" s="12">
        <f t="shared" si="57"/>
        <v>121320.81999999999</v>
      </c>
      <c r="AI92" s="129">
        <f t="shared" si="53"/>
        <v>76821.38</v>
      </c>
      <c r="AJ92" s="129">
        <f t="shared" si="54"/>
        <v>9937.2400000000016</v>
      </c>
      <c r="AK92" s="129">
        <f t="shared" si="55"/>
        <v>29668.58</v>
      </c>
      <c r="AL92" s="129">
        <f t="shared" si="56"/>
        <v>4893.62</v>
      </c>
    </row>
    <row r="93" spans="1:38">
      <c r="A93" s="1" t="s">
        <v>137</v>
      </c>
      <c r="B93" s="22">
        <f t="shared" si="58"/>
        <v>0</v>
      </c>
      <c r="C93" s="22">
        <f t="shared" si="58"/>
        <v>515.35</v>
      </c>
      <c r="D93" s="22">
        <f t="shared" si="58"/>
        <v>0</v>
      </c>
      <c r="E93" s="22">
        <f t="shared" si="58"/>
        <v>422.76</v>
      </c>
      <c r="F93" s="22">
        <f t="shared" si="58"/>
        <v>0</v>
      </c>
      <c r="G93" s="22">
        <f t="shared" si="58"/>
        <v>0</v>
      </c>
      <c r="H93" s="22">
        <f t="shared" si="58"/>
        <v>382.54</v>
      </c>
      <c r="I93" s="22">
        <f t="shared" si="58"/>
        <v>0</v>
      </c>
      <c r="J93" s="22">
        <f t="shared" si="58"/>
        <v>0</v>
      </c>
      <c r="K93" s="22">
        <f t="shared" si="58"/>
        <v>0</v>
      </c>
      <c r="L93" s="22">
        <f t="shared" si="58"/>
        <v>0</v>
      </c>
      <c r="M93" s="22">
        <f t="shared" si="58"/>
        <v>0</v>
      </c>
      <c r="N93" s="22">
        <f t="shared" si="58"/>
        <v>0</v>
      </c>
      <c r="O93" s="12">
        <f t="shared" si="52"/>
        <v>1320.65</v>
      </c>
      <c r="R93" s="2" t="s">
        <v>18</v>
      </c>
      <c r="S93" s="22">
        <v>1123651.81</v>
      </c>
      <c r="T93" s="22">
        <v>111675.43</v>
      </c>
      <c r="U93" s="22">
        <v>182828.88</v>
      </c>
      <c r="V93" s="22">
        <v>21904.37</v>
      </c>
      <c r="W93" s="22">
        <v>463546.36</v>
      </c>
      <c r="X93" s="22">
        <v>16298.720000000001</v>
      </c>
      <c r="Y93" s="22">
        <v>20211.57</v>
      </c>
      <c r="Z93" s="22">
        <v>3691.26</v>
      </c>
      <c r="AA93" s="22">
        <v>21271.010000000002</v>
      </c>
      <c r="AB93" s="22">
        <v>2179.48</v>
      </c>
      <c r="AC93" s="22">
        <v>568.55999999999995</v>
      </c>
      <c r="AD93" s="22">
        <v>0</v>
      </c>
      <c r="AE93" s="22">
        <v>2404.6799999999998</v>
      </c>
      <c r="AF93" s="22">
        <v>0</v>
      </c>
      <c r="AG93" s="22">
        <v>0</v>
      </c>
      <c r="AH93" s="12">
        <f t="shared" si="57"/>
        <v>1970232.1300000001</v>
      </c>
      <c r="AI93" s="129">
        <f t="shared" si="53"/>
        <v>1235842.5900000001</v>
      </c>
      <c r="AJ93" s="129">
        <f t="shared" si="54"/>
        <v>205156.01</v>
      </c>
      <c r="AK93" s="129">
        <f t="shared" si="55"/>
        <v>463546.36</v>
      </c>
      <c r="AL93" s="129">
        <f t="shared" si="56"/>
        <v>67007.819999999992</v>
      </c>
    </row>
    <row r="94" spans="1:38">
      <c r="A94" s="1" t="s">
        <v>138</v>
      </c>
      <c r="B94" s="22">
        <f t="shared" si="58"/>
        <v>0</v>
      </c>
      <c r="C94" s="22">
        <f t="shared" si="58"/>
        <v>273.14999999999998</v>
      </c>
      <c r="D94" s="22">
        <f t="shared" si="58"/>
        <v>0</v>
      </c>
      <c r="E94" s="22">
        <f t="shared" si="58"/>
        <v>0</v>
      </c>
      <c r="F94" s="22">
        <f t="shared" si="58"/>
        <v>0</v>
      </c>
      <c r="G94" s="22">
        <f t="shared" si="58"/>
        <v>0</v>
      </c>
      <c r="H94" s="22">
        <f t="shared" si="58"/>
        <v>109.5</v>
      </c>
      <c r="I94" s="22">
        <f t="shared" si="58"/>
        <v>0</v>
      </c>
      <c r="J94" s="22">
        <f t="shared" si="58"/>
        <v>0</v>
      </c>
      <c r="K94" s="22">
        <f t="shared" si="58"/>
        <v>0</v>
      </c>
      <c r="L94" s="22">
        <f t="shared" si="58"/>
        <v>0</v>
      </c>
      <c r="M94" s="22">
        <f t="shared" si="58"/>
        <v>0</v>
      </c>
      <c r="N94" s="22">
        <f t="shared" si="58"/>
        <v>0</v>
      </c>
      <c r="O94" s="12">
        <f t="shared" si="52"/>
        <v>382.65</v>
      </c>
      <c r="R94" s="2" t="s">
        <v>20</v>
      </c>
      <c r="S94" s="22">
        <v>145841.31</v>
      </c>
      <c r="T94" s="22">
        <v>25520.27</v>
      </c>
      <c r="U94" s="22">
        <v>11780</v>
      </c>
      <c r="V94" s="22">
        <v>4318.91</v>
      </c>
      <c r="W94" s="22">
        <v>54960.800000000003</v>
      </c>
      <c r="X94" s="22">
        <v>2084.7200000000003</v>
      </c>
      <c r="Y94" s="22">
        <v>5034.8799999999992</v>
      </c>
      <c r="Z94" s="22">
        <v>0</v>
      </c>
      <c r="AA94" s="22">
        <v>4651.7</v>
      </c>
      <c r="AB94" s="22"/>
      <c r="AC94" s="22">
        <v>0</v>
      </c>
      <c r="AD94" s="22">
        <v>0</v>
      </c>
      <c r="AE94" s="22">
        <v>248.76</v>
      </c>
      <c r="AF94" s="22">
        <v>0</v>
      </c>
      <c r="AG94" s="22">
        <v>0</v>
      </c>
      <c r="AH94" s="12">
        <f t="shared" si="57"/>
        <v>254441.35</v>
      </c>
      <c r="AI94" s="129">
        <f t="shared" si="53"/>
        <v>171634.72999999998</v>
      </c>
      <c r="AJ94" s="129">
        <f t="shared" si="54"/>
        <v>16098.91</v>
      </c>
      <c r="AK94" s="129">
        <f t="shared" si="55"/>
        <v>54960.800000000003</v>
      </c>
      <c r="AL94" s="129">
        <f t="shared" si="56"/>
        <v>12129.56</v>
      </c>
    </row>
    <row r="95" spans="1:38">
      <c r="A95" s="1" t="s">
        <v>139</v>
      </c>
      <c r="B95" s="22">
        <f t="shared" si="58"/>
        <v>0</v>
      </c>
      <c r="C95" s="22">
        <f t="shared" si="58"/>
        <v>461.4</v>
      </c>
      <c r="D95" s="22">
        <f t="shared" si="58"/>
        <v>0</v>
      </c>
      <c r="E95" s="22">
        <f t="shared" si="58"/>
        <v>0</v>
      </c>
      <c r="F95" s="22">
        <f t="shared" si="58"/>
        <v>0</v>
      </c>
      <c r="G95" s="22">
        <f t="shared" si="58"/>
        <v>0</v>
      </c>
      <c r="H95" s="22">
        <f t="shared" si="58"/>
        <v>187.02</v>
      </c>
      <c r="I95" s="22">
        <f t="shared" si="58"/>
        <v>0</v>
      </c>
      <c r="J95" s="22">
        <f t="shared" si="58"/>
        <v>0</v>
      </c>
      <c r="K95" s="22">
        <f t="shared" si="58"/>
        <v>0</v>
      </c>
      <c r="L95" s="22">
        <f t="shared" si="58"/>
        <v>0</v>
      </c>
      <c r="M95" s="22">
        <f t="shared" si="58"/>
        <v>0</v>
      </c>
      <c r="N95" s="22">
        <f t="shared" si="58"/>
        <v>0</v>
      </c>
      <c r="O95" s="12">
        <f t="shared" si="52"/>
        <v>648.41999999999996</v>
      </c>
      <c r="R95" s="2" t="s">
        <v>19</v>
      </c>
      <c r="S95" s="22">
        <v>1113590.1200000001</v>
      </c>
      <c r="T95" s="22">
        <v>126055.76999999999</v>
      </c>
      <c r="U95" s="22">
        <v>154692.45000000001</v>
      </c>
      <c r="V95" s="22">
        <v>29023.22</v>
      </c>
      <c r="W95" s="22">
        <v>740075.6</v>
      </c>
      <c r="X95" s="22">
        <v>7012.24</v>
      </c>
      <c r="Y95" s="22">
        <v>24627.67</v>
      </c>
      <c r="Z95" s="22">
        <v>1933.15</v>
      </c>
      <c r="AA95" s="22">
        <v>21433.16</v>
      </c>
      <c r="AB95" s="22">
        <v>1326.64</v>
      </c>
      <c r="AC95" s="22">
        <v>0</v>
      </c>
      <c r="AD95" s="22">
        <v>0</v>
      </c>
      <c r="AE95" s="22">
        <v>580.44000000000005</v>
      </c>
      <c r="AF95" s="22">
        <v>0</v>
      </c>
      <c r="AG95" s="22">
        <v>0</v>
      </c>
      <c r="AH95" s="12">
        <f t="shared" si="57"/>
        <v>2220350.4600000004</v>
      </c>
      <c r="AI95" s="129">
        <f t="shared" si="53"/>
        <v>1240107.29</v>
      </c>
      <c r="AJ95" s="129">
        <f t="shared" si="54"/>
        <v>183715.67</v>
      </c>
      <c r="AK95" s="129">
        <f t="shared" si="55"/>
        <v>740075.6</v>
      </c>
      <c r="AL95" s="129">
        <f t="shared" si="56"/>
        <v>57100.32</v>
      </c>
    </row>
    <row r="96" spans="1:38">
      <c r="A96" s="18" t="s">
        <v>140</v>
      </c>
      <c r="B96" s="22">
        <f t="shared" si="58"/>
        <v>0</v>
      </c>
      <c r="C96" s="22">
        <f t="shared" si="58"/>
        <v>0</v>
      </c>
      <c r="D96" s="22">
        <f t="shared" si="58"/>
        <v>0</v>
      </c>
      <c r="E96" s="22">
        <f t="shared" si="58"/>
        <v>0</v>
      </c>
      <c r="F96" s="22">
        <f t="shared" si="58"/>
        <v>0</v>
      </c>
      <c r="G96" s="22">
        <f t="shared" si="58"/>
        <v>0</v>
      </c>
      <c r="H96" s="22">
        <f t="shared" si="58"/>
        <v>0</v>
      </c>
      <c r="I96" s="22">
        <f t="shared" si="58"/>
        <v>0</v>
      </c>
      <c r="J96" s="22">
        <f t="shared" si="58"/>
        <v>0</v>
      </c>
      <c r="K96" s="22">
        <f t="shared" si="58"/>
        <v>0</v>
      </c>
      <c r="L96" s="22">
        <f t="shared" si="58"/>
        <v>0</v>
      </c>
      <c r="M96" s="22">
        <f t="shared" si="58"/>
        <v>0</v>
      </c>
      <c r="N96" s="22">
        <f t="shared" si="58"/>
        <v>0</v>
      </c>
      <c r="O96" s="12">
        <f t="shared" si="52"/>
        <v>0</v>
      </c>
      <c r="R96" s="2" t="s">
        <v>21</v>
      </c>
      <c r="S96" s="22">
        <v>48426.77</v>
      </c>
      <c r="T96" s="22">
        <v>5425.95</v>
      </c>
      <c r="U96" s="22">
        <v>7227.58</v>
      </c>
      <c r="V96" s="22">
        <v>1154.8399999999999</v>
      </c>
      <c r="W96" s="22">
        <v>54866.04</v>
      </c>
      <c r="X96" s="22">
        <v>663.32</v>
      </c>
      <c r="Y96" s="22">
        <v>459.59</v>
      </c>
      <c r="Z96" s="22">
        <v>0</v>
      </c>
      <c r="AA96" s="22">
        <v>1215.96</v>
      </c>
      <c r="AB96" s="22">
        <v>189.52</v>
      </c>
      <c r="AC96" s="22">
        <v>0</v>
      </c>
      <c r="AD96" s="22">
        <v>0</v>
      </c>
      <c r="AE96" s="22">
        <v>55.28</v>
      </c>
      <c r="AF96" s="22">
        <v>0</v>
      </c>
      <c r="AG96" s="22">
        <v>0</v>
      </c>
      <c r="AH96" s="12">
        <f t="shared" si="57"/>
        <v>119684.85</v>
      </c>
      <c r="AI96" s="129">
        <f t="shared" si="53"/>
        <v>53852.719999999994</v>
      </c>
      <c r="AJ96" s="129">
        <f t="shared" si="54"/>
        <v>8382.42</v>
      </c>
      <c r="AK96" s="129">
        <f t="shared" si="55"/>
        <v>54866.04</v>
      </c>
      <c r="AL96" s="129">
        <f t="shared" si="56"/>
        <v>2583.67</v>
      </c>
    </row>
    <row r="97" spans="1:38">
      <c r="A97" s="2" t="s">
        <v>141</v>
      </c>
      <c r="B97" s="22">
        <f t="shared" si="58"/>
        <v>0</v>
      </c>
      <c r="C97" s="22">
        <f t="shared" si="58"/>
        <v>0</v>
      </c>
      <c r="D97" s="22">
        <f t="shared" si="58"/>
        <v>0</v>
      </c>
      <c r="E97" s="22">
        <f t="shared" si="58"/>
        <v>0</v>
      </c>
      <c r="F97" s="22">
        <f t="shared" si="58"/>
        <v>0</v>
      </c>
      <c r="G97" s="22">
        <f t="shared" si="58"/>
        <v>0</v>
      </c>
      <c r="H97" s="22">
        <f t="shared" si="58"/>
        <v>0</v>
      </c>
      <c r="I97" s="22">
        <f t="shared" si="58"/>
        <v>0</v>
      </c>
      <c r="J97" s="22">
        <f t="shared" si="58"/>
        <v>0</v>
      </c>
      <c r="K97" s="22">
        <f t="shared" si="58"/>
        <v>0</v>
      </c>
      <c r="L97" s="22">
        <f t="shared" si="58"/>
        <v>0</v>
      </c>
      <c r="M97" s="22">
        <f t="shared" si="58"/>
        <v>0</v>
      </c>
      <c r="N97" s="22">
        <f t="shared" si="58"/>
        <v>0</v>
      </c>
      <c r="O97" s="12">
        <f t="shared" si="52"/>
        <v>0</v>
      </c>
      <c r="R97" s="2" t="s">
        <v>22</v>
      </c>
      <c r="S97" s="22">
        <v>11023.45</v>
      </c>
      <c r="T97" s="22">
        <v>353.15</v>
      </c>
      <c r="U97" s="22">
        <v>963.92</v>
      </c>
      <c r="V97" s="22">
        <v>84.8</v>
      </c>
      <c r="W97" s="22">
        <v>10802.64</v>
      </c>
      <c r="X97" s="22">
        <v>284.27999999999997</v>
      </c>
      <c r="Y97" s="22">
        <v>50.83</v>
      </c>
      <c r="Z97" s="22">
        <v>0</v>
      </c>
      <c r="AA97" s="22">
        <v>55.96</v>
      </c>
      <c r="AB97" s="22"/>
      <c r="AC97" s="22">
        <v>0</v>
      </c>
      <c r="AD97" s="22">
        <v>0</v>
      </c>
      <c r="AE97" s="22"/>
      <c r="AF97" s="22">
        <v>0</v>
      </c>
      <c r="AG97" s="22">
        <v>0</v>
      </c>
      <c r="AH97" s="12">
        <f t="shared" si="57"/>
        <v>23619.03</v>
      </c>
      <c r="AI97" s="129">
        <f t="shared" si="53"/>
        <v>11376.6</v>
      </c>
      <c r="AJ97" s="129">
        <f t="shared" si="54"/>
        <v>1048.72</v>
      </c>
      <c r="AK97" s="129">
        <f t="shared" si="55"/>
        <v>10802.64</v>
      </c>
      <c r="AL97" s="129">
        <f t="shared" si="56"/>
        <v>391.06999999999994</v>
      </c>
    </row>
    <row r="98" spans="1:38">
      <c r="A98" s="1" t="s">
        <v>142</v>
      </c>
      <c r="B98" s="22">
        <f t="shared" si="58"/>
        <v>0</v>
      </c>
      <c r="C98" s="22">
        <f t="shared" si="58"/>
        <v>0</v>
      </c>
      <c r="D98" s="22">
        <f t="shared" si="58"/>
        <v>0</v>
      </c>
      <c r="E98" s="22">
        <f t="shared" si="58"/>
        <v>0</v>
      </c>
      <c r="F98" s="22">
        <f t="shared" si="58"/>
        <v>0</v>
      </c>
      <c r="G98" s="22">
        <f t="shared" si="58"/>
        <v>0</v>
      </c>
      <c r="H98" s="22">
        <f t="shared" si="58"/>
        <v>0</v>
      </c>
      <c r="I98" s="22">
        <f t="shared" si="58"/>
        <v>0</v>
      </c>
      <c r="J98" s="22">
        <f t="shared" si="58"/>
        <v>0</v>
      </c>
      <c r="K98" s="22">
        <f t="shared" si="58"/>
        <v>0</v>
      </c>
      <c r="L98" s="22">
        <f t="shared" si="58"/>
        <v>0</v>
      </c>
      <c r="M98" s="22">
        <f t="shared" si="58"/>
        <v>0</v>
      </c>
      <c r="N98" s="22">
        <f t="shared" si="58"/>
        <v>0</v>
      </c>
      <c r="O98" s="12">
        <f t="shared" si="52"/>
        <v>0</v>
      </c>
      <c r="R98" s="2" t="s">
        <v>23</v>
      </c>
      <c r="S98" s="22">
        <v>760330.83</v>
      </c>
      <c r="T98" s="22">
        <v>56124.11</v>
      </c>
      <c r="U98" s="22">
        <v>107875.12</v>
      </c>
      <c r="V98" s="22">
        <v>10214.99</v>
      </c>
      <c r="W98" s="22">
        <v>420355.36</v>
      </c>
      <c r="X98" s="22">
        <v>3790.3999999999996</v>
      </c>
      <c r="Y98" s="22">
        <v>7482.52</v>
      </c>
      <c r="Z98" s="22">
        <v>0</v>
      </c>
      <c r="AA98" s="22">
        <v>9702.5399999999991</v>
      </c>
      <c r="AB98" s="22">
        <v>473.8</v>
      </c>
      <c r="AC98" s="22">
        <v>189.52</v>
      </c>
      <c r="AD98" s="22">
        <v>0</v>
      </c>
      <c r="AE98" s="22">
        <v>773.92</v>
      </c>
      <c r="AF98" s="22">
        <v>0</v>
      </c>
      <c r="AG98" s="22">
        <v>0</v>
      </c>
      <c r="AH98" s="12">
        <f t="shared" si="57"/>
        <v>1377313.1099999999</v>
      </c>
      <c r="AI98" s="129">
        <f t="shared" si="53"/>
        <v>816454.94</v>
      </c>
      <c r="AJ98" s="129">
        <f t="shared" si="54"/>
        <v>118090.11</v>
      </c>
      <c r="AK98" s="129">
        <f t="shared" si="55"/>
        <v>420355.36</v>
      </c>
      <c r="AL98" s="129">
        <f t="shared" si="56"/>
        <v>22412.699999999997</v>
      </c>
    </row>
    <row r="99" spans="1:38">
      <c r="A99" s="1" t="s">
        <v>143</v>
      </c>
      <c r="B99" s="22">
        <f t="shared" si="58"/>
        <v>0</v>
      </c>
      <c r="C99" s="22">
        <f t="shared" si="58"/>
        <v>1455.68</v>
      </c>
      <c r="D99" s="22">
        <f t="shared" si="58"/>
        <v>0</v>
      </c>
      <c r="E99" s="22">
        <f t="shared" si="58"/>
        <v>0</v>
      </c>
      <c r="F99" s="22">
        <f t="shared" si="58"/>
        <v>0</v>
      </c>
      <c r="G99" s="22">
        <f t="shared" si="58"/>
        <v>0</v>
      </c>
      <c r="H99" s="22">
        <f t="shared" si="58"/>
        <v>594.79000000000008</v>
      </c>
      <c r="I99" s="22">
        <f t="shared" si="58"/>
        <v>0</v>
      </c>
      <c r="J99" s="22">
        <f t="shared" si="58"/>
        <v>0</v>
      </c>
      <c r="K99" s="22">
        <f t="shared" si="58"/>
        <v>0</v>
      </c>
      <c r="L99" s="22">
        <f t="shared" si="58"/>
        <v>0</v>
      </c>
      <c r="M99" s="22">
        <f t="shared" si="58"/>
        <v>0</v>
      </c>
      <c r="N99" s="22">
        <f t="shared" si="58"/>
        <v>0</v>
      </c>
      <c r="O99" s="12">
        <f t="shared" si="52"/>
        <v>2050.4700000000003</v>
      </c>
      <c r="R99" s="2" t="s">
        <v>25</v>
      </c>
      <c r="S99" s="22">
        <v>3684385.84</v>
      </c>
      <c r="T99" s="22">
        <v>399729.68</v>
      </c>
      <c r="U99" s="22">
        <v>550940.01</v>
      </c>
      <c r="V99" s="22">
        <v>60388.52</v>
      </c>
      <c r="W99" s="22">
        <v>2434289.64</v>
      </c>
      <c r="X99" s="22">
        <v>19331.04</v>
      </c>
      <c r="Y99" s="22">
        <v>75672.469999999987</v>
      </c>
      <c r="Z99" s="22">
        <v>2618</v>
      </c>
      <c r="AA99" s="22">
        <v>64621.979999999996</v>
      </c>
      <c r="AB99" s="22">
        <v>4358.96</v>
      </c>
      <c r="AC99" s="22">
        <v>947.6</v>
      </c>
      <c r="AD99" s="22">
        <v>0</v>
      </c>
      <c r="AE99" s="22">
        <v>5141.04</v>
      </c>
      <c r="AF99" s="22">
        <v>426.65</v>
      </c>
      <c r="AG99" s="22">
        <v>4159.49</v>
      </c>
      <c r="AH99" s="12">
        <f t="shared" si="57"/>
        <v>7307010.9199999999</v>
      </c>
      <c r="AI99" s="129">
        <f t="shared" si="53"/>
        <v>4085571.2</v>
      </c>
      <c r="AJ99" s="129">
        <f t="shared" si="54"/>
        <v>611328.53</v>
      </c>
      <c r="AK99" s="129">
        <f t="shared" si="55"/>
        <v>2434289.64</v>
      </c>
      <c r="AL99" s="129">
        <f t="shared" si="56"/>
        <v>177872.02</v>
      </c>
    </row>
    <row r="100" spans="1:38">
      <c r="A100" s="1" t="s">
        <v>144</v>
      </c>
      <c r="B100" s="22">
        <f t="shared" si="58"/>
        <v>0</v>
      </c>
      <c r="C100" s="22">
        <f t="shared" si="58"/>
        <v>0</v>
      </c>
      <c r="D100" s="22">
        <f t="shared" si="58"/>
        <v>0</v>
      </c>
      <c r="E100" s="22">
        <f t="shared" si="58"/>
        <v>0</v>
      </c>
      <c r="F100" s="22">
        <f t="shared" si="58"/>
        <v>0</v>
      </c>
      <c r="G100" s="22">
        <f t="shared" si="58"/>
        <v>0</v>
      </c>
      <c r="H100" s="22">
        <f t="shared" si="58"/>
        <v>0</v>
      </c>
      <c r="I100" s="22">
        <f t="shared" si="58"/>
        <v>0</v>
      </c>
      <c r="J100" s="22">
        <f t="shared" si="58"/>
        <v>0</v>
      </c>
      <c r="K100" s="22">
        <f t="shared" si="58"/>
        <v>0</v>
      </c>
      <c r="L100" s="22">
        <f t="shared" si="58"/>
        <v>0</v>
      </c>
      <c r="M100" s="22">
        <f t="shared" si="58"/>
        <v>0</v>
      </c>
      <c r="N100" s="22">
        <f t="shared" si="58"/>
        <v>0</v>
      </c>
      <c r="O100" s="12">
        <f t="shared" si="52"/>
        <v>0</v>
      </c>
      <c r="R100" s="2" t="s">
        <v>24</v>
      </c>
      <c r="S100" s="22">
        <v>85711.94</v>
      </c>
      <c r="T100" s="22">
        <v>16829.830000000002</v>
      </c>
      <c r="U100" s="22">
        <v>9766.9500000000007</v>
      </c>
      <c r="V100" s="22">
        <v>595.24</v>
      </c>
      <c r="W100" s="22">
        <v>55150.32</v>
      </c>
      <c r="X100" s="22">
        <v>1326.64</v>
      </c>
      <c r="Y100" s="22">
        <v>1246.74</v>
      </c>
      <c r="Z100" s="22">
        <v>0</v>
      </c>
      <c r="AA100" s="22">
        <v>3242.96</v>
      </c>
      <c r="AB100" s="22"/>
      <c r="AC100" s="22">
        <v>0</v>
      </c>
      <c r="AD100" s="22">
        <v>0</v>
      </c>
      <c r="AE100" s="22">
        <v>55.28</v>
      </c>
      <c r="AF100" s="22">
        <v>0</v>
      </c>
      <c r="AG100" s="22">
        <v>0</v>
      </c>
      <c r="AH100" s="12">
        <f t="shared" si="57"/>
        <v>173925.9</v>
      </c>
      <c r="AI100" s="129">
        <f t="shared" si="53"/>
        <v>102541.77</v>
      </c>
      <c r="AJ100" s="129">
        <f t="shared" si="54"/>
        <v>10362.19</v>
      </c>
      <c r="AK100" s="129">
        <f t="shared" si="55"/>
        <v>55150.32</v>
      </c>
      <c r="AL100" s="129">
        <f t="shared" si="56"/>
        <v>5871.62</v>
      </c>
    </row>
    <row r="101" spans="1:38">
      <c r="A101" s="1" t="s">
        <v>145</v>
      </c>
      <c r="B101" s="22">
        <f t="shared" si="58"/>
        <v>0</v>
      </c>
      <c r="C101" s="22">
        <f t="shared" si="58"/>
        <v>0</v>
      </c>
      <c r="D101" s="22">
        <f t="shared" si="58"/>
        <v>0</v>
      </c>
      <c r="E101" s="22">
        <f t="shared" si="58"/>
        <v>0</v>
      </c>
      <c r="F101" s="22">
        <f t="shared" si="58"/>
        <v>0</v>
      </c>
      <c r="G101" s="22">
        <f t="shared" si="58"/>
        <v>0</v>
      </c>
      <c r="H101" s="22">
        <f t="shared" si="58"/>
        <v>0</v>
      </c>
      <c r="I101" s="22">
        <f t="shared" si="58"/>
        <v>0</v>
      </c>
      <c r="J101" s="22">
        <f t="shared" si="58"/>
        <v>0</v>
      </c>
      <c r="K101" s="22">
        <f t="shared" si="58"/>
        <v>0</v>
      </c>
      <c r="L101" s="22">
        <f t="shared" si="58"/>
        <v>0</v>
      </c>
      <c r="M101" s="22">
        <f t="shared" si="58"/>
        <v>0</v>
      </c>
      <c r="N101" s="22">
        <f t="shared" si="58"/>
        <v>0</v>
      </c>
      <c r="O101" s="12">
        <f t="shared" si="52"/>
        <v>0</v>
      </c>
      <c r="R101" s="2" t="s">
        <v>26</v>
      </c>
      <c r="S101" s="22">
        <v>35885.96</v>
      </c>
      <c r="T101" s="22">
        <v>6819.12</v>
      </c>
      <c r="U101" s="22">
        <v>4528.2</v>
      </c>
      <c r="V101" s="22">
        <v>504.53999999999996</v>
      </c>
      <c r="W101" s="22">
        <v>34587.4</v>
      </c>
      <c r="X101" s="22">
        <v>852.83999999999992</v>
      </c>
      <c r="Y101" s="22">
        <v>1975.58</v>
      </c>
      <c r="Z101" s="22">
        <v>552.78</v>
      </c>
      <c r="AA101" s="22">
        <v>784.41000000000008</v>
      </c>
      <c r="AB101" s="22">
        <v>189.52</v>
      </c>
      <c r="AC101" s="22">
        <v>0</v>
      </c>
      <c r="AD101" s="22">
        <v>0</v>
      </c>
      <c r="AE101" s="22">
        <v>55.28</v>
      </c>
      <c r="AF101" s="22">
        <v>0</v>
      </c>
      <c r="AG101" s="22">
        <v>0</v>
      </c>
      <c r="AH101" s="12">
        <f t="shared" si="57"/>
        <v>86735.63</v>
      </c>
      <c r="AI101" s="129">
        <f t="shared" si="53"/>
        <v>42705.08</v>
      </c>
      <c r="AJ101" s="129">
        <f t="shared" si="54"/>
        <v>5032.74</v>
      </c>
      <c r="AK101" s="129">
        <f t="shared" si="55"/>
        <v>34587.4</v>
      </c>
      <c r="AL101" s="129">
        <f t="shared" si="56"/>
        <v>4410.41</v>
      </c>
    </row>
    <row r="102" spans="1:38">
      <c r="A102" s="8" t="s">
        <v>37</v>
      </c>
      <c r="B102" s="16">
        <f t="shared" ref="B102:O102" si="59">SUM(B75:B101)</f>
        <v>0</v>
      </c>
      <c r="C102" s="16">
        <f t="shared" si="59"/>
        <v>3125.79</v>
      </c>
      <c r="D102" s="16">
        <f t="shared" si="59"/>
        <v>0</v>
      </c>
      <c r="E102" s="16">
        <f t="shared" si="59"/>
        <v>422.76</v>
      </c>
      <c r="F102" s="16">
        <f t="shared" si="59"/>
        <v>0</v>
      </c>
      <c r="G102" s="16">
        <f t="shared" si="59"/>
        <v>0</v>
      </c>
      <c r="H102" s="16">
        <f t="shared" si="59"/>
        <v>1437.73</v>
      </c>
      <c r="I102" s="16">
        <f t="shared" si="59"/>
        <v>0</v>
      </c>
      <c r="J102" s="16">
        <f t="shared" si="59"/>
        <v>0</v>
      </c>
      <c r="K102" s="16">
        <f t="shared" si="59"/>
        <v>0</v>
      </c>
      <c r="L102" s="16">
        <f t="shared" si="59"/>
        <v>0</v>
      </c>
      <c r="M102" s="16">
        <f t="shared" si="59"/>
        <v>0</v>
      </c>
      <c r="N102" s="16">
        <f t="shared" si="59"/>
        <v>0</v>
      </c>
      <c r="O102" s="7">
        <f t="shared" si="59"/>
        <v>4986.2800000000007</v>
      </c>
      <c r="R102" s="8" t="s">
        <v>37</v>
      </c>
      <c r="S102" s="7">
        <f t="shared" ref="S102:AH102" si="60">SUM(S75:S101)</f>
        <v>11393795.619999999</v>
      </c>
      <c r="T102" s="7">
        <f t="shared" si="60"/>
        <v>1320222.8600000001</v>
      </c>
      <c r="U102" s="7">
        <f t="shared" si="60"/>
        <v>1642924.7299999997</v>
      </c>
      <c r="V102" s="7">
        <f t="shared" si="60"/>
        <v>221063.35999999996</v>
      </c>
      <c r="W102" s="7">
        <f t="shared" si="60"/>
        <v>6734481.0600000005</v>
      </c>
      <c r="X102" s="7">
        <f t="shared" si="60"/>
        <v>104994.08</v>
      </c>
      <c r="Y102" s="7">
        <f t="shared" si="60"/>
        <v>237423.96999999994</v>
      </c>
      <c r="Z102" s="7">
        <f t="shared" si="60"/>
        <v>23161.599999999999</v>
      </c>
      <c r="AA102" s="7">
        <f t="shared" si="60"/>
        <v>220335.12</v>
      </c>
      <c r="AB102" s="7">
        <f t="shared" si="60"/>
        <v>17530.599999999999</v>
      </c>
      <c r="AC102" s="7">
        <f t="shared" si="60"/>
        <v>2084.7199999999998</v>
      </c>
      <c r="AD102" s="7">
        <f t="shared" si="60"/>
        <v>3736.46</v>
      </c>
      <c r="AE102" s="7">
        <f t="shared" si="60"/>
        <v>13598.880000000001</v>
      </c>
      <c r="AF102" s="7">
        <f t="shared" si="60"/>
        <v>477.9</v>
      </c>
      <c r="AG102" s="7">
        <f t="shared" si="60"/>
        <v>4159.49</v>
      </c>
      <c r="AH102" s="7">
        <f t="shared" si="60"/>
        <v>21939990.449999999</v>
      </c>
      <c r="AI102" s="129">
        <f t="shared" si="53"/>
        <v>12717144.269999998</v>
      </c>
      <c r="AJ102" s="129">
        <f t="shared" si="54"/>
        <v>1864410.8499999996</v>
      </c>
      <c r="AK102" s="129">
        <f t="shared" si="55"/>
        <v>6734481.0600000005</v>
      </c>
      <c r="AL102" s="129">
        <f t="shared" si="56"/>
        <v>628940.54999999981</v>
      </c>
    </row>
    <row r="103" spans="1:38">
      <c r="AH103" s="15" t="e">
        <f>AH102-#REF!</f>
        <v>#REF!</v>
      </c>
    </row>
    <row r="104" spans="1:38">
      <c r="O104" s="15" t="e">
        <f>O102-#REF!</f>
        <v>#REF!</v>
      </c>
    </row>
    <row r="105" spans="1:38" ht="46.5">
      <c r="K105" s="296" t="s">
        <v>49</v>
      </c>
      <c r="L105" s="297"/>
      <c r="M105" s="297"/>
      <c r="N105" s="297"/>
      <c r="O105" s="297"/>
      <c r="P105" s="297"/>
      <c r="Q105" s="297"/>
      <c r="R105" s="297"/>
      <c r="S105" s="297"/>
      <c r="T105" s="297"/>
      <c r="U105" s="297"/>
      <c r="V105" s="297"/>
      <c r="W105" s="297"/>
      <c r="X105" s="297"/>
      <c r="Y105" s="297"/>
      <c r="Z105" s="297"/>
      <c r="AA105" s="297"/>
    </row>
    <row r="106" spans="1:38">
      <c r="K106" s="290" t="s">
        <v>33</v>
      </c>
      <c r="L106" s="287" t="s">
        <v>27</v>
      </c>
      <c r="M106" s="288"/>
      <c r="N106" s="287" t="s">
        <v>29</v>
      </c>
      <c r="O106" s="288"/>
      <c r="P106" s="285" t="s">
        <v>28</v>
      </c>
      <c r="Q106" s="285" t="s">
        <v>36</v>
      </c>
      <c r="R106" s="285" t="s">
        <v>30</v>
      </c>
      <c r="S106" s="285" t="s">
        <v>31</v>
      </c>
      <c r="T106" s="285" t="s">
        <v>41</v>
      </c>
      <c r="U106" s="285" t="s">
        <v>35</v>
      </c>
      <c r="V106" s="285" t="s">
        <v>40</v>
      </c>
      <c r="W106" s="285" t="s">
        <v>42</v>
      </c>
      <c r="X106" s="285" t="s">
        <v>45</v>
      </c>
      <c r="Y106" s="287" t="s">
        <v>52</v>
      </c>
      <c r="Z106" s="288"/>
      <c r="AA106" s="285" t="s">
        <v>34</v>
      </c>
    </row>
    <row r="107" spans="1:38" ht="30">
      <c r="K107" s="291"/>
      <c r="L107" s="56" t="s">
        <v>43</v>
      </c>
      <c r="M107" s="56" t="s">
        <v>44</v>
      </c>
      <c r="N107" s="56" t="s">
        <v>43</v>
      </c>
      <c r="O107" s="56" t="s">
        <v>44</v>
      </c>
      <c r="P107" s="286"/>
      <c r="Q107" s="286"/>
      <c r="R107" s="286"/>
      <c r="S107" s="286"/>
      <c r="T107" s="286"/>
      <c r="U107" s="286"/>
      <c r="V107" s="286"/>
      <c r="W107" s="286"/>
      <c r="X107" s="286"/>
      <c r="Y107" s="55" t="s">
        <v>53</v>
      </c>
      <c r="Z107" s="55" t="s">
        <v>54</v>
      </c>
      <c r="AA107" s="286"/>
    </row>
    <row r="108" spans="1:38">
      <c r="K108" s="1" t="s">
        <v>119</v>
      </c>
      <c r="L108" s="22">
        <f>B75+S75</f>
        <v>21398.49</v>
      </c>
      <c r="M108" s="22">
        <f t="shared" ref="M108:X123" si="61">C75+T75</f>
        <v>2380.88</v>
      </c>
      <c r="N108" s="22">
        <f t="shared" si="61"/>
        <v>3012.66</v>
      </c>
      <c r="O108" s="22">
        <f t="shared" si="61"/>
        <v>266.89</v>
      </c>
      <c r="P108" s="22">
        <f t="shared" si="61"/>
        <v>13929.72</v>
      </c>
      <c r="Q108" s="22">
        <f t="shared" si="61"/>
        <v>379.03999999999996</v>
      </c>
      <c r="R108" s="22">
        <f t="shared" si="61"/>
        <v>367.1</v>
      </c>
      <c r="S108" s="22">
        <f t="shared" si="61"/>
        <v>0</v>
      </c>
      <c r="T108" s="22">
        <f t="shared" si="61"/>
        <v>326.26</v>
      </c>
      <c r="U108" s="22">
        <f t="shared" si="61"/>
        <v>0</v>
      </c>
      <c r="V108" s="22">
        <f t="shared" si="61"/>
        <v>0</v>
      </c>
      <c r="W108" s="22">
        <f t="shared" si="61"/>
        <v>0</v>
      </c>
      <c r="X108" s="22">
        <f t="shared" si="61"/>
        <v>0</v>
      </c>
      <c r="Y108" s="22">
        <f>AF75</f>
        <v>0</v>
      </c>
      <c r="Z108" s="22">
        <f>AG75</f>
        <v>0</v>
      </c>
      <c r="AA108" s="12">
        <f>SUM(L108:Z108)</f>
        <v>42061.04</v>
      </c>
    </row>
    <row r="109" spans="1:38">
      <c r="K109" s="1" t="s">
        <v>120</v>
      </c>
      <c r="L109" s="22">
        <f t="shared" ref="L109:X134" si="62">B76+S76</f>
        <v>117655.21</v>
      </c>
      <c r="M109" s="22">
        <f t="shared" si="61"/>
        <v>17107.48</v>
      </c>
      <c r="N109" s="22">
        <f t="shared" si="61"/>
        <v>7773.46</v>
      </c>
      <c r="O109" s="22">
        <f t="shared" si="61"/>
        <v>892.37</v>
      </c>
      <c r="P109" s="22">
        <f t="shared" si="61"/>
        <v>50222.8</v>
      </c>
      <c r="Q109" s="22">
        <f t="shared" si="61"/>
        <v>1137.1199999999999</v>
      </c>
      <c r="R109" s="22">
        <f t="shared" si="61"/>
        <v>2549.0000000000005</v>
      </c>
      <c r="S109" s="22">
        <f t="shared" si="61"/>
        <v>533.78</v>
      </c>
      <c r="T109" s="22">
        <f t="shared" si="61"/>
        <v>2345.6799999999998</v>
      </c>
      <c r="U109" s="22">
        <f t="shared" si="61"/>
        <v>0</v>
      </c>
      <c r="V109" s="22">
        <f t="shared" si="61"/>
        <v>0</v>
      </c>
      <c r="W109" s="22">
        <f t="shared" si="61"/>
        <v>0</v>
      </c>
      <c r="X109" s="22">
        <f t="shared" si="61"/>
        <v>110.56</v>
      </c>
      <c r="Y109" s="22">
        <f t="shared" ref="Y109:Z124" si="63">AF76</f>
        <v>0</v>
      </c>
      <c r="Z109" s="22">
        <f t="shared" si="63"/>
        <v>0</v>
      </c>
      <c r="AA109" s="12">
        <f t="shared" ref="AA109:AA134" si="64">SUM(L109:Z109)</f>
        <v>200327.46</v>
      </c>
    </row>
    <row r="110" spans="1:38">
      <c r="K110" s="18" t="s">
        <v>121</v>
      </c>
      <c r="L110" s="22">
        <f t="shared" si="62"/>
        <v>24059.14</v>
      </c>
      <c r="M110" s="22">
        <f t="shared" si="61"/>
        <v>6299.66</v>
      </c>
      <c r="N110" s="22">
        <f t="shared" si="61"/>
        <v>1354.32</v>
      </c>
      <c r="O110" s="22">
        <f t="shared" si="61"/>
        <v>434.99</v>
      </c>
      <c r="P110" s="22">
        <f t="shared" si="61"/>
        <v>22173.84</v>
      </c>
      <c r="Q110" s="22">
        <f t="shared" si="61"/>
        <v>3506.12</v>
      </c>
      <c r="R110" s="22">
        <f t="shared" si="61"/>
        <v>728.93999999999994</v>
      </c>
      <c r="S110" s="22">
        <f t="shared" si="61"/>
        <v>269.25</v>
      </c>
      <c r="T110" s="22">
        <f t="shared" si="61"/>
        <v>1068.83</v>
      </c>
      <c r="U110" s="22">
        <f t="shared" si="61"/>
        <v>189.52</v>
      </c>
      <c r="V110" s="22">
        <f t="shared" si="61"/>
        <v>0</v>
      </c>
      <c r="W110" s="22">
        <f t="shared" si="61"/>
        <v>0</v>
      </c>
      <c r="X110" s="22">
        <f t="shared" si="61"/>
        <v>0</v>
      </c>
      <c r="Y110" s="22">
        <f t="shared" si="63"/>
        <v>0</v>
      </c>
      <c r="Z110" s="22">
        <f t="shared" si="63"/>
        <v>0</v>
      </c>
      <c r="AA110" s="12">
        <f t="shared" si="64"/>
        <v>60084.61</v>
      </c>
    </row>
    <row r="111" spans="1:38">
      <c r="K111" s="2" t="s">
        <v>122</v>
      </c>
      <c r="L111" s="22">
        <f t="shared" si="62"/>
        <v>72528.63</v>
      </c>
      <c r="M111" s="22">
        <f t="shared" si="61"/>
        <v>30261.56</v>
      </c>
      <c r="N111" s="22">
        <f t="shared" si="61"/>
        <v>9798.06</v>
      </c>
      <c r="O111" s="22">
        <f t="shared" si="61"/>
        <v>1139.6400000000001</v>
      </c>
      <c r="P111" s="22">
        <f t="shared" si="61"/>
        <v>42642</v>
      </c>
      <c r="Q111" s="22">
        <f t="shared" si="61"/>
        <v>852.83999999999992</v>
      </c>
      <c r="R111" s="22">
        <f t="shared" si="61"/>
        <v>3871.1600000000003</v>
      </c>
      <c r="S111" s="22">
        <f t="shared" si="61"/>
        <v>0</v>
      </c>
      <c r="T111" s="22">
        <f t="shared" si="61"/>
        <v>4001.48</v>
      </c>
      <c r="U111" s="22">
        <f t="shared" si="61"/>
        <v>0</v>
      </c>
      <c r="V111" s="22">
        <f t="shared" si="61"/>
        <v>0</v>
      </c>
      <c r="W111" s="22">
        <f t="shared" si="61"/>
        <v>0</v>
      </c>
      <c r="X111" s="22">
        <f t="shared" si="61"/>
        <v>27.64</v>
      </c>
      <c r="Y111" s="22">
        <f t="shared" si="63"/>
        <v>32.92</v>
      </c>
      <c r="Z111" s="22">
        <f t="shared" si="63"/>
        <v>0</v>
      </c>
      <c r="AA111" s="12">
        <f t="shared" si="64"/>
        <v>165155.93000000005</v>
      </c>
    </row>
    <row r="112" spans="1:38">
      <c r="K112" s="1" t="s">
        <v>123</v>
      </c>
      <c r="L112" s="22">
        <f t="shared" si="62"/>
        <v>372462.15</v>
      </c>
      <c r="M112" s="22">
        <f t="shared" si="61"/>
        <v>36865.81</v>
      </c>
      <c r="N112" s="22">
        <f t="shared" si="61"/>
        <v>65301.72</v>
      </c>
      <c r="O112" s="22">
        <f t="shared" si="61"/>
        <v>4584.57</v>
      </c>
      <c r="P112" s="22">
        <f t="shared" si="61"/>
        <v>159860.12</v>
      </c>
      <c r="Q112" s="22">
        <f t="shared" si="61"/>
        <v>4832.76</v>
      </c>
      <c r="R112" s="22">
        <f t="shared" si="61"/>
        <v>6235.079999999999</v>
      </c>
      <c r="S112" s="22">
        <f t="shared" si="61"/>
        <v>0</v>
      </c>
      <c r="T112" s="22">
        <f t="shared" si="61"/>
        <v>6266.78</v>
      </c>
      <c r="U112" s="22">
        <f t="shared" si="61"/>
        <v>852.84</v>
      </c>
      <c r="V112" s="22">
        <f t="shared" si="61"/>
        <v>379.04</v>
      </c>
      <c r="W112" s="22">
        <f t="shared" si="61"/>
        <v>0</v>
      </c>
      <c r="X112" s="22">
        <f t="shared" si="61"/>
        <v>469.88</v>
      </c>
      <c r="Y112" s="22">
        <f t="shared" si="63"/>
        <v>0</v>
      </c>
      <c r="Z112" s="22">
        <f t="shared" si="63"/>
        <v>0</v>
      </c>
      <c r="AA112" s="12">
        <f t="shared" si="64"/>
        <v>658110.75000000012</v>
      </c>
    </row>
    <row r="113" spans="11:27">
      <c r="K113" s="1" t="s">
        <v>124</v>
      </c>
      <c r="L113" s="22">
        <f t="shared" si="62"/>
        <v>179906.05</v>
      </c>
      <c r="M113" s="22">
        <f t="shared" si="61"/>
        <v>17117.310000000001</v>
      </c>
      <c r="N113" s="22">
        <f t="shared" si="61"/>
        <v>20922.77</v>
      </c>
      <c r="O113" s="22">
        <f t="shared" si="61"/>
        <v>3050.89</v>
      </c>
      <c r="P113" s="22">
        <f t="shared" si="61"/>
        <v>73533.759999999995</v>
      </c>
      <c r="Q113" s="22">
        <f t="shared" si="61"/>
        <v>758.08</v>
      </c>
      <c r="R113" s="22">
        <f t="shared" si="61"/>
        <v>2974.1799999999994</v>
      </c>
      <c r="S113" s="22">
        <f t="shared" si="61"/>
        <v>4346.74</v>
      </c>
      <c r="T113" s="22">
        <f t="shared" si="61"/>
        <v>2534.4</v>
      </c>
      <c r="U113" s="22">
        <f t="shared" si="61"/>
        <v>1137.1199999999999</v>
      </c>
      <c r="V113" s="22">
        <f t="shared" si="61"/>
        <v>0</v>
      </c>
      <c r="W113" s="22">
        <f t="shared" si="61"/>
        <v>0</v>
      </c>
      <c r="X113" s="22">
        <f t="shared" si="61"/>
        <v>193.48</v>
      </c>
      <c r="Y113" s="22">
        <f t="shared" si="63"/>
        <v>0</v>
      </c>
      <c r="Z113" s="22">
        <f t="shared" si="63"/>
        <v>0</v>
      </c>
      <c r="AA113" s="12">
        <f t="shared" si="64"/>
        <v>306474.77999999997</v>
      </c>
    </row>
    <row r="114" spans="11:27">
      <c r="K114" s="1" t="s">
        <v>125</v>
      </c>
      <c r="L114" s="22">
        <f t="shared" si="62"/>
        <v>401923.05</v>
      </c>
      <c r="M114" s="22">
        <f t="shared" si="61"/>
        <v>43095.350000000006</v>
      </c>
      <c r="N114" s="22">
        <f t="shared" si="61"/>
        <v>40528</v>
      </c>
      <c r="O114" s="22">
        <f t="shared" si="61"/>
        <v>6786.46</v>
      </c>
      <c r="P114" s="22">
        <f t="shared" si="61"/>
        <v>100824.64</v>
      </c>
      <c r="Q114" s="22">
        <f t="shared" si="61"/>
        <v>4453.72</v>
      </c>
      <c r="R114" s="22">
        <f t="shared" si="61"/>
        <v>7935.9099999999989</v>
      </c>
      <c r="S114" s="22">
        <f t="shared" si="61"/>
        <v>0</v>
      </c>
      <c r="T114" s="22">
        <f t="shared" si="61"/>
        <v>7178.72</v>
      </c>
      <c r="U114" s="22">
        <f t="shared" si="61"/>
        <v>379.04</v>
      </c>
      <c r="V114" s="22">
        <f t="shared" si="61"/>
        <v>0</v>
      </c>
      <c r="W114" s="22">
        <f t="shared" si="61"/>
        <v>0</v>
      </c>
      <c r="X114" s="22">
        <f t="shared" si="61"/>
        <v>331.68</v>
      </c>
      <c r="Y114" s="22">
        <f t="shared" si="63"/>
        <v>0</v>
      </c>
      <c r="Z114" s="22">
        <f t="shared" si="63"/>
        <v>0</v>
      </c>
      <c r="AA114" s="12">
        <f t="shared" si="64"/>
        <v>613436.57000000007</v>
      </c>
    </row>
    <row r="115" spans="11:27">
      <c r="K115" s="1" t="s">
        <v>126</v>
      </c>
      <c r="L115" s="22">
        <f t="shared" si="62"/>
        <v>321038.12</v>
      </c>
      <c r="M115" s="22">
        <f t="shared" si="61"/>
        <v>34772.080000000002</v>
      </c>
      <c r="N115" s="22">
        <f t="shared" si="61"/>
        <v>39311.89</v>
      </c>
      <c r="O115" s="22">
        <f t="shared" si="61"/>
        <v>4473.16</v>
      </c>
      <c r="P115" s="22">
        <f t="shared" si="61"/>
        <v>115698.7</v>
      </c>
      <c r="Q115" s="22">
        <f t="shared" si="61"/>
        <v>1137.1200000000001</v>
      </c>
      <c r="R115" s="22">
        <f t="shared" si="61"/>
        <v>5249.1900000000005</v>
      </c>
      <c r="S115" s="22">
        <f t="shared" si="61"/>
        <v>812.39</v>
      </c>
      <c r="T115" s="22">
        <f t="shared" si="61"/>
        <v>5006.8</v>
      </c>
      <c r="U115" s="22">
        <f t="shared" si="61"/>
        <v>1137.1199999999999</v>
      </c>
      <c r="V115" s="22">
        <f t="shared" si="61"/>
        <v>0</v>
      </c>
      <c r="W115" s="22">
        <f t="shared" si="61"/>
        <v>0</v>
      </c>
      <c r="X115" s="22">
        <f t="shared" si="61"/>
        <v>138.19999999999999</v>
      </c>
      <c r="Y115" s="22">
        <f t="shared" si="63"/>
        <v>0</v>
      </c>
      <c r="Z115" s="22">
        <f t="shared" si="63"/>
        <v>0</v>
      </c>
      <c r="AA115" s="12">
        <f t="shared" si="64"/>
        <v>528774.77</v>
      </c>
    </row>
    <row r="116" spans="11:27">
      <c r="K116" s="1" t="s">
        <v>127</v>
      </c>
      <c r="L116" s="22">
        <f t="shared" si="62"/>
        <v>250110.59</v>
      </c>
      <c r="M116" s="22">
        <f t="shared" si="61"/>
        <v>35660.800000000003</v>
      </c>
      <c r="N116" s="22">
        <f t="shared" si="61"/>
        <v>37697.31</v>
      </c>
      <c r="O116" s="22">
        <f t="shared" si="61"/>
        <v>7274.69</v>
      </c>
      <c r="P116" s="22">
        <f t="shared" si="61"/>
        <v>188477.64</v>
      </c>
      <c r="Q116" s="22">
        <f t="shared" si="61"/>
        <v>6633.2000000000007</v>
      </c>
      <c r="R116" s="22">
        <f t="shared" si="61"/>
        <v>7394.6799999999985</v>
      </c>
      <c r="S116" s="22">
        <f t="shared" si="61"/>
        <v>213.51</v>
      </c>
      <c r="T116" s="22">
        <f t="shared" si="61"/>
        <v>7178.5400000000009</v>
      </c>
      <c r="U116" s="22">
        <f t="shared" si="61"/>
        <v>379.04</v>
      </c>
      <c r="V116" s="22">
        <f t="shared" si="61"/>
        <v>0</v>
      </c>
      <c r="W116" s="22">
        <f t="shared" si="61"/>
        <v>0</v>
      </c>
      <c r="X116" s="22">
        <f t="shared" si="61"/>
        <v>221.12</v>
      </c>
      <c r="Y116" s="22">
        <f t="shared" si="63"/>
        <v>0</v>
      </c>
      <c r="Z116" s="22">
        <f t="shared" si="63"/>
        <v>0</v>
      </c>
      <c r="AA116" s="12">
        <f t="shared" si="64"/>
        <v>541241.12000000011</v>
      </c>
    </row>
    <row r="117" spans="11:27">
      <c r="K117" s="2" t="s">
        <v>128</v>
      </c>
      <c r="L117" s="22">
        <f t="shared" si="62"/>
        <v>77073.929999999993</v>
      </c>
      <c r="M117" s="22">
        <f t="shared" si="61"/>
        <v>11796.63</v>
      </c>
      <c r="N117" s="22">
        <f t="shared" si="61"/>
        <v>11306.66</v>
      </c>
      <c r="O117" s="22">
        <f t="shared" si="61"/>
        <v>955.81</v>
      </c>
      <c r="P117" s="22">
        <f t="shared" si="61"/>
        <v>35819.279999999999</v>
      </c>
      <c r="Q117" s="22">
        <f t="shared" si="61"/>
        <v>947.59999999999991</v>
      </c>
      <c r="R117" s="22">
        <f t="shared" si="61"/>
        <v>2264.8199999999997</v>
      </c>
      <c r="S117" s="22">
        <f t="shared" si="61"/>
        <v>284.27999999999997</v>
      </c>
      <c r="T117" s="22">
        <f t="shared" si="61"/>
        <v>1246.1099999999999</v>
      </c>
      <c r="U117" s="22">
        <f t="shared" si="61"/>
        <v>189.52</v>
      </c>
      <c r="V117" s="22">
        <f t="shared" si="61"/>
        <v>0</v>
      </c>
      <c r="W117" s="22">
        <f t="shared" si="61"/>
        <v>0</v>
      </c>
      <c r="X117" s="22">
        <f t="shared" si="61"/>
        <v>110.56</v>
      </c>
      <c r="Y117" s="22">
        <f t="shared" si="63"/>
        <v>0</v>
      </c>
      <c r="Z117" s="22">
        <f t="shared" si="63"/>
        <v>0</v>
      </c>
      <c r="AA117" s="12">
        <f t="shared" si="64"/>
        <v>141995.19999999998</v>
      </c>
    </row>
    <row r="118" spans="11:27">
      <c r="K118" s="18" t="s">
        <v>129</v>
      </c>
      <c r="L118" s="22">
        <f t="shared" si="62"/>
        <v>161539.23000000001</v>
      </c>
      <c r="M118" s="22">
        <f t="shared" si="61"/>
        <v>23009.629999999997</v>
      </c>
      <c r="N118" s="22">
        <f t="shared" si="61"/>
        <v>19986.55</v>
      </c>
      <c r="O118" s="22">
        <f t="shared" si="61"/>
        <v>2279.0700000000002</v>
      </c>
      <c r="P118" s="22">
        <f t="shared" si="61"/>
        <v>205818.72</v>
      </c>
      <c r="Q118" s="22">
        <f t="shared" si="61"/>
        <v>1989.96</v>
      </c>
      <c r="R118" s="22">
        <f t="shared" si="61"/>
        <v>1979.7700000000002</v>
      </c>
      <c r="S118" s="22">
        <f t="shared" si="61"/>
        <v>1047.2</v>
      </c>
      <c r="T118" s="22">
        <f t="shared" si="61"/>
        <v>4200.6900000000005</v>
      </c>
      <c r="U118" s="22">
        <f t="shared" si="61"/>
        <v>94.76</v>
      </c>
      <c r="V118" s="22">
        <f t="shared" si="61"/>
        <v>0</v>
      </c>
      <c r="W118" s="22">
        <f t="shared" si="61"/>
        <v>3736.46</v>
      </c>
      <c r="X118" s="22">
        <f t="shared" si="61"/>
        <v>193.48</v>
      </c>
      <c r="Y118" s="22">
        <f t="shared" si="63"/>
        <v>0</v>
      </c>
      <c r="Z118" s="22">
        <f t="shared" si="63"/>
        <v>0</v>
      </c>
      <c r="AA118" s="12">
        <f t="shared" si="64"/>
        <v>425875.52000000008</v>
      </c>
    </row>
    <row r="119" spans="11:27">
      <c r="K119" s="1" t="s">
        <v>130</v>
      </c>
      <c r="L119" s="22">
        <f t="shared" si="62"/>
        <v>157480.28</v>
      </c>
      <c r="M119" s="22">
        <f t="shared" si="61"/>
        <v>22527.030000000002</v>
      </c>
      <c r="N119" s="22">
        <f t="shared" si="61"/>
        <v>26574.97</v>
      </c>
      <c r="O119" s="22">
        <f t="shared" si="61"/>
        <v>2778.57</v>
      </c>
      <c r="P119" s="22">
        <f t="shared" si="61"/>
        <v>170473.24</v>
      </c>
      <c r="Q119" s="22">
        <f t="shared" si="61"/>
        <v>2179.48</v>
      </c>
      <c r="R119" s="22">
        <f t="shared" si="61"/>
        <v>4924.7900000000009</v>
      </c>
      <c r="S119" s="22">
        <f t="shared" si="61"/>
        <v>1217.8900000000001</v>
      </c>
      <c r="T119" s="22">
        <f t="shared" si="61"/>
        <v>3019.6</v>
      </c>
      <c r="U119" s="22">
        <f t="shared" si="61"/>
        <v>473.8</v>
      </c>
      <c r="V119" s="22">
        <f t="shared" si="61"/>
        <v>0</v>
      </c>
      <c r="W119" s="22">
        <f t="shared" si="61"/>
        <v>0</v>
      </c>
      <c r="X119" s="22">
        <f t="shared" si="61"/>
        <v>165.84</v>
      </c>
      <c r="Y119" s="22">
        <f t="shared" si="63"/>
        <v>18.329999999999998</v>
      </c>
      <c r="Z119" s="22">
        <f t="shared" si="63"/>
        <v>0</v>
      </c>
      <c r="AA119" s="12">
        <f t="shared" si="64"/>
        <v>391833.81999999995</v>
      </c>
    </row>
    <row r="120" spans="11:27">
      <c r="K120" s="1" t="s">
        <v>131</v>
      </c>
      <c r="L120" s="22">
        <f t="shared" si="62"/>
        <v>844382.19</v>
      </c>
      <c r="M120" s="22">
        <f t="shared" si="61"/>
        <v>122638.69999999998</v>
      </c>
      <c r="N120" s="22">
        <f t="shared" si="61"/>
        <v>119100</v>
      </c>
      <c r="O120" s="22">
        <f t="shared" si="61"/>
        <v>24241.79</v>
      </c>
      <c r="P120" s="22">
        <f t="shared" si="61"/>
        <v>387284.12</v>
      </c>
      <c r="Q120" s="22">
        <f t="shared" si="61"/>
        <v>7012.24</v>
      </c>
      <c r="R120" s="22">
        <f t="shared" si="61"/>
        <v>30132.89</v>
      </c>
      <c r="S120" s="22">
        <f t="shared" si="61"/>
        <v>0</v>
      </c>
      <c r="T120" s="22">
        <f t="shared" si="61"/>
        <v>17190.170000000002</v>
      </c>
      <c r="U120" s="22">
        <f t="shared" si="61"/>
        <v>1895.2</v>
      </c>
      <c r="V120" s="22">
        <f t="shared" si="61"/>
        <v>0</v>
      </c>
      <c r="W120" s="22">
        <f t="shared" si="61"/>
        <v>0</v>
      </c>
      <c r="X120" s="22">
        <f t="shared" si="61"/>
        <v>1050.32</v>
      </c>
      <c r="Y120" s="22">
        <f t="shared" si="63"/>
        <v>0</v>
      </c>
      <c r="Z120" s="22">
        <f t="shared" si="63"/>
        <v>0</v>
      </c>
      <c r="AA120" s="12">
        <f t="shared" si="64"/>
        <v>1554927.6199999996</v>
      </c>
    </row>
    <row r="121" spans="11:27">
      <c r="K121" s="1" t="s">
        <v>132</v>
      </c>
      <c r="L121" s="22">
        <f t="shared" si="62"/>
        <v>126937.35</v>
      </c>
      <c r="M121" s="22">
        <f t="shared" si="61"/>
        <v>23743.439999999999</v>
      </c>
      <c r="N121" s="22">
        <f t="shared" si="61"/>
        <v>7713.64</v>
      </c>
      <c r="O121" s="22">
        <f t="shared" si="61"/>
        <v>4918.18</v>
      </c>
      <c r="P121" s="22">
        <f t="shared" si="61"/>
        <v>58751.199999999997</v>
      </c>
      <c r="Q121" s="22">
        <f t="shared" si="61"/>
        <v>3695.64</v>
      </c>
      <c r="R121" s="22">
        <f t="shared" si="61"/>
        <v>4348.0600000000004</v>
      </c>
      <c r="S121" s="22">
        <f t="shared" si="61"/>
        <v>0</v>
      </c>
      <c r="T121" s="22">
        <f t="shared" si="61"/>
        <v>3466.68</v>
      </c>
      <c r="U121" s="22">
        <f t="shared" si="61"/>
        <v>0</v>
      </c>
      <c r="V121" s="22">
        <f t="shared" si="61"/>
        <v>0</v>
      </c>
      <c r="W121" s="22">
        <f t="shared" si="61"/>
        <v>0</v>
      </c>
      <c r="X121" s="22">
        <f t="shared" si="61"/>
        <v>193.48</v>
      </c>
      <c r="Y121" s="22">
        <f t="shared" si="63"/>
        <v>0</v>
      </c>
      <c r="Z121" s="22">
        <f t="shared" si="63"/>
        <v>0</v>
      </c>
      <c r="AA121" s="12">
        <f t="shared" si="64"/>
        <v>233767.67</v>
      </c>
    </row>
    <row r="122" spans="11:27">
      <c r="K122" s="1" t="s">
        <v>133</v>
      </c>
      <c r="L122" s="22">
        <f t="shared" si="62"/>
        <v>133836.14000000001</v>
      </c>
      <c r="M122" s="22">
        <f t="shared" si="61"/>
        <v>18166.02</v>
      </c>
      <c r="N122" s="22">
        <f t="shared" si="61"/>
        <v>14531.2</v>
      </c>
      <c r="O122" s="22">
        <f t="shared" si="61"/>
        <v>4140.79</v>
      </c>
      <c r="P122" s="22">
        <f t="shared" si="61"/>
        <v>77794.7</v>
      </c>
      <c r="Q122" s="22">
        <f t="shared" si="61"/>
        <v>758.07999999999993</v>
      </c>
      <c r="R122" s="22">
        <f t="shared" si="61"/>
        <v>3570.2599999999998</v>
      </c>
      <c r="S122" s="22">
        <f t="shared" si="61"/>
        <v>0</v>
      </c>
      <c r="T122" s="22">
        <f t="shared" si="61"/>
        <v>3236.49</v>
      </c>
      <c r="U122" s="22">
        <f t="shared" si="61"/>
        <v>0</v>
      </c>
      <c r="V122" s="22">
        <f t="shared" si="61"/>
        <v>0</v>
      </c>
      <c r="W122" s="22">
        <f t="shared" si="61"/>
        <v>0</v>
      </c>
      <c r="X122" s="22">
        <f t="shared" si="61"/>
        <v>193.48</v>
      </c>
      <c r="Y122" s="22">
        <f t="shared" si="63"/>
        <v>0</v>
      </c>
      <c r="Z122" s="22">
        <f t="shared" si="63"/>
        <v>0</v>
      </c>
      <c r="AA122" s="12">
        <f t="shared" si="64"/>
        <v>256227.16000000003</v>
      </c>
    </row>
    <row r="123" spans="11:27">
      <c r="K123" s="18" t="s">
        <v>134</v>
      </c>
      <c r="L123" s="22">
        <f t="shared" si="62"/>
        <v>750439.74</v>
      </c>
      <c r="M123" s="22">
        <f t="shared" si="61"/>
        <v>73177.16</v>
      </c>
      <c r="N123" s="22">
        <f t="shared" si="61"/>
        <v>140810.76</v>
      </c>
      <c r="O123" s="22">
        <f t="shared" si="61"/>
        <v>17504.55</v>
      </c>
      <c r="P123" s="22">
        <f t="shared" si="61"/>
        <v>587417.24</v>
      </c>
      <c r="Q123" s="22">
        <f t="shared" si="61"/>
        <v>8433.64</v>
      </c>
      <c r="R123" s="22">
        <f t="shared" si="61"/>
        <v>9467.8599999999988</v>
      </c>
      <c r="S123" s="22">
        <f t="shared" si="61"/>
        <v>0</v>
      </c>
      <c r="T123" s="22">
        <f t="shared" si="61"/>
        <v>14479.380000000001</v>
      </c>
      <c r="U123" s="22">
        <f t="shared" si="61"/>
        <v>1516.16</v>
      </c>
      <c r="V123" s="22">
        <f t="shared" si="61"/>
        <v>0</v>
      </c>
      <c r="W123" s="22">
        <f t="shared" si="61"/>
        <v>0</v>
      </c>
      <c r="X123" s="22">
        <f t="shared" si="61"/>
        <v>469.88</v>
      </c>
      <c r="Y123" s="22">
        <f t="shared" si="63"/>
        <v>0</v>
      </c>
      <c r="Z123" s="22">
        <f t="shared" si="63"/>
        <v>0</v>
      </c>
      <c r="AA123" s="12">
        <f t="shared" si="64"/>
        <v>1603716.3699999999</v>
      </c>
    </row>
    <row r="124" spans="11:27">
      <c r="K124" s="1" t="s">
        <v>135</v>
      </c>
      <c r="L124" s="22">
        <f t="shared" si="62"/>
        <v>300461.8</v>
      </c>
      <c r="M124" s="22">
        <f t="shared" si="62"/>
        <v>48384.34</v>
      </c>
      <c r="N124" s="22">
        <f t="shared" si="62"/>
        <v>36829.03</v>
      </c>
      <c r="O124" s="22">
        <f t="shared" si="62"/>
        <v>6982.89</v>
      </c>
      <c r="P124" s="22">
        <f t="shared" si="62"/>
        <v>145456.6</v>
      </c>
      <c r="Q124" s="22">
        <f t="shared" si="62"/>
        <v>2274.2400000000002</v>
      </c>
      <c r="R124" s="22">
        <f t="shared" si="62"/>
        <v>6260.62</v>
      </c>
      <c r="S124" s="22">
        <f t="shared" si="62"/>
        <v>4817.87</v>
      </c>
      <c r="T124" s="22">
        <f t="shared" si="62"/>
        <v>9629.4399999999987</v>
      </c>
      <c r="U124" s="22">
        <f t="shared" si="62"/>
        <v>473.8</v>
      </c>
      <c r="V124" s="22">
        <f t="shared" si="62"/>
        <v>0</v>
      </c>
      <c r="W124" s="22">
        <f t="shared" si="62"/>
        <v>0</v>
      </c>
      <c r="X124" s="22">
        <f t="shared" si="62"/>
        <v>359.32</v>
      </c>
      <c r="Y124" s="22">
        <f t="shared" si="63"/>
        <v>0</v>
      </c>
      <c r="Z124" s="22">
        <f t="shared" si="63"/>
        <v>0</v>
      </c>
      <c r="AA124" s="12">
        <f t="shared" si="64"/>
        <v>561929.94999999995</v>
      </c>
    </row>
    <row r="125" spans="11:27">
      <c r="K125" s="1" t="s">
        <v>136</v>
      </c>
      <c r="L125" s="22">
        <f t="shared" si="62"/>
        <v>71715.5</v>
      </c>
      <c r="M125" s="22">
        <f t="shared" si="62"/>
        <v>5105.88</v>
      </c>
      <c r="N125" s="22">
        <f t="shared" si="62"/>
        <v>9768.6200000000008</v>
      </c>
      <c r="O125" s="22">
        <f t="shared" si="62"/>
        <v>168.62</v>
      </c>
      <c r="P125" s="22">
        <f t="shared" si="62"/>
        <v>29668.58</v>
      </c>
      <c r="Q125" s="22">
        <f t="shared" si="62"/>
        <v>2369</v>
      </c>
      <c r="R125" s="22">
        <f t="shared" si="62"/>
        <v>571.69000000000005</v>
      </c>
      <c r="S125" s="22">
        <f t="shared" si="62"/>
        <v>823.5</v>
      </c>
      <c r="T125" s="22">
        <f t="shared" si="62"/>
        <v>979.39</v>
      </c>
      <c r="U125" s="22">
        <f t="shared" si="62"/>
        <v>94.76</v>
      </c>
      <c r="V125" s="22">
        <f t="shared" si="62"/>
        <v>0</v>
      </c>
      <c r="W125" s="22">
        <f t="shared" si="62"/>
        <v>0</v>
      </c>
      <c r="X125" s="22">
        <f t="shared" si="62"/>
        <v>55.28</v>
      </c>
      <c r="Y125" s="22">
        <f t="shared" ref="Y125:Z134" si="65">AF92</f>
        <v>0</v>
      </c>
      <c r="Z125" s="22">
        <f t="shared" si="65"/>
        <v>0</v>
      </c>
      <c r="AA125" s="12">
        <f t="shared" si="64"/>
        <v>121320.81999999999</v>
      </c>
    </row>
    <row r="126" spans="11:27">
      <c r="K126" s="1" t="s">
        <v>137</v>
      </c>
      <c r="L126" s="22">
        <f t="shared" si="62"/>
        <v>1123651.81</v>
      </c>
      <c r="M126" s="22">
        <f t="shared" si="62"/>
        <v>112190.78</v>
      </c>
      <c r="N126" s="22">
        <f t="shared" si="62"/>
        <v>182828.88</v>
      </c>
      <c r="O126" s="22">
        <f t="shared" si="62"/>
        <v>22327.129999999997</v>
      </c>
      <c r="P126" s="22">
        <f t="shared" si="62"/>
        <v>463546.36</v>
      </c>
      <c r="Q126" s="22">
        <f t="shared" si="62"/>
        <v>16298.720000000001</v>
      </c>
      <c r="R126" s="22">
        <f t="shared" si="62"/>
        <v>20594.11</v>
      </c>
      <c r="S126" s="22">
        <f t="shared" si="62"/>
        <v>3691.26</v>
      </c>
      <c r="T126" s="22">
        <f t="shared" si="62"/>
        <v>21271.010000000002</v>
      </c>
      <c r="U126" s="22">
        <f t="shared" si="62"/>
        <v>2179.48</v>
      </c>
      <c r="V126" s="22">
        <f t="shared" si="62"/>
        <v>568.55999999999995</v>
      </c>
      <c r="W126" s="22">
        <f t="shared" si="62"/>
        <v>0</v>
      </c>
      <c r="X126" s="22">
        <f t="shared" si="62"/>
        <v>2404.6799999999998</v>
      </c>
      <c r="Y126" s="22">
        <f t="shared" si="65"/>
        <v>0</v>
      </c>
      <c r="Z126" s="22">
        <f t="shared" si="65"/>
        <v>0</v>
      </c>
      <c r="AA126" s="12">
        <f t="shared" si="64"/>
        <v>1971552.78</v>
      </c>
    </row>
    <row r="127" spans="11:27">
      <c r="K127" s="1" t="s">
        <v>138</v>
      </c>
      <c r="L127" s="22">
        <f t="shared" si="62"/>
        <v>145841.31</v>
      </c>
      <c r="M127" s="22">
        <f t="shared" si="62"/>
        <v>25793.420000000002</v>
      </c>
      <c r="N127" s="22">
        <f t="shared" si="62"/>
        <v>11780</v>
      </c>
      <c r="O127" s="22">
        <f t="shared" si="62"/>
        <v>4318.91</v>
      </c>
      <c r="P127" s="22">
        <f t="shared" si="62"/>
        <v>54960.800000000003</v>
      </c>
      <c r="Q127" s="22">
        <f t="shared" si="62"/>
        <v>2084.7200000000003</v>
      </c>
      <c r="R127" s="22">
        <f t="shared" si="62"/>
        <v>5144.3799999999992</v>
      </c>
      <c r="S127" s="22">
        <f t="shared" si="62"/>
        <v>0</v>
      </c>
      <c r="T127" s="22">
        <f t="shared" si="62"/>
        <v>4651.7</v>
      </c>
      <c r="U127" s="22">
        <f t="shared" si="62"/>
        <v>0</v>
      </c>
      <c r="V127" s="22">
        <f t="shared" si="62"/>
        <v>0</v>
      </c>
      <c r="W127" s="22">
        <f t="shared" si="62"/>
        <v>0</v>
      </c>
      <c r="X127" s="22">
        <f t="shared" si="62"/>
        <v>248.76</v>
      </c>
      <c r="Y127" s="22">
        <f t="shared" si="65"/>
        <v>0</v>
      </c>
      <c r="Z127" s="22">
        <f t="shared" si="65"/>
        <v>0</v>
      </c>
      <c r="AA127" s="12">
        <f t="shared" si="64"/>
        <v>254824.00000000003</v>
      </c>
    </row>
    <row r="128" spans="11:27">
      <c r="K128" s="1" t="s">
        <v>139</v>
      </c>
      <c r="L128" s="22">
        <f t="shared" si="62"/>
        <v>1113590.1200000001</v>
      </c>
      <c r="M128" s="22">
        <f t="shared" si="62"/>
        <v>126517.16999999998</v>
      </c>
      <c r="N128" s="22">
        <f t="shared" si="62"/>
        <v>154692.45000000001</v>
      </c>
      <c r="O128" s="22">
        <f t="shared" si="62"/>
        <v>29023.22</v>
      </c>
      <c r="P128" s="22">
        <f t="shared" si="62"/>
        <v>740075.6</v>
      </c>
      <c r="Q128" s="22">
        <f t="shared" si="62"/>
        <v>7012.24</v>
      </c>
      <c r="R128" s="22">
        <f t="shared" si="62"/>
        <v>24814.69</v>
      </c>
      <c r="S128" s="22">
        <f t="shared" si="62"/>
        <v>1933.15</v>
      </c>
      <c r="T128" s="22">
        <f t="shared" si="62"/>
        <v>21433.16</v>
      </c>
      <c r="U128" s="22">
        <f t="shared" si="62"/>
        <v>1326.64</v>
      </c>
      <c r="V128" s="22">
        <f t="shared" si="62"/>
        <v>0</v>
      </c>
      <c r="W128" s="22">
        <f t="shared" si="62"/>
        <v>0</v>
      </c>
      <c r="X128" s="22">
        <f t="shared" si="62"/>
        <v>580.44000000000005</v>
      </c>
      <c r="Y128" s="22">
        <f t="shared" si="65"/>
        <v>0</v>
      </c>
      <c r="Z128" s="22">
        <f t="shared" si="65"/>
        <v>0</v>
      </c>
      <c r="AA128" s="12">
        <f t="shared" si="64"/>
        <v>2220998.8800000004</v>
      </c>
    </row>
    <row r="129" spans="11:27">
      <c r="K129" s="18" t="s">
        <v>140</v>
      </c>
      <c r="L129" s="22">
        <f t="shared" si="62"/>
        <v>48426.77</v>
      </c>
      <c r="M129" s="22">
        <f t="shared" si="62"/>
        <v>5425.95</v>
      </c>
      <c r="N129" s="22">
        <f t="shared" si="62"/>
        <v>7227.58</v>
      </c>
      <c r="O129" s="22">
        <f t="shared" si="62"/>
        <v>1154.8399999999999</v>
      </c>
      <c r="P129" s="22">
        <f t="shared" si="62"/>
        <v>54866.04</v>
      </c>
      <c r="Q129" s="22">
        <f t="shared" si="62"/>
        <v>663.32</v>
      </c>
      <c r="R129" s="22">
        <f t="shared" si="62"/>
        <v>459.59</v>
      </c>
      <c r="S129" s="22">
        <f t="shared" si="62"/>
        <v>0</v>
      </c>
      <c r="T129" s="22">
        <f t="shared" si="62"/>
        <v>1215.96</v>
      </c>
      <c r="U129" s="22">
        <f t="shared" si="62"/>
        <v>189.52</v>
      </c>
      <c r="V129" s="22">
        <f t="shared" si="62"/>
        <v>0</v>
      </c>
      <c r="W129" s="22">
        <f t="shared" si="62"/>
        <v>0</v>
      </c>
      <c r="X129" s="22">
        <f t="shared" si="62"/>
        <v>55.28</v>
      </c>
      <c r="Y129" s="22">
        <f t="shared" si="65"/>
        <v>0</v>
      </c>
      <c r="Z129" s="22">
        <f t="shared" si="65"/>
        <v>0</v>
      </c>
      <c r="AA129" s="12">
        <f t="shared" si="64"/>
        <v>119684.85</v>
      </c>
    </row>
    <row r="130" spans="11:27">
      <c r="K130" s="2" t="s">
        <v>141</v>
      </c>
      <c r="L130" s="22">
        <f t="shared" si="62"/>
        <v>11023.45</v>
      </c>
      <c r="M130" s="22">
        <f t="shared" si="62"/>
        <v>353.15</v>
      </c>
      <c r="N130" s="22">
        <f t="shared" si="62"/>
        <v>963.92</v>
      </c>
      <c r="O130" s="22">
        <f t="shared" si="62"/>
        <v>84.8</v>
      </c>
      <c r="P130" s="22">
        <f t="shared" si="62"/>
        <v>10802.64</v>
      </c>
      <c r="Q130" s="22">
        <f t="shared" si="62"/>
        <v>284.27999999999997</v>
      </c>
      <c r="R130" s="22">
        <f t="shared" si="62"/>
        <v>50.83</v>
      </c>
      <c r="S130" s="22">
        <f t="shared" si="62"/>
        <v>0</v>
      </c>
      <c r="T130" s="22">
        <f t="shared" si="62"/>
        <v>55.96</v>
      </c>
      <c r="U130" s="22">
        <f t="shared" si="62"/>
        <v>0</v>
      </c>
      <c r="V130" s="22">
        <f t="shared" si="62"/>
        <v>0</v>
      </c>
      <c r="W130" s="22">
        <f t="shared" si="62"/>
        <v>0</v>
      </c>
      <c r="X130" s="22">
        <f t="shared" si="62"/>
        <v>0</v>
      </c>
      <c r="Y130" s="22">
        <f t="shared" si="65"/>
        <v>0</v>
      </c>
      <c r="Z130" s="22">
        <f t="shared" si="65"/>
        <v>0</v>
      </c>
      <c r="AA130" s="12">
        <f t="shared" si="64"/>
        <v>23619.03</v>
      </c>
    </row>
    <row r="131" spans="11:27">
      <c r="K131" s="1" t="s">
        <v>142</v>
      </c>
      <c r="L131" s="22">
        <f t="shared" si="62"/>
        <v>760330.83</v>
      </c>
      <c r="M131" s="22">
        <f t="shared" si="62"/>
        <v>56124.11</v>
      </c>
      <c r="N131" s="22">
        <f t="shared" si="62"/>
        <v>107875.12</v>
      </c>
      <c r="O131" s="22">
        <f t="shared" si="62"/>
        <v>10214.99</v>
      </c>
      <c r="P131" s="22">
        <f t="shared" si="62"/>
        <v>420355.36</v>
      </c>
      <c r="Q131" s="22">
        <f t="shared" si="62"/>
        <v>3790.3999999999996</v>
      </c>
      <c r="R131" s="22">
        <f t="shared" si="62"/>
        <v>7482.52</v>
      </c>
      <c r="S131" s="22">
        <f t="shared" si="62"/>
        <v>0</v>
      </c>
      <c r="T131" s="22">
        <f t="shared" si="62"/>
        <v>9702.5399999999991</v>
      </c>
      <c r="U131" s="22">
        <f t="shared" si="62"/>
        <v>473.8</v>
      </c>
      <c r="V131" s="22">
        <f t="shared" si="62"/>
        <v>189.52</v>
      </c>
      <c r="W131" s="22">
        <f t="shared" si="62"/>
        <v>0</v>
      </c>
      <c r="X131" s="22">
        <f t="shared" si="62"/>
        <v>773.92</v>
      </c>
      <c r="Y131" s="22">
        <f t="shared" si="65"/>
        <v>0</v>
      </c>
      <c r="Z131" s="22">
        <f t="shared" si="65"/>
        <v>0</v>
      </c>
      <c r="AA131" s="12">
        <f t="shared" si="64"/>
        <v>1377313.1099999999</v>
      </c>
    </row>
    <row r="132" spans="11:27">
      <c r="K132" s="1" t="s">
        <v>143</v>
      </c>
      <c r="L132" s="22">
        <f t="shared" si="62"/>
        <v>3684385.84</v>
      </c>
      <c r="M132" s="22">
        <f t="shared" si="62"/>
        <v>401185.36</v>
      </c>
      <c r="N132" s="22">
        <f t="shared" si="62"/>
        <v>550940.01</v>
      </c>
      <c r="O132" s="22">
        <f t="shared" si="62"/>
        <v>60388.52</v>
      </c>
      <c r="P132" s="22">
        <f t="shared" si="62"/>
        <v>2434289.64</v>
      </c>
      <c r="Q132" s="22">
        <f t="shared" si="62"/>
        <v>19331.04</v>
      </c>
      <c r="R132" s="22">
        <f t="shared" si="62"/>
        <v>76267.25999999998</v>
      </c>
      <c r="S132" s="22">
        <f t="shared" si="62"/>
        <v>2618</v>
      </c>
      <c r="T132" s="22">
        <f t="shared" si="62"/>
        <v>64621.979999999996</v>
      </c>
      <c r="U132" s="22">
        <f t="shared" si="62"/>
        <v>4358.96</v>
      </c>
      <c r="V132" s="22">
        <f t="shared" si="62"/>
        <v>947.6</v>
      </c>
      <c r="W132" s="22">
        <f t="shared" si="62"/>
        <v>0</v>
      </c>
      <c r="X132" s="22">
        <f t="shared" si="62"/>
        <v>5141.04</v>
      </c>
      <c r="Y132" s="22">
        <f t="shared" si="65"/>
        <v>426.65</v>
      </c>
      <c r="Z132" s="22">
        <f t="shared" si="65"/>
        <v>4159.49</v>
      </c>
      <c r="AA132" s="12">
        <f t="shared" si="64"/>
        <v>7309061.3899999997</v>
      </c>
    </row>
    <row r="133" spans="11:27">
      <c r="K133" s="1" t="s">
        <v>144</v>
      </c>
      <c r="L133" s="22">
        <f t="shared" si="62"/>
        <v>85711.94</v>
      </c>
      <c r="M133" s="22">
        <f t="shared" si="62"/>
        <v>16829.830000000002</v>
      </c>
      <c r="N133" s="22">
        <f t="shared" si="62"/>
        <v>9766.9500000000007</v>
      </c>
      <c r="O133" s="22">
        <f t="shared" si="62"/>
        <v>595.24</v>
      </c>
      <c r="P133" s="22">
        <f t="shared" si="62"/>
        <v>55150.32</v>
      </c>
      <c r="Q133" s="22">
        <f t="shared" si="62"/>
        <v>1326.64</v>
      </c>
      <c r="R133" s="22">
        <f t="shared" si="62"/>
        <v>1246.74</v>
      </c>
      <c r="S133" s="22">
        <f t="shared" si="62"/>
        <v>0</v>
      </c>
      <c r="T133" s="22">
        <f t="shared" si="62"/>
        <v>3242.96</v>
      </c>
      <c r="U133" s="22">
        <f t="shared" si="62"/>
        <v>0</v>
      </c>
      <c r="V133" s="22">
        <f t="shared" si="62"/>
        <v>0</v>
      </c>
      <c r="W133" s="22">
        <f t="shared" si="62"/>
        <v>0</v>
      </c>
      <c r="X133" s="22">
        <f t="shared" si="62"/>
        <v>55.28</v>
      </c>
      <c r="Y133" s="22">
        <f t="shared" si="65"/>
        <v>0</v>
      </c>
      <c r="Z133" s="22">
        <f t="shared" si="65"/>
        <v>0</v>
      </c>
      <c r="AA133" s="12">
        <f t="shared" si="64"/>
        <v>173925.9</v>
      </c>
    </row>
    <row r="134" spans="11:27">
      <c r="K134" s="1" t="s">
        <v>145</v>
      </c>
      <c r="L134" s="22">
        <f t="shared" si="62"/>
        <v>35885.96</v>
      </c>
      <c r="M134" s="22">
        <f t="shared" si="62"/>
        <v>6819.12</v>
      </c>
      <c r="N134" s="22">
        <f t="shared" si="62"/>
        <v>4528.2</v>
      </c>
      <c r="O134" s="22">
        <f t="shared" si="62"/>
        <v>504.53999999999996</v>
      </c>
      <c r="P134" s="22">
        <f t="shared" si="62"/>
        <v>34587.4</v>
      </c>
      <c r="Q134" s="22">
        <f t="shared" si="62"/>
        <v>852.83999999999992</v>
      </c>
      <c r="R134" s="22">
        <f t="shared" si="62"/>
        <v>1975.58</v>
      </c>
      <c r="S134" s="22">
        <f t="shared" si="62"/>
        <v>552.78</v>
      </c>
      <c r="T134" s="22">
        <f t="shared" si="62"/>
        <v>784.41000000000008</v>
      </c>
      <c r="U134" s="22">
        <f t="shared" si="62"/>
        <v>189.52</v>
      </c>
      <c r="V134" s="22">
        <f t="shared" si="62"/>
        <v>0</v>
      </c>
      <c r="W134" s="22">
        <f t="shared" si="62"/>
        <v>0</v>
      </c>
      <c r="X134" s="22">
        <f t="shared" si="62"/>
        <v>55.28</v>
      </c>
      <c r="Y134" s="22">
        <f t="shared" si="65"/>
        <v>0</v>
      </c>
      <c r="Z134" s="22">
        <f t="shared" si="65"/>
        <v>0</v>
      </c>
      <c r="AA134" s="12">
        <f t="shared" si="64"/>
        <v>86735.63</v>
      </c>
    </row>
    <row r="135" spans="11:27">
      <c r="K135" s="8" t="s">
        <v>37</v>
      </c>
      <c r="L135" s="16">
        <f t="shared" ref="L135:AA135" si="66">SUM(L108:L134)</f>
        <v>11393795.619999999</v>
      </c>
      <c r="M135" s="16">
        <f t="shared" si="66"/>
        <v>1323348.6500000004</v>
      </c>
      <c r="N135" s="16">
        <f t="shared" si="66"/>
        <v>1642924.7299999997</v>
      </c>
      <c r="O135" s="16">
        <f t="shared" si="66"/>
        <v>221486.11999999997</v>
      </c>
      <c r="P135" s="16">
        <f t="shared" si="66"/>
        <v>6734481.0600000005</v>
      </c>
      <c r="Q135" s="16">
        <f t="shared" si="66"/>
        <v>104994.08</v>
      </c>
      <c r="R135" s="16">
        <f t="shared" si="66"/>
        <v>238861.69999999992</v>
      </c>
      <c r="S135" s="16">
        <f t="shared" si="66"/>
        <v>23161.599999999999</v>
      </c>
      <c r="T135" s="16">
        <f t="shared" si="66"/>
        <v>220335.12</v>
      </c>
      <c r="U135" s="16">
        <f t="shared" si="66"/>
        <v>17530.599999999999</v>
      </c>
      <c r="V135" s="16">
        <f t="shared" si="66"/>
        <v>2084.7199999999998</v>
      </c>
      <c r="W135" s="16">
        <f t="shared" si="66"/>
        <v>3736.46</v>
      </c>
      <c r="X135" s="16">
        <f t="shared" si="66"/>
        <v>13598.880000000001</v>
      </c>
      <c r="Y135" s="16">
        <f>SUM(Y108:Y134)</f>
        <v>477.9</v>
      </c>
      <c r="Z135" s="16">
        <f>SUM(Z108:Z134)</f>
        <v>4159.49</v>
      </c>
      <c r="AA135" s="7">
        <f t="shared" si="66"/>
        <v>21944976.729999997</v>
      </c>
    </row>
    <row r="136" spans="11:27">
      <c r="AA136" s="15" t="e">
        <f>AA135-#REF!</f>
        <v>#REF!</v>
      </c>
    </row>
  </sheetData>
  <mergeCells count="103"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O3:O4"/>
    <mergeCell ref="N3:N4"/>
    <mergeCell ref="N38:N39"/>
    <mergeCell ref="O38:O39"/>
    <mergeCell ref="H38:H39"/>
    <mergeCell ref="I38:I39"/>
    <mergeCell ref="J38:J39"/>
    <mergeCell ref="K38:K39"/>
    <mergeCell ref="L38:L39"/>
    <mergeCell ref="M38:M39"/>
    <mergeCell ref="L3:L4"/>
    <mergeCell ref="M3:M4"/>
    <mergeCell ref="A37:O37"/>
    <mergeCell ref="A38:A39"/>
    <mergeCell ref="B38:C38"/>
    <mergeCell ref="D38:E38"/>
    <mergeCell ref="F38:F39"/>
    <mergeCell ref="G38:G39"/>
    <mergeCell ref="B35:H35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G3"/>
    <mergeCell ref="AH3:AH4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F38:AG38"/>
    <mergeCell ref="AH38:AH39"/>
    <mergeCell ref="X73:X74"/>
    <mergeCell ref="Y73:Y74"/>
    <mergeCell ref="Z73:Z74"/>
    <mergeCell ref="R72:AH72"/>
    <mergeCell ref="A73:A74"/>
    <mergeCell ref="B73:C73"/>
    <mergeCell ref="D73:E73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O73:O74"/>
    <mergeCell ref="R73:R74"/>
    <mergeCell ref="S73:T73"/>
    <mergeCell ref="A72:O72"/>
    <mergeCell ref="AA106:AA107"/>
    <mergeCell ref="AF73:AG73"/>
    <mergeCell ref="AH73:AH74"/>
    <mergeCell ref="K105:AA105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Y106:Z106"/>
    <mergeCell ref="AA73:AA74"/>
    <mergeCell ref="AB73:AB74"/>
    <mergeCell ref="AC73:AC74"/>
    <mergeCell ref="AD73:AD74"/>
    <mergeCell ref="AE73:AE74"/>
    <mergeCell ref="U73:V73"/>
    <mergeCell ref="W73:W74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2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59999389629810485"/>
  </sheetPr>
  <dimension ref="A1:AY155"/>
  <sheetViews>
    <sheetView showGridLines="0" topLeftCell="S1" zoomScaleNormal="100" workbookViewId="0">
      <selection activeCell="A2" sqref="A2:AC37"/>
    </sheetView>
  </sheetViews>
  <sheetFormatPr defaultRowHeight="15"/>
  <cols>
    <col min="1" max="1" width="13.5703125" customWidth="1"/>
    <col min="2" max="13" width="13.28515625" customWidth="1"/>
    <col min="14" max="14" width="15.28515625" style="93" bestFit="1" customWidth="1"/>
    <col min="15" max="15" width="11.7109375" customWidth="1"/>
    <col min="18" max="18" width="19.28515625" customWidth="1"/>
    <col min="19" max="19" width="13.28515625" bestFit="1" customWidth="1"/>
    <col min="20" max="20" width="12.140625" bestFit="1" customWidth="1"/>
    <col min="25" max="25" width="13.140625" customWidth="1"/>
    <col min="26" max="26" width="21" bestFit="1" customWidth="1"/>
    <col min="27" max="27" width="19.85546875" bestFit="1" customWidth="1"/>
    <col min="28" max="28" width="20.7109375" bestFit="1" customWidth="1"/>
    <col min="29" max="30" width="19.140625" customWidth="1"/>
    <col min="31" max="36" width="13.140625" customWidth="1"/>
  </cols>
  <sheetData>
    <row r="1" spans="1:51" ht="22.5" customHeight="1">
      <c r="A1" s="332" t="str">
        <f>Lançamentos!A1</f>
        <v>TOTAL - Exercício e Exercícios Anteriores</v>
      </c>
      <c r="B1" s="332" t="s">
        <v>146</v>
      </c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7"/>
    </row>
    <row r="2" spans="1:51" ht="19.5" customHeight="1">
      <c r="A2" s="132" t="s">
        <v>248</v>
      </c>
      <c r="B2" s="97" t="s">
        <v>163</v>
      </c>
      <c r="C2" s="97" t="s">
        <v>179</v>
      </c>
      <c r="D2" s="97" t="s">
        <v>180</v>
      </c>
      <c r="E2" s="97" t="s">
        <v>181</v>
      </c>
      <c r="F2" s="97" t="s">
        <v>182</v>
      </c>
      <c r="G2" s="97" t="s">
        <v>183</v>
      </c>
      <c r="H2" s="97" t="s">
        <v>184</v>
      </c>
      <c r="I2" s="97" t="s">
        <v>185</v>
      </c>
      <c r="J2" s="97" t="s">
        <v>186</v>
      </c>
      <c r="K2" s="97" t="s">
        <v>187</v>
      </c>
      <c r="L2" s="97" t="s">
        <v>188</v>
      </c>
      <c r="M2" s="97" t="s">
        <v>189</v>
      </c>
      <c r="X2" s="176"/>
      <c r="Y2" s="333" t="s">
        <v>287</v>
      </c>
      <c r="Z2" s="333"/>
      <c r="AA2" s="333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7"/>
    </row>
    <row r="3" spans="1:51" ht="19.5" customHeight="1">
      <c r="A3" s="190" t="s">
        <v>315</v>
      </c>
      <c r="B3" s="65">
        <f t="shared" ref="B3:N3" si="0">B10+B17+B23+B30+B36+B43</f>
        <v>30816008.244936071</v>
      </c>
      <c r="C3" s="65">
        <f t="shared" si="0"/>
        <v>56060907.175773323</v>
      </c>
      <c r="D3" s="65">
        <f t="shared" si="0"/>
        <v>74557558.862407714</v>
      </c>
      <c r="E3" s="65">
        <f t="shared" si="0"/>
        <v>90014499.019715726</v>
      </c>
      <c r="F3" s="65">
        <f t="shared" si="0"/>
        <v>109479745.39463836</v>
      </c>
      <c r="G3" s="65">
        <f t="shared" si="0"/>
        <v>126151605.80077417</v>
      </c>
      <c r="H3" s="65">
        <f t="shared" si="0"/>
        <v>137592515.6627574</v>
      </c>
      <c r="I3" s="65">
        <f t="shared" si="0"/>
        <v>150211170.28373092</v>
      </c>
      <c r="J3" s="65">
        <f t="shared" si="0"/>
        <v>160496788.82766566</v>
      </c>
      <c r="K3" s="65">
        <f t="shared" si="0"/>
        <v>172157654.32052997</v>
      </c>
      <c r="L3" s="65">
        <f t="shared" si="0"/>
        <v>182326151.10667112</v>
      </c>
      <c r="M3" s="65">
        <f t="shared" si="0"/>
        <v>191743910.43033302</v>
      </c>
      <c r="N3" s="93">
        <f t="shared" si="0"/>
        <v>191743910.43033299</v>
      </c>
      <c r="X3" s="176"/>
      <c r="Y3" s="191"/>
      <c r="Z3" s="191"/>
      <c r="AA3" s="191"/>
      <c r="AB3" s="176"/>
      <c r="AC3" s="176"/>
      <c r="AD3" s="176"/>
      <c r="AE3" s="176"/>
      <c r="AF3" s="176"/>
      <c r="AG3" s="176"/>
      <c r="AH3" s="176"/>
      <c r="AI3" s="176"/>
      <c r="AJ3" s="176"/>
      <c r="AK3" s="176"/>
      <c r="AL3" s="176"/>
      <c r="AM3" s="177"/>
    </row>
    <row r="4" spans="1:51" ht="19.5" customHeight="1">
      <c r="A4" s="132" t="s">
        <v>209</v>
      </c>
      <c r="B4" s="62">
        <f t="shared" ref="B4:N4" si="1">B11+B17+B24+B30+B36+B43</f>
        <v>24965259.088804461</v>
      </c>
      <c r="C4" s="62">
        <f t="shared" si="1"/>
        <v>45611582.811293431</v>
      </c>
      <c r="D4" s="62">
        <f t="shared" si="1"/>
        <v>61665519.902792975</v>
      </c>
      <c r="E4" s="62">
        <f t="shared" si="1"/>
        <v>75245419.01921387</v>
      </c>
      <c r="F4" s="62">
        <f t="shared" si="1"/>
        <v>92062355.461077303</v>
      </c>
      <c r="G4" s="62">
        <f t="shared" si="1"/>
        <v>106642143.14316694</v>
      </c>
      <c r="H4" s="62">
        <f t="shared" si="1"/>
        <v>117349884.97077161</v>
      </c>
      <c r="I4" s="62">
        <f t="shared" si="1"/>
        <v>129233343.80541581</v>
      </c>
      <c r="J4" s="62">
        <f t="shared" si="1"/>
        <v>138993372.92205</v>
      </c>
      <c r="K4" s="62">
        <f t="shared" si="1"/>
        <v>150019716.42441604</v>
      </c>
      <c r="L4" s="62">
        <f t="shared" si="1"/>
        <v>159670741.00496891</v>
      </c>
      <c r="M4" s="62">
        <f t="shared" si="1"/>
        <v>168641948.04524186</v>
      </c>
      <c r="N4" s="95">
        <f t="shared" si="1"/>
        <v>168641948.04524183</v>
      </c>
      <c r="X4" s="176"/>
      <c r="Y4" s="178" t="s">
        <v>248</v>
      </c>
      <c r="Z4" s="179" t="s">
        <v>288</v>
      </c>
      <c r="AA4" s="180" t="s">
        <v>289</v>
      </c>
      <c r="AB4" s="180" t="s">
        <v>315</v>
      </c>
      <c r="AC4" s="181" t="s">
        <v>290</v>
      </c>
      <c r="AD4" s="181" t="s">
        <v>291</v>
      </c>
      <c r="AE4" s="176"/>
      <c r="AF4" s="176"/>
      <c r="AG4" s="176"/>
      <c r="AH4" s="176"/>
      <c r="AI4" s="176"/>
      <c r="AJ4" s="176"/>
      <c r="AK4" s="176"/>
      <c r="AL4" s="176"/>
      <c r="AM4" s="177"/>
      <c r="AW4" t="s">
        <v>209</v>
      </c>
      <c r="AX4" t="s">
        <v>210</v>
      </c>
      <c r="AY4" t="s">
        <v>283</v>
      </c>
    </row>
    <row r="5" spans="1:51" ht="19.5" customHeight="1">
      <c r="A5" s="132" t="s">
        <v>210</v>
      </c>
      <c r="B5" s="65">
        <f>Lançamentos!B3</f>
        <v>19627391.469999995</v>
      </c>
      <c r="C5" s="65">
        <f>SUM(Lançamentos!B3:C3)</f>
        <v>41572368.199999996</v>
      </c>
      <c r="D5" s="65">
        <f>SUM(Lançamentos!B3:D3)</f>
        <v>54886741.919999994</v>
      </c>
      <c r="E5" s="65">
        <f>SUM(Lançamentos!B3:E3)</f>
        <v>70055080.932999998</v>
      </c>
      <c r="F5" s="65">
        <f>SUM(Lançamentos!B3:F3)*0</f>
        <v>0</v>
      </c>
      <c r="G5" s="65">
        <f>SUM(Lançamentos!B3:G3)*0</f>
        <v>0</v>
      </c>
      <c r="H5" s="65">
        <f>SUM(Lançamentos!B3:H3)*0</f>
        <v>0</v>
      </c>
      <c r="I5" s="65">
        <f>SUM(Lançamentos!B3:I3)*0</f>
        <v>0</v>
      </c>
      <c r="J5" s="65">
        <f>SUM(Lançamentos!B3:J3)*0</f>
        <v>0</v>
      </c>
      <c r="K5" s="65">
        <f>SUM(Lançamentos!B3:K3)*0</f>
        <v>0</v>
      </c>
      <c r="L5" s="65">
        <f>SUM(Lançamentos!B3:L3)*0</f>
        <v>0</v>
      </c>
      <c r="M5" s="65">
        <f>SUM(Lançamentos!B3:M3)*0</f>
        <v>0</v>
      </c>
      <c r="X5" s="176"/>
      <c r="Y5" s="182" t="s">
        <v>292</v>
      </c>
      <c r="Z5" s="183">
        <f>B4</f>
        <v>24965259.088804461</v>
      </c>
      <c r="AA5" s="184">
        <f>B5</f>
        <v>19627391.469999995</v>
      </c>
      <c r="AB5" s="184">
        <f>B3</f>
        <v>30816008.244936071</v>
      </c>
      <c r="AC5" s="177" t="e">
        <f>IF(AA5="",NA(),IF(AA5&gt;=Z5,AA5,NA()))</f>
        <v>#N/A</v>
      </c>
      <c r="AD5" s="177">
        <f>IF(AA5="",NA(),IF(AA5&lt;Z5,AA5,NA()))</f>
        <v>19627391.469999995</v>
      </c>
      <c r="AE5" s="176"/>
      <c r="AF5" s="176"/>
      <c r="AG5" s="176"/>
      <c r="AH5" s="176"/>
      <c r="AI5" s="176"/>
      <c r="AJ5" s="176"/>
      <c r="AK5" s="176"/>
      <c r="AL5" s="176"/>
      <c r="AM5" s="177"/>
      <c r="AV5" s="144" t="str">
        <f>A8</f>
        <v>Anuid. PF - Exerc.</v>
      </c>
      <c r="AW5" s="145">
        <f>B11/1000000</f>
        <v>15.252812062210579</v>
      </c>
      <c r="AX5" s="145">
        <f>B12/1000000</f>
        <v>10.754868249999998</v>
      </c>
      <c r="AY5" s="68">
        <f>B13</f>
        <v>0.70510724226685995</v>
      </c>
    </row>
    <row r="6" spans="1:51" ht="19.5" customHeight="1">
      <c r="A6" s="132" t="s">
        <v>211</v>
      </c>
      <c r="B6" s="68">
        <f>B5/B4</f>
        <v>0.78618817454218992</v>
      </c>
      <c r="C6" s="68">
        <f>C5/C4</f>
        <v>0.9114432264277107</v>
      </c>
      <c r="D6" s="68">
        <f t="shared" ref="D6:M6" si="2">D5/D4</f>
        <v>0.89007182630619552</v>
      </c>
      <c r="E6" s="68">
        <f t="shared" si="2"/>
        <v>0.93102120828261292</v>
      </c>
      <c r="F6" s="68">
        <f t="shared" si="2"/>
        <v>0</v>
      </c>
      <c r="G6" s="68">
        <f t="shared" si="2"/>
        <v>0</v>
      </c>
      <c r="H6" s="68">
        <f t="shared" si="2"/>
        <v>0</v>
      </c>
      <c r="I6" s="68">
        <f t="shared" si="2"/>
        <v>0</v>
      </c>
      <c r="J6" s="68">
        <f t="shared" si="2"/>
        <v>0</v>
      </c>
      <c r="K6" s="68">
        <f t="shared" si="2"/>
        <v>0</v>
      </c>
      <c r="L6" s="68">
        <f t="shared" si="2"/>
        <v>0</v>
      </c>
      <c r="M6" s="68">
        <f t="shared" si="2"/>
        <v>0</v>
      </c>
      <c r="X6" s="176"/>
      <c r="Y6" s="182" t="s">
        <v>293</v>
      </c>
      <c r="Z6" s="187">
        <f>C4</f>
        <v>45611582.811293431</v>
      </c>
      <c r="AA6" s="188">
        <f>C5</f>
        <v>41572368.199999996</v>
      </c>
      <c r="AB6" s="188">
        <f>C3</f>
        <v>56060907.175773323</v>
      </c>
      <c r="AC6" s="177" t="e">
        <f t="shared" ref="AC6:AC16" si="3">IF(AA6="",NA(),IF(AA6&gt;=Z6,AA6,NA()))</f>
        <v>#N/A</v>
      </c>
      <c r="AD6" s="177">
        <f t="shared" ref="AD6:AD16" si="4">IF(AA6="",NA(),IF(AA6&lt;Z6,AA6,NA()))</f>
        <v>41572368.199999996</v>
      </c>
      <c r="AE6" s="176"/>
      <c r="AF6" s="176"/>
      <c r="AG6" s="176"/>
      <c r="AH6" s="176"/>
      <c r="AI6" s="176"/>
      <c r="AJ6" s="176"/>
      <c r="AK6" s="176"/>
      <c r="AL6" s="176"/>
      <c r="AM6" s="177"/>
      <c r="AV6" s="144" t="str">
        <f>A15</f>
        <v>Anuid. PF - Exerc. Ant.</v>
      </c>
      <c r="AW6" s="145">
        <f>B17/1000000</f>
        <v>1.3102300516277592</v>
      </c>
      <c r="AX6" s="145">
        <f>B18/1000000</f>
        <v>1.4460323099999999</v>
      </c>
      <c r="AY6" s="68">
        <f>B19</f>
        <v>1.1036476443228633</v>
      </c>
    </row>
    <row r="7" spans="1:51" ht="19.5" customHeight="1">
      <c r="X7" s="176"/>
      <c r="Y7" s="182" t="s">
        <v>294</v>
      </c>
      <c r="Z7" s="187">
        <f>D4</f>
        <v>61665519.902792975</v>
      </c>
      <c r="AA7" s="188">
        <f>D5</f>
        <v>54886741.919999994</v>
      </c>
      <c r="AB7" s="188">
        <f>D3</f>
        <v>74557558.862407714</v>
      </c>
      <c r="AC7" s="177" t="e">
        <f t="shared" si="3"/>
        <v>#N/A</v>
      </c>
      <c r="AD7" s="177">
        <f t="shared" si="4"/>
        <v>54886741.919999994</v>
      </c>
      <c r="AE7" s="176"/>
      <c r="AF7" s="176"/>
      <c r="AG7" s="176"/>
      <c r="AH7" s="176"/>
      <c r="AI7" s="176"/>
      <c r="AJ7" s="176"/>
      <c r="AK7" s="176"/>
      <c r="AL7" s="176"/>
      <c r="AM7" s="177"/>
      <c r="AV7" s="144" t="str">
        <f>A21</f>
        <v>Anuid. PJ - Exerc.</v>
      </c>
      <c r="AW7" s="145">
        <f>B24/1000000</f>
        <v>2.2354857726254838</v>
      </c>
      <c r="AX7" s="145">
        <f>B25/1000000</f>
        <v>1.1109201000000002</v>
      </c>
      <c r="AY7" s="68">
        <f>B26</f>
        <v>0.49694796254295609</v>
      </c>
    </row>
    <row r="8" spans="1:51" ht="19.5" customHeight="1">
      <c r="A8" s="332" t="str">
        <f>Lançamentos!A30</f>
        <v>Anuid. PF - Exerc.</v>
      </c>
      <c r="B8" s="332" t="s">
        <v>146</v>
      </c>
      <c r="C8" s="332"/>
      <c r="D8" s="332"/>
      <c r="E8" s="332"/>
      <c r="F8" s="332"/>
      <c r="G8" s="332"/>
      <c r="H8" s="332"/>
      <c r="I8" s="332"/>
      <c r="J8" s="332"/>
      <c r="K8" s="332"/>
      <c r="L8" s="332"/>
      <c r="M8" s="332"/>
      <c r="X8" s="176"/>
      <c r="Y8" s="182" t="s">
        <v>295</v>
      </c>
      <c r="Z8" s="187">
        <f>E4</f>
        <v>75245419.01921387</v>
      </c>
      <c r="AA8" s="188">
        <f>E5</f>
        <v>70055080.932999998</v>
      </c>
      <c r="AB8" s="188">
        <f>E3</f>
        <v>90014499.019715726</v>
      </c>
      <c r="AC8" s="177" t="e">
        <f t="shared" si="3"/>
        <v>#N/A</v>
      </c>
      <c r="AD8" s="177">
        <f t="shared" si="4"/>
        <v>70055080.932999998</v>
      </c>
      <c r="AE8" s="176"/>
      <c r="AF8" s="176"/>
      <c r="AG8" s="176"/>
      <c r="AH8" s="176"/>
      <c r="AI8" s="176"/>
      <c r="AJ8" s="176"/>
      <c r="AK8" s="176"/>
      <c r="AL8" s="176"/>
      <c r="AM8" s="177"/>
      <c r="AV8" s="144" t="str">
        <f>A28</f>
        <v>Anuid. PJ - Exerc. Ant.</v>
      </c>
      <c r="AW8" s="145">
        <f>B30/1000000</f>
        <v>0.14903288527663414</v>
      </c>
      <c r="AX8" s="145">
        <f>B31/1000000</f>
        <v>0.21095700000000001</v>
      </c>
      <c r="AY8" s="68">
        <f>B32</f>
        <v>1.4155063804100863</v>
      </c>
    </row>
    <row r="9" spans="1:51" ht="19.5" customHeight="1">
      <c r="A9" s="132" t="s">
        <v>248</v>
      </c>
      <c r="B9" s="97" t="s">
        <v>163</v>
      </c>
      <c r="C9" s="97" t="s">
        <v>179</v>
      </c>
      <c r="D9" s="97" t="s">
        <v>180</v>
      </c>
      <c r="E9" s="97" t="s">
        <v>181</v>
      </c>
      <c r="F9" s="97" t="s">
        <v>182</v>
      </c>
      <c r="G9" s="97" t="s">
        <v>183</v>
      </c>
      <c r="H9" s="97" t="s">
        <v>184</v>
      </c>
      <c r="I9" s="97" t="s">
        <v>185</v>
      </c>
      <c r="J9" s="97" t="s">
        <v>186</v>
      </c>
      <c r="K9" s="97" t="s">
        <v>187</v>
      </c>
      <c r="L9" s="97" t="s">
        <v>188</v>
      </c>
      <c r="M9" s="97" t="s">
        <v>189</v>
      </c>
      <c r="X9" s="176"/>
      <c r="Y9" s="182" t="s">
        <v>296</v>
      </c>
      <c r="Z9" s="187">
        <f>F4</f>
        <v>92062355.461077303</v>
      </c>
      <c r="AA9" s="188"/>
      <c r="AB9" s="188">
        <f>F3</f>
        <v>109479745.39463836</v>
      </c>
      <c r="AC9" s="177" t="e">
        <f t="shared" si="3"/>
        <v>#N/A</v>
      </c>
      <c r="AD9" s="177" t="e">
        <f t="shared" si="4"/>
        <v>#N/A</v>
      </c>
      <c r="AE9" s="176"/>
      <c r="AF9" s="176"/>
      <c r="AG9" s="176"/>
      <c r="AH9" s="176"/>
      <c r="AI9" s="176"/>
      <c r="AJ9" s="176"/>
      <c r="AK9" s="176"/>
      <c r="AL9" s="176"/>
      <c r="AM9" s="177"/>
      <c r="AV9" s="144" t="str">
        <f>A34</f>
        <v>RRT</v>
      </c>
      <c r="AW9" s="145">
        <f>B36/1000000</f>
        <v>5.2896915194252587</v>
      </c>
      <c r="AX9" s="145">
        <f>B37/1000000</f>
        <v>5.4559214999999988</v>
      </c>
      <c r="AY9" s="68">
        <f>B38</f>
        <v>1.0314252693118864</v>
      </c>
    </row>
    <row r="10" spans="1:51" ht="19.5" customHeight="1">
      <c r="A10" s="190" t="s">
        <v>315</v>
      </c>
      <c r="B10" s="65">
        <f>$N$10*Lançamentos!B46</f>
        <v>19794821.398333404</v>
      </c>
      <c r="C10" s="65">
        <f>$N$10*Lançamentos!B47</f>
        <v>34792611.385146126</v>
      </c>
      <c r="D10" s="65">
        <f>$N$10*Lançamentos!B48</f>
        <v>42758572.952595614</v>
      </c>
      <c r="E10" s="65">
        <f>$N$10*Lançamentos!B49</f>
        <v>48771403.111414634</v>
      </c>
      <c r="F10" s="65">
        <f>$N$10*Lançamentos!B50</f>
        <v>57265781.098871179</v>
      </c>
      <c r="G10" s="65">
        <f>$N$10*Lançamentos!B51</f>
        <v>63652994.265339039</v>
      </c>
      <c r="H10" s="65">
        <f>$N$10*Lançamentos!B52</f>
        <v>65819274.175672293</v>
      </c>
      <c r="I10" s="65">
        <f>$N$10*Lançamentos!B53</f>
        <v>68045746.774747133</v>
      </c>
      <c r="J10" s="65">
        <f>$N$10*Lançamentos!B54</f>
        <v>69642679.083244458</v>
      </c>
      <c r="K10" s="65">
        <f>$N$10*Lançamentos!B55</f>
        <v>71598673.030592427</v>
      </c>
      <c r="L10" s="65">
        <f>$N$10*Lançamentos!B56</f>
        <v>73271113.894724101</v>
      </c>
      <c r="M10" s="65">
        <f>$N$10*Lançamentos!B57</f>
        <v>74701103.560480773</v>
      </c>
      <c r="N10" s="93">
        <f>Lançamentos!AH2</f>
        <v>74701103.560480759</v>
      </c>
      <c r="X10" s="176"/>
      <c r="Y10" s="182" t="s">
        <v>297</v>
      </c>
      <c r="Z10" s="187">
        <f>G4</f>
        <v>106642143.14316694</v>
      </c>
      <c r="AA10" s="188"/>
      <c r="AB10" s="188">
        <f>G3</f>
        <v>126151605.80077417</v>
      </c>
      <c r="AC10" s="177" t="e">
        <f t="shared" si="3"/>
        <v>#N/A</v>
      </c>
      <c r="AD10" s="177" t="e">
        <f t="shared" si="4"/>
        <v>#N/A</v>
      </c>
      <c r="AE10" s="176"/>
      <c r="AF10" s="176"/>
      <c r="AG10" s="176"/>
      <c r="AH10" s="176"/>
      <c r="AI10" s="176"/>
      <c r="AJ10" s="176"/>
      <c r="AK10" s="176"/>
      <c r="AL10" s="176"/>
      <c r="AM10" s="177"/>
      <c r="AV10" s="144" t="str">
        <f>A40</f>
        <v>Taxas e Multas</v>
      </c>
      <c r="AW10" s="145">
        <f>B43/1000000</f>
        <v>0.72800679763874976</v>
      </c>
      <c r="AX10" s="145">
        <f>B44/1000000</f>
        <v>0.64869231000000016</v>
      </c>
      <c r="AY10" s="68">
        <f>B45</f>
        <v>0.89105254525644306</v>
      </c>
    </row>
    <row r="11" spans="1:51" ht="19.5" customHeight="1">
      <c r="A11" s="96" t="s">
        <v>209</v>
      </c>
      <c r="B11" s="62">
        <f>$N$11*Lançamentos!B46</f>
        <v>15252812.062210578</v>
      </c>
      <c r="C11" s="62">
        <f>$N$11*Lançamentos!B47</f>
        <v>26809292.790883284</v>
      </c>
      <c r="D11" s="62">
        <f>$N$11*Lançamentos!B48</f>
        <v>32947429.23768796</v>
      </c>
      <c r="E11" s="62">
        <f>$N$11*Lançamentos!B49</f>
        <v>37580588.917632326</v>
      </c>
      <c r="F11" s="62">
        <f>$N$11*Lançamentos!B50</f>
        <v>44125894.299319766</v>
      </c>
      <c r="G11" s="62">
        <f>$N$11*Lançamentos!B51</f>
        <v>49047533.149651267</v>
      </c>
      <c r="H11" s="62">
        <f>$N$11*Lançamentos!B52</f>
        <v>50716750.551594459</v>
      </c>
      <c r="I11" s="62">
        <f>$N$11*Lançamentos!B53</f>
        <v>52432349.163573302</v>
      </c>
      <c r="J11" s="62">
        <f>$N$11*Lançamentos!B54</f>
        <v>53662858.289542615</v>
      </c>
      <c r="K11" s="62">
        <f>$N$11*Lançamentos!B55</f>
        <v>55170040.772948697</v>
      </c>
      <c r="L11" s="62">
        <f>$N$11*Lançamentos!B56</f>
        <v>56458732.682435155</v>
      </c>
      <c r="M11" s="62">
        <f>$N$11*Lançamentos!B57</f>
        <v>57560604.893544175</v>
      </c>
      <c r="N11" s="95">
        <f>Lançamentos!O32</f>
        <v>57560604.89354416</v>
      </c>
      <c r="X11" s="176"/>
      <c r="Y11" s="182" t="s">
        <v>298</v>
      </c>
      <c r="Z11" s="187">
        <f>H4</f>
        <v>117349884.97077161</v>
      </c>
      <c r="AA11" s="188"/>
      <c r="AB11" s="188">
        <f>H3</f>
        <v>137592515.6627574</v>
      </c>
      <c r="AC11" s="177" t="e">
        <f t="shared" si="3"/>
        <v>#N/A</v>
      </c>
      <c r="AD11" s="177" t="e">
        <f t="shared" si="4"/>
        <v>#N/A</v>
      </c>
      <c r="AE11" s="176"/>
      <c r="AF11" s="176"/>
      <c r="AG11" s="176"/>
      <c r="AH11" s="176"/>
      <c r="AI11" s="176"/>
      <c r="AJ11" s="176"/>
      <c r="AK11" s="176"/>
      <c r="AL11" s="176"/>
      <c r="AM11" s="177"/>
    </row>
    <row r="12" spans="1:51" ht="19.5" customHeight="1">
      <c r="A12" s="96" t="s">
        <v>210</v>
      </c>
      <c r="B12" s="65">
        <f>Lançamentos!B32</f>
        <v>10754868.249999998</v>
      </c>
      <c r="C12" s="65">
        <f>SUM(Lançamentos!B32:C32)</f>
        <v>22148663.869999997</v>
      </c>
      <c r="D12" s="65">
        <f>SUM(Lançamentos!B32:D32)</f>
        <v>26639003.68</v>
      </c>
      <c r="E12" s="65">
        <f>SUM(Lançamentos!B32:E32)</f>
        <v>31687335.240000002</v>
      </c>
      <c r="F12" s="65">
        <f>SUM(Lançamentos!B32:F32)*0</f>
        <v>0</v>
      </c>
      <c r="G12" s="65">
        <f>SUM(Lançamentos!B32:G32)*0</f>
        <v>0</v>
      </c>
      <c r="H12" s="65">
        <f>SUM(Lançamentos!B32:H32)*0</f>
        <v>0</v>
      </c>
      <c r="I12" s="65">
        <f>SUM(Lançamentos!B32:I32)*0</f>
        <v>0</v>
      </c>
      <c r="J12" s="65">
        <f>SUM(Lançamentos!B32:J32)*0</f>
        <v>0</v>
      </c>
      <c r="K12" s="65">
        <f>SUM(Lançamentos!B32:K32)*0</f>
        <v>0</v>
      </c>
      <c r="L12" s="65">
        <f>SUM(Lançamentos!B32:L32)*0</f>
        <v>0</v>
      </c>
      <c r="M12" s="65">
        <f>SUM(Lançamentos!B32:M32)*0</f>
        <v>0</v>
      </c>
      <c r="X12" s="176"/>
      <c r="Y12" s="182" t="s">
        <v>299</v>
      </c>
      <c r="Z12" s="187">
        <f>I4</f>
        <v>129233343.80541581</v>
      </c>
      <c r="AA12" s="188"/>
      <c r="AB12" s="188">
        <f>I3</f>
        <v>150211170.28373092</v>
      </c>
      <c r="AC12" s="177" t="e">
        <f t="shared" si="3"/>
        <v>#N/A</v>
      </c>
      <c r="AD12" s="177" t="e">
        <f t="shared" si="4"/>
        <v>#N/A</v>
      </c>
      <c r="AE12" s="176"/>
      <c r="AF12" s="176"/>
      <c r="AG12" s="176"/>
      <c r="AH12" s="176"/>
      <c r="AI12" s="176"/>
      <c r="AJ12" s="176"/>
      <c r="AK12" s="176"/>
      <c r="AL12" s="176"/>
      <c r="AM12" s="177"/>
    </row>
    <row r="13" spans="1:51" ht="19.5" customHeight="1">
      <c r="A13" s="96" t="s">
        <v>211</v>
      </c>
      <c r="B13" s="68">
        <f>B12/B11</f>
        <v>0.70510724226685995</v>
      </c>
      <c r="C13" s="68">
        <f t="shared" ref="C13" si="5">C12/C11</f>
        <v>0.82615621541243445</v>
      </c>
      <c r="D13" s="68">
        <f t="shared" ref="D13" si="6">D12/D11</f>
        <v>0.80853056813088564</v>
      </c>
      <c r="E13" s="68">
        <f t="shared" ref="E13" si="7">E12/E11</f>
        <v>0.84318357302625224</v>
      </c>
      <c r="F13" s="68">
        <f t="shared" ref="F13" si="8">F12/F11</f>
        <v>0</v>
      </c>
      <c r="G13" s="68">
        <f t="shared" ref="G13" si="9">G12/G11</f>
        <v>0</v>
      </c>
      <c r="H13" s="68">
        <f t="shared" ref="H13" si="10">H12/H11</f>
        <v>0</v>
      </c>
      <c r="I13" s="68">
        <f t="shared" ref="I13" si="11">I12/I11</f>
        <v>0</v>
      </c>
      <c r="J13" s="68">
        <f t="shared" ref="J13" si="12">J12/J11</f>
        <v>0</v>
      </c>
      <c r="K13" s="68">
        <f t="shared" ref="K13" si="13">K12/K11</f>
        <v>0</v>
      </c>
      <c r="L13" s="68">
        <f t="shared" ref="L13" si="14">L12/L11</f>
        <v>0</v>
      </c>
      <c r="M13" s="68">
        <f t="shared" ref="M13" si="15">M12/M11</f>
        <v>0</v>
      </c>
      <c r="X13" s="176"/>
      <c r="Y13" s="182" t="s">
        <v>300</v>
      </c>
      <c r="Z13" s="187">
        <f>J4</f>
        <v>138993372.92205</v>
      </c>
      <c r="AA13" s="188"/>
      <c r="AB13" s="188">
        <f>J3</f>
        <v>160496788.82766566</v>
      </c>
      <c r="AC13" s="177" t="e">
        <f t="shared" si="3"/>
        <v>#N/A</v>
      </c>
      <c r="AD13" s="177" t="e">
        <f t="shared" si="4"/>
        <v>#N/A</v>
      </c>
      <c r="AE13" s="176"/>
      <c r="AF13" s="176"/>
      <c r="AG13" s="176"/>
      <c r="AH13" s="176"/>
      <c r="AI13" s="176"/>
      <c r="AJ13" s="176"/>
      <c r="AK13" s="176"/>
      <c r="AL13" s="176"/>
      <c r="AM13" s="177"/>
    </row>
    <row r="14" spans="1:51" ht="19.5" customHeight="1">
      <c r="X14" s="176"/>
      <c r="Y14" s="182" t="s">
        <v>301</v>
      </c>
      <c r="Z14" s="187">
        <f>K4</f>
        <v>150019716.42441604</v>
      </c>
      <c r="AA14" s="188"/>
      <c r="AB14" s="188">
        <f>K3</f>
        <v>172157654.32052997</v>
      </c>
      <c r="AC14" s="177" t="e">
        <f t="shared" si="3"/>
        <v>#N/A</v>
      </c>
      <c r="AD14" s="177" t="e">
        <f t="shared" si="4"/>
        <v>#N/A</v>
      </c>
      <c r="AE14" s="176"/>
      <c r="AF14" s="176"/>
      <c r="AG14" s="176"/>
      <c r="AH14" s="176"/>
      <c r="AI14" s="176"/>
      <c r="AJ14" s="176"/>
      <c r="AK14" s="176"/>
      <c r="AL14" s="176"/>
      <c r="AM14" s="177"/>
    </row>
    <row r="15" spans="1:51" ht="19.5" customHeight="1">
      <c r="A15" s="332" t="str">
        <f>Lançamentos!Q30</f>
        <v>Anuid. PF - Exerc. Ant.</v>
      </c>
      <c r="B15" s="332" t="s">
        <v>146</v>
      </c>
      <c r="C15" s="332"/>
      <c r="D15" s="332"/>
      <c r="E15" s="332"/>
      <c r="F15" s="332"/>
      <c r="G15" s="332"/>
      <c r="H15" s="332"/>
      <c r="I15" s="332"/>
      <c r="J15" s="332"/>
      <c r="K15" s="332"/>
      <c r="L15" s="332"/>
      <c r="M15" s="332"/>
      <c r="X15" s="176"/>
      <c r="Y15" s="182" t="s">
        <v>302</v>
      </c>
      <c r="Z15" s="187">
        <f>L4</f>
        <v>159670741.00496891</v>
      </c>
      <c r="AA15" s="188"/>
      <c r="AB15" s="188">
        <f>L3</f>
        <v>182326151.10667112</v>
      </c>
      <c r="AC15" s="177" t="e">
        <f t="shared" si="3"/>
        <v>#N/A</v>
      </c>
      <c r="AD15" s="177" t="e">
        <f t="shared" si="4"/>
        <v>#N/A</v>
      </c>
      <c r="AE15" s="176"/>
      <c r="AF15" s="176"/>
      <c r="AG15" s="176"/>
      <c r="AH15" s="176"/>
      <c r="AI15" s="176"/>
      <c r="AJ15" s="176"/>
      <c r="AK15" s="176"/>
      <c r="AL15" s="176"/>
      <c r="AM15" s="177"/>
    </row>
    <row r="16" spans="1:51" ht="19.5" customHeight="1">
      <c r="A16" s="132" t="s">
        <v>248</v>
      </c>
      <c r="B16" s="97" t="s">
        <v>163</v>
      </c>
      <c r="C16" s="97" t="s">
        <v>179</v>
      </c>
      <c r="D16" s="97" t="s">
        <v>180</v>
      </c>
      <c r="E16" s="97" t="s">
        <v>181</v>
      </c>
      <c r="F16" s="97" t="s">
        <v>182</v>
      </c>
      <c r="G16" s="97" t="s">
        <v>183</v>
      </c>
      <c r="H16" s="97" t="s">
        <v>184</v>
      </c>
      <c r="I16" s="97" t="s">
        <v>185</v>
      </c>
      <c r="J16" s="97" t="s">
        <v>186</v>
      </c>
      <c r="K16" s="97" t="s">
        <v>187</v>
      </c>
      <c r="L16" s="97" t="s">
        <v>188</v>
      </c>
      <c r="M16" s="97" t="s">
        <v>189</v>
      </c>
      <c r="X16" s="176"/>
      <c r="Y16" s="182" t="s">
        <v>303</v>
      </c>
      <c r="Z16" s="187">
        <f>M4</f>
        <v>168641948.04524186</v>
      </c>
      <c r="AA16" s="188"/>
      <c r="AB16" s="188">
        <f>M3</f>
        <v>191743910.43033302</v>
      </c>
      <c r="AC16" s="177" t="e">
        <f t="shared" si="3"/>
        <v>#N/A</v>
      </c>
      <c r="AD16" s="177" t="e">
        <f t="shared" si="4"/>
        <v>#N/A</v>
      </c>
      <c r="AE16" s="176"/>
      <c r="AF16" s="176"/>
      <c r="AG16" s="176"/>
      <c r="AH16" s="176"/>
      <c r="AI16" s="176"/>
      <c r="AJ16" s="176"/>
      <c r="AK16" s="176"/>
      <c r="AL16" s="176"/>
      <c r="AM16" s="177"/>
    </row>
    <row r="17" spans="1:39" ht="19.5" customHeight="1" thickBot="1">
      <c r="A17" s="96" t="s">
        <v>209</v>
      </c>
      <c r="B17" s="62">
        <f>$N$17*Lançamentos!R46</f>
        <v>1310230.0516277591</v>
      </c>
      <c r="C17" s="62">
        <f>$N$17*Lançamentos!R47</f>
        <v>2138806.5617406666</v>
      </c>
      <c r="D17" s="62">
        <f>$N$17*Lançamentos!R48</f>
        <v>2875295.2254140498</v>
      </c>
      <c r="E17" s="62">
        <f>$N$17*Lançamentos!R49</f>
        <v>3508232.95521536</v>
      </c>
      <c r="F17" s="62">
        <f>$N$17*Lançamentos!R50</f>
        <v>4196266.4682252845</v>
      </c>
      <c r="G17" s="62">
        <f>$N$17*Lançamentos!R51</f>
        <v>4792472.3572983611</v>
      </c>
      <c r="H17" s="62">
        <f>$N$17*Lançamentos!R52</f>
        <v>5379422.8673073482</v>
      </c>
      <c r="I17" s="62">
        <f>$N$17*Lançamentos!R53</f>
        <v>5990230.9955518246</v>
      </c>
      <c r="J17" s="62">
        <f>$N$17*Lançamentos!R54</f>
        <v>6455772.3440091806</v>
      </c>
      <c r="K17" s="62">
        <f>$N$17*Lançamentos!R55</f>
        <v>7087618.0440178793</v>
      </c>
      <c r="L17" s="62">
        <f>$N$17*Lançamentos!R56</f>
        <v>7617587.9502158975</v>
      </c>
      <c r="M17" s="62">
        <f>$N$17*Lançamentos!R57</f>
        <v>8145741.0494781248</v>
      </c>
      <c r="N17" s="95">
        <f>Lançamentos!AE32</f>
        <v>8145741.0494781248</v>
      </c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77"/>
    </row>
    <row r="18" spans="1:39" ht="19.5" customHeight="1">
      <c r="A18" s="96" t="s">
        <v>210</v>
      </c>
      <c r="B18" s="65">
        <f>Lançamentos!R32</f>
        <v>1446032.3099999998</v>
      </c>
      <c r="C18" s="65">
        <f>SUM(Lançamentos!R32:S32)</f>
        <v>2769380.96</v>
      </c>
      <c r="D18" s="65">
        <f>SUM(Lançamentos!R32:T32)</f>
        <v>3735063.9299999997</v>
      </c>
      <c r="E18" s="65">
        <f>SUM(Lançamentos!R32:U32)</f>
        <v>4751518.54</v>
      </c>
      <c r="F18" s="65">
        <f>SUM(Lançamentos!R32:V32)*0</f>
        <v>0</v>
      </c>
      <c r="G18" s="65">
        <f>SUM(Lançamentos!R32:W32)*0</f>
        <v>0</v>
      </c>
      <c r="H18" s="65">
        <f>SUM(Lançamentos!R32:X32)*0</f>
        <v>0</v>
      </c>
      <c r="I18" s="65">
        <f>SUM(Lançamentos!R32:Y32)*0</f>
        <v>0</v>
      </c>
      <c r="J18" s="65">
        <f>SUM(Lançamentos!R32:Z32)*0</f>
        <v>0</v>
      </c>
      <c r="K18" s="65">
        <f>SUM(Lançamentos!R32:AA32)*0</f>
        <v>0</v>
      </c>
      <c r="L18" s="65">
        <f>SUM(Lançamentos!R32:AB32)*0</f>
        <v>0</v>
      </c>
      <c r="M18" s="65">
        <f>SUM(Lançamentos!R32:AC32)*0</f>
        <v>0</v>
      </c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</row>
    <row r="19" spans="1:39" ht="19.5" customHeight="1">
      <c r="A19" s="96" t="s">
        <v>211</v>
      </c>
      <c r="B19" s="68">
        <f>B18/B17</f>
        <v>1.1036476443228633</v>
      </c>
      <c r="C19" s="68">
        <f t="shared" ref="C19" si="16">C18/C17</f>
        <v>1.2948253523900453</v>
      </c>
      <c r="D19" s="68">
        <f t="shared" ref="D19" si="17">D18/D17</f>
        <v>1.2990192787810653</v>
      </c>
      <c r="E19" s="68">
        <f t="shared" ref="E19" si="18">E18/E17</f>
        <v>1.3543908288462898</v>
      </c>
      <c r="F19" s="68">
        <f t="shared" ref="F19" si="19">F18/F17</f>
        <v>0</v>
      </c>
      <c r="G19" s="68">
        <f t="shared" ref="G19" si="20">G18/G17</f>
        <v>0</v>
      </c>
      <c r="H19" s="68">
        <f t="shared" ref="H19" si="21">H18/H17</f>
        <v>0</v>
      </c>
      <c r="I19" s="68">
        <f t="shared" ref="I19" si="22">I18/I17</f>
        <v>0</v>
      </c>
      <c r="J19" s="68">
        <f t="shared" ref="J19" si="23">J18/J17</f>
        <v>0</v>
      </c>
      <c r="K19" s="68">
        <f t="shared" ref="K19" si="24">K18/K17</f>
        <v>0</v>
      </c>
      <c r="L19" s="68">
        <f t="shared" ref="L19" si="25">L18/L17</f>
        <v>0</v>
      </c>
      <c r="M19" s="68">
        <f t="shared" ref="M19" si="26">M18/M17</f>
        <v>0</v>
      </c>
      <c r="X19" s="176"/>
      <c r="Y19" s="333" t="s">
        <v>304</v>
      </c>
      <c r="Z19" s="333"/>
      <c r="AA19" s="333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</row>
    <row r="20" spans="1:39" ht="19.5" customHeight="1">
      <c r="X20" s="176"/>
      <c r="Y20" s="178" t="s">
        <v>248</v>
      </c>
      <c r="Z20" s="179" t="s">
        <v>288</v>
      </c>
      <c r="AA20" s="180" t="s">
        <v>289</v>
      </c>
      <c r="AB20" s="180" t="s">
        <v>315</v>
      </c>
      <c r="AC20" s="181" t="s">
        <v>290</v>
      </c>
      <c r="AD20" s="181" t="s">
        <v>291</v>
      </c>
      <c r="AE20" s="176"/>
      <c r="AF20" s="176"/>
      <c r="AG20" s="176"/>
      <c r="AH20" s="176"/>
      <c r="AI20" s="176"/>
      <c r="AJ20" s="176"/>
      <c r="AK20" s="176"/>
      <c r="AL20" s="176"/>
    </row>
    <row r="21" spans="1:39" ht="19.5" customHeight="1">
      <c r="A21" s="332" t="str">
        <f>Lançamentos!A59</f>
        <v>Anuid. PJ - Exerc.</v>
      </c>
      <c r="B21" s="332" t="s">
        <v>146</v>
      </c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X21" s="176"/>
      <c r="Y21" s="182" t="s">
        <v>292</v>
      </c>
      <c r="Z21" s="183">
        <f>B11</f>
        <v>15252812.062210578</v>
      </c>
      <c r="AA21" s="184">
        <f>B12</f>
        <v>10754868.249999998</v>
      </c>
      <c r="AB21" s="184">
        <f>B10</f>
        <v>19794821.398333404</v>
      </c>
      <c r="AC21" s="177" t="e">
        <f>IF(AA21="",NA(),IF(AA21&gt;=Z21,AA21,NA()))</f>
        <v>#N/A</v>
      </c>
      <c r="AD21" s="177">
        <f>IF(AA21="",NA(),IF(AA21&lt;Z21,AA21,NA()))</f>
        <v>10754868.249999998</v>
      </c>
      <c r="AE21" s="176"/>
      <c r="AF21" s="176"/>
      <c r="AG21" s="176"/>
      <c r="AH21" s="176"/>
      <c r="AI21" s="176"/>
      <c r="AJ21" s="176"/>
      <c r="AK21" s="176"/>
      <c r="AL21" s="176"/>
    </row>
    <row r="22" spans="1:39" ht="19.5" customHeight="1">
      <c r="A22" s="132" t="s">
        <v>248</v>
      </c>
      <c r="B22" s="97" t="s">
        <v>163</v>
      </c>
      <c r="C22" s="97" t="s">
        <v>179</v>
      </c>
      <c r="D22" s="97" t="s">
        <v>180</v>
      </c>
      <c r="E22" s="97" t="s">
        <v>181</v>
      </c>
      <c r="F22" s="97" t="s">
        <v>182</v>
      </c>
      <c r="G22" s="97" t="s">
        <v>183</v>
      </c>
      <c r="H22" s="97" t="s">
        <v>184</v>
      </c>
      <c r="I22" s="97" t="s">
        <v>185</v>
      </c>
      <c r="J22" s="97" t="s">
        <v>186</v>
      </c>
      <c r="K22" s="97" t="s">
        <v>187</v>
      </c>
      <c r="L22" s="97" t="s">
        <v>188</v>
      </c>
      <c r="M22" s="97" t="s">
        <v>189</v>
      </c>
      <c r="X22" s="176"/>
      <c r="Y22" s="182" t="s">
        <v>293</v>
      </c>
      <c r="Z22" s="187">
        <f>C11</f>
        <v>26809292.790883284</v>
      </c>
      <c r="AA22" s="188">
        <f>C12</f>
        <v>22148663.869999997</v>
      </c>
      <c r="AB22" s="188">
        <f>C10</f>
        <v>34792611.385146126</v>
      </c>
      <c r="AC22" s="177" t="e">
        <f t="shared" ref="AC22:AC32" si="27">IF(AA22="",NA(),IF(AA22&gt;=Z22,AA22,NA()))</f>
        <v>#N/A</v>
      </c>
      <c r="AD22" s="177">
        <f t="shared" ref="AD22:AD32" si="28">IF(AA22="",NA(),IF(AA22&lt;Z22,AA22,NA()))</f>
        <v>22148663.869999997</v>
      </c>
      <c r="AE22" s="176"/>
      <c r="AF22" s="176"/>
      <c r="AG22" s="176"/>
      <c r="AH22" s="176"/>
      <c r="AI22" s="176"/>
      <c r="AJ22" s="176"/>
      <c r="AK22" s="176"/>
      <c r="AL22" s="176"/>
    </row>
    <row r="23" spans="1:39" ht="19.5" customHeight="1">
      <c r="A23" s="190" t="s">
        <v>315</v>
      </c>
      <c r="B23" s="65">
        <f>$N$23*Lançamentos!B75</f>
        <v>3544225.5926342681</v>
      </c>
      <c r="C23" s="65">
        <f>$N$23*Lançamentos!B76</f>
        <v>6678241.6403654478</v>
      </c>
      <c r="D23" s="65">
        <f>$N$23*Lançamentos!B77</f>
        <v>8343436.6461339798</v>
      </c>
      <c r="E23" s="65">
        <f>$N$23*Lançamentos!B78</f>
        <v>9690376.2348564994</v>
      </c>
      <c r="F23" s="65">
        <f>$N$23*Lançamentos!B79</f>
        <v>11583995.419371074</v>
      </c>
      <c r="G23" s="65">
        <f>$N$23*Lançamentos!B80</f>
        <v>13280628.819769654</v>
      </c>
      <c r="H23" s="65">
        <f>$N$23*Lançamentos!B81</f>
        <v>13920031.117290674</v>
      </c>
      <c r="I23" s="65">
        <f>$N$23*Lançamentos!B82</f>
        <v>14527521.658705674</v>
      </c>
      <c r="J23" s="65">
        <f>$N$23*Lançamentos!B83</f>
        <v>14958563.084649732</v>
      </c>
      <c r="K23" s="65">
        <f>$N$23*Lançamentos!B84</f>
        <v>15461489.633517385</v>
      </c>
      <c r="L23" s="65">
        <f>$N$23*Lançamentos!B85</f>
        <v>15823628.357407847</v>
      </c>
      <c r="M23" s="65">
        <f>$N$23*Lançamentos!B86</f>
        <v>16144364.18638365</v>
      </c>
      <c r="N23" s="93">
        <f>Lançamentos!AH3</f>
        <v>16144364.186383652</v>
      </c>
      <c r="X23" s="176"/>
      <c r="Y23" s="182" t="s">
        <v>294</v>
      </c>
      <c r="Z23" s="187">
        <f>D11</f>
        <v>32947429.23768796</v>
      </c>
      <c r="AA23" s="188">
        <f>D12</f>
        <v>26639003.68</v>
      </c>
      <c r="AB23" s="188">
        <f>D10</f>
        <v>42758572.952595614</v>
      </c>
      <c r="AC23" s="177" t="e">
        <f t="shared" si="27"/>
        <v>#N/A</v>
      </c>
      <c r="AD23" s="177">
        <f t="shared" si="28"/>
        <v>26639003.68</v>
      </c>
      <c r="AE23" s="176"/>
      <c r="AF23" s="176"/>
      <c r="AG23" s="176"/>
      <c r="AH23" s="176"/>
      <c r="AI23" s="176"/>
      <c r="AJ23" s="176"/>
      <c r="AK23" s="176"/>
      <c r="AL23" s="176"/>
    </row>
    <row r="24" spans="1:39" ht="19.5" customHeight="1">
      <c r="A24" s="96" t="s">
        <v>209</v>
      </c>
      <c r="B24" s="62">
        <f>$N$24*Lançamentos!B75</f>
        <v>2235485.7726254836</v>
      </c>
      <c r="C24" s="62">
        <f>$N$24*Lançamentos!B76</f>
        <v>4212235.8701483989</v>
      </c>
      <c r="D24" s="62">
        <f>$N$24*Lançamentos!B77</f>
        <v>5262541.4014268918</v>
      </c>
      <c r="E24" s="62">
        <f>$N$24*Lançamentos!B78</f>
        <v>6112110.4281369606</v>
      </c>
      <c r="F24" s="62">
        <f>$N$24*Lançamentos!B79</f>
        <v>7306492.2853614269</v>
      </c>
      <c r="G24" s="62">
        <f>$N$24*Lançamentos!B80</f>
        <v>8376627.2778502097</v>
      </c>
      <c r="H24" s="62">
        <f>$N$24*Lançamentos!B81</f>
        <v>8779924.0493827146</v>
      </c>
      <c r="I24" s="62">
        <f>$N$24*Lançamentos!B82</f>
        <v>9163092.7915643938</v>
      </c>
      <c r="J24" s="62">
        <f>$N$24*Lançamentos!B83</f>
        <v>9434967.9727359042</v>
      </c>
      <c r="K24" s="62">
        <f>$N$24*Lançamentos!B84</f>
        <v>9752183.9950471818</v>
      </c>
      <c r="L24" s="62">
        <f>$N$24*Lançamentos!B85</f>
        <v>9980599.4679945931</v>
      </c>
      <c r="M24" s="62">
        <f>$N$24*Lançamentos!B86</f>
        <v>10182900.468229098</v>
      </c>
      <c r="N24" s="95">
        <f>Lançamentos!O61</f>
        <v>10182900.4682291</v>
      </c>
      <c r="X24" s="176"/>
      <c r="Y24" s="182" t="s">
        <v>295</v>
      </c>
      <c r="Z24" s="187">
        <f>E11</f>
        <v>37580588.917632326</v>
      </c>
      <c r="AA24" s="188">
        <f>E12</f>
        <v>31687335.240000002</v>
      </c>
      <c r="AB24" s="188">
        <f>E10</f>
        <v>48771403.111414634</v>
      </c>
      <c r="AC24" s="177" t="e">
        <f t="shared" si="27"/>
        <v>#N/A</v>
      </c>
      <c r="AD24" s="177">
        <f t="shared" si="28"/>
        <v>31687335.240000002</v>
      </c>
      <c r="AE24" s="176"/>
      <c r="AF24" s="176"/>
      <c r="AG24" s="176"/>
      <c r="AH24" s="176"/>
      <c r="AI24" s="176"/>
      <c r="AJ24" s="176"/>
      <c r="AK24" s="176"/>
      <c r="AL24" s="176"/>
    </row>
    <row r="25" spans="1:39" ht="19.5" customHeight="1">
      <c r="A25" s="96" t="s">
        <v>210</v>
      </c>
      <c r="B25" s="65">
        <f>Lançamentos!B61</f>
        <v>1110920.1000000001</v>
      </c>
      <c r="C25" s="65">
        <f>SUM(Lançamentos!B61:C61)</f>
        <v>2753844.83</v>
      </c>
      <c r="D25" s="65">
        <f>SUM(Lançamentos!B61:D61)</f>
        <v>3332092.26</v>
      </c>
      <c r="E25" s="65">
        <f>SUM(Lançamentos!B61:E61)</f>
        <v>3991934.69</v>
      </c>
      <c r="F25" s="65">
        <f>SUM(Lançamentos!B61:F61)*0</f>
        <v>0</v>
      </c>
      <c r="G25" s="65">
        <f>SUM(Lançamentos!B61:G61)*0</f>
        <v>0</v>
      </c>
      <c r="H25" s="65">
        <f>SUM(Lançamentos!B61:H61)*0</f>
        <v>0</v>
      </c>
      <c r="I25" s="65">
        <f>SUM(Lançamentos!B61:I61)*0</f>
        <v>0</v>
      </c>
      <c r="J25" s="65">
        <f>SUM(Lançamentos!B61:J61)*0</f>
        <v>0</v>
      </c>
      <c r="K25" s="65">
        <f>SUM(Lançamentos!B61:K61)*0</f>
        <v>0</v>
      </c>
      <c r="L25" s="65">
        <f>SUM(Lançamentos!B61:L61)*0</f>
        <v>0</v>
      </c>
      <c r="M25" s="65">
        <f>SUM(Lançamentos!B61:M61)*0</f>
        <v>0</v>
      </c>
      <c r="X25" s="176"/>
      <c r="Y25" s="182" t="s">
        <v>296</v>
      </c>
      <c r="Z25" s="187">
        <f>F11</f>
        <v>44125894.299319766</v>
      </c>
      <c r="AA25" s="188"/>
      <c r="AB25" s="188">
        <f>F10</f>
        <v>57265781.098871179</v>
      </c>
      <c r="AC25" s="177" t="e">
        <f t="shared" si="27"/>
        <v>#N/A</v>
      </c>
      <c r="AD25" s="177" t="e">
        <f t="shared" si="28"/>
        <v>#N/A</v>
      </c>
      <c r="AE25" s="176"/>
      <c r="AF25" s="176"/>
      <c r="AG25" s="176"/>
      <c r="AH25" s="176"/>
      <c r="AI25" s="176"/>
      <c r="AJ25" s="176"/>
      <c r="AK25" s="176"/>
      <c r="AL25" s="176"/>
    </row>
    <row r="26" spans="1:39" ht="19.5" customHeight="1">
      <c r="A26" s="96" t="s">
        <v>211</v>
      </c>
      <c r="B26" s="68">
        <f>B25/B24</f>
        <v>0.49694796254295609</v>
      </c>
      <c r="C26" s="68">
        <f t="shared" ref="C26" si="29">C25/C24</f>
        <v>0.65377270288118527</v>
      </c>
      <c r="D26" s="68">
        <f t="shared" ref="D26" si="30">D25/D24</f>
        <v>0.63317169516168215</v>
      </c>
      <c r="E26" s="68">
        <f t="shared" ref="E26" si="31">E25/E24</f>
        <v>0.65311887553981685</v>
      </c>
      <c r="F26" s="68">
        <f t="shared" ref="F26" si="32">F25/F24</f>
        <v>0</v>
      </c>
      <c r="G26" s="68">
        <f t="shared" ref="G26" si="33">G25/G24</f>
        <v>0</v>
      </c>
      <c r="H26" s="68">
        <f t="shared" ref="H26" si="34">H25/H24</f>
        <v>0</v>
      </c>
      <c r="I26" s="68">
        <f t="shared" ref="I26" si="35">I25/I24</f>
        <v>0</v>
      </c>
      <c r="J26" s="68">
        <f t="shared" ref="J26" si="36">J25/J24</f>
        <v>0</v>
      </c>
      <c r="K26" s="68">
        <f t="shared" ref="K26" si="37">K25/K24</f>
        <v>0</v>
      </c>
      <c r="L26" s="68">
        <f t="shared" ref="L26" si="38">L25/L24</f>
        <v>0</v>
      </c>
      <c r="M26" s="68">
        <f t="shared" ref="M26" si="39">M25/M24</f>
        <v>0</v>
      </c>
      <c r="X26" s="176"/>
      <c r="Y26" s="182" t="s">
        <v>297</v>
      </c>
      <c r="Z26" s="187">
        <f>G11</f>
        <v>49047533.149651267</v>
      </c>
      <c r="AA26" s="188"/>
      <c r="AB26" s="188">
        <f>G10</f>
        <v>63652994.265339039</v>
      </c>
      <c r="AC26" s="177" t="e">
        <f t="shared" si="27"/>
        <v>#N/A</v>
      </c>
      <c r="AD26" s="177" t="e">
        <f t="shared" si="28"/>
        <v>#N/A</v>
      </c>
      <c r="AE26" s="176"/>
      <c r="AF26" s="176"/>
      <c r="AG26" s="176"/>
      <c r="AH26" s="176"/>
      <c r="AI26" s="176"/>
      <c r="AJ26" s="176"/>
      <c r="AK26" s="176"/>
      <c r="AL26" s="176"/>
    </row>
    <row r="27" spans="1:39" ht="19.5" customHeight="1">
      <c r="X27" s="176"/>
      <c r="Y27" s="182" t="s">
        <v>298</v>
      </c>
      <c r="Z27" s="187">
        <f>H11</f>
        <v>50716750.551594459</v>
      </c>
      <c r="AA27" s="188"/>
      <c r="AB27" s="188">
        <f>H10</f>
        <v>65819274.175672293</v>
      </c>
      <c r="AC27" s="177" t="e">
        <f t="shared" si="27"/>
        <v>#N/A</v>
      </c>
      <c r="AD27" s="177" t="e">
        <f t="shared" si="28"/>
        <v>#N/A</v>
      </c>
      <c r="AE27" s="176"/>
      <c r="AF27" s="176"/>
      <c r="AG27" s="176"/>
      <c r="AH27" s="176"/>
      <c r="AI27" s="176"/>
      <c r="AJ27" s="176"/>
      <c r="AK27" s="176"/>
      <c r="AL27" s="176"/>
    </row>
    <row r="28" spans="1:39" ht="19.5" customHeight="1">
      <c r="A28" s="332" t="str">
        <f>Lançamentos!Q59</f>
        <v>Anuid. PJ - Exerc. Ant.</v>
      </c>
      <c r="B28" s="332" t="s">
        <v>146</v>
      </c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X28" s="176"/>
      <c r="Y28" s="182" t="s">
        <v>299</v>
      </c>
      <c r="Z28" s="187">
        <f>I11</f>
        <v>52432349.163573302</v>
      </c>
      <c r="AA28" s="188"/>
      <c r="AB28" s="188">
        <f>I10</f>
        <v>68045746.774747133</v>
      </c>
      <c r="AC28" s="177" t="e">
        <f t="shared" si="27"/>
        <v>#N/A</v>
      </c>
      <c r="AD28" s="177" t="e">
        <f t="shared" si="28"/>
        <v>#N/A</v>
      </c>
      <c r="AE28" s="176"/>
      <c r="AF28" s="176"/>
      <c r="AG28" s="176"/>
      <c r="AH28" s="176"/>
      <c r="AI28" s="176"/>
      <c r="AJ28" s="176"/>
      <c r="AK28" s="176"/>
      <c r="AL28" s="176"/>
    </row>
    <row r="29" spans="1:39" ht="19.5" customHeight="1">
      <c r="A29" s="132" t="s">
        <v>248</v>
      </c>
      <c r="B29" s="97" t="s">
        <v>163</v>
      </c>
      <c r="C29" s="97" t="s">
        <v>179</v>
      </c>
      <c r="D29" s="97" t="s">
        <v>180</v>
      </c>
      <c r="E29" s="97" t="s">
        <v>181</v>
      </c>
      <c r="F29" s="97" t="s">
        <v>182</v>
      </c>
      <c r="G29" s="97" t="s">
        <v>183</v>
      </c>
      <c r="H29" s="97" t="s">
        <v>184</v>
      </c>
      <c r="I29" s="97" t="s">
        <v>185</v>
      </c>
      <c r="J29" s="97" t="s">
        <v>186</v>
      </c>
      <c r="K29" s="97" t="s">
        <v>187</v>
      </c>
      <c r="L29" s="97" t="s">
        <v>188</v>
      </c>
      <c r="M29" s="97" t="s">
        <v>189</v>
      </c>
      <c r="X29" s="176"/>
      <c r="Y29" s="182" t="s">
        <v>300</v>
      </c>
      <c r="Z29" s="187">
        <f>J11</f>
        <v>53662858.289542615</v>
      </c>
      <c r="AA29" s="188"/>
      <c r="AB29" s="188">
        <f>J10</f>
        <v>69642679.083244458</v>
      </c>
      <c r="AC29" s="177" t="e">
        <f t="shared" si="27"/>
        <v>#N/A</v>
      </c>
      <c r="AD29" s="177" t="e">
        <f t="shared" si="28"/>
        <v>#N/A</v>
      </c>
      <c r="AE29" s="176"/>
      <c r="AF29" s="176"/>
      <c r="AG29" s="176"/>
      <c r="AH29" s="176"/>
      <c r="AI29" s="176"/>
      <c r="AJ29" s="176"/>
      <c r="AK29" s="176"/>
      <c r="AL29" s="176"/>
    </row>
    <row r="30" spans="1:39" ht="19.5" customHeight="1">
      <c r="A30" s="96" t="s">
        <v>209</v>
      </c>
      <c r="B30" s="62">
        <f>$N$30*Lançamentos!R75</f>
        <v>149032.88527663413</v>
      </c>
      <c r="C30" s="62">
        <f>$N$30*Lançamentos!R76</f>
        <v>254452.53292839986</v>
      </c>
      <c r="D30" s="62">
        <f>$N$30*Lançamentos!R77</f>
        <v>351791.47133290104</v>
      </c>
      <c r="E30" s="62">
        <f>$N$30*Lançamentos!R78</f>
        <v>435601.46585815132</v>
      </c>
      <c r="F30" s="62">
        <f>$N$30*Lançamentos!R79</f>
        <v>520609.99117925472</v>
      </c>
      <c r="G30" s="62">
        <f>$N$30*Lançamentos!R80</f>
        <v>603925.31113934948</v>
      </c>
      <c r="H30" s="62">
        <f>$N$30*Lançamentos!R81</f>
        <v>677295.37754477479</v>
      </c>
      <c r="I30" s="62">
        <f>$N$30*Lançamentos!R82</f>
        <v>754583.73676182423</v>
      </c>
      <c r="J30" s="62">
        <f>$N$30*Lançamentos!R83</f>
        <v>813921.49769616686</v>
      </c>
      <c r="K30" s="62">
        <f>$N$30*Lançamentos!R84</f>
        <v>889347.10772690573</v>
      </c>
      <c r="L30" s="62">
        <f>$N$30*Lançamentos!R85</f>
        <v>956788.17683665326</v>
      </c>
      <c r="M30" s="62">
        <f>$N$30*Lançamentos!R86</f>
        <v>1026714.548424322</v>
      </c>
      <c r="N30" s="95">
        <f>Lançamentos!AE61</f>
        <v>1026714.5484243218</v>
      </c>
      <c r="X30" s="176"/>
      <c r="Y30" s="182" t="s">
        <v>301</v>
      </c>
      <c r="Z30" s="187">
        <f>K11</f>
        <v>55170040.772948697</v>
      </c>
      <c r="AA30" s="188"/>
      <c r="AB30" s="188">
        <f>K10</f>
        <v>71598673.030592427</v>
      </c>
      <c r="AC30" s="177" t="e">
        <f t="shared" si="27"/>
        <v>#N/A</v>
      </c>
      <c r="AD30" s="177" t="e">
        <f t="shared" si="28"/>
        <v>#N/A</v>
      </c>
      <c r="AE30" s="176"/>
      <c r="AF30" s="176"/>
      <c r="AG30" s="176"/>
      <c r="AH30" s="176"/>
      <c r="AI30" s="176"/>
      <c r="AJ30" s="176"/>
      <c r="AK30" s="176"/>
      <c r="AL30" s="176"/>
    </row>
    <row r="31" spans="1:39" ht="19.5" customHeight="1">
      <c r="A31" s="96" t="s">
        <v>210</v>
      </c>
      <c r="B31" s="65">
        <f>Lançamentos!R61</f>
        <v>210957</v>
      </c>
      <c r="C31" s="65">
        <f>SUM(Lançamentos!R61:S61)</f>
        <v>432443.12</v>
      </c>
      <c r="D31" s="65">
        <f>SUM(Lançamentos!R61:T61)</f>
        <v>590381.62</v>
      </c>
      <c r="E31" s="65">
        <f>SUM(Lançamentos!R61:U61)</f>
        <v>771922.58</v>
      </c>
      <c r="F31" s="65">
        <f>SUM(Lançamentos!R61:V61)*0</f>
        <v>0</v>
      </c>
      <c r="G31" s="65">
        <f>SUM(Lançamentos!R61:W61)*0</f>
        <v>0</v>
      </c>
      <c r="H31" s="65">
        <f>SUM(Lançamentos!R61:X61)*0</f>
        <v>0</v>
      </c>
      <c r="I31" s="65">
        <f>SUM(Lançamentos!R61:Y61)*0</f>
        <v>0</v>
      </c>
      <c r="J31" s="65">
        <f>SUM(Lançamentos!R61:Z61)*0</f>
        <v>0</v>
      </c>
      <c r="K31" s="65">
        <f>SUM(Lançamentos!R61:AA61)*0</f>
        <v>0</v>
      </c>
      <c r="L31" s="65">
        <f>SUM(Lançamentos!R61:AB61)*0</f>
        <v>0</v>
      </c>
      <c r="M31" s="65">
        <f>SUM(Lançamentos!R61:AC61)*0</f>
        <v>0</v>
      </c>
      <c r="X31" s="176"/>
      <c r="Y31" s="182" t="s">
        <v>302</v>
      </c>
      <c r="Z31" s="187">
        <f>L11</f>
        <v>56458732.682435155</v>
      </c>
      <c r="AA31" s="188"/>
      <c r="AB31" s="188">
        <f>L10</f>
        <v>73271113.894724101</v>
      </c>
      <c r="AC31" s="177" t="e">
        <f t="shared" si="27"/>
        <v>#N/A</v>
      </c>
      <c r="AD31" s="177" t="e">
        <f t="shared" si="28"/>
        <v>#N/A</v>
      </c>
      <c r="AE31" s="176"/>
      <c r="AF31" s="176"/>
      <c r="AG31" s="176"/>
      <c r="AH31" s="176"/>
      <c r="AI31" s="176"/>
      <c r="AJ31" s="176"/>
      <c r="AK31" s="176"/>
      <c r="AL31" s="176"/>
    </row>
    <row r="32" spans="1:39" ht="19.5" customHeight="1">
      <c r="A32" s="96" t="s">
        <v>211</v>
      </c>
      <c r="B32" s="68">
        <f>B31/B30</f>
        <v>1.4155063804100863</v>
      </c>
      <c r="C32" s="68">
        <f t="shared" ref="C32" si="40">C31/C30</f>
        <v>1.6995040883388837</v>
      </c>
      <c r="D32" s="68">
        <f t="shared" ref="D32" si="41">D31/D30</f>
        <v>1.6782147041913946</v>
      </c>
      <c r="E32" s="68">
        <f t="shared" ref="E32" si="42">E31/E30</f>
        <v>1.772084440715284</v>
      </c>
      <c r="F32" s="68">
        <f t="shared" ref="F32" si="43">F31/F30</f>
        <v>0</v>
      </c>
      <c r="G32" s="68">
        <f t="shared" ref="G32" si="44">G31/G30</f>
        <v>0</v>
      </c>
      <c r="H32" s="68">
        <f t="shared" ref="H32" si="45">H31/H30</f>
        <v>0</v>
      </c>
      <c r="I32" s="68">
        <f t="shared" ref="I32" si="46">I31/I30</f>
        <v>0</v>
      </c>
      <c r="J32" s="68">
        <f t="shared" ref="J32" si="47">J31/J30</f>
        <v>0</v>
      </c>
      <c r="K32" s="68">
        <f t="shared" ref="K32" si="48">K31/K30</f>
        <v>0</v>
      </c>
      <c r="L32" s="68">
        <f t="shared" ref="L32" si="49">L31/L30</f>
        <v>0</v>
      </c>
      <c r="M32" s="68">
        <f t="shared" ref="M32" si="50">M31/M30</f>
        <v>0</v>
      </c>
      <c r="X32" s="176"/>
      <c r="Y32" s="182" t="s">
        <v>303</v>
      </c>
      <c r="Z32" s="187">
        <f>M11</f>
        <v>57560604.893544175</v>
      </c>
      <c r="AA32" s="188"/>
      <c r="AB32" s="188">
        <f>M10</f>
        <v>74701103.560480773</v>
      </c>
      <c r="AC32" s="177" t="e">
        <f t="shared" si="27"/>
        <v>#N/A</v>
      </c>
      <c r="AD32" s="177" t="e">
        <f t="shared" si="28"/>
        <v>#N/A</v>
      </c>
      <c r="AE32" s="176"/>
      <c r="AF32" s="176"/>
      <c r="AG32" s="176"/>
      <c r="AH32" s="176"/>
      <c r="AI32" s="176"/>
      <c r="AJ32" s="176"/>
      <c r="AK32" s="176"/>
      <c r="AL32" s="176"/>
    </row>
    <row r="33" spans="1:38" ht="19.5" customHeight="1" thickBot="1"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</row>
    <row r="34" spans="1:38" ht="19.5" customHeight="1">
      <c r="A34" s="332" t="str">
        <f>Lançamentos!A88</f>
        <v>RRT</v>
      </c>
      <c r="B34" s="332" t="s">
        <v>146</v>
      </c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</row>
    <row r="35" spans="1:38" ht="19.5" customHeight="1">
      <c r="A35" s="132" t="s">
        <v>248</v>
      </c>
      <c r="B35" s="97" t="s">
        <v>163</v>
      </c>
      <c r="C35" s="97" t="s">
        <v>179</v>
      </c>
      <c r="D35" s="97" t="s">
        <v>180</v>
      </c>
      <c r="E35" s="97" t="s">
        <v>181</v>
      </c>
      <c r="F35" s="97" t="s">
        <v>182</v>
      </c>
      <c r="G35" s="97" t="s">
        <v>183</v>
      </c>
      <c r="H35" s="97" t="s">
        <v>184</v>
      </c>
      <c r="I35" s="97" t="s">
        <v>185</v>
      </c>
      <c r="J35" s="97" t="s">
        <v>186</v>
      </c>
      <c r="K35" s="97" t="s">
        <v>187</v>
      </c>
      <c r="L35" s="97" t="s">
        <v>188</v>
      </c>
      <c r="M35" s="97" t="s">
        <v>189</v>
      </c>
      <c r="X35" s="176"/>
      <c r="Y35" s="333" t="s">
        <v>305</v>
      </c>
      <c r="Z35" s="333"/>
      <c r="AA35" s="333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</row>
    <row r="36" spans="1:38" ht="19.5" customHeight="1">
      <c r="A36" s="96" t="s">
        <v>209</v>
      </c>
      <c r="B36" s="62">
        <f>$N$36*Lançamentos!B104</f>
        <v>5289691.519425259</v>
      </c>
      <c r="C36" s="62">
        <f>$N$36*Lançamentos!B105</f>
        <v>10946126.084264638</v>
      </c>
      <c r="D36" s="62">
        <f>$N$36*Lançamentos!B106</f>
        <v>18483532.833525073</v>
      </c>
      <c r="E36" s="62">
        <f>$N$36*Lançamentos!B107</f>
        <v>25403790.303136677</v>
      </c>
      <c r="F36" s="62">
        <f>$N$36*Lançamentos!B108</f>
        <v>33225436.985169947</v>
      </c>
      <c r="G36" s="62">
        <f>$N$36*Lançamentos!B109</f>
        <v>40648530.656770773</v>
      </c>
      <c r="H36" s="62">
        <f>$N$36*Lançamentos!B110</f>
        <v>48092325.603216611</v>
      </c>
      <c r="I36" s="62">
        <f>$N$36*Lançamentos!B111</f>
        <v>56573819.691179112</v>
      </c>
      <c r="J36" s="62">
        <f>$N$36*Lançamentos!B112</f>
        <v>63808638.033217229</v>
      </c>
      <c r="K36" s="62">
        <f>$N$36*Lançamentos!B113</f>
        <v>71594760.70306471</v>
      </c>
      <c r="L36" s="62">
        <f>$N$36*Lançamentos!B114</f>
        <v>78493365.828256473</v>
      </c>
      <c r="M36" s="62">
        <f>$N$36*Lançamentos!B115</f>
        <v>84943109.670736536</v>
      </c>
      <c r="N36" s="95">
        <f>Lançamentos!O90</f>
        <v>84943109.670736521</v>
      </c>
      <c r="X36" s="176"/>
      <c r="Y36" s="178" t="s">
        <v>248</v>
      </c>
      <c r="Z36" s="179" t="s">
        <v>288</v>
      </c>
      <c r="AA36" s="180" t="s">
        <v>289</v>
      </c>
      <c r="AB36" s="181"/>
      <c r="AC36" s="181" t="s">
        <v>290</v>
      </c>
      <c r="AD36" s="181" t="s">
        <v>291</v>
      </c>
      <c r="AE36" s="176"/>
      <c r="AF36" s="176"/>
      <c r="AG36" s="176"/>
      <c r="AH36" s="176"/>
      <c r="AI36" s="176"/>
      <c r="AJ36" s="176"/>
      <c r="AK36" s="176"/>
      <c r="AL36" s="176"/>
    </row>
    <row r="37" spans="1:38" ht="19.5" customHeight="1">
      <c r="A37" s="96" t="s">
        <v>210</v>
      </c>
      <c r="B37" s="65">
        <f>Lançamentos!B90</f>
        <v>5455921.4999999991</v>
      </c>
      <c r="C37" s="65">
        <f>SUM(Lançamentos!B90:C90)</f>
        <v>12190402.559999999</v>
      </c>
      <c r="D37" s="65">
        <f>SUM(Lançamentos!B90:D90)</f>
        <v>18826734.489999998</v>
      </c>
      <c r="E37" s="65">
        <f>SUM(Lançamentos!B90:E90)</f>
        <v>26560121.68</v>
      </c>
      <c r="F37" s="65">
        <f>SUM(Lançamentos!B90:F90)*0</f>
        <v>0</v>
      </c>
      <c r="G37" s="65">
        <f>SUM(Lançamentos!B90:G90)*0</f>
        <v>0</v>
      </c>
      <c r="H37" s="65">
        <f>SUM(Lançamentos!B90:H90)*0</f>
        <v>0</v>
      </c>
      <c r="I37" s="65">
        <f>SUM(Lançamentos!B90:I90)*0</f>
        <v>0</v>
      </c>
      <c r="J37" s="65">
        <f>SUM(Lançamentos!B90:J90)*0</f>
        <v>0</v>
      </c>
      <c r="K37" s="65">
        <f>SUM(Lançamentos!B90:K90)*0</f>
        <v>0</v>
      </c>
      <c r="L37" s="65">
        <f>SUM(Lançamentos!B90:L90)*0</f>
        <v>0</v>
      </c>
      <c r="M37" s="65">
        <f>SUM(Lançamentos!B90:M90)*0</f>
        <v>0</v>
      </c>
      <c r="X37" s="176"/>
      <c r="Y37" s="182" t="s">
        <v>292</v>
      </c>
      <c r="Z37" s="183">
        <f>B17</f>
        <v>1310230.0516277591</v>
      </c>
      <c r="AA37" s="184">
        <f>B18</f>
        <v>1446032.3099999998</v>
      </c>
      <c r="AB37" s="176"/>
      <c r="AC37" s="177">
        <f>IF(AA37="",NA(),IF(AA37&gt;=Z37,AA37,NA()))</f>
        <v>1446032.3099999998</v>
      </c>
      <c r="AD37" s="177" t="e">
        <f>IF(AA37="",NA(),IF(AA37&lt;Z37,AA37,NA()))</f>
        <v>#N/A</v>
      </c>
      <c r="AE37" s="176"/>
      <c r="AF37" s="176"/>
      <c r="AG37" s="176"/>
      <c r="AH37" s="176"/>
      <c r="AI37" s="176"/>
      <c r="AJ37" s="176"/>
      <c r="AK37" s="176"/>
      <c r="AL37" s="176"/>
    </row>
    <row r="38" spans="1:38" ht="19.5" customHeight="1">
      <c r="A38" s="96" t="s">
        <v>211</v>
      </c>
      <c r="B38" s="68">
        <f>B37/B36</f>
        <v>1.0314252693118864</v>
      </c>
      <c r="C38" s="68">
        <f t="shared" ref="C38" si="51">C37/C36</f>
        <v>1.1136727702711229</v>
      </c>
      <c r="D38" s="68">
        <f t="shared" ref="D38" si="52">D37/D36</f>
        <v>1.0185679685569868</v>
      </c>
      <c r="E38" s="68">
        <f t="shared" ref="E38" si="53">E37/E36</f>
        <v>1.0455180649448421</v>
      </c>
      <c r="F38" s="68">
        <f t="shared" ref="F38" si="54">F37/F36</f>
        <v>0</v>
      </c>
      <c r="G38" s="68">
        <f t="shared" ref="G38" si="55">G37/G36</f>
        <v>0</v>
      </c>
      <c r="H38" s="68">
        <f t="shared" ref="H38" si="56">H37/H36</f>
        <v>0</v>
      </c>
      <c r="I38" s="68">
        <f t="shared" ref="I38" si="57">I37/I36</f>
        <v>0</v>
      </c>
      <c r="J38" s="68">
        <f t="shared" ref="J38" si="58">J37/J36</f>
        <v>0</v>
      </c>
      <c r="K38" s="68">
        <f t="shared" ref="K38" si="59">K37/K36</f>
        <v>0</v>
      </c>
      <c r="L38" s="68">
        <f t="shared" ref="L38" si="60">L37/L36</f>
        <v>0</v>
      </c>
      <c r="M38" s="68">
        <f t="shared" ref="M38" si="61">M37/M36</f>
        <v>0</v>
      </c>
      <c r="X38" s="176"/>
      <c r="Y38" s="182" t="s">
        <v>293</v>
      </c>
      <c r="Z38" s="187">
        <f>C17</f>
        <v>2138806.5617406666</v>
      </c>
      <c r="AA38" s="188">
        <f>C18</f>
        <v>2769380.96</v>
      </c>
      <c r="AB38" s="176"/>
      <c r="AC38" s="177">
        <f t="shared" ref="AC38:AC48" si="62">IF(AA38="",NA(),IF(AA38&gt;=Z38,AA38,NA()))</f>
        <v>2769380.96</v>
      </c>
      <c r="AD38" s="177" t="e">
        <f t="shared" ref="AD38:AD48" si="63">IF(AA38="",NA(),IF(AA38&lt;Z38,AA38,NA()))</f>
        <v>#N/A</v>
      </c>
      <c r="AE38" s="176"/>
      <c r="AF38" s="176"/>
      <c r="AG38" s="176"/>
      <c r="AH38" s="176"/>
      <c r="AI38" s="176"/>
      <c r="AJ38" s="176"/>
      <c r="AK38" s="176"/>
      <c r="AL38" s="176"/>
    </row>
    <row r="39" spans="1:38" ht="19.5" customHeight="1">
      <c r="X39" s="176"/>
      <c r="Y39" s="182" t="s">
        <v>294</v>
      </c>
      <c r="Z39" s="187">
        <f>D17</f>
        <v>2875295.2254140498</v>
      </c>
      <c r="AA39" s="188">
        <f>D18</f>
        <v>3735063.9299999997</v>
      </c>
      <c r="AB39" s="176"/>
      <c r="AC39" s="177">
        <f t="shared" si="62"/>
        <v>3735063.9299999997</v>
      </c>
      <c r="AD39" s="177" t="e">
        <f t="shared" si="63"/>
        <v>#N/A</v>
      </c>
      <c r="AE39" s="176"/>
      <c r="AF39" s="176"/>
      <c r="AG39" s="176"/>
      <c r="AH39" s="176"/>
      <c r="AI39" s="176"/>
      <c r="AJ39" s="176"/>
      <c r="AK39" s="176"/>
      <c r="AL39" s="176"/>
    </row>
    <row r="40" spans="1:38" ht="19.5" customHeight="1">
      <c r="A40" s="332" t="str">
        <f>Lançamentos!A117</f>
        <v>Taxas e Multas</v>
      </c>
      <c r="B40" s="332" t="s">
        <v>146</v>
      </c>
      <c r="C40" s="332"/>
      <c r="D40" s="332"/>
      <c r="E40" s="332"/>
      <c r="F40" s="332"/>
      <c r="G40" s="332"/>
      <c r="H40" s="332"/>
      <c r="I40" s="332"/>
      <c r="J40" s="332"/>
      <c r="K40" s="332"/>
      <c r="L40" s="332"/>
      <c r="M40" s="332"/>
      <c r="X40" s="176"/>
      <c r="Y40" s="182" t="s">
        <v>295</v>
      </c>
      <c r="Z40" s="187">
        <f>E17</f>
        <v>3508232.95521536</v>
      </c>
      <c r="AA40" s="188">
        <f>E18</f>
        <v>4751518.54</v>
      </c>
      <c r="AB40" s="176"/>
      <c r="AC40" s="177">
        <f t="shared" si="62"/>
        <v>4751518.54</v>
      </c>
      <c r="AD40" s="177" t="e">
        <f t="shared" si="63"/>
        <v>#N/A</v>
      </c>
      <c r="AE40" s="176"/>
      <c r="AF40" s="176"/>
      <c r="AG40" s="176"/>
      <c r="AH40" s="176"/>
      <c r="AI40" s="176"/>
      <c r="AJ40" s="176"/>
      <c r="AK40" s="176"/>
      <c r="AL40" s="176"/>
    </row>
    <row r="41" spans="1:38" ht="19.5" customHeight="1">
      <c r="A41" s="132" t="s">
        <v>248</v>
      </c>
      <c r="B41" s="97" t="s">
        <v>163</v>
      </c>
      <c r="C41" s="97" t="s">
        <v>179</v>
      </c>
      <c r="D41" s="97" t="s">
        <v>180</v>
      </c>
      <c r="E41" s="97" t="s">
        <v>181</v>
      </c>
      <c r="F41" s="97" t="s">
        <v>182</v>
      </c>
      <c r="G41" s="97" t="s">
        <v>183</v>
      </c>
      <c r="H41" s="97" t="s">
        <v>184</v>
      </c>
      <c r="I41" s="97" t="s">
        <v>185</v>
      </c>
      <c r="J41" s="97" t="s">
        <v>186</v>
      </c>
      <c r="K41" s="97" t="s">
        <v>187</v>
      </c>
      <c r="L41" s="97" t="s">
        <v>188</v>
      </c>
      <c r="M41" s="97" t="s">
        <v>189</v>
      </c>
      <c r="X41" s="176"/>
      <c r="Y41" s="182" t="s">
        <v>296</v>
      </c>
      <c r="Z41" s="187">
        <f>F17</f>
        <v>4196266.4682252845</v>
      </c>
      <c r="AA41" s="188"/>
      <c r="AB41" s="176"/>
      <c r="AC41" s="177" t="e">
        <f t="shared" si="62"/>
        <v>#N/A</v>
      </c>
      <c r="AD41" s="177" t="e">
        <f t="shared" si="63"/>
        <v>#N/A</v>
      </c>
      <c r="AE41" s="176"/>
      <c r="AF41" s="176"/>
      <c r="AG41" s="176"/>
      <c r="AH41" s="176"/>
      <c r="AI41" s="176"/>
      <c r="AJ41" s="176"/>
      <c r="AK41" s="176"/>
      <c r="AL41" s="176"/>
    </row>
    <row r="42" spans="1:38" ht="19.5" customHeight="1">
      <c r="A42" s="190" t="s">
        <v>315</v>
      </c>
      <c r="B42" s="62">
        <f>$N$42*Lançamentos!B133</f>
        <v>821304.99769217195</v>
      </c>
      <c r="C42" s="62">
        <f>$N$42*Lançamentos!B134</f>
        <v>1410949.2932509058</v>
      </c>
      <c r="D42" s="62">
        <f>$N$42*Lançamentos!B135</f>
        <v>1968552.3752200392</v>
      </c>
      <c r="E42" s="62">
        <f>$N$42*Lançamentos!B136</f>
        <v>2487690.3733124947</v>
      </c>
      <c r="F42" s="62">
        <f>$N$42*Lançamentos!B137</f>
        <v>3032093.7186151734</v>
      </c>
      <c r="G42" s="62">
        <f>$N$42*Lançamentos!B138</f>
        <v>3579699.3067701771</v>
      </c>
      <c r="H42" s="62">
        <f>$N$42*Lançamentos!B139</f>
        <v>4178876.4698965959</v>
      </c>
      <c r="I42" s="62">
        <f>$N$42*Lançamentos!B140</f>
        <v>4872806.044522848</v>
      </c>
      <c r="J42" s="62">
        <f>$N$42*Lançamentos!B141</f>
        <v>5434568.1806617696</v>
      </c>
      <c r="K42" s="62">
        <f>$N$42*Lançamentos!B142</f>
        <v>6233924.0288129207</v>
      </c>
      <c r="L42" s="62">
        <f>$N$42*Lançamentos!B143</f>
        <v>6953575.7699882351</v>
      </c>
      <c r="M42" s="62">
        <f>$N$42*Lançamentos!B144</f>
        <v>7652141.625052887</v>
      </c>
      <c r="N42" s="93">
        <f>Lançamentos!AH4</f>
        <v>7652141.625052887</v>
      </c>
      <c r="X42" s="176"/>
      <c r="Y42" s="182" t="s">
        <v>297</v>
      </c>
      <c r="Z42" s="187">
        <f>G17</f>
        <v>4792472.3572983611</v>
      </c>
      <c r="AA42" s="188"/>
      <c r="AB42" s="176"/>
      <c r="AC42" s="177" t="e">
        <f t="shared" si="62"/>
        <v>#N/A</v>
      </c>
      <c r="AD42" s="177" t="e">
        <f t="shared" si="63"/>
        <v>#N/A</v>
      </c>
      <c r="AE42" s="176"/>
      <c r="AF42" s="176"/>
      <c r="AG42" s="176"/>
      <c r="AH42" s="176"/>
      <c r="AI42" s="176"/>
      <c r="AJ42" s="176"/>
      <c r="AK42" s="176"/>
      <c r="AL42" s="176"/>
    </row>
    <row r="43" spans="1:38" ht="19.5" customHeight="1">
      <c r="A43" s="96" t="s">
        <v>209</v>
      </c>
      <c r="B43" s="62">
        <f>$N$43*Lançamentos!B133</f>
        <v>728006.7976387497</v>
      </c>
      <c r="C43" s="62">
        <f>$N$43*Lançamentos!B134</f>
        <v>1250668.9713280427</v>
      </c>
      <c r="D43" s="62">
        <f>$N$43*Lançamentos!B135</f>
        <v>1744929.7334060951</v>
      </c>
      <c r="E43" s="62">
        <f>$N$43*Lançamentos!B136</f>
        <v>2205094.9492343953</v>
      </c>
      <c r="F43" s="62">
        <f>$N$43*Lançamentos!B137</f>
        <v>2687655.4318216094</v>
      </c>
      <c r="G43" s="62">
        <f>$N$43*Lançamentos!B138</f>
        <v>3173054.3904569834</v>
      </c>
      <c r="H43" s="62">
        <f>$N$43*Lançamentos!B139</f>
        <v>3704166.521725696</v>
      </c>
      <c r="I43" s="62">
        <f>$N$43*Lançamentos!B140</f>
        <v>4319267.4267853573</v>
      </c>
      <c r="J43" s="62">
        <f>$N$43*Lançamentos!B141</f>
        <v>4817214.7848488986</v>
      </c>
      <c r="K43" s="62">
        <f>$N$43*Lançamentos!B142</f>
        <v>5525765.8016106859</v>
      </c>
      <c r="L43" s="62">
        <f>$N$43*Lançamentos!B143</f>
        <v>6163666.8992301533</v>
      </c>
      <c r="M43" s="62">
        <f>$N$43*Lançamentos!B144</f>
        <v>6782877.4148296248</v>
      </c>
      <c r="N43" s="95">
        <f>Lançamentos!O119</f>
        <v>6782877.4148296248</v>
      </c>
      <c r="X43" s="176"/>
      <c r="Y43" s="182" t="s">
        <v>298</v>
      </c>
      <c r="Z43" s="187">
        <f>H17</f>
        <v>5379422.8673073482</v>
      </c>
      <c r="AA43" s="188"/>
      <c r="AB43" s="176"/>
      <c r="AC43" s="177" t="e">
        <f t="shared" si="62"/>
        <v>#N/A</v>
      </c>
      <c r="AD43" s="177" t="e">
        <f t="shared" si="63"/>
        <v>#N/A</v>
      </c>
      <c r="AE43" s="176"/>
      <c r="AF43" s="176"/>
      <c r="AG43" s="176"/>
      <c r="AH43" s="176"/>
      <c r="AI43" s="176"/>
      <c r="AJ43" s="176"/>
      <c r="AK43" s="176"/>
      <c r="AL43" s="176"/>
    </row>
    <row r="44" spans="1:38" ht="19.5" customHeight="1">
      <c r="A44" s="96" t="s">
        <v>210</v>
      </c>
      <c r="B44" s="65">
        <f>Lançamentos!B119</f>
        <v>648692.31000000017</v>
      </c>
      <c r="C44" s="65">
        <f>SUM(Lançamentos!B119:C119)</f>
        <v>1277632.8599999999</v>
      </c>
      <c r="D44" s="65">
        <f>SUM(Lançamentos!B119:D119)</f>
        <v>1763465.94</v>
      </c>
      <c r="E44" s="65">
        <f>SUM(Lançamentos!B119:E119)</f>
        <v>2292248.2030000002</v>
      </c>
      <c r="F44" s="65">
        <f>SUM(Lançamentos!B119:F119)*0</f>
        <v>0</v>
      </c>
      <c r="G44" s="65">
        <f>SUM(Lançamentos!B119:G119)*0</f>
        <v>0</v>
      </c>
      <c r="H44" s="65">
        <f>SUM(Lançamentos!B119:H119)*0</f>
        <v>0</v>
      </c>
      <c r="I44" s="65">
        <f>SUM(Lançamentos!B119:I119)*0</f>
        <v>0</v>
      </c>
      <c r="J44" s="65">
        <f>SUM(Lançamentos!B119:J119)*0</f>
        <v>0</v>
      </c>
      <c r="K44" s="65">
        <f>SUM(Lançamentos!B119:K119)*0</f>
        <v>0</v>
      </c>
      <c r="L44" s="65">
        <f>SUM(Lançamentos!B119:L119)*0</f>
        <v>0</v>
      </c>
      <c r="M44" s="65">
        <f>SUM(Lançamentos!B119:M119)*0</f>
        <v>0</v>
      </c>
      <c r="X44" s="176"/>
      <c r="Y44" s="182" t="s">
        <v>299</v>
      </c>
      <c r="Z44" s="187">
        <f>I17</f>
        <v>5990230.9955518246</v>
      </c>
      <c r="AA44" s="188"/>
      <c r="AB44" s="176"/>
      <c r="AC44" s="177" t="e">
        <f t="shared" si="62"/>
        <v>#N/A</v>
      </c>
      <c r="AD44" s="177" t="e">
        <f t="shared" si="63"/>
        <v>#N/A</v>
      </c>
      <c r="AE44" s="176"/>
      <c r="AF44" s="176"/>
      <c r="AG44" s="176"/>
      <c r="AH44" s="176"/>
      <c r="AI44" s="176"/>
      <c r="AJ44" s="176"/>
      <c r="AK44" s="176"/>
      <c r="AL44" s="176"/>
    </row>
    <row r="45" spans="1:38" ht="19.5" customHeight="1">
      <c r="A45" s="96" t="s">
        <v>211</v>
      </c>
      <c r="B45" s="68">
        <f>B44/B43</f>
        <v>0.89105254525644306</v>
      </c>
      <c r="C45" s="68">
        <f t="shared" ref="C45" si="64">C44/C43</f>
        <v>1.0215595727487548</v>
      </c>
      <c r="D45" s="68">
        <f t="shared" ref="D45" si="65">D44/D43</f>
        <v>1.010622895718398</v>
      </c>
      <c r="E45" s="68">
        <f t="shared" ref="E45" si="66">E44/E43</f>
        <v>1.0395235832343022</v>
      </c>
      <c r="F45" s="68">
        <f t="shared" ref="F45" si="67">F44/F43</f>
        <v>0</v>
      </c>
      <c r="G45" s="68">
        <f t="shared" ref="G45" si="68">G44/G43</f>
        <v>0</v>
      </c>
      <c r="H45" s="68">
        <f t="shared" ref="H45" si="69">H44/H43</f>
        <v>0</v>
      </c>
      <c r="I45" s="68">
        <f t="shared" ref="I45" si="70">I44/I43</f>
        <v>0</v>
      </c>
      <c r="J45" s="68">
        <f t="shared" ref="J45" si="71">J44/J43</f>
        <v>0</v>
      </c>
      <c r="K45" s="68">
        <f t="shared" ref="K45" si="72">K44/K43</f>
        <v>0</v>
      </c>
      <c r="L45" s="68">
        <f t="shared" ref="L45" si="73">L44/L43</f>
        <v>0</v>
      </c>
      <c r="M45" s="68">
        <f t="shared" ref="M45" si="74">M44/M43</f>
        <v>0</v>
      </c>
      <c r="X45" s="176"/>
      <c r="Y45" s="182" t="s">
        <v>300</v>
      </c>
      <c r="Z45" s="187">
        <f>J17</f>
        <v>6455772.3440091806</v>
      </c>
      <c r="AA45" s="188"/>
      <c r="AB45" s="176"/>
      <c r="AC45" s="177" t="e">
        <f t="shared" si="62"/>
        <v>#N/A</v>
      </c>
      <c r="AD45" s="177" t="e">
        <f t="shared" si="63"/>
        <v>#N/A</v>
      </c>
      <c r="AE45" s="176"/>
      <c r="AF45" s="176"/>
      <c r="AG45" s="176"/>
      <c r="AH45" s="176"/>
      <c r="AI45" s="176"/>
      <c r="AJ45" s="176"/>
      <c r="AK45" s="176"/>
      <c r="AL45" s="176"/>
    </row>
    <row r="46" spans="1:38" ht="19.5" customHeight="1">
      <c r="X46" s="176"/>
      <c r="Y46" s="182" t="s">
        <v>301</v>
      </c>
      <c r="Z46" s="187">
        <f>K17</f>
        <v>7087618.0440178793</v>
      </c>
      <c r="AA46" s="188"/>
      <c r="AB46" s="176"/>
      <c r="AC46" s="177" t="e">
        <f t="shared" si="62"/>
        <v>#N/A</v>
      </c>
      <c r="AD46" s="177" t="e">
        <f t="shared" si="63"/>
        <v>#N/A</v>
      </c>
      <c r="AE46" s="176"/>
      <c r="AF46" s="176"/>
      <c r="AG46" s="176"/>
      <c r="AH46" s="176"/>
      <c r="AI46" s="176"/>
      <c r="AJ46" s="176"/>
      <c r="AK46" s="176"/>
      <c r="AL46" s="176"/>
    </row>
    <row r="47" spans="1:38" ht="19.5" customHeight="1">
      <c r="X47" s="176"/>
      <c r="Y47" s="182" t="s">
        <v>302</v>
      </c>
      <c r="Z47" s="187">
        <f>L17</f>
        <v>7617587.9502158975</v>
      </c>
      <c r="AA47" s="188"/>
      <c r="AB47" s="176"/>
      <c r="AC47" s="177" t="e">
        <f t="shared" si="62"/>
        <v>#N/A</v>
      </c>
      <c r="AD47" s="177" t="e">
        <f t="shared" si="63"/>
        <v>#N/A</v>
      </c>
      <c r="AE47" s="176"/>
      <c r="AF47" s="176"/>
      <c r="AG47" s="176"/>
      <c r="AH47" s="176"/>
      <c r="AI47" s="176"/>
      <c r="AJ47" s="176"/>
      <c r="AK47" s="176"/>
      <c r="AL47" s="176"/>
    </row>
    <row r="48" spans="1:38" ht="19.5" customHeight="1">
      <c r="X48" s="176"/>
      <c r="Y48" s="182" t="s">
        <v>303</v>
      </c>
      <c r="Z48" s="187">
        <f>M17</f>
        <v>8145741.0494781248</v>
      </c>
      <c r="AA48" s="188"/>
      <c r="AB48" s="176"/>
      <c r="AC48" s="177" t="e">
        <f t="shared" si="62"/>
        <v>#N/A</v>
      </c>
      <c r="AD48" s="177" t="e">
        <f t="shared" si="63"/>
        <v>#N/A</v>
      </c>
      <c r="AE48" s="176"/>
      <c r="AF48" s="176"/>
      <c r="AG48" s="176"/>
      <c r="AH48" s="176"/>
      <c r="AI48" s="176"/>
      <c r="AJ48" s="176"/>
      <c r="AK48" s="176"/>
      <c r="AL48" s="176"/>
    </row>
    <row r="49" spans="24:38" ht="16.5" thickBot="1"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</row>
    <row r="50" spans="24:38" ht="15.75"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</row>
    <row r="51" spans="24:38" ht="19.5" customHeight="1">
      <c r="X51" s="176"/>
      <c r="Y51" s="333" t="s">
        <v>306</v>
      </c>
      <c r="Z51" s="333"/>
      <c r="AA51" s="333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</row>
    <row r="52" spans="24:38" ht="19.5" customHeight="1">
      <c r="X52" s="176"/>
      <c r="Y52" s="178" t="s">
        <v>248</v>
      </c>
      <c r="Z52" s="179" t="s">
        <v>288</v>
      </c>
      <c r="AA52" s="180" t="s">
        <v>289</v>
      </c>
      <c r="AB52" s="180" t="s">
        <v>315</v>
      </c>
      <c r="AC52" s="181" t="s">
        <v>290</v>
      </c>
      <c r="AD52" s="181" t="s">
        <v>291</v>
      </c>
      <c r="AE52" s="176"/>
      <c r="AF52" s="176"/>
      <c r="AG52" s="176"/>
      <c r="AH52" s="176"/>
      <c r="AI52" s="176"/>
      <c r="AJ52" s="176"/>
      <c r="AK52" s="176"/>
      <c r="AL52" s="176"/>
    </row>
    <row r="53" spans="24:38" ht="19.5" customHeight="1">
      <c r="X53" s="176"/>
      <c r="Y53" s="182" t="s">
        <v>292</v>
      </c>
      <c r="Z53" s="183">
        <f>B24</f>
        <v>2235485.7726254836</v>
      </c>
      <c r="AA53" s="184">
        <f>B25</f>
        <v>1110920.1000000001</v>
      </c>
      <c r="AB53" s="184">
        <f>B23</f>
        <v>3544225.5926342681</v>
      </c>
      <c r="AC53" s="177" t="e">
        <f>IF(AA53="",NA(),IF(AA53&gt;=Z53,AA53,NA()))</f>
        <v>#N/A</v>
      </c>
      <c r="AD53" s="177">
        <f>IF(AA53="",NA(),IF(AA53&lt;Z53,AA53,NA()))</f>
        <v>1110920.1000000001</v>
      </c>
      <c r="AE53" s="176"/>
      <c r="AF53" s="176"/>
      <c r="AG53" s="176"/>
      <c r="AH53" s="176"/>
      <c r="AI53" s="176"/>
      <c r="AJ53" s="176"/>
      <c r="AK53" s="176"/>
      <c r="AL53" s="176"/>
    </row>
    <row r="54" spans="24:38" ht="19.5" customHeight="1">
      <c r="X54" s="176"/>
      <c r="Y54" s="182" t="s">
        <v>293</v>
      </c>
      <c r="Z54" s="187">
        <f>C24</f>
        <v>4212235.8701483989</v>
      </c>
      <c r="AA54" s="188">
        <f>C25</f>
        <v>2753844.83</v>
      </c>
      <c r="AB54" s="188">
        <f>C23</f>
        <v>6678241.6403654478</v>
      </c>
      <c r="AC54" s="177" t="e">
        <f t="shared" ref="AC54:AC64" si="75">IF(AA54="",NA(),IF(AA54&gt;=Z54,AA54,NA()))</f>
        <v>#N/A</v>
      </c>
      <c r="AD54" s="177">
        <f t="shared" ref="AD54:AD64" si="76">IF(AA54="",NA(),IF(AA54&lt;Z54,AA54,NA()))</f>
        <v>2753844.83</v>
      </c>
      <c r="AE54" s="176"/>
      <c r="AF54" s="176"/>
      <c r="AG54" s="176"/>
      <c r="AH54" s="176"/>
      <c r="AI54" s="176"/>
      <c r="AJ54" s="176"/>
      <c r="AK54" s="176"/>
      <c r="AL54" s="176"/>
    </row>
    <row r="55" spans="24:38" ht="19.5" customHeight="1">
      <c r="X55" s="176"/>
      <c r="Y55" s="182" t="s">
        <v>294</v>
      </c>
      <c r="Z55" s="187">
        <f>D24</f>
        <v>5262541.4014268918</v>
      </c>
      <c r="AA55" s="188">
        <f>D25</f>
        <v>3332092.26</v>
      </c>
      <c r="AB55" s="188">
        <f>D23</f>
        <v>8343436.6461339798</v>
      </c>
      <c r="AC55" s="177" t="e">
        <f t="shared" si="75"/>
        <v>#N/A</v>
      </c>
      <c r="AD55" s="177">
        <f t="shared" si="76"/>
        <v>3332092.26</v>
      </c>
      <c r="AE55" s="176"/>
      <c r="AF55" s="176"/>
      <c r="AG55" s="176"/>
      <c r="AH55" s="176"/>
      <c r="AI55" s="176"/>
      <c r="AJ55" s="176"/>
      <c r="AK55" s="176"/>
      <c r="AL55" s="176"/>
    </row>
    <row r="56" spans="24:38" ht="19.5" customHeight="1">
      <c r="X56" s="176"/>
      <c r="Y56" s="182" t="s">
        <v>295</v>
      </c>
      <c r="Z56" s="187">
        <f>E24</f>
        <v>6112110.4281369606</v>
      </c>
      <c r="AA56" s="188">
        <f>E25</f>
        <v>3991934.69</v>
      </c>
      <c r="AB56" s="188">
        <f>E23</f>
        <v>9690376.2348564994</v>
      </c>
      <c r="AC56" s="177" t="e">
        <f t="shared" si="75"/>
        <v>#N/A</v>
      </c>
      <c r="AD56" s="177">
        <f t="shared" si="76"/>
        <v>3991934.69</v>
      </c>
      <c r="AE56" s="176"/>
      <c r="AF56" s="176"/>
      <c r="AG56" s="176"/>
      <c r="AH56" s="176"/>
      <c r="AI56" s="176"/>
      <c r="AJ56" s="176"/>
      <c r="AK56" s="176"/>
      <c r="AL56" s="176"/>
    </row>
    <row r="57" spans="24:38" ht="19.5" customHeight="1">
      <c r="X57" s="176"/>
      <c r="Y57" s="182" t="s">
        <v>296</v>
      </c>
      <c r="Z57" s="187">
        <f>F24</f>
        <v>7306492.2853614269</v>
      </c>
      <c r="AA57" s="188"/>
      <c r="AB57" s="188">
        <f>F23</f>
        <v>11583995.419371074</v>
      </c>
      <c r="AC57" s="177" t="e">
        <f t="shared" si="75"/>
        <v>#N/A</v>
      </c>
      <c r="AD57" s="177" t="e">
        <f t="shared" si="76"/>
        <v>#N/A</v>
      </c>
      <c r="AE57" s="176"/>
      <c r="AF57" s="176"/>
      <c r="AG57" s="176"/>
      <c r="AH57" s="176"/>
      <c r="AI57" s="176"/>
      <c r="AJ57" s="176"/>
      <c r="AK57" s="176"/>
      <c r="AL57" s="176"/>
    </row>
    <row r="58" spans="24:38" ht="19.5" customHeight="1">
      <c r="X58" s="176"/>
      <c r="Y58" s="182" t="s">
        <v>297</v>
      </c>
      <c r="Z58" s="187">
        <f>G24</f>
        <v>8376627.2778502097</v>
      </c>
      <c r="AA58" s="188"/>
      <c r="AB58" s="188">
        <f>G23</f>
        <v>13280628.819769654</v>
      </c>
      <c r="AC58" s="177" t="e">
        <f t="shared" si="75"/>
        <v>#N/A</v>
      </c>
      <c r="AD58" s="177" t="e">
        <f t="shared" si="76"/>
        <v>#N/A</v>
      </c>
      <c r="AE58" s="176"/>
      <c r="AF58" s="176"/>
      <c r="AG58" s="176"/>
      <c r="AH58" s="176"/>
      <c r="AI58" s="176"/>
      <c r="AJ58" s="176"/>
      <c r="AK58" s="176"/>
      <c r="AL58" s="176"/>
    </row>
    <row r="59" spans="24:38" ht="19.5" customHeight="1">
      <c r="X59" s="176"/>
      <c r="Y59" s="182" t="s">
        <v>298</v>
      </c>
      <c r="Z59" s="187">
        <f>H24</f>
        <v>8779924.0493827146</v>
      </c>
      <c r="AA59" s="188"/>
      <c r="AB59" s="188">
        <f>H23</f>
        <v>13920031.117290674</v>
      </c>
      <c r="AC59" s="177" t="e">
        <f t="shared" si="75"/>
        <v>#N/A</v>
      </c>
      <c r="AD59" s="177" t="e">
        <f t="shared" si="76"/>
        <v>#N/A</v>
      </c>
      <c r="AE59" s="176"/>
      <c r="AF59" s="176"/>
      <c r="AG59" s="176"/>
      <c r="AH59" s="176"/>
      <c r="AI59" s="176"/>
      <c r="AJ59" s="176"/>
      <c r="AK59" s="176"/>
      <c r="AL59" s="176"/>
    </row>
    <row r="60" spans="24:38" ht="19.5" customHeight="1">
      <c r="X60" s="176"/>
      <c r="Y60" s="182" t="s">
        <v>299</v>
      </c>
      <c r="Z60" s="187">
        <f>I24</f>
        <v>9163092.7915643938</v>
      </c>
      <c r="AA60" s="188"/>
      <c r="AB60" s="188">
        <f>I23</f>
        <v>14527521.658705674</v>
      </c>
      <c r="AC60" s="177" t="e">
        <f t="shared" si="75"/>
        <v>#N/A</v>
      </c>
      <c r="AD60" s="177" t="e">
        <f t="shared" si="76"/>
        <v>#N/A</v>
      </c>
      <c r="AE60" s="176"/>
      <c r="AF60" s="176"/>
      <c r="AG60" s="176"/>
      <c r="AH60" s="176"/>
      <c r="AI60" s="176"/>
      <c r="AJ60" s="176"/>
      <c r="AK60" s="176"/>
      <c r="AL60" s="176"/>
    </row>
    <row r="61" spans="24:38" ht="19.5" customHeight="1">
      <c r="X61" s="176"/>
      <c r="Y61" s="182" t="s">
        <v>300</v>
      </c>
      <c r="Z61" s="187">
        <f>J24</f>
        <v>9434967.9727359042</v>
      </c>
      <c r="AA61" s="188"/>
      <c r="AB61" s="188">
        <f>J23</f>
        <v>14958563.084649732</v>
      </c>
      <c r="AC61" s="177" t="e">
        <f t="shared" si="75"/>
        <v>#N/A</v>
      </c>
      <c r="AD61" s="177" t="e">
        <f t="shared" si="76"/>
        <v>#N/A</v>
      </c>
      <c r="AE61" s="176"/>
      <c r="AF61" s="176"/>
      <c r="AG61" s="176"/>
      <c r="AH61" s="176"/>
      <c r="AI61" s="176"/>
      <c r="AJ61" s="176"/>
      <c r="AK61" s="176"/>
      <c r="AL61" s="176"/>
    </row>
    <row r="62" spans="24:38" ht="19.5" customHeight="1">
      <c r="X62" s="176"/>
      <c r="Y62" s="182" t="s">
        <v>301</v>
      </c>
      <c r="Z62" s="187">
        <f>K24</f>
        <v>9752183.9950471818</v>
      </c>
      <c r="AA62" s="188"/>
      <c r="AB62" s="188">
        <f>K23</f>
        <v>15461489.633517385</v>
      </c>
      <c r="AC62" s="177" t="e">
        <f t="shared" si="75"/>
        <v>#N/A</v>
      </c>
      <c r="AD62" s="177" t="e">
        <f t="shared" si="76"/>
        <v>#N/A</v>
      </c>
      <c r="AE62" s="176"/>
      <c r="AF62" s="176"/>
      <c r="AG62" s="176"/>
      <c r="AH62" s="176"/>
      <c r="AI62" s="176"/>
      <c r="AJ62" s="176"/>
      <c r="AK62" s="176"/>
      <c r="AL62" s="176"/>
    </row>
    <row r="63" spans="24:38" ht="19.5" customHeight="1">
      <c r="X63" s="176"/>
      <c r="Y63" s="182" t="s">
        <v>302</v>
      </c>
      <c r="Z63" s="187">
        <f>L24</f>
        <v>9980599.4679945931</v>
      </c>
      <c r="AA63" s="188"/>
      <c r="AB63" s="188">
        <f>L23</f>
        <v>15823628.357407847</v>
      </c>
      <c r="AC63" s="177" t="e">
        <f t="shared" si="75"/>
        <v>#N/A</v>
      </c>
      <c r="AD63" s="177" t="e">
        <f t="shared" si="76"/>
        <v>#N/A</v>
      </c>
      <c r="AE63" s="176"/>
      <c r="AF63" s="176"/>
      <c r="AG63" s="176"/>
      <c r="AH63" s="176"/>
      <c r="AI63" s="176"/>
      <c r="AJ63" s="176"/>
      <c r="AK63" s="176"/>
      <c r="AL63" s="176"/>
    </row>
    <row r="64" spans="24:38" ht="19.5" customHeight="1">
      <c r="X64" s="176"/>
      <c r="Y64" s="182" t="s">
        <v>303</v>
      </c>
      <c r="Z64" s="187">
        <f>M24</f>
        <v>10182900.468229098</v>
      </c>
      <c r="AA64" s="188"/>
      <c r="AB64" s="188">
        <f>M23</f>
        <v>16144364.18638365</v>
      </c>
      <c r="AC64" s="177" t="e">
        <f t="shared" si="75"/>
        <v>#N/A</v>
      </c>
      <c r="AD64" s="177" t="e">
        <f t="shared" si="76"/>
        <v>#N/A</v>
      </c>
      <c r="AE64" s="176"/>
      <c r="AF64" s="176"/>
      <c r="AG64" s="176"/>
      <c r="AH64" s="176"/>
      <c r="AI64" s="176"/>
      <c r="AJ64" s="176"/>
      <c r="AK64" s="176"/>
      <c r="AL64" s="176"/>
    </row>
    <row r="65" spans="24:38" ht="18" customHeight="1" thickBot="1"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</row>
    <row r="66" spans="24:38" ht="18" customHeight="1"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</row>
    <row r="67" spans="24:38" ht="19.5" customHeight="1">
      <c r="X67" s="176"/>
      <c r="Y67" s="333" t="s">
        <v>307</v>
      </c>
      <c r="Z67" s="333"/>
      <c r="AA67" s="333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</row>
    <row r="68" spans="24:38" ht="19.5" customHeight="1">
      <c r="X68" s="176"/>
      <c r="Y68" s="178" t="s">
        <v>248</v>
      </c>
      <c r="Z68" s="179" t="s">
        <v>288</v>
      </c>
      <c r="AA68" s="180" t="s">
        <v>289</v>
      </c>
      <c r="AB68" s="181"/>
      <c r="AC68" s="181" t="s">
        <v>290</v>
      </c>
      <c r="AD68" s="181" t="s">
        <v>291</v>
      </c>
      <c r="AE68" s="176"/>
      <c r="AF68" s="176"/>
      <c r="AG68" s="176"/>
      <c r="AH68" s="176"/>
      <c r="AI68" s="176"/>
      <c r="AJ68" s="176"/>
      <c r="AK68" s="176"/>
      <c r="AL68" s="176"/>
    </row>
    <row r="69" spans="24:38" ht="19.5" customHeight="1">
      <c r="X69" s="176"/>
      <c r="Y69" s="182" t="s">
        <v>292</v>
      </c>
      <c r="Z69" s="183">
        <f>B30</f>
        <v>149032.88527663413</v>
      </c>
      <c r="AA69" s="184">
        <f>B31</f>
        <v>210957</v>
      </c>
      <c r="AB69" s="176"/>
      <c r="AC69" s="177">
        <f>IF(AA69="",NA(),IF(AA69&gt;=Z69,AA69,NA()))</f>
        <v>210957</v>
      </c>
      <c r="AD69" s="177" t="e">
        <f>IF(AA69="",NA(),IF(AA69&lt;Z69,AA69,NA()))</f>
        <v>#N/A</v>
      </c>
      <c r="AE69" s="176"/>
      <c r="AF69" s="176"/>
      <c r="AG69" s="176"/>
      <c r="AH69" s="176"/>
      <c r="AI69" s="176"/>
      <c r="AJ69" s="176"/>
      <c r="AK69" s="176"/>
      <c r="AL69" s="176"/>
    </row>
    <row r="70" spans="24:38" ht="19.5" customHeight="1">
      <c r="X70" s="176"/>
      <c r="Y70" s="182" t="s">
        <v>293</v>
      </c>
      <c r="Z70" s="187">
        <f>C30</f>
        <v>254452.53292839986</v>
      </c>
      <c r="AA70" s="188">
        <f>C31</f>
        <v>432443.12</v>
      </c>
      <c r="AB70" s="176"/>
      <c r="AC70" s="177">
        <f t="shared" ref="AC70:AC80" si="77">IF(AA70="",NA(),IF(AA70&gt;=Z70,AA70,NA()))</f>
        <v>432443.12</v>
      </c>
      <c r="AD70" s="177" t="e">
        <f t="shared" ref="AD70:AD80" si="78">IF(AA70="",NA(),IF(AA70&lt;Z70,AA70,NA()))</f>
        <v>#N/A</v>
      </c>
      <c r="AE70" s="176"/>
      <c r="AF70" s="176"/>
      <c r="AG70" s="176"/>
      <c r="AH70" s="176"/>
      <c r="AI70" s="176"/>
      <c r="AJ70" s="176"/>
      <c r="AK70" s="176"/>
      <c r="AL70" s="176"/>
    </row>
    <row r="71" spans="24:38" ht="19.5" customHeight="1">
      <c r="X71" s="176"/>
      <c r="Y71" s="182" t="s">
        <v>294</v>
      </c>
      <c r="Z71" s="187">
        <f>D30</f>
        <v>351791.47133290104</v>
      </c>
      <c r="AA71" s="188">
        <f>D31</f>
        <v>590381.62</v>
      </c>
      <c r="AB71" s="176"/>
      <c r="AC71" s="177">
        <f t="shared" si="77"/>
        <v>590381.62</v>
      </c>
      <c r="AD71" s="177" t="e">
        <f t="shared" si="78"/>
        <v>#N/A</v>
      </c>
      <c r="AE71" s="176"/>
      <c r="AF71" s="176"/>
      <c r="AG71" s="176"/>
      <c r="AH71" s="176"/>
      <c r="AI71" s="176"/>
      <c r="AJ71" s="176"/>
      <c r="AK71" s="176"/>
      <c r="AL71" s="176"/>
    </row>
    <row r="72" spans="24:38" ht="19.5" customHeight="1">
      <c r="X72" s="176"/>
      <c r="Y72" s="182" t="s">
        <v>295</v>
      </c>
      <c r="Z72" s="187">
        <f>E30</f>
        <v>435601.46585815132</v>
      </c>
      <c r="AA72" s="188">
        <f>E31</f>
        <v>771922.58</v>
      </c>
      <c r="AB72" s="176"/>
      <c r="AC72" s="177">
        <f t="shared" si="77"/>
        <v>771922.58</v>
      </c>
      <c r="AD72" s="177" t="e">
        <f t="shared" si="78"/>
        <v>#N/A</v>
      </c>
      <c r="AE72" s="176"/>
      <c r="AF72" s="176"/>
      <c r="AG72" s="176"/>
      <c r="AH72" s="176"/>
      <c r="AI72" s="176"/>
      <c r="AJ72" s="176"/>
      <c r="AK72" s="176"/>
      <c r="AL72" s="176"/>
    </row>
    <row r="73" spans="24:38" ht="19.5" customHeight="1">
      <c r="X73" s="176"/>
      <c r="Y73" s="182" t="s">
        <v>296</v>
      </c>
      <c r="Z73" s="187">
        <f>F30</f>
        <v>520609.99117925472</v>
      </c>
      <c r="AA73" s="188"/>
      <c r="AB73" s="176"/>
      <c r="AC73" s="177" t="e">
        <f t="shared" si="77"/>
        <v>#N/A</v>
      </c>
      <c r="AD73" s="177" t="e">
        <f t="shared" si="78"/>
        <v>#N/A</v>
      </c>
      <c r="AE73" s="176"/>
      <c r="AF73" s="176"/>
      <c r="AG73" s="176"/>
      <c r="AH73" s="176"/>
      <c r="AI73" s="176"/>
      <c r="AJ73" s="176"/>
      <c r="AK73" s="176"/>
      <c r="AL73" s="176"/>
    </row>
    <row r="74" spans="24:38" ht="19.5" customHeight="1">
      <c r="X74" s="176"/>
      <c r="Y74" s="182" t="s">
        <v>297</v>
      </c>
      <c r="Z74" s="187">
        <f>G30</f>
        <v>603925.31113934948</v>
      </c>
      <c r="AA74" s="188"/>
      <c r="AB74" s="176"/>
      <c r="AC74" s="177" t="e">
        <f t="shared" si="77"/>
        <v>#N/A</v>
      </c>
      <c r="AD74" s="177" t="e">
        <f t="shared" si="78"/>
        <v>#N/A</v>
      </c>
      <c r="AE74" s="176"/>
      <c r="AF74" s="176"/>
      <c r="AG74" s="176"/>
      <c r="AH74" s="176"/>
      <c r="AI74" s="176"/>
      <c r="AJ74" s="176"/>
      <c r="AK74" s="176"/>
      <c r="AL74" s="176"/>
    </row>
    <row r="75" spans="24:38" ht="19.5" customHeight="1">
      <c r="X75" s="176"/>
      <c r="Y75" s="182" t="s">
        <v>298</v>
      </c>
      <c r="Z75" s="187">
        <f>H30</f>
        <v>677295.37754477479</v>
      </c>
      <c r="AA75" s="188"/>
      <c r="AB75" s="176"/>
      <c r="AC75" s="177" t="e">
        <f t="shared" si="77"/>
        <v>#N/A</v>
      </c>
      <c r="AD75" s="177" t="e">
        <f t="shared" si="78"/>
        <v>#N/A</v>
      </c>
      <c r="AE75" s="176"/>
      <c r="AF75" s="176"/>
      <c r="AG75" s="176"/>
      <c r="AH75" s="176"/>
      <c r="AI75" s="176"/>
      <c r="AJ75" s="176"/>
      <c r="AK75" s="176"/>
      <c r="AL75" s="176"/>
    </row>
    <row r="76" spans="24:38" ht="19.5" customHeight="1">
      <c r="X76" s="176"/>
      <c r="Y76" s="182" t="s">
        <v>299</v>
      </c>
      <c r="Z76" s="187">
        <f>I30</f>
        <v>754583.73676182423</v>
      </c>
      <c r="AA76" s="188"/>
      <c r="AB76" s="176"/>
      <c r="AC76" s="177" t="e">
        <f t="shared" si="77"/>
        <v>#N/A</v>
      </c>
      <c r="AD76" s="177" t="e">
        <f t="shared" si="78"/>
        <v>#N/A</v>
      </c>
      <c r="AE76" s="176"/>
      <c r="AF76" s="176"/>
      <c r="AG76" s="176"/>
      <c r="AH76" s="176"/>
      <c r="AI76" s="176"/>
      <c r="AJ76" s="176"/>
      <c r="AK76" s="176"/>
      <c r="AL76" s="176"/>
    </row>
    <row r="77" spans="24:38" ht="19.5" customHeight="1">
      <c r="X77" s="176"/>
      <c r="Y77" s="182" t="s">
        <v>300</v>
      </c>
      <c r="Z77" s="187">
        <f>J30</f>
        <v>813921.49769616686</v>
      </c>
      <c r="AA77" s="188"/>
      <c r="AB77" s="176"/>
      <c r="AC77" s="177" t="e">
        <f t="shared" si="77"/>
        <v>#N/A</v>
      </c>
      <c r="AD77" s="177" t="e">
        <f t="shared" si="78"/>
        <v>#N/A</v>
      </c>
      <c r="AE77" s="176"/>
      <c r="AF77" s="176"/>
      <c r="AG77" s="176"/>
      <c r="AH77" s="176"/>
      <c r="AI77" s="176"/>
      <c r="AJ77" s="176"/>
      <c r="AK77" s="176"/>
      <c r="AL77" s="176"/>
    </row>
    <row r="78" spans="24:38" ht="19.5" customHeight="1">
      <c r="X78" s="176"/>
      <c r="Y78" s="182" t="s">
        <v>301</v>
      </c>
      <c r="Z78" s="187">
        <f>K30</f>
        <v>889347.10772690573</v>
      </c>
      <c r="AA78" s="188"/>
      <c r="AB78" s="176"/>
      <c r="AC78" s="177" t="e">
        <f t="shared" si="77"/>
        <v>#N/A</v>
      </c>
      <c r="AD78" s="177" t="e">
        <f t="shared" si="78"/>
        <v>#N/A</v>
      </c>
      <c r="AE78" s="176"/>
      <c r="AF78" s="176"/>
      <c r="AG78" s="176"/>
      <c r="AH78" s="176"/>
      <c r="AI78" s="176"/>
      <c r="AJ78" s="176"/>
      <c r="AK78" s="176"/>
      <c r="AL78" s="176"/>
    </row>
    <row r="79" spans="24:38" ht="19.5" customHeight="1">
      <c r="X79" s="176"/>
      <c r="Y79" s="182" t="s">
        <v>302</v>
      </c>
      <c r="Z79" s="187">
        <f>L30</f>
        <v>956788.17683665326</v>
      </c>
      <c r="AA79" s="188"/>
      <c r="AB79" s="176"/>
      <c r="AC79" s="177" t="e">
        <f t="shared" si="77"/>
        <v>#N/A</v>
      </c>
      <c r="AD79" s="177" t="e">
        <f t="shared" si="78"/>
        <v>#N/A</v>
      </c>
      <c r="AE79" s="176"/>
      <c r="AF79" s="176"/>
      <c r="AG79" s="176"/>
      <c r="AH79" s="176"/>
      <c r="AI79" s="176"/>
      <c r="AJ79" s="176"/>
      <c r="AK79" s="176"/>
      <c r="AL79" s="176"/>
    </row>
    <row r="80" spans="24:38" ht="19.5" customHeight="1">
      <c r="X80" s="176"/>
      <c r="Y80" s="182" t="s">
        <v>303</v>
      </c>
      <c r="Z80" s="187">
        <f>M30</f>
        <v>1026714.548424322</v>
      </c>
      <c r="AA80" s="188"/>
      <c r="AB80" s="176"/>
      <c r="AC80" s="177" t="e">
        <f t="shared" si="77"/>
        <v>#N/A</v>
      </c>
      <c r="AD80" s="177" t="e">
        <f t="shared" si="78"/>
        <v>#N/A</v>
      </c>
      <c r="AE80" s="176"/>
      <c r="AF80" s="176"/>
      <c r="AG80" s="176"/>
      <c r="AH80" s="176"/>
      <c r="AI80" s="176"/>
      <c r="AJ80" s="176"/>
      <c r="AK80" s="176"/>
      <c r="AL80" s="176"/>
    </row>
    <row r="81" spans="24:38" ht="18" customHeight="1" thickBot="1"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</row>
    <row r="82" spans="24:38" ht="18" customHeight="1"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</row>
    <row r="83" spans="24:38" ht="19.5" customHeight="1">
      <c r="X83" s="176"/>
      <c r="Y83" s="333" t="s">
        <v>28</v>
      </c>
      <c r="Z83" s="333"/>
      <c r="AA83" s="333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</row>
    <row r="84" spans="24:38" ht="19.5" customHeight="1">
      <c r="X84" s="176"/>
      <c r="Y84" s="178" t="s">
        <v>248</v>
      </c>
      <c r="Z84" s="179" t="s">
        <v>288</v>
      </c>
      <c r="AA84" s="180" t="s">
        <v>289</v>
      </c>
      <c r="AB84" s="181"/>
      <c r="AC84" s="181" t="s">
        <v>290</v>
      </c>
      <c r="AD84" s="181"/>
      <c r="AE84" s="176"/>
      <c r="AF84" s="176"/>
      <c r="AG84" s="176"/>
      <c r="AH84" s="176"/>
      <c r="AI84" s="176"/>
      <c r="AJ84" s="176"/>
      <c r="AK84" s="176"/>
      <c r="AL84" s="176"/>
    </row>
    <row r="85" spans="24:38" ht="19.5" customHeight="1">
      <c r="X85" s="176"/>
      <c r="Y85" s="182" t="s">
        <v>292</v>
      </c>
      <c r="Z85" s="183">
        <f>B36</f>
        <v>5289691.519425259</v>
      </c>
      <c r="AA85" s="184">
        <f>B37</f>
        <v>5455921.4999999991</v>
      </c>
      <c r="AB85" s="176"/>
      <c r="AC85" s="177">
        <f>IF(AA85="",NA(),IF(AA85&gt;=Z85,AA85,NA()))</f>
        <v>5455921.4999999991</v>
      </c>
      <c r="AD85" s="177"/>
      <c r="AE85" s="176"/>
      <c r="AF85" s="176"/>
      <c r="AG85" s="176"/>
      <c r="AH85" s="176"/>
      <c r="AI85" s="176"/>
      <c r="AJ85" s="176"/>
      <c r="AK85" s="176"/>
      <c r="AL85" s="176"/>
    </row>
    <row r="86" spans="24:38" ht="19.5" customHeight="1">
      <c r="X86" s="176"/>
      <c r="Y86" s="182" t="s">
        <v>293</v>
      </c>
      <c r="Z86" s="187">
        <f>C36</f>
        <v>10946126.084264638</v>
      </c>
      <c r="AA86" s="188">
        <f>C37</f>
        <v>12190402.559999999</v>
      </c>
      <c r="AB86" s="176"/>
      <c r="AC86" s="177">
        <f t="shared" ref="AC86:AC96" si="79">IF(AA86="",NA(),IF(AA86&gt;=Z86,AA86,NA()))</f>
        <v>12190402.559999999</v>
      </c>
      <c r="AD86" s="177"/>
      <c r="AE86" s="176"/>
      <c r="AF86" s="176"/>
      <c r="AG86" s="176"/>
      <c r="AH86" s="176"/>
      <c r="AI86" s="176"/>
      <c r="AJ86" s="176"/>
      <c r="AK86" s="176"/>
      <c r="AL86" s="176"/>
    </row>
    <row r="87" spans="24:38" ht="19.5" customHeight="1">
      <c r="X87" s="176"/>
      <c r="Y87" s="182" t="s">
        <v>294</v>
      </c>
      <c r="Z87" s="187">
        <f>D36</f>
        <v>18483532.833525073</v>
      </c>
      <c r="AA87" s="188">
        <f>D37</f>
        <v>18826734.489999998</v>
      </c>
      <c r="AB87" s="176"/>
      <c r="AC87" s="177">
        <f t="shared" si="79"/>
        <v>18826734.489999998</v>
      </c>
      <c r="AD87" s="177"/>
      <c r="AE87" s="176"/>
      <c r="AF87" s="176"/>
      <c r="AG87" s="176"/>
      <c r="AH87" s="176"/>
      <c r="AI87" s="176"/>
      <c r="AJ87" s="176"/>
      <c r="AK87" s="176"/>
      <c r="AL87" s="176"/>
    </row>
    <row r="88" spans="24:38" ht="19.5" customHeight="1">
      <c r="X88" s="176"/>
      <c r="Y88" s="182" t="s">
        <v>295</v>
      </c>
      <c r="Z88" s="187">
        <f>E36</f>
        <v>25403790.303136677</v>
      </c>
      <c r="AA88" s="188">
        <f>E37</f>
        <v>26560121.68</v>
      </c>
      <c r="AB88" s="176"/>
      <c r="AC88" s="177">
        <f t="shared" si="79"/>
        <v>26560121.68</v>
      </c>
      <c r="AD88" s="177"/>
      <c r="AE88" s="176"/>
      <c r="AF88" s="176"/>
      <c r="AG88" s="176"/>
      <c r="AH88" s="176"/>
      <c r="AI88" s="176"/>
      <c r="AJ88" s="176"/>
      <c r="AK88" s="176"/>
      <c r="AL88" s="176"/>
    </row>
    <row r="89" spans="24:38" ht="19.5" customHeight="1">
      <c r="X89" s="176"/>
      <c r="Y89" s="182" t="s">
        <v>296</v>
      </c>
      <c r="Z89" s="187">
        <f>F36</f>
        <v>33225436.985169947</v>
      </c>
      <c r="AA89" s="188"/>
      <c r="AB89" s="176"/>
      <c r="AC89" s="177" t="e">
        <f t="shared" si="79"/>
        <v>#N/A</v>
      </c>
      <c r="AD89" s="177"/>
      <c r="AE89" s="176"/>
      <c r="AF89" s="176"/>
      <c r="AG89" s="176"/>
      <c r="AH89" s="176"/>
      <c r="AI89" s="176"/>
      <c r="AJ89" s="176"/>
      <c r="AK89" s="176"/>
      <c r="AL89" s="176"/>
    </row>
    <row r="90" spans="24:38" ht="19.5" customHeight="1">
      <c r="X90" s="176"/>
      <c r="Y90" s="182" t="s">
        <v>297</v>
      </c>
      <c r="Z90" s="187">
        <f>G36</f>
        <v>40648530.656770773</v>
      </c>
      <c r="AA90" s="188"/>
      <c r="AB90" s="176"/>
      <c r="AC90" s="177" t="e">
        <f t="shared" si="79"/>
        <v>#N/A</v>
      </c>
      <c r="AD90" s="177"/>
      <c r="AE90" s="176"/>
      <c r="AF90" s="176"/>
      <c r="AG90" s="176"/>
      <c r="AH90" s="176"/>
      <c r="AI90" s="176"/>
      <c r="AJ90" s="176"/>
      <c r="AK90" s="176"/>
      <c r="AL90" s="176"/>
    </row>
    <row r="91" spans="24:38" ht="19.5" customHeight="1">
      <c r="X91" s="176"/>
      <c r="Y91" s="182" t="s">
        <v>298</v>
      </c>
      <c r="Z91" s="187">
        <f>H36</f>
        <v>48092325.603216611</v>
      </c>
      <c r="AA91" s="188"/>
      <c r="AB91" s="176"/>
      <c r="AC91" s="177" t="e">
        <f t="shared" si="79"/>
        <v>#N/A</v>
      </c>
      <c r="AD91" s="177"/>
      <c r="AE91" s="176"/>
      <c r="AF91" s="176"/>
      <c r="AG91" s="176"/>
      <c r="AH91" s="176"/>
      <c r="AI91" s="176"/>
      <c r="AJ91" s="176"/>
      <c r="AK91" s="176"/>
      <c r="AL91" s="176"/>
    </row>
    <row r="92" spans="24:38" ht="19.5" customHeight="1">
      <c r="X92" s="176"/>
      <c r="Y92" s="182" t="s">
        <v>299</v>
      </c>
      <c r="Z92" s="187">
        <f>I36</f>
        <v>56573819.691179112</v>
      </c>
      <c r="AA92" s="188"/>
      <c r="AB92" s="176"/>
      <c r="AC92" s="177" t="e">
        <f t="shared" si="79"/>
        <v>#N/A</v>
      </c>
      <c r="AD92" s="177"/>
      <c r="AE92" s="176"/>
      <c r="AF92" s="176"/>
      <c r="AG92" s="176"/>
      <c r="AH92" s="176"/>
      <c r="AI92" s="176"/>
      <c r="AJ92" s="176"/>
      <c r="AK92" s="176"/>
      <c r="AL92" s="176"/>
    </row>
    <row r="93" spans="24:38" ht="19.5" customHeight="1">
      <c r="X93" s="176"/>
      <c r="Y93" s="182" t="s">
        <v>300</v>
      </c>
      <c r="Z93" s="187">
        <f>J36</f>
        <v>63808638.033217229</v>
      </c>
      <c r="AA93" s="188"/>
      <c r="AB93" s="176"/>
      <c r="AC93" s="177" t="e">
        <f t="shared" si="79"/>
        <v>#N/A</v>
      </c>
      <c r="AD93" s="177"/>
      <c r="AE93" s="176"/>
      <c r="AF93" s="176"/>
      <c r="AG93" s="176"/>
      <c r="AH93" s="176"/>
      <c r="AI93" s="176"/>
      <c r="AJ93" s="176"/>
      <c r="AK93" s="176"/>
      <c r="AL93" s="176"/>
    </row>
    <row r="94" spans="24:38" ht="19.5" customHeight="1">
      <c r="X94" s="176"/>
      <c r="Y94" s="182" t="s">
        <v>301</v>
      </c>
      <c r="Z94" s="187">
        <f>K36</f>
        <v>71594760.70306471</v>
      </c>
      <c r="AA94" s="188"/>
      <c r="AB94" s="176"/>
      <c r="AC94" s="177" t="e">
        <f t="shared" si="79"/>
        <v>#N/A</v>
      </c>
      <c r="AD94" s="177"/>
      <c r="AE94" s="176"/>
      <c r="AF94" s="176"/>
      <c r="AG94" s="176"/>
      <c r="AH94" s="176"/>
      <c r="AI94" s="176"/>
      <c r="AJ94" s="176"/>
      <c r="AK94" s="176"/>
      <c r="AL94" s="176"/>
    </row>
    <row r="95" spans="24:38" ht="19.5" customHeight="1">
      <c r="X95" s="176"/>
      <c r="Y95" s="182" t="s">
        <v>302</v>
      </c>
      <c r="Z95" s="187">
        <f>L36</f>
        <v>78493365.828256473</v>
      </c>
      <c r="AA95" s="188"/>
      <c r="AB95" s="176"/>
      <c r="AC95" s="177" t="e">
        <f t="shared" si="79"/>
        <v>#N/A</v>
      </c>
      <c r="AD95" s="177"/>
      <c r="AE95" s="176"/>
      <c r="AF95" s="176"/>
      <c r="AG95" s="176"/>
      <c r="AH95" s="176"/>
      <c r="AI95" s="176"/>
      <c r="AJ95" s="176"/>
      <c r="AK95" s="176"/>
      <c r="AL95" s="176"/>
    </row>
    <row r="96" spans="24:38" ht="19.5" customHeight="1">
      <c r="X96" s="176"/>
      <c r="Y96" s="182" t="s">
        <v>303</v>
      </c>
      <c r="Z96" s="187">
        <f>M36</f>
        <v>84943109.670736536</v>
      </c>
      <c r="AA96" s="188"/>
      <c r="AB96" s="176"/>
      <c r="AC96" s="177" t="e">
        <f t="shared" si="79"/>
        <v>#N/A</v>
      </c>
      <c r="AD96" s="177"/>
      <c r="AE96" s="176"/>
      <c r="AF96" s="176"/>
      <c r="AG96" s="176"/>
      <c r="AH96" s="176"/>
      <c r="AI96" s="176"/>
      <c r="AJ96" s="176"/>
      <c r="AK96" s="176"/>
      <c r="AL96" s="176"/>
    </row>
    <row r="97" spans="24:38" ht="18" customHeight="1" thickBot="1">
      <c r="X97" s="185"/>
      <c r="Y97" s="185"/>
      <c r="Z97" s="186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85"/>
    </row>
    <row r="98" spans="24:38" ht="18" customHeight="1"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</row>
    <row r="99" spans="24:38" ht="19.5" customHeight="1">
      <c r="X99" s="176"/>
      <c r="Y99" s="333" t="s">
        <v>175</v>
      </c>
      <c r="Z99" s="333"/>
      <c r="AA99" s="333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</row>
    <row r="100" spans="24:38" ht="19.5" customHeight="1">
      <c r="X100" s="176"/>
      <c r="Y100" s="178" t="s">
        <v>248</v>
      </c>
      <c r="Z100" s="179" t="s">
        <v>288</v>
      </c>
      <c r="AA100" s="180" t="s">
        <v>289</v>
      </c>
      <c r="AB100" s="180" t="s">
        <v>315</v>
      </c>
      <c r="AC100" s="181" t="s">
        <v>290</v>
      </c>
      <c r="AD100" s="181" t="s">
        <v>291</v>
      </c>
      <c r="AE100" s="176"/>
      <c r="AF100" s="176"/>
      <c r="AG100" s="176"/>
      <c r="AH100" s="176"/>
      <c r="AI100" s="176"/>
      <c r="AJ100" s="176"/>
      <c r="AK100" s="176"/>
      <c r="AL100" s="176"/>
    </row>
    <row r="101" spans="24:38" ht="19.5" customHeight="1">
      <c r="X101" s="176"/>
      <c r="Y101" s="182" t="s">
        <v>292</v>
      </c>
      <c r="Z101" s="183">
        <f>B43</f>
        <v>728006.7976387497</v>
      </c>
      <c r="AA101" s="187">
        <f>B44</f>
        <v>648692.31000000017</v>
      </c>
      <c r="AB101" s="188">
        <f>B42</f>
        <v>821304.99769217195</v>
      </c>
      <c r="AC101" s="177" t="e">
        <f>IF(AA101="",NA(),IF(AA101&gt;=Z101,AA101,NA()))</f>
        <v>#N/A</v>
      </c>
      <c r="AD101" s="177">
        <f>IF(AA101="",NA(),IF(AA101&lt;Z101,AA101,NA()))</f>
        <v>648692.31000000017</v>
      </c>
      <c r="AE101" s="176"/>
      <c r="AF101" s="176"/>
      <c r="AG101" s="176"/>
      <c r="AH101" s="176"/>
      <c r="AI101" s="176"/>
      <c r="AJ101" s="176"/>
      <c r="AK101" s="176"/>
      <c r="AL101" s="176"/>
    </row>
    <row r="102" spans="24:38" ht="19.5" customHeight="1">
      <c r="X102" s="176"/>
      <c r="Y102" s="182" t="s">
        <v>293</v>
      </c>
      <c r="Z102" s="187">
        <f>C43</f>
        <v>1250668.9713280427</v>
      </c>
      <c r="AA102" s="192">
        <f>C44</f>
        <v>1277632.8599999999</v>
      </c>
      <c r="AB102" s="188">
        <f>C42</f>
        <v>1410949.2932509058</v>
      </c>
      <c r="AC102" s="177">
        <f t="shared" ref="AC102:AC112" si="80">IF(AA102="",NA(),IF(AA102&gt;=Z102,AA102,NA()))</f>
        <v>1277632.8599999999</v>
      </c>
      <c r="AD102" s="177" t="e">
        <f t="shared" ref="AD102:AD112" si="81">IF(AA102="",NA(),IF(AA102&lt;Z102,AA102,NA()))</f>
        <v>#N/A</v>
      </c>
      <c r="AE102" s="176"/>
      <c r="AF102" s="176"/>
      <c r="AG102" s="176"/>
      <c r="AH102" s="176"/>
      <c r="AI102" s="176"/>
      <c r="AJ102" s="176"/>
      <c r="AK102" s="176"/>
      <c r="AL102" s="176"/>
    </row>
    <row r="103" spans="24:38" ht="19.5" customHeight="1">
      <c r="X103" s="176"/>
      <c r="Y103" s="182" t="s">
        <v>294</v>
      </c>
      <c r="Z103" s="187">
        <f>D43</f>
        <v>1744929.7334060951</v>
      </c>
      <c r="AA103" s="192">
        <f>D44</f>
        <v>1763465.94</v>
      </c>
      <c r="AB103" s="188">
        <f>D42</f>
        <v>1968552.3752200392</v>
      </c>
      <c r="AC103" s="177">
        <f t="shared" si="80"/>
        <v>1763465.94</v>
      </c>
      <c r="AD103" s="177" t="e">
        <f t="shared" si="81"/>
        <v>#N/A</v>
      </c>
      <c r="AE103" s="176"/>
      <c r="AF103" s="176"/>
      <c r="AG103" s="176"/>
      <c r="AH103" s="176"/>
      <c r="AI103" s="176"/>
      <c r="AJ103" s="176"/>
      <c r="AK103" s="176"/>
      <c r="AL103" s="176"/>
    </row>
    <row r="104" spans="24:38" ht="19.5" customHeight="1">
      <c r="X104" s="176"/>
      <c r="Y104" s="182" t="s">
        <v>295</v>
      </c>
      <c r="Z104" s="187">
        <f>E43</f>
        <v>2205094.9492343953</v>
      </c>
      <c r="AA104" s="192">
        <f>E44</f>
        <v>2292248.2030000002</v>
      </c>
      <c r="AB104" s="188">
        <f>E42</f>
        <v>2487690.3733124947</v>
      </c>
      <c r="AC104" s="177">
        <f t="shared" si="80"/>
        <v>2292248.2030000002</v>
      </c>
      <c r="AD104" s="177" t="e">
        <f t="shared" si="81"/>
        <v>#N/A</v>
      </c>
      <c r="AE104" s="176"/>
      <c r="AF104" s="176"/>
      <c r="AG104" s="176"/>
      <c r="AH104" s="176"/>
      <c r="AI104" s="176"/>
      <c r="AJ104" s="176"/>
      <c r="AK104" s="176"/>
      <c r="AL104" s="176"/>
    </row>
    <row r="105" spans="24:38" ht="19.5" customHeight="1">
      <c r="X105" s="176"/>
      <c r="Y105" s="182" t="s">
        <v>296</v>
      </c>
      <c r="Z105" s="187">
        <f>F43</f>
        <v>2687655.4318216094</v>
      </c>
      <c r="AA105" s="192"/>
      <c r="AB105" s="188">
        <f>F42</f>
        <v>3032093.7186151734</v>
      </c>
      <c r="AC105" s="177" t="e">
        <f t="shared" si="80"/>
        <v>#N/A</v>
      </c>
      <c r="AD105" s="177" t="e">
        <f t="shared" si="81"/>
        <v>#N/A</v>
      </c>
      <c r="AE105" s="176"/>
      <c r="AF105" s="176"/>
      <c r="AG105" s="176"/>
      <c r="AH105" s="176"/>
      <c r="AI105" s="176"/>
      <c r="AJ105" s="176"/>
      <c r="AK105" s="176"/>
      <c r="AL105" s="176"/>
    </row>
    <row r="106" spans="24:38" ht="19.5" customHeight="1">
      <c r="X106" s="176"/>
      <c r="Y106" s="182" t="s">
        <v>297</v>
      </c>
      <c r="Z106" s="187">
        <f>G43</f>
        <v>3173054.3904569834</v>
      </c>
      <c r="AA106" s="192"/>
      <c r="AB106" s="188">
        <f>G42</f>
        <v>3579699.3067701771</v>
      </c>
      <c r="AC106" s="177" t="e">
        <f t="shared" si="80"/>
        <v>#N/A</v>
      </c>
      <c r="AD106" s="177" t="e">
        <f t="shared" si="81"/>
        <v>#N/A</v>
      </c>
      <c r="AE106" s="176"/>
      <c r="AF106" s="176"/>
      <c r="AG106" s="176"/>
      <c r="AH106" s="176"/>
      <c r="AI106" s="176"/>
      <c r="AJ106" s="176"/>
      <c r="AK106" s="176"/>
      <c r="AL106" s="176"/>
    </row>
    <row r="107" spans="24:38" ht="19.5" customHeight="1">
      <c r="X107" s="176"/>
      <c r="Y107" s="182" t="s">
        <v>298</v>
      </c>
      <c r="Z107" s="187">
        <f>H43</f>
        <v>3704166.521725696</v>
      </c>
      <c r="AA107" s="192"/>
      <c r="AB107" s="188">
        <f>H42</f>
        <v>4178876.4698965959</v>
      </c>
      <c r="AC107" s="177" t="e">
        <f t="shared" si="80"/>
        <v>#N/A</v>
      </c>
      <c r="AD107" s="177" t="e">
        <f t="shared" si="81"/>
        <v>#N/A</v>
      </c>
      <c r="AE107" s="176"/>
      <c r="AF107" s="176"/>
      <c r="AG107" s="176"/>
      <c r="AH107" s="176"/>
      <c r="AI107" s="176"/>
      <c r="AJ107" s="176"/>
      <c r="AK107" s="176"/>
      <c r="AL107" s="176"/>
    </row>
    <row r="108" spans="24:38" ht="19.5" customHeight="1">
      <c r="X108" s="176"/>
      <c r="Y108" s="182" t="s">
        <v>299</v>
      </c>
      <c r="Z108" s="187">
        <f>I43</f>
        <v>4319267.4267853573</v>
      </c>
      <c r="AA108" s="192"/>
      <c r="AB108" s="188">
        <f>I42</f>
        <v>4872806.044522848</v>
      </c>
      <c r="AC108" s="177" t="e">
        <f t="shared" si="80"/>
        <v>#N/A</v>
      </c>
      <c r="AD108" s="177" t="e">
        <f t="shared" si="81"/>
        <v>#N/A</v>
      </c>
      <c r="AE108" s="176"/>
      <c r="AF108" s="176"/>
      <c r="AG108" s="176"/>
      <c r="AH108" s="176"/>
      <c r="AI108" s="176"/>
      <c r="AJ108" s="176"/>
      <c r="AK108" s="176"/>
      <c r="AL108" s="176"/>
    </row>
    <row r="109" spans="24:38" ht="19.5" customHeight="1">
      <c r="X109" s="176"/>
      <c r="Y109" s="182" t="s">
        <v>300</v>
      </c>
      <c r="Z109" s="187">
        <f>J43</f>
        <v>4817214.7848488986</v>
      </c>
      <c r="AA109" s="192"/>
      <c r="AB109" s="188">
        <f>J42</f>
        <v>5434568.1806617696</v>
      </c>
      <c r="AC109" s="177" t="e">
        <f t="shared" si="80"/>
        <v>#N/A</v>
      </c>
      <c r="AD109" s="177" t="e">
        <f t="shared" si="81"/>
        <v>#N/A</v>
      </c>
      <c r="AE109" s="176"/>
      <c r="AF109" s="176"/>
      <c r="AG109" s="176"/>
      <c r="AH109" s="176"/>
      <c r="AI109" s="176"/>
      <c r="AJ109" s="176"/>
      <c r="AK109" s="176"/>
      <c r="AL109" s="176"/>
    </row>
    <row r="110" spans="24:38" ht="19.5" customHeight="1">
      <c r="X110" s="176"/>
      <c r="Y110" s="182" t="s">
        <v>301</v>
      </c>
      <c r="Z110" s="187">
        <f>K43</f>
        <v>5525765.8016106859</v>
      </c>
      <c r="AA110" s="192"/>
      <c r="AB110" s="188">
        <f>K42</f>
        <v>6233924.0288129207</v>
      </c>
      <c r="AC110" s="177" t="e">
        <f t="shared" si="80"/>
        <v>#N/A</v>
      </c>
      <c r="AD110" s="177" t="e">
        <f t="shared" si="81"/>
        <v>#N/A</v>
      </c>
      <c r="AE110" s="176"/>
      <c r="AF110" s="176"/>
      <c r="AG110" s="176"/>
      <c r="AH110" s="176"/>
      <c r="AI110" s="176"/>
      <c r="AJ110" s="176"/>
      <c r="AK110" s="176"/>
      <c r="AL110" s="176"/>
    </row>
    <row r="111" spans="24:38" ht="19.5" customHeight="1">
      <c r="X111" s="176"/>
      <c r="Y111" s="182" t="s">
        <v>302</v>
      </c>
      <c r="Z111" s="187">
        <f>L43</f>
        <v>6163666.8992301533</v>
      </c>
      <c r="AA111" s="192"/>
      <c r="AB111" s="188">
        <f>L42</f>
        <v>6953575.7699882351</v>
      </c>
      <c r="AC111" s="177" t="e">
        <f t="shared" si="80"/>
        <v>#N/A</v>
      </c>
      <c r="AD111" s="177" t="e">
        <f t="shared" si="81"/>
        <v>#N/A</v>
      </c>
      <c r="AE111" s="176"/>
      <c r="AF111" s="176"/>
      <c r="AG111" s="176"/>
      <c r="AH111" s="176"/>
      <c r="AI111" s="176"/>
      <c r="AJ111" s="176"/>
      <c r="AK111" s="176"/>
      <c r="AL111" s="176"/>
    </row>
    <row r="112" spans="24:38" ht="19.5" customHeight="1">
      <c r="X112" s="176"/>
      <c r="Y112" s="182" t="s">
        <v>303</v>
      </c>
      <c r="Z112" s="187">
        <f>M43</f>
        <v>6782877.4148296248</v>
      </c>
      <c r="AA112" s="192"/>
      <c r="AB112" s="188">
        <f>M42</f>
        <v>7652141.625052887</v>
      </c>
      <c r="AC112" s="177" t="e">
        <f t="shared" si="80"/>
        <v>#N/A</v>
      </c>
      <c r="AD112" s="177" t="e">
        <f t="shared" si="81"/>
        <v>#N/A</v>
      </c>
      <c r="AE112" s="176"/>
      <c r="AF112" s="176"/>
      <c r="AG112" s="176"/>
      <c r="AH112" s="176"/>
      <c r="AI112" s="176"/>
      <c r="AJ112" s="176"/>
      <c r="AK112" s="176"/>
      <c r="AL112" s="176"/>
    </row>
    <row r="113" spans="1:38" ht="18" customHeight="1" thickBot="1">
      <c r="X113" s="185"/>
      <c r="Y113" s="185"/>
      <c r="Z113" s="185"/>
      <c r="AA113" s="185"/>
      <c r="AB113" s="185"/>
      <c r="AC113" s="185"/>
      <c r="AD113" s="185"/>
      <c r="AE113" s="185"/>
      <c r="AF113" s="185"/>
      <c r="AG113" s="185"/>
      <c r="AH113" s="185"/>
      <c r="AI113" s="185"/>
      <c r="AJ113" s="185"/>
      <c r="AK113" s="185"/>
      <c r="AL113" s="185"/>
    </row>
    <row r="117" spans="1:38">
      <c r="P117" s="149"/>
    </row>
    <row r="118" spans="1:38">
      <c r="P118" s="149"/>
    </row>
    <row r="119" spans="1:38" ht="30">
      <c r="A119" s="97" t="s">
        <v>212</v>
      </c>
      <c r="B119" s="98" t="s">
        <v>213</v>
      </c>
      <c r="C119" s="98" t="s">
        <v>214</v>
      </c>
      <c r="D119" s="98" t="s">
        <v>215</v>
      </c>
      <c r="E119" s="98" t="s">
        <v>214</v>
      </c>
      <c r="F119" s="98" t="s">
        <v>216</v>
      </c>
      <c r="G119" s="98" t="s">
        <v>214</v>
      </c>
      <c r="H119" s="98" t="s">
        <v>217</v>
      </c>
      <c r="I119" s="98" t="s">
        <v>214</v>
      </c>
      <c r="J119" s="97" t="s">
        <v>28</v>
      </c>
      <c r="K119" s="98" t="s">
        <v>214</v>
      </c>
      <c r="L119" s="98" t="s">
        <v>218</v>
      </c>
      <c r="M119" s="98" t="s">
        <v>214</v>
      </c>
      <c r="N119" s="98" t="s">
        <v>219</v>
      </c>
      <c r="O119" s="98" t="s">
        <v>214</v>
      </c>
      <c r="P119" s="149"/>
    </row>
    <row r="120" spans="1:38">
      <c r="A120" s="99" t="s">
        <v>119</v>
      </c>
      <c r="B120" s="62">
        <f>'TOTAL POR UF'!B5</f>
        <v>62046.576000000008</v>
      </c>
      <c r="C120" s="68">
        <f t="shared" ref="C120:C154" si="82">B120/N120</f>
        <v>0.50537836968728833</v>
      </c>
      <c r="D120" s="62">
        <f>'TOTAL POR UF'!C5</f>
        <v>6688.7520000000013</v>
      </c>
      <c r="E120" s="68">
        <f t="shared" ref="E120:E154" si="83">D120/N120</f>
        <v>5.4480856139468348E-2</v>
      </c>
      <c r="F120" s="62">
        <f>'TOTAL POR UF'!D5</f>
        <v>8337.1840000000011</v>
      </c>
      <c r="G120" s="68">
        <f t="shared" ref="G120:G154" si="84">F120/N120</f>
        <v>6.7907574105345397E-2</v>
      </c>
      <c r="H120" s="62">
        <f>'TOTAL POR UF'!E5</f>
        <v>1292.1680000000001</v>
      </c>
      <c r="I120" s="68">
        <f t="shared" ref="I120:I154" si="85">H120/N120</f>
        <v>1.0524895962060564E-2</v>
      </c>
      <c r="J120" s="62">
        <f>'TOTAL POR UF'!F5</f>
        <v>44407.839999999997</v>
      </c>
      <c r="K120" s="68">
        <f t="shared" ref="K120:K154" si="86">J120/N120</f>
        <v>0.36170830410583726</v>
      </c>
      <c r="L120" s="62">
        <f>SUM('TOTAL POR UF'!G5:P5)</f>
        <v>5479.4800000000005</v>
      </c>
      <c r="M120" s="68">
        <f t="shared" ref="M120:M154" si="87">L120/N120</f>
        <v>4.4631160132576897E-2</v>
      </c>
      <c r="N120" s="100">
        <f t="shared" ref="N120:N126" si="88">B120+D120+F120+H120+J120</f>
        <v>122772.52000000002</v>
      </c>
      <c r="O120" s="68">
        <f t="shared" ref="O120:O154" si="89">N120/$N$154</f>
        <v>1.7525141412286498E-3</v>
      </c>
      <c r="P120" s="149"/>
    </row>
    <row r="121" spans="1:38">
      <c r="A121" s="99" t="s">
        <v>122</v>
      </c>
      <c r="B121" s="62">
        <f>'TOTAL POR UF'!B8</f>
        <v>200498.22400000002</v>
      </c>
      <c r="C121" s="68">
        <f t="shared" si="82"/>
        <v>0.45835200743772214</v>
      </c>
      <c r="D121" s="62">
        <f>'TOTAL POR UF'!C8</f>
        <v>74752.216000000015</v>
      </c>
      <c r="E121" s="68">
        <f t="shared" si="83"/>
        <v>0.17088843771513018</v>
      </c>
      <c r="F121" s="62">
        <f>'TOTAL POR UF'!D8</f>
        <v>21776.696000000004</v>
      </c>
      <c r="G121" s="68">
        <f t="shared" si="84"/>
        <v>4.9782946341514804E-2</v>
      </c>
      <c r="H121" s="62">
        <f>'TOTAL POR UF'!E8</f>
        <v>6920.6880000000001</v>
      </c>
      <c r="I121" s="68">
        <f t="shared" si="85"/>
        <v>1.5821143820456754E-2</v>
      </c>
      <c r="J121" s="62">
        <f>'TOTAL POR UF'!F8</f>
        <v>133485.02399999998</v>
      </c>
      <c r="K121" s="68">
        <f t="shared" si="86"/>
        <v>0.30515546468517601</v>
      </c>
      <c r="L121" s="62">
        <f>SUM('TOTAL POR UF'!G8:P8)</f>
        <v>23962.752000000004</v>
      </c>
      <c r="M121" s="68">
        <f t="shared" si="87"/>
        <v>5.47804128326458E-2</v>
      </c>
      <c r="N121" s="100">
        <f t="shared" si="88"/>
        <v>437432.84800000006</v>
      </c>
      <c r="O121" s="68">
        <f t="shared" si="89"/>
        <v>6.2441273662699314E-3</v>
      </c>
      <c r="P121" s="149"/>
    </row>
    <row r="122" spans="1:38">
      <c r="A122" s="99" t="s">
        <v>121</v>
      </c>
      <c r="B122" s="62">
        <f>'TOTAL POR UF'!B7</f>
        <v>58709.056000000004</v>
      </c>
      <c r="C122" s="68">
        <f t="shared" si="82"/>
        <v>0.36680435556905311</v>
      </c>
      <c r="D122" s="62">
        <f>'TOTAL POR UF'!C7</f>
        <v>23777.103999999999</v>
      </c>
      <c r="E122" s="68">
        <f t="shared" si="83"/>
        <v>0.1485553661434848</v>
      </c>
      <c r="F122" s="62">
        <f>'TOTAL POR UF'!D7</f>
        <v>8023.424</v>
      </c>
      <c r="G122" s="68">
        <f t="shared" si="84"/>
        <v>5.0129010246345536E-2</v>
      </c>
      <c r="H122" s="62">
        <f>'TOTAL POR UF'!E7</f>
        <v>2034.6320000000001</v>
      </c>
      <c r="I122" s="68">
        <f t="shared" si="85"/>
        <v>1.2712040193256958E-2</v>
      </c>
      <c r="J122" s="62">
        <f>'TOTAL POR UF'!F7</f>
        <v>67511.288</v>
      </c>
      <c r="K122" s="68">
        <f t="shared" si="86"/>
        <v>0.42179922784785956</v>
      </c>
      <c r="L122" s="62">
        <f>SUM('TOTAL POR UF'!G7:P7)</f>
        <v>13436.552000000001</v>
      </c>
      <c r="M122" s="68">
        <f t="shared" si="87"/>
        <v>8.3949327978124391E-2</v>
      </c>
      <c r="N122" s="100">
        <f t="shared" si="88"/>
        <v>160055.50400000002</v>
      </c>
      <c r="O122" s="68">
        <f t="shared" si="89"/>
        <v>2.2847094296140429E-3</v>
      </c>
      <c r="P122" s="149"/>
    </row>
    <row r="123" spans="1:38">
      <c r="A123" s="99" t="s">
        <v>132</v>
      </c>
      <c r="B123" s="62">
        <f>'TOTAL POR UF'!B18</f>
        <v>280469.84000000003</v>
      </c>
      <c r="C123" s="68">
        <f t="shared" si="82"/>
        <v>0.5005608169014415</v>
      </c>
      <c r="D123" s="62">
        <f>'TOTAL POR UF'!C18</f>
        <v>70447.831999999995</v>
      </c>
      <c r="E123" s="68">
        <f t="shared" si="83"/>
        <v>0.12572982654696671</v>
      </c>
      <c r="F123" s="62">
        <f>'TOTAL POR UF'!D18</f>
        <v>24116.239999999998</v>
      </c>
      <c r="G123" s="68">
        <f t="shared" si="84"/>
        <v>4.3040794671509834E-2</v>
      </c>
      <c r="H123" s="62">
        <f>'TOTAL POR UF'!E18</f>
        <v>11245.432000000001</v>
      </c>
      <c r="I123" s="68">
        <f t="shared" si="85"/>
        <v>2.0069974826275833E-2</v>
      </c>
      <c r="J123" s="62">
        <f>'TOTAL POR UF'!F18</f>
        <v>174031.872</v>
      </c>
      <c r="K123" s="68">
        <f t="shared" si="86"/>
        <v>0.31059858705380616</v>
      </c>
      <c r="L123" s="62">
        <f>SUM('TOTAL POR UF'!G18:P18)</f>
        <v>31464.928</v>
      </c>
      <c r="M123" s="68">
        <f t="shared" si="87"/>
        <v>5.615616304207624E-2</v>
      </c>
      <c r="N123" s="100">
        <f t="shared" si="88"/>
        <v>560311.21600000001</v>
      </c>
      <c r="O123" s="68">
        <f t="shared" si="89"/>
        <v>7.9981524328817249E-3</v>
      </c>
      <c r="P123" s="149"/>
    </row>
    <row r="124" spans="1:38">
      <c r="A124" s="99" t="s">
        <v>140</v>
      </c>
      <c r="B124" s="62">
        <f>'TOTAL POR UF'!B26</f>
        <v>113993.09600000001</v>
      </c>
      <c r="C124" s="68">
        <f t="shared" si="82"/>
        <v>0.34299297767806119</v>
      </c>
      <c r="D124" s="62">
        <f>'TOTAL POR UF'!C26</f>
        <v>16284.136000000002</v>
      </c>
      <c r="E124" s="68">
        <f t="shared" si="83"/>
        <v>4.8997215546760071E-2</v>
      </c>
      <c r="F124" s="62">
        <f>'TOTAL POR UF'!D26</f>
        <v>16101.848000000002</v>
      </c>
      <c r="G124" s="68">
        <f t="shared" si="84"/>
        <v>4.8448730541010433E-2</v>
      </c>
      <c r="H124" s="62">
        <f>'TOTAL POR UF'!E26</f>
        <v>3695.0320000000002</v>
      </c>
      <c r="I124" s="68">
        <f t="shared" si="85"/>
        <v>1.111795426887714E-2</v>
      </c>
      <c r="J124" s="62">
        <f>'TOTAL POR UF'!F26</f>
        <v>182274.08000000002</v>
      </c>
      <c r="K124" s="68">
        <f t="shared" si="86"/>
        <v>0.5484431219652911</v>
      </c>
      <c r="L124" s="62">
        <f>SUM('TOTAL POR UF'!G26:P26)</f>
        <v>7402.9840000000013</v>
      </c>
      <c r="M124" s="68">
        <f t="shared" si="87"/>
        <v>2.2274783429542474E-2</v>
      </c>
      <c r="N124" s="100">
        <f t="shared" si="88"/>
        <v>332348.19200000004</v>
      </c>
      <c r="O124" s="68">
        <f t="shared" si="89"/>
        <v>4.7440983234014779E-3</v>
      </c>
    </row>
    <row r="125" spans="1:38">
      <c r="A125" s="99" t="s">
        <v>141</v>
      </c>
      <c r="B125" s="62">
        <f>'TOTAL POR UF'!B27</f>
        <v>26127.167999999998</v>
      </c>
      <c r="C125" s="68">
        <f t="shared" si="82"/>
        <v>0.37689441346449115</v>
      </c>
      <c r="D125" s="62">
        <f>'TOTAL POR UF'!C27</f>
        <v>2883.5840000000003</v>
      </c>
      <c r="E125" s="68">
        <f t="shared" si="83"/>
        <v>4.1596804535248194E-2</v>
      </c>
      <c r="F125" s="62">
        <f>'TOTAL POR UF'!D27</f>
        <v>2500.7439999999997</v>
      </c>
      <c r="G125" s="68">
        <f t="shared" si="84"/>
        <v>3.6074190785042044E-2</v>
      </c>
      <c r="H125" s="62">
        <f>'TOTAL POR UF'!E27</f>
        <v>152.43200000000002</v>
      </c>
      <c r="I125" s="68">
        <f t="shared" si="85"/>
        <v>2.1988900302252171E-3</v>
      </c>
      <c r="J125" s="62">
        <f>'TOTAL POR UF'!F27</f>
        <v>37658.320000000007</v>
      </c>
      <c r="K125" s="68">
        <f t="shared" si="86"/>
        <v>0.54323570118499331</v>
      </c>
      <c r="L125" s="62">
        <f>SUM('TOTAL POR UF'!G27:P27)</f>
        <v>1214.6640000000002</v>
      </c>
      <c r="M125" s="68">
        <f t="shared" si="87"/>
        <v>1.7521993804932582E-2</v>
      </c>
      <c r="N125" s="100">
        <f t="shared" si="88"/>
        <v>69322.248000000007</v>
      </c>
      <c r="O125" s="68">
        <f t="shared" si="89"/>
        <v>9.895391894029664E-4</v>
      </c>
    </row>
    <row r="126" spans="1:38">
      <c r="A126" s="99" t="s">
        <v>145</v>
      </c>
      <c r="B126" s="62">
        <f>'TOTAL POR UF'!B31</f>
        <v>81492.112000000008</v>
      </c>
      <c r="C126" s="68">
        <f t="shared" si="82"/>
        <v>0.37288994785038843</v>
      </c>
      <c r="D126" s="62">
        <f>'TOTAL POR UF'!C31</f>
        <v>20319.464</v>
      </c>
      <c r="E126" s="68">
        <f t="shared" si="83"/>
        <v>9.2977389901342161E-2</v>
      </c>
      <c r="F126" s="62">
        <f>'TOTAL POR UF'!D31</f>
        <v>11070.392</v>
      </c>
      <c r="G126" s="68">
        <f t="shared" si="84"/>
        <v>5.0655674448139926E-2</v>
      </c>
      <c r="H126" s="62">
        <f>'TOTAL POR UF'!E31</f>
        <v>7135.7040000000006</v>
      </c>
      <c r="I126" s="68">
        <f t="shared" si="85"/>
        <v>3.2651409162592425E-2</v>
      </c>
      <c r="J126" s="62">
        <f>'TOTAL POR UF'!F31</f>
        <v>98524.32</v>
      </c>
      <c r="K126" s="68">
        <f t="shared" si="86"/>
        <v>0.45082557863753714</v>
      </c>
      <c r="L126" s="62">
        <f>SUM('TOTAL POR UF'!G31:P31)</f>
        <v>12672.351999999999</v>
      </c>
      <c r="M126" s="68">
        <f t="shared" si="87"/>
        <v>5.7985890418716414E-2</v>
      </c>
      <c r="N126" s="100">
        <f t="shared" si="88"/>
        <v>218541.992</v>
      </c>
      <c r="O126" s="68">
        <f t="shared" si="89"/>
        <v>3.1195737566702907E-3</v>
      </c>
    </row>
    <row r="127" spans="1:38">
      <c r="A127" s="96" t="s">
        <v>220</v>
      </c>
      <c r="B127" s="101">
        <f>SUM(B120:B126)</f>
        <v>823336.07199999993</v>
      </c>
      <c r="C127" s="102">
        <f t="shared" si="82"/>
        <v>0.41240660839647147</v>
      </c>
      <c r="D127" s="101">
        <f>SUM(D120:D126)</f>
        <v>215153.08800000002</v>
      </c>
      <c r="E127" s="102">
        <f t="shared" si="83"/>
        <v>0.10776954675697432</v>
      </c>
      <c r="F127" s="101">
        <f>SUM(F120:F126)</f>
        <v>91926.52800000002</v>
      </c>
      <c r="G127" s="102">
        <f t="shared" si="84"/>
        <v>4.6045726554955653E-2</v>
      </c>
      <c r="H127" s="101">
        <f>SUM(H120:H126)</f>
        <v>32476.088</v>
      </c>
      <c r="I127" s="102">
        <f t="shared" si="85"/>
        <v>1.6267176626345296E-2</v>
      </c>
      <c r="J127" s="101">
        <f>SUM(J120:J126)</f>
        <v>737892.74400000018</v>
      </c>
      <c r="K127" s="102">
        <f t="shared" si="86"/>
        <v>0.36960829758641484</v>
      </c>
      <c r="L127" s="101">
        <f>SUM(L120:L126)</f>
        <v>95633.712</v>
      </c>
      <c r="M127" s="102">
        <f t="shared" si="87"/>
        <v>4.7902644078838486E-2</v>
      </c>
      <c r="N127" s="103">
        <f>B127+D127+F127+H127+J127+L127</f>
        <v>1996418.2320000001</v>
      </c>
      <c r="O127" s="102">
        <f t="shared" si="89"/>
        <v>2.8497836351218487E-2</v>
      </c>
    </row>
    <row r="128" spans="1:38">
      <c r="A128" s="99" t="s">
        <v>120</v>
      </c>
      <c r="B128" s="62">
        <f>'TOTAL POR UF'!B6</f>
        <v>243955.48800000001</v>
      </c>
      <c r="C128" s="68">
        <f t="shared" si="82"/>
        <v>0.53915147498182159</v>
      </c>
      <c r="D128" s="62">
        <f>'TOTAL POR UF'!C6</f>
        <v>38132.104000000007</v>
      </c>
      <c r="E128" s="68">
        <f t="shared" si="83"/>
        <v>8.4273488923357287E-2</v>
      </c>
      <c r="F128" s="62">
        <f>'TOTAL POR UF'!D6</f>
        <v>12341.743999999999</v>
      </c>
      <c r="G128" s="68">
        <f t="shared" si="84"/>
        <v>2.7275752375974609E-2</v>
      </c>
      <c r="H128" s="62">
        <f>'TOTAL POR UF'!E6</f>
        <v>955.87200000000007</v>
      </c>
      <c r="I128" s="68">
        <f t="shared" si="85"/>
        <v>2.1125157007897432E-3</v>
      </c>
      <c r="J128" s="62">
        <f>'TOTAL POR UF'!F6</f>
        <v>157095.21600000001</v>
      </c>
      <c r="K128" s="68">
        <f t="shared" si="86"/>
        <v>0.34718676801805687</v>
      </c>
      <c r="L128" s="62">
        <f>SUM('TOTAL POR UF'!G6:P6)</f>
        <v>16772.384000000002</v>
      </c>
      <c r="M128" s="68">
        <f t="shared" si="87"/>
        <v>3.7067645604928978E-2</v>
      </c>
      <c r="N128" s="100">
        <f t="shared" ref="N128:N136" si="90">B128+D128+F128+H128+J128</f>
        <v>452480.424</v>
      </c>
      <c r="O128" s="68">
        <f t="shared" si="89"/>
        <v>6.4589237207897596E-3</v>
      </c>
    </row>
    <row r="129" spans="1:41">
      <c r="A129" s="99" t="s">
        <v>123</v>
      </c>
      <c r="B129" s="62">
        <f>'TOTAL POR UF'!B9</f>
        <v>699548.81599999999</v>
      </c>
      <c r="C129" s="68">
        <f t="shared" si="82"/>
        <v>0.50730706447679697</v>
      </c>
      <c r="D129" s="62">
        <f>'TOTAL POR UF'!C9</f>
        <v>107484.21600000001</v>
      </c>
      <c r="E129" s="68">
        <f t="shared" si="83"/>
        <v>7.7946671982573948E-2</v>
      </c>
      <c r="F129" s="62">
        <f>'TOTAL POR UF'!D9</f>
        <v>106447.856</v>
      </c>
      <c r="G129" s="68">
        <f t="shared" si="84"/>
        <v>7.7195112209594241E-2</v>
      </c>
      <c r="H129" s="62">
        <f>'TOTAL POR UF'!E9</f>
        <v>14547.712000000001</v>
      </c>
      <c r="I129" s="68">
        <f t="shared" si="85"/>
        <v>1.0549881438972907E-2</v>
      </c>
      <c r="J129" s="62">
        <f>'TOTAL POR UF'!F9</f>
        <v>450916.94400000002</v>
      </c>
      <c r="K129" s="68">
        <f t="shared" si="86"/>
        <v>0.3270012698920618</v>
      </c>
      <c r="L129" s="62">
        <f>SUM('TOTAL POR UF'!G9:P9)</f>
        <v>50696.416000000012</v>
      </c>
      <c r="M129" s="68">
        <f t="shared" si="87"/>
        <v>3.6764625130113193E-2</v>
      </c>
      <c r="N129" s="100">
        <f t="shared" si="90"/>
        <v>1378945.5440000002</v>
      </c>
      <c r="O129" s="68">
        <f t="shared" si="89"/>
        <v>1.9683733508477574E-2</v>
      </c>
    </row>
    <row r="130" spans="1:41">
      <c r="A130" s="99" t="s">
        <v>124</v>
      </c>
      <c r="B130" s="62">
        <f>'TOTAL POR UF'!B10</f>
        <v>393609.39199999999</v>
      </c>
      <c r="C130" s="68">
        <f t="shared" si="82"/>
        <v>0.53156638113878074</v>
      </c>
      <c r="D130" s="62">
        <f>'TOTAL POR UF'!C10</f>
        <v>61676.376000000004</v>
      </c>
      <c r="E130" s="68">
        <f t="shared" si="83"/>
        <v>8.3293459603409947E-2</v>
      </c>
      <c r="F130" s="62">
        <f>'TOTAL POR UF'!D10</f>
        <v>39708.328000000001</v>
      </c>
      <c r="G130" s="68">
        <f t="shared" si="84"/>
        <v>5.3625783949870082E-2</v>
      </c>
      <c r="H130" s="62">
        <f>'TOTAL POR UF'!E10</f>
        <v>6519.12</v>
      </c>
      <c r="I130" s="68">
        <f t="shared" si="85"/>
        <v>8.804020170863831E-3</v>
      </c>
      <c r="J130" s="62">
        <f>'TOTAL POR UF'!F10</f>
        <v>238957.60000000003</v>
      </c>
      <c r="K130" s="68">
        <f t="shared" si="86"/>
        <v>0.32271035513707541</v>
      </c>
      <c r="L130" s="62">
        <f>SUM('TOTAL POR UF'!G10:P10)</f>
        <v>26235.552000000003</v>
      </c>
      <c r="M130" s="68">
        <f t="shared" si="87"/>
        <v>3.5430906165517272E-2</v>
      </c>
      <c r="N130" s="100">
        <f t="shared" si="90"/>
        <v>740470.81599999999</v>
      </c>
      <c r="O130" s="68">
        <f t="shared" si="89"/>
        <v>1.0569837421331071E-2</v>
      </c>
    </row>
    <row r="131" spans="1:41">
      <c r="A131" s="99" t="s">
        <v>128</v>
      </c>
      <c r="B131" s="62">
        <f>'TOTAL POR UF'!B14</f>
        <v>168910.94400000002</v>
      </c>
      <c r="C131" s="68">
        <f t="shared" si="82"/>
        <v>0.48873995274789822</v>
      </c>
      <c r="D131" s="62">
        <f>'TOTAL POR UF'!C14</f>
        <v>43300.28</v>
      </c>
      <c r="E131" s="68">
        <f t="shared" si="83"/>
        <v>0.12528836971730356</v>
      </c>
      <c r="F131" s="62">
        <f>'TOTAL POR UF'!D14</f>
        <v>20200.527999999998</v>
      </c>
      <c r="G131" s="68">
        <f t="shared" si="84"/>
        <v>5.8449765695481479E-2</v>
      </c>
      <c r="H131" s="62">
        <f>'TOTAL POR UF'!E14</f>
        <v>5524.7920000000004</v>
      </c>
      <c r="I131" s="68">
        <f t="shared" si="85"/>
        <v>1.5985859276364981E-2</v>
      </c>
      <c r="J131" s="62">
        <f>'TOTAL POR UF'!F14</f>
        <v>107668.4</v>
      </c>
      <c r="K131" s="68">
        <f t="shared" si="86"/>
        <v>0.31153605256295175</v>
      </c>
      <c r="L131" s="62">
        <f>SUM('TOTAL POR UF'!G14:P14)</f>
        <v>20611.847999999998</v>
      </c>
      <c r="M131" s="68">
        <f t="shared" si="87"/>
        <v>5.9639910706832937E-2</v>
      </c>
      <c r="N131" s="100">
        <f t="shared" si="90"/>
        <v>345604.94400000002</v>
      </c>
      <c r="O131" s="68">
        <f t="shared" si="89"/>
        <v>4.9333315927581802E-3</v>
      </c>
    </row>
    <row r="132" spans="1:41">
      <c r="A132" s="99" t="s">
        <v>133</v>
      </c>
      <c r="B132" s="62">
        <f>'TOTAL POR UF'!B19</f>
        <v>288798.68</v>
      </c>
      <c r="C132" s="68">
        <f t="shared" si="82"/>
        <v>0.47491022675698807</v>
      </c>
      <c r="D132" s="62">
        <f>'TOTAL POR UF'!C19</f>
        <v>56843.207999999999</v>
      </c>
      <c r="E132" s="68">
        <f t="shared" si="83"/>
        <v>9.3474875996229057E-2</v>
      </c>
      <c r="F132" s="62">
        <f>'TOTAL POR UF'!D19</f>
        <v>29329.376000000004</v>
      </c>
      <c r="G132" s="68">
        <f t="shared" si="84"/>
        <v>4.823020869347798E-2</v>
      </c>
      <c r="H132" s="62">
        <f>'TOTAL POR UF'!E19</f>
        <v>8589.4160000000011</v>
      </c>
      <c r="I132" s="68">
        <f t="shared" si="85"/>
        <v>1.4124723493438757E-2</v>
      </c>
      <c r="J132" s="62">
        <f>'TOTAL POR UF'!F19</f>
        <v>224551.47200000001</v>
      </c>
      <c r="K132" s="68">
        <f t="shared" si="86"/>
        <v>0.36925996505986614</v>
      </c>
      <c r="L132" s="62">
        <f>SUM('TOTAL POR UF'!G19:P19)</f>
        <v>24756.072000000004</v>
      </c>
      <c r="M132" s="68">
        <f t="shared" si="87"/>
        <v>4.0709714348875575E-2</v>
      </c>
      <c r="N132" s="100">
        <f t="shared" si="90"/>
        <v>608112.152</v>
      </c>
      <c r="O132" s="68">
        <f t="shared" si="89"/>
        <v>8.6804860390011212E-3</v>
      </c>
      <c r="AF132" s="147">
        <v>1</v>
      </c>
      <c r="AG132" s="147">
        <v>2</v>
      </c>
      <c r="AH132" s="147">
        <v>3</v>
      </c>
      <c r="AI132" s="147">
        <v>4</v>
      </c>
      <c r="AJ132" s="147">
        <v>5</v>
      </c>
      <c r="AK132" s="147">
        <v>6</v>
      </c>
      <c r="AL132" s="147">
        <v>7</v>
      </c>
      <c r="AM132" s="147">
        <v>8</v>
      </c>
      <c r="AN132" s="147">
        <v>9</v>
      </c>
      <c r="AO132" s="147">
        <v>10</v>
      </c>
    </row>
    <row r="133" spans="1:41">
      <c r="A133" s="99" t="s">
        <v>135</v>
      </c>
      <c r="B133" s="62">
        <f>'TOTAL POR UF'!B21</f>
        <v>648099.57600000012</v>
      </c>
      <c r="C133" s="68">
        <f t="shared" si="82"/>
        <v>0.49918928095462667</v>
      </c>
      <c r="D133" s="62">
        <f>'TOTAL POR UF'!C21</f>
        <v>133308</v>
      </c>
      <c r="E133" s="68">
        <f t="shared" si="83"/>
        <v>0.1026785499169951</v>
      </c>
      <c r="F133" s="62">
        <f>'TOTAL POR UF'!D21</f>
        <v>79757.392000000022</v>
      </c>
      <c r="G133" s="68">
        <f t="shared" si="84"/>
        <v>6.1431972242636211E-2</v>
      </c>
      <c r="H133" s="62">
        <f>'TOTAL POR UF'!E21</f>
        <v>16284.056</v>
      </c>
      <c r="I133" s="68">
        <f t="shared" si="85"/>
        <v>1.2542557512280911E-2</v>
      </c>
      <c r="J133" s="62">
        <f>'TOTAL POR UF'!F21</f>
        <v>420855.24800000002</v>
      </c>
      <c r="K133" s="68">
        <f t="shared" si="86"/>
        <v>0.32415763937346115</v>
      </c>
      <c r="L133" s="62">
        <f>SUM('TOTAL POR UF'!G21:P21)</f>
        <v>61881.528000000006</v>
      </c>
      <c r="M133" s="68">
        <f t="shared" si="87"/>
        <v>4.7663347748731738E-2</v>
      </c>
      <c r="N133" s="100">
        <f t="shared" si="90"/>
        <v>1298304.2720000001</v>
      </c>
      <c r="O133" s="68">
        <f t="shared" si="89"/>
        <v>1.8532621113401981E-2</v>
      </c>
      <c r="AF133" s="166"/>
      <c r="AG133" s="172"/>
      <c r="AH133" s="167"/>
      <c r="AI133" s="173"/>
      <c r="AJ133" s="174"/>
      <c r="AK133" s="168"/>
      <c r="AL133" s="175"/>
      <c r="AM133" s="169"/>
      <c r="AN133" s="171"/>
      <c r="AO133" s="170"/>
    </row>
    <row r="134" spans="1:41">
      <c r="A134" s="99" t="s">
        <v>136</v>
      </c>
      <c r="B134" s="62">
        <f>'TOTAL POR UF'!B22</f>
        <v>148691.54400000002</v>
      </c>
      <c r="C134" s="68">
        <f t="shared" si="82"/>
        <v>0.51530403474884046</v>
      </c>
      <c r="D134" s="62">
        <f>'TOTAL POR UF'!C22</f>
        <v>16559.36</v>
      </c>
      <c r="E134" s="68">
        <f t="shared" si="83"/>
        <v>5.7387964313952905E-2</v>
      </c>
      <c r="F134" s="62">
        <f>'TOTAL POR UF'!D22</f>
        <v>21149.52</v>
      </c>
      <c r="G134" s="68">
        <f t="shared" si="84"/>
        <v>7.3295580204623442E-2</v>
      </c>
      <c r="H134" s="62">
        <f>'TOTAL POR UF'!E22</f>
        <v>1501.6000000000001</v>
      </c>
      <c r="I134" s="68">
        <f t="shared" si="85"/>
        <v>5.2039310223240326E-3</v>
      </c>
      <c r="J134" s="62">
        <f>'TOTAL POR UF'!F22</f>
        <v>100649.072</v>
      </c>
      <c r="K134" s="68">
        <f t="shared" si="86"/>
        <v>0.34880848971025913</v>
      </c>
      <c r="L134" s="62">
        <f>SUM('TOTAL POR UF'!G22:P22)</f>
        <v>18560.545999999998</v>
      </c>
      <c r="M134" s="68">
        <f t="shared" si="87"/>
        <v>6.4323255940777979E-2</v>
      </c>
      <c r="N134" s="100">
        <f t="shared" si="90"/>
        <v>288551.09600000002</v>
      </c>
      <c r="O134" s="68">
        <f t="shared" si="89"/>
        <v>4.1189174597623772E-3</v>
      </c>
      <c r="AF134" s="165" t="s">
        <v>258</v>
      </c>
      <c r="AG134" t="s">
        <v>261</v>
      </c>
      <c r="AH134" s="165" t="s">
        <v>264</v>
      </c>
      <c r="AI134" t="s">
        <v>264</v>
      </c>
      <c r="AJ134" t="s">
        <v>269</v>
      </c>
      <c r="AK134" s="165" t="s">
        <v>272</v>
      </c>
      <c r="AL134" t="s">
        <v>255</v>
      </c>
      <c r="AM134" s="165" t="s">
        <v>275</v>
      </c>
      <c r="AN134" t="s">
        <v>278</v>
      </c>
      <c r="AO134" s="165" t="s">
        <v>278</v>
      </c>
    </row>
    <row r="135" spans="1:41">
      <c r="A135" s="99" t="s">
        <v>138</v>
      </c>
      <c r="B135" s="62">
        <f>'TOTAL POR UF'!B24</f>
        <v>293633.62400000001</v>
      </c>
      <c r="C135" s="68">
        <f t="shared" si="82"/>
        <v>0.51551812963573695</v>
      </c>
      <c r="D135" s="62">
        <f>'TOTAL POR UF'!C24</f>
        <v>61394.414000000004</v>
      </c>
      <c r="E135" s="68">
        <f t="shared" si="83"/>
        <v>0.10778715681199406</v>
      </c>
      <c r="F135" s="62">
        <f>'TOTAL POR UF'!D24</f>
        <v>21537.968000000001</v>
      </c>
      <c r="G135" s="68">
        <f t="shared" si="84"/>
        <v>3.7813152418519867E-2</v>
      </c>
      <c r="H135" s="62">
        <f>'TOTAL POR UF'!E24</f>
        <v>7149.5760000000009</v>
      </c>
      <c r="I135" s="68">
        <f t="shared" si="85"/>
        <v>1.2552159378070931E-2</v>
      </c>
      <c r="J135" s="62">
        <f>'TOTAL POR UF'!F24</f>
        <v>185873.74400000001</v>
      </c>
      <c r="K135" s="68">
        <f t="shared" si="86"/>
        <v>0.32632940175567826</v>
      </c>
      <c r="L135" s="62">
        <f>SUM('TOTAL POR UF'!G24:P24)</f>
        <v>28134.762000000002</v>
      </c>
      <c r="M135" s="68">
        <f t="shared" si="87"/>
        <v>4.9394819593230936E-2</v>
      </c>
      <c r="N135" s="100">
        <f t="shared" si="90"/>
        <v>569589.326</v>
      </c>
      <c r="O135" s="68">
        <f t="shared" si="89"/>
        <v>8.1305926481585224E-3</v>
      </c>
      <c r="AF135" s="165" t="s">
        <v>259</v>
      </c>
      <c r="AG135" t="s">
        <v>262</v>
      </c>
      <c r="AH135" s="165" t="s">
        <v>265</v>
      </c>
      <c r="AI135" t="s">
        <v>267</v>
      </c>
      <c r="AJ135" t="s">
        <v>270</v>
      </c>
      <c r="AK135" s="165" t="s">
        <v>273</v>
      </c>
      <c r="AL135" t="s">
        <v>256</v>
      </c>
      <c r="AM135" s="165" t="s">
        <v>276</v>
      </c>
      <c r="AN135" t="s">
        <v>279</v>
      </c>
      <c r="AO135" s="165" t="s">
        <v>281</v>
      </c>
    </row>
    <row r="136" spans="1:41">
      <c r="A136" s="99" t="s">
        <v>144</v>
      </c>
      <c r="B136" s="62">
        <f>'TOTAL POR UF'!B30</f>
        <v>170012.89600000004</v>
      </c>
      <c r="C136" s="68">
        <f t="shared" si="82"/>
        <v>0.4340555074238695</v>
      </c>
      <c r="D136" s="62">
        <f>'TOTAL POR UF'!C30</f>
        <v>41925.928000000007</v>
      </c>
      <c r="E136" s="68">
        <f t="shared" si="83"/>
        <v>0.10703999743793916</v>
      </c>
      <c r="F136" s="62">
        <f>'TOTAL POR UF'!D30</f>
        <v>19886.888000000003</v>
      </c>
      <c r="G136" s="68">
        <f t="shared" si="84"/>
        <v>5.077269704247412E-2</v>
      </c>
      <c r="H136" s="62">
        <f>'TOTAL POR UF'!E30</f>
        <v>2669.52</v>
      </c>
      <c r="I136" s="68">
        <f t="shared" si="85"/>
        <v>6.8154821512961452E-3</v>
      </c>
      <c r="J136" s="62">
        <f>'TOTAL POR UF'!F30</f>
        <v>157189.45600000001</v>
      </c>
      <c r="K136" s="68">
        <f t="shared" si="86"/>
        <v>0.40131631594442102</v>
      </c>
      <c r="L136" s="62">
        <f>SUM('TOTAL POR UF'!G30:P30)</f>
        <v>16596.432000000001</v>
      </c>
      <c r="M136" s="68">
        <f t="shared" si="87"/>
        <v>4.2371919323024435E-2</v>
      </c>
      <c r="N136" s="100">
        <f t="shared" si="90"/>
        <v>391684.68800000008</v>
      </c>
      <c r="O136" s="68">
        <f t="shared" si="89"/>
        <v>5.5910960744532381E-3</v>
      </c>
      <c r="AF136" s="165" t="s">
        <v>260</v>
      </c>
      <c r="AG136" t="s">
        <v>263</v>
      </c>
      <c r="AH136" s="165" t="s">
        <v>266</v>
      </c>
      <c r="AI136" t="s">
        <v>268</v>
      </c>
      <c r="AJ136" t="s">
        <v>271</v>
      </c>
      <c r="AK136" s="165" t="s">
        <v>274</v>
      </c>
      <c r="AL136" t="s">
        <v>257</v>
      </c>
      <c r="AM136" s="165" t="s">
        <v>277</v>
      </c>
      <c r="AN136" t="s">
        <v>280</v>
      </c>
      <c r="AO136" s="165" t="s">
        <v>282</v>
      </c>
    </row>
    <row r="137" spans="1:41">
      <c r="A137" s="146" t="s">
        <v>221</v>
      </c>
      <c r="B137" s="101">
        <f>SUM(B128:B136)</f>
        <v>3055260.9600000004</v>
      </c>
      <c r="C137" s="102">
        <f t="shared" si="82"/>
        <v>0.48205527896103095</v>
      </c>
      <c r="D137" s="101">
        <f>SUM(D128:D136)</f>
        <v>560623.88599999994</v>
      </c>
      <c r="E137" s="102">
        <f t="shared" si="83"/>
        <v>8.845454031460119E-2</v>
      </c>
      <c r="F137" s="101">
        <f>SUM(F128:F136)</f>
        <v>350359.60000000003</v>
      </c>
      <c r="G137" s="102">
        <f t="shared" si="84"/>
        <v>5.5279302464125754E-2</v>
      </c>
      <c r="H137" s="101">
        <f>SUM(H128:H136)</f>
        <v>63741.664000000004</v>
      </c>
      <c r="I137" s="102">
        <f t="shared" si="85"/>
        <v>1.0057080564718865E-2</v>
      </c>
      <c r="J137" s="101">
        <f>SUM(J128:J136)</f>
        <v>2043757.1519999998</v>
      </c>
      <c r="K137" s="102">
        <f t="shared" si="86"/>
        <v>0.32246146464554765</v>
      </c>
      <c r="L137" s="101">
        <f>SUM(L128:L136)</f>
        <v>264245.54000000004</v>
      </c>
      <c r="M137" s="102">
        <f t="shared" si="87"/>
        <v>4.1692333049975626E-2</v>
      </c>
      <c r="N137" s="103">
        <f>B137+D137+F137+H137+J137+L137</f>
        <v>6337988.8020000001</v>
      </c>
      <c r="O137" s="102">
        <f t="shared" si="89"/>
        <v>9.0471507813424598E-2</v>
      </c>
    </row>
    <row r="138" spans="1:41">
      <c r="A138" s="99" t="s">
        <v>125</v>
      </c>
      <c r="B138" s="62">
        <f>'TOTAL POR UF'!B11</f>
        <v>796306.70400000014</v>
      </c>
      <c r="C138" s="68">
        <f t="shared" si="82"/>
        <v>0.58241767532932731</v>
      </c>
      <c r="D138" s="62">
        <f>'TOTAL POR UF'!C11</f>
        <v>124401.07200000001</v>
      </c>
      <c r="E138" s="68">
        <f t="shared" si="83"/>
        <v>9.0986780343263657E-2</v>
      </c>
      <c r="F138" s="62">
        <f>'TOTAL POR UF'!D11</f>
        <v>72703.040000000008</v>
      </c>
      <c r="G138" s="68">
        <f t="shared" si="84"/>
        <v>5.3174907775453181E-2</v>
      </c>
      <c r="H138" s="62">
        <f>'TOTAL POR UF'!E11</f>
        <v>22435.864000000001</v>
      </c>
      <c r="I138" s="68">
        <f t="shared" si="85"/>
        <v>1.6409561402970358E-2</v>
      </c>
      <c r="J138" s="62">
        <f>'TOTAL POR UF'!F11</f>
        <v>351396.68800000008</v>
      </c>
      <c r="K138" s="68">
        <f t="shared" si="86"/>
        <v>0.25701107514898547</v>
      </c>
      <c r="L138" s="62">
        <f>SUM('TOTAL POR UF'!G11:P11)</f>
        <v>55057.412000000011</v>
      </c>
      <c r="M138" s="68">
        <f t="shared" si="87"/>
        <v>4.0268918678711775E-2</v>
      </c>
      <c r="N138" s="100">
        <f>B138+D138+F138+H138+J138</f>
        <v>1367243.3680000002</v>
      </c>
      <c r="O138" s="68">
        <f t="shared" si="89"/>
        <v>1.9516691006432763E-2</v>
      </c>
    </row>
    <row r="139" spans="1:41">
      <c r="A139" s="99" t="s">
        <v>127</v>
      </c>
      <c r="B139" s="62">
        <f>'TOTAL POR UF'!B13</f>
        <v>534076.53600000008</v>
      </c>
      <c r="C139" s="68">
        <f t="shared" si="82"/>
        <v>0.39048069848582878</v>
      </c>
      <c r="D139" s="62">
        <f>'TOTAL POR UF'!C13</f>
        <v>98818.312000000005</v>
      </c>
      <c r="E139" s="68">
        <f t="shared" si="83"/>
        <v>7.2249276820786135E-2</v>
      </c>
      <c r="F139" s="62">
        <f>'TOTAL POR UF'!D13</f>
        <v>64425.472000000002</v>
      </c>
      <c r="G139" s="68">
        <f t="shared" si="84"/>
        <v>4.7103554661385091E-2</v>
      </c>
      <c r="H139" s="62">
        <f>'TOTAL POR UF'!E13</f>
        <v>12989.720000000001</v>
      </c>
      <c r="I139" s="68">
        <f t="shared" si="85"/>
        <v>9.4972061059341115E-3</v>
      </c>
      <c r="J139" s="62">
        <f>'TOTAL POR UF'!F13</f>
        <v>657431.152</v>
      </c>
      <c r="K139" s="68">
        <f t="shared" si="86"/>
        <v>0.4806692639260659</v>
      </c>
      <c r="L139" s="62">
        <f>SUM('TOTAL POR UF'!G13:P13)</f>
        <v>72784.744000000006</v>
      </c>
      <c r="M139" s="68">
        <f t="shared" si="87"/>
        <v>5.3215289870424551E-2</v>
      </c>
      <c r="N139" s="100">
        <f>B139+D139+F139+H139+J139</f>
        <v>1367741.192</v>
      </c>
      <c r="O139" s="68">
        <f t="shared" si="89"/>
        <v>1.9523797186218297E-2</v>
      </c>
    </row>
    <row r="140" spans="1:41">
      <c r="A140" s="99" t="s">
        <v>130</v>
      </c>
      <c r="B140" s="62">
        <f>'TOTAL POR UF'!B16</f>
        <v>373195.21600000001</v>
      </c>
      <c r="C140" s="68">
        <f t="shared" si="82"/>
        <v>0.35585832507277548</v>
      </c>
      <c r="D140" s="62">
        <f>'TOTAL POR UF'!C16</f>
        <v>60863.672000000006</v>
      </c>
      <c r="E140" s="68">
        <f t="shared" si="83"/>
        <v>5.8036232639431223E-2</v>
      </c>
      <c r="F140" s="62">
        <f>'TOTAL POR UF'!D16</f>
        <v>59265.328000000001</v>
      </c>
      <c r="G140" s="68">
        <f t="shared" si="84"/>
        <v>5.6512140168936846E-2</v>
      </c>
      <c r="H140" s="62">
        <f>'TOTAL POR UF'!E16</f>
        <v>9390.8320000000003</v>
      </c>
      <c r="I140" s="68">
        <f t="shared" si="85"/>
        <v>8.9545782027383291E-3</v>
      </c>
      <c r="J140" s="62">
        <f>'TOTAL POR UF'!F16</f>
        <v>546003.47200000007</v>
      </c>
      <c r="K140" s="68">
        <f t="shared" si="86"/>
        <v>0.52063872391611821</v>
      </c>
      <c r="L140" s="62">
        <f>SUM('TOTAL POR UF'!G16:P16)</f>
        <v>33873.360000000001</v>
      </c>
      <c r="M140" s="68">
        <f t="shared" si="87"/>
        <v>3.2299763334016456E-2</v>
      </c>
      <c r="N140" s="100">
        <f>B140+D140+F140+H140+J140</f>
        <v>1048718.52</v>
      </c>
      <c r="O140" s="68">
        <f t="shared" si="89"/>
        <v>1.496991375975976E-2</v>
      </c>
    </row>
    <row r="141" spans="1:41">
      <c r="A141" s="99" t="s">
        <v>129</v>
      </c>
      <c r="B141" s="62">
        <f>'TOTAL POR UF'!B15</f>
        <v>368076.12800000003</v>
      </c>
      <c r="C141" s="68">
        <f t="shared" si="82"/>
        <v>0.32736247764361043</v>
      </c>
      <c r="D141" s="62">
        <f>'TOTAL POR UF'!C15</f>
        <v>60100.625999999997</v>
      </c>
      <c r="E141" s="68">
        <f t="shared" si="83"/>
        <v>5.3452773322186183E-2</v>
      </c>
      <c r="F141" s="62">
        <f>'TOTAL POR UF'!D15</f>
        <v>42181.792000000001</v>
      </c>
      <c r="G141" s="68">
        <f t="shared" si="84"/>
        <v>3.7515978054864299E-2</v>
      </c>
      <c r="H141" s="62">
        <f>'TOTAL POR UF'!E15</f>
        <v>4750.808</v>
      </c>
      <c r="I141" s="68">
        <f t="shared" si="85"/>
        <v>4.2253114488562688E-3</v>
      </c>
      <c r="J141" s="62">
        <f>'TOTAL POR UF'!F15</f>
        <v>649259.3600000001</v>
      </c>
      <c r="K141" s="68">
        <f t="shared" si="86"/>
        <v>0.57744345953048282</v>
      </c>
      <c r="L141" s="62">
        <f>SUM('TOTAL POR UF'!G15:P15)</f>
        <v>27619.556000000008</v>
      </c>
      <c r="M141" s="68">
        <f t="shared" si="87"/>
        <v>2.4564500644759138E-2</v>
      </c>
      <c r="N141" s="100">
        <f>B141+D141+F141+H141+J141</f>
        <v>1124368.7140000002</v>
      </c>
      <c r="O141" s="68">
        <f t="shared" si="89"/>
        <v>1.6049781101178596E-2</v>
      </c>
    </row>
    <row r="142" spans="1:41">
      <c r="A142" s="146" t="s">
        <v>222</v>
      </c>
      <c r="B142" s="101">
        <f>SUM(B138:B141)</f>
        <v>2071654.5840000003</v>
      </c>
      <c r="C142" s="102">
        <f t="shared" si="82"/>
        <v>0.40641342519037604</v>
      </c>
      <c r="D142" s="101">
        <f>SUM(D138:D141)</f>
        <v>344183.68200000003</v>
      </c>
      <c r="E142" s="102">
        <f t="shared" si="83"/>
        <v>6.7521328206254269E-2</v>
      </c>
      <c r="F142" s="101">
        <f>SUM(F138:F141)</f>
        <v>238575.63200000004</v>
      </c>
      <c r="G142" s="102">
        <f t="shared" si="84"/>
        <v>4.6803333198947361E-2</v>
      </c>
      <c r="H142" s="101">
        <f>SUM(H138:H141)</f>
        <v>49567.224000000002</v>
      </c>
      <c r="I142" s="102">
        <f t="shared" si="85"/>
        <v>9.7240077755252896E-3</v>
      </c>
      <c r="J142" s="101">
        <f>SUM(J138:J141)</f>
        <v>2204090.6720000003</v>
      </c>
      <c r="K142" s="102">
        <f t="shared" si="86"/>
        <v>0.4323944958565919</v>
      </c>
      <c r="L142" s="101">
        <f>SUM(L138:L141)</f>
        <v>189335.07200000001</v>
      </c>
      <c r="M142" s="102">
        <f t="shared" si="87"/>
        <v>3.7143409772305194E-2</v>
      </c>
      <c r="N142" s="103">
        <f>B142+D142+F142+H142+J142+L142</f>
        <v>5097406.8660000004</v>
      </c>
      <c r="O142" s="102">
        <f t="shared" si="89"/>
        <v>7.2762843153020007E-2</v>
      </c>
    </row>
    <row r="143" spans="1:41">
      <c r="A143" s="99" t="s">
        <v>126</v>
      </c>
      <c r="B143" s="62">
        <f>'TOTAL POR UF'!B12</f>
        <v>583863.72</v>
      </c>
      <c r="C143" s="68">
        <f t="shared" si="82"/>
        <v>0.54301134326783973</v>
      </c>
      <c r="D143" s="62">
        <f>'TOTAL POR UF'!C12</f>
        <v>86065.864000000001</v>
      </c>
      <c r="E143" s="68">
        <f t="shared" si="83"/>
        <v>8.0043919187421361E-2</v>
      </c>
      <c r="F143" s="62">
        <f>'TOTAL POR UF'!D12</f>
        <v>64451.424000000006</v>
      </c>
      <c r="G143" s="68">
        <f t="shared" si="84"/>
        <v>5.9941820536074907E-2</v>
      </c>
      <c r="H143" s="62">
        <f>'TOTAL POR UF'!E12</f>
        <v>12791.136</v>
      </c>
      <c r="I143" s="68">
        <f t="shared" si="85"/>
        <v>1.1896152652337472E-2</v>
      </c>
      <c r="J143" s="62">
        <f>'TOTAL POR UF'!F12</f>
        <v>328060.864</v>
      </c>
      <c r="K143" s="68">
        <f t="shared" si="86"/>
        <v>0.30510676435632633</v>
      </c>
      <c r="L143" s="62">
        <f>SUM('TOTAL POR UF'!G12:P12)</f>
        <v>42172.19200000001</v>
      </c>
      <c r="M143" s="68">
        <f t="shared" si="87"/>
        <v>3.922144473451656E-2</v>
      </c>
      <c r="N143" s="100">
        <f>B143+D143+F143+H143+J143</f>
        <v>1075233.0080000001</v>
      </c>
      <c r="O143" s="68">
        <f t="shared" si="89"/>
        <v>1.534839434456357E-2</v>
      </c>
    </row>
    <row r="144" spans="1:41">
      <c r="A144" s="99" t="s">
        <v>131</v>
      </c>
      <c r="B144" s="62">
        <f>'TOTAL POR UF'!B17</f>
        <v>2007039.7119999998</v>
      </c>
      <c r="C144" s="68">
        <f t="shared" si="82"/>
        <v>0.51276667176721868</v>
      </c>
      <c r="D144" s="62">
        <f>'TOTAL POR UF'!C17</f>
        <v>369531.72800000006</v>
      </c>
      <c r="E144" s="68">
        <f t="shared" si="83"/>
        <v>9.4409469402142648E-2</v>
      </c>
      <c r="F144" s="62">
        <f>'TOTAL POR UF'!D17</f>
        <v>232550.92</v>
      </c>
      <c r="G144" s="68">
        <f t="shared" si="84"/>
        <v>5.9413055233460549E-2</v>
      </c>
      <c r="H144" s="62">
        <f>'TOTAL POR UF'!E17</f>
        <v>69245.464000000007</v>
      </c>
      <c r="I144" s="68">
        <f t="shared" si="85"/>
        <v>1.7691112885292407E-2</v>
      </c>
      <c r="J144" s="62">
        <f>'TOTAL POR UF'!F17</f>
        <v>1235770.56</v>
      </c>
      <c r="K144" s="68">
        <f t="shared" si="86"/>
        <v>0.31571969071188566</v>
      </c>
      <c r="L144" s="62">
        <f>SUM('TOTAL POR UF'!G17:P17)</f>
        <v>173052.758</v>
      </c>
      <c r="M144" s="68">
        <f t="shared" si="87"/>
        <v>4.4212222722475922E-2</v>
      </c>
      <c r="N144" s="100">
        <f>B144+D144+F144+H144+J144</f>
        <v>3914138.3840000001</v>
      </c>
      <c r="O144" s="68">
        <f t="shared" si="89"/>
        <v>5.5872298366815752E-2</v>
      </c>
    </row>
    <row r="145" spans="1:15">
      <c r="A145" s="99" t="s">
        <v>137</v>
      </c>
      <c r="B145" s="62">
        <f>'TOTAL POR UF'!B23</f>
        <v>2530541.3199999998</v>
      </c>
      <c r="C145" s="68">
        <f t="shared" si="82"/>
        <v>0.53939660829148206</v>
      </c>
      <c r="D145" s="62">
        <f>'TOTAL POR UF'!C23</f>
        <v>322863.57800000004</v>
      </c>
      <c r="E145" s="68">
        <f t="shared" si="83"/>
        <v>6.8819867724607006E-2</v>
      </c>
      <c r="F145" s="62">
        <f>'TOTAL POR UF'!D23</f>
        <v>363129.60800000007</v>
      </c>
      <c r="G145" s="68">
        <f t="shared" si="84"/>
        <v>7.7402758602422461E-2</v>
      </c>
      <c r="H145" s="62">
        <f>'TOTAL POR UF'!E23</f>
        <v>56500.298000000003</v>
      </c>
      <c r="I145" s="68">
        <f t="shared" si="85"/>
        <v>1.2043300327796273E-2</v>
      </c>
      <c r="J145" s="62">
        <f>'TOTAL POR UF'!F23</f>
        <v>1418394.9920000001</v>
      </c>
      <c r="K145" s="68">
        <f t="shared" si="86"/>
        <v>0.30233746505369213</v>
      </c>
      <c r="L145" s="62">
        <f>SUM('TOTAL POR UF'!G23:P23)</f>
        <v>191373.63200000001</v>
      </c>
      <c r="M145" s="68">
        <f t="shared" si="87"/>
        <v>4.079217644121387E-2</v>
      </c>
      <c r="N145" s="100">
        <f>B145+D145+F145+H145+J145</f>
        <v>4691429.7960000001</v>
      </c>
      <c r="O145" s="68">
        <f t="shared" si="89"/>
        <v>6.6967730727294991E-2</v>
      </c>
    </row>
    <row r="146" spans="1:15">
      <c r="A146" s="99" t="s">
        <v>143</v>
      </c>
      <c r="B146" s="62">
        <f>'TOTAL POR UF'!B29</f>
        <v>8507058.2400000002</v>
      </c>
      <c r="C146" s="68">
        <f t="shared" si="82"/>
        <v>0.45667726659829211</v>
      </c>
      <c r="D146" s="62">
        <f>'TOTAL POR UF'!C29</f>
        <v>1153900.5959999999</v>
      </c>
      <c r="E146" s="68">
        <f t="shared" si="83"/>
        <v>6.1943877100742659E-2</v>
      </c>
      <c r="F146" s="62">
        <f>'TOTAL POR UF'!D29</f>
        <v>1036639.0640000001</v>
      </c>
      <c r="G146" s="68">
        <f t="shared" si="84"/>
        <v>5.564902470874962E-2</v>
      </c>
      <c r="H146" s="62">
        <f>'TOTAL POR UF'!E29</f>
        <v>154376.66999999998</v>
      </c>
      <c r="I146" s="68">
        <f t="shared" si="85"/>
        <v>8.2872731904732513E-3</v>
      </c>
      <c r="J146" s="62">
        <f>'TOTAL POR UF'!F29</f>
        <v>7776187.7280000001</v>
      </c>
      <c r="K146" s="68">
        <f t="shared" si="86"/>
        <v>0.41744255840174233</v>
      </c>
      <c r="L146" s="62">
        <f>SUM('TOTAL POR UF'!G29:P29)</f>
        <v>537858.19039999996</v>
      </c>
      <c r="M146" s="68">
        <f t="shared" si="87"/>
        <v>2.8873389752340023E-2</v>
      </c>
      <c r="N146" s="100">
        <f>B146+D146+F146+H146+J146</f>
        <v>18628162.298</v>
      </c>
      <c r="O146" s="68">
        <f t="shared" si="89"/>
        <v>0.26590736959986955</v>
      </c>
    </row>
    <row r="147" spans="1:15">
      <c r="A147" s="96" t="s">
        <v>223</v>
      </c>
      <c r="B147" s="101">
        <f>SUM(B143:B146)</f>
        <v>13628502.992000001</v>
      </c>
      <c r="C147" s="102">
        <f t="shared" si="82"/>
        <v>0.46587725030500088</v>
      </c>
      <c r="D147" s="101">
        <f>SUM(D143:D146)</f>
        <v>1932361.7660000001</v>
      </c>
      <c r="E147" s="102">
        <f t="shared" si="83"/>
        <v>6.6055926073982071E-2</v>
      </c>
      <c r="F147" s="101">
        <f>SUM(F143:F146)</f>
        <v>1696771.0160000003</v>
      </c>
      <c r="G147" s="102">
        <f t="shared" si="84"/>
        <v>5.8002483163068067E-2</v>
      </c>
      <c r="H147" s="101">
        <f>SUM(H143:H146)</f>
        <v>292913.56799999997</v>
      </c>
      <c r="I147" s="102">
        <f t="shared" si="85"/>
        <v>1.0012968241410713E-2</v>
      </c>
      <c r="J147" s="101">
        <f>SUM(J143:J146)</f>
        <v>10758414.144000001</v>
      </c>
      <c r="K147" s="102">
        <f t="shared" si="86"/>
        <v>0.3677660269797261</v>
      </c>
      <c r="L147" s="101">
        <f>SUM(L143:L146)</f>
        <v>944456.77240000002</v>
      </c>
      <c r="M147" s="102">
        <f t="shared" si="87"/>
        <v>3.2285345236812202E-2</v>
      </c>
      <c r="N147" s="103">
        <f>B147+D147+F147+H147+J147+L147</f>
        <v>29253420.258400001</v>
      </c>
      <c r="O147" s="102">
        <f t="shared" si="89"/>
        <v>0.41757742434667511</v>
      </c>
    </row>
    <row r="148" spans="1:15">
      <c r="A148" s="99" t="s">
        <v>134</v>
      </c>
      <c r="B148" s="62">
        <f>'TOTAL POR UF'!B20</f>
        <v>1786485.4080000001</v>
      </c>
      <c r="C148" s="68">
        <f t="shared" si="82"/>
        <v>0.42588286412875137</v>
      </c>
      <c r="D148" s="62">
        <f>'TOTAL POR UF'!C20</f>
        <v>215979.24000000002</v>
      </c>
      <c r="E148" s="68">
        <f t="shared" si="83"/>
        <v>5.1487606286427047E-2</v>
      </c>
      <c r="F148" s="62">
        <f>'TOTAL POR UF'!D20</f>
        <v>302427.26400000008</v>
      </c>
      <c r="G148" s="68">
        <f t="shared" si="84"/>
        <v>7.209607691513932E-2</v>
      </c>
      <c r="H148" s="62">
        <f>'TOTAL POR UF'!E20</f>
        <v>62118</v>
      </c>
      <c r="I148" s="68">
        <f t="shared" si="85"/>
        <v>1.4808400693049366E-2</v>
      </c>
      <c r="J148" s="62">
        <f>'TOTAL POR UF'!F20</f>
        <v>1827771.2319999998</v>
      </c>
      <c r="K148" s="68">
        <f t="shared" si="86"/>
        <v>0.43572505197663303</v>
      </c>
      <c r="L148" s="62">
        <f>SUM('TOTAL POR UF'!G20:P20)</f>
        <v>104281.56000000001</v>
      </c>
      <c r="M148" s="68">
        <f t="shared" si="87"/>
        <v>2.4859833307193876E-2</v>
      </c>
      <c r="N148" s="100">
        <f>B148+D148+F148+H148+J148</f>
        <v>4194781.1439999994</v>
      </c>
      <c r="O148" s="68">
        <f t="shared" si="89"/>
        <v>5.9878328425768977E-2</v>
      </c>
    </row>
    <row r="149" spans="1:15">
      <c r="A149" s="99" t="s">
        <v>139</v>
      </c>
      <c r="B149" s="62">
        <f>'TOTAL POR UF'!B25</f>
        <v>2434621.4160000002</v>
      </c>
      <c r="C149" s="68">
        <f t="shared" si="82"/>
        <v>0.4381072451578143</v>
      </c>
      <c r="D149" s="62">
        <f>'TOTAL POR UF'!C25</f>
        <v>370682.07</v>
      </c>
      <c r="E149" s="68">
        <f t="shared" si="83"/>
        <v>6.6703800208868319E-2</v>
      </c>
      <c r="F149" s="62">
        <f>'TOTAL POR UF'!D25</f>
        <v>319506.61600000004</v>
      </c>
      <c r="G149" s="68">
        <f t="shared" si="84"/>
        <v>5.7494837770479729E-2</v>
      </c>
      <c r="H149" s="62">
        <f>'TOTAL POR UF'!E25</f>
        <v>83099.662000000011</v>
      </c>
      <c r="I149" s="68">
        <f t="shared" si="85"/>
        <v>1.4953685921394814E-2</v>
      </c>
      <c r="J149" s="62">
        <f>'TOTAL POR UF'!F25</f>
        <v>2349225.9440000001</v>
      </c>
      <c r="K149" s="68">
        <f t="shared" si="86"/>
        <v>0.42274043094144281</v>
      </c>
      <c r="L149" s="62">
        <f>SUM('TOTAL POR UF'!G25:P25)</f>
        <v>171792.91</v>
      </c>
      <c r="M149" s="68">
        <f t="shared" si="87"/>
        <v>3.0913931029736871E-2</v>
      </c>
      <c r="N149" s="100">
        <f>B149+D149+F149+H149+J149</f>
        <v>5557135.7080000006</v>
      </c>
      <c r="O149" s="68">
        <f t="shared" si="89"/>
        <v>7.9325234286929058E-2</v>
      </c>
    </row>
    <row r="150" spans="1:15">
      <c r="A150" s="99" t="s">
        <v>142</v>
      </c>
      <c r="B150" s="62">
        <f>'TOTAL POR UF'!B28</f>
        <v>1550006.76</v>
      </c>
      <c r="C150" s="68">
        <f t="shared" si="82"/>
        <v>0.47437338890645786</v>
      </c>
      <c r="D150" s="62">
        <f>'TOTAL POR UF'!C28</f>
        <v>163490.72</v>
      </c>
      <c r="E150" s="68">
        <f t="shared" si="83"/>
        <v>5.0035683006412701E-2</v>
      </c>
      <c r="F150" s="62">
        <f>'TOTAL POR UF'!D28</f>
        <v>193981.09600000002</v>
      </c>
      <c r="G150" s="68">
        <f t="shared" si="84"/>
        <v>5.9367141013829478E-2</v>
      </c>
      <c r="H150" s="62">
        <f>'TOTAL POR UF'!E28</f>
        <v>33841.392000000007</v>
      </c>
      <c r="I150" s="68">
        <f t="shared" si="85"/>
        <v>1.0357023093468247E-2</v>
      </c>
      <c r="J150" s="62">
        <f>'TOTAL POR UF'!F28</f>
        <v>1326162.56</v>
      </c>
      <c r="K150" s="68">
        <f t="shared" si="86"/>
        <v>0.40586676397983179</v>
      </c>
      <c r="L150" s="62">
        <f>SUM('TOTAL POR UF'!G28:P28)</f>
        <v>68355.72</v>
      </c>
      <c r="M150" s="68">
        <f t="shared" si="87"/>
        <v>2.091999556669091E-2</v>
      </c>
      <c r="N150" s="100">
        <f>B150+D150+F150+H150+J150</f>
        <v>3267482.5279999999</v>
      </c>
      <c r="O150" s="68">
        <f t="shared" si="89"/>
        <v>4.6641620914334381E-2</v>
      </c>
    </row>
    <row r="151" spans="1:15">
      <c r="A151" s="146" t="s">
        <v>224</v>
      </c>
      <c r="B151" s="101">
        <f>SUM(B148:B150)</f>
        <v>5771113.5839999998</v>
      </c>
      <c r="C151" s="102">
        <f t="shared" si="82"/>
        <v>0.43184579343599039</v>
      </c>
      <c r="D151" s="101">
        <f>SUM(D148:D150)</f>
        <v>750152.03</v>
      </c>
      <c r="E151" s="102">
        <f t="shared" si="83"/>
        <v>5.6133013824419799E-2</v>
      </c>
      <c r="F151" s="101">
        <f>SUM(F148:F150)</f>
        <v>815914.97600000014</v>
      </c>
      <c r="G151" s="102">
        <f t="shared" si="84"/>
        <v>6.1053979454483591E-2</v>
      </c>
      <c r="H151" s="101">
        <f>SUM(H148:H150)</f>
        <v>179059.054</v>
      </c>
      <c r="I151" s="102">
        <f t="shared" si="85"/>
        <v>1.3398783115429989E-2</v>
      </c>
      <c r="J151" s="101">
        <f>SUM(J148:J150)</f>
        <v>5503159.7359999996</v>
      </c>
      <c r="K151" s="102">
        <f t="shared" si="86"/>
        <v>0.4117951151033723</v>
      </c>
      <c r="L151" s="101">
        <f>SUM(L148:L150)</f>
        <v>344430.19000000006</v>
      </c>
      <c r="M151" s="102">
        <f t="shared" si="87"/>
        <v>2.5773315066304016E-2</v>
      </c>
      <c r="N151" s="103">
        <f>B151+D151+F151+H151+J151+L151</f>
        <v>13363829.569999998</v>
      </c>
      <c r="O151" s="102">
        <f t="shared" si="89"/>
        <v>0.19076174621482542</v>
      </c>
    </row>
    <row r="152" spans="1:15">
      <c r="A152" s="146" t="s">
        <v>225</v>
      </c>
      <c r="B152" s="101">
        <f>B127+B137+B142+B147+B151</f>
        <v>25349868.192000002</v>
      </c>
      <c r="C152" s="102">
        <f t="shared" si="82"/>
        <v>0.4522799580531664</v>
      </c>
      <c r="D152" s="101">
        <f>D127+D137+D142+D147+D151</f>
        <v>3802474.4520000005</v>
      </c>
      <c r="E152" s="102">
        <f t="shared" si="83"/>
        <v>6.7841890641132885E-2</v>
      </c>
      <c r="F152" s="101">
        <f>F127+F137+F142+F147+F151</f>
        <v>3193547.7520000008</v>
      </c>
      <c r="G152" s="102">
        <f t="shared" si="84"/>
        <v>5.6977718084197604E-2</v>
      </c>
      <c r="H152" s="101">
        <f>H127+H137+H142+H147+H151</f>
        <v>617757.598</v>
      </c>
      <c r="I152" s="102">
        <f t="shared" si="85"/>
        <v>1.1021729122782526E-2</v>
      </c>
      <c r="J152" s="101">
        <f>J127+J137+J142+J147+J151</f>
        <v>21247314.447999999</v>
      </c>
      <c r="K152" s="102">
        <f t="shared" si="86"/>
        <v>0.37908419935361037</v>
      </c>
      <c r="L152" s="101">
        <f>L127+L137+L142+L147+L151</f>
        <v>1838101.2864000001</v>
      </c>
      <c r="M152" s="102">
        <f t="shared" si="87"/>
        <v>3.2794504745110239E-2</v>
      </c>
      <c r="N152" s="103">
        <f>B152+D152+F152+H152+J152+L152</f>
        <v>56049063.728399999</v>
      </c>
      <c r="O152" s="102">
        <f t="shared" si="89"/>
        <v>0.80007135787916361</v>
      </c>
    </row>
    <row r="153" spans="1:15">
      <c r="A153" s="146" t="s">
        <v>226</v>
      </c>
      <c r="B153" s="100">
        <f>'TOTAL POR UF'!B65</f>
        <v>6337467.0480000004</v>
      </c>
      <c r="C153" s="68">
        <f t="shared" si="82"/>
        <v>0.46764519681181882</v>
      </c>
      <c r="D153" s="100">
        <f>'TOTAL POR UF'!C65</f>
        <v>949044.08799999999</v>
      </c>
      <c r="E153" s="68">
        <f t="shared" si="83"/>
        <v>7.0030487883312009E-2</v>
      </c>
      <c r="F153" s="100">
        <f>'TOTAL POR UF'!D65</f>
        <v>798386.93800000008</v>
      </c>
      <c r="G153" s="68">
        <f t="shared" si="84"/>
        <v>5.8913413501822033E-2</v>
      </c>
      <c r="H153" s="100">
        <f>'TOTAL POR UF'!E65</f>
        <v>154164.98200000002</v>
      </c>
      <c r="I153" s="68">
        <f t="shared" si="85"/>
        <v>1.1375919243892928E-2</v>
      </c>
      <c r="J153" s="100">
        <f>'TOTAL POR UF'!F65</f>
        <v>5312807.2320000008</v>
      </c>
      <c r="K153" s="68">
        <f t="shared" si="86"/>
        <v>0.39203498255915425</v>
      </c>
      <c r="L153" s="100">
        <f>SUM('TOTAL POR UF'!G65:P65)</f>
        <v>454146.9166</v>
      </c>
      <c r="M153" s="68">
        <f t="shared" si="87"/>
        <v>3.351175202747779E-2</v>
      </c>
      <c r="N153" s="100">
        <f>B153+D153+F153+H153+J153</f>
        <v>13551870.288000001</v>
      </c>
      <c r="O153" s="68">
        <f t="shared" si="89"/>
        <v>0.19344593008122968</v>
      </c>
    </row>
    <row r="154" spans="1:15">
      <c r="A154" s="146" t="s">
        <v>160</v>
      </c>
      <c r="B154" s="101">
        <f>B152+B153</f>
        <v>31687335.240000002</v>
      </c>
      <c r="C154" s="104">
        <f t="shared" si="82"/>
        <v>0.45232030022641001</v>
      </c>
      <c r="D154" s="101">
        <f>D152+D153</f>
        <v>4751518.540000001</v>
      </c>
      <c r="E154" s="104">
        <f t="shared" si="83"/>
        <v>6.7825466428970485E-2</v>
      </c>
      <c r="F154" s="101">
        <f>F152+F153</f>
        <v>3991934.6900000009</v>
      </c>
      <c r="G154" s="104">
        <f t="shared" si="84"/>
        <v>5.6982800345600194E-2</v>
      </c>
      <c r="H154" s="101">
        <f>H152+H153</f>
        <v>771922.58000000007</v>
      </c>
      <c r="I154" s="104">
        <f t="shared" si="85"/>
        <v>1.1018795064104765E-2</v>
      </c>
      <c r="J154" s="101">
        <f>J152+J153</f>
        <v>26560121.68</v>
      </c>
      <c r="K154" s="104">
        <f t="shared" si="86"/>
        <v>0.37913198195291287</v>
      </c>
      <c r="L154" s="101">
        <f>L152+L153</f>
        <v>2292248.2030000002</v>
      </c>
      <c r="M154" s="104">
        <f t="shared" si="87"/>
        <v>3.2720655982002002E-2</v>
      </c>
      <c r="N154" s="101">
        <f>B154+D154+F154+H154+J154+L154</f>
        <v>70055080.932999983</v>
      </c>
      <c r="O154" s="104">
        <f t="shared" si="89"/>
        <v>1</v>
      </c>
    </row>
    <row r="155" spans="1:15">
      <c r="B155" t="b">
        <f>B154='TOTAL POR UF'!B98</f>
        <v>1</v>
      </c>
      <c r="D155" t="b">
        <f>D154='TOTAL POR UF'!C98</f>
        <v>1</v>
      </c>
      <c r="F155" t="b">
        <f>F154='TOTAL POR UF'!D98</f>
        <v>1</v>
      </c>
      <c r="H155" t="b">
        <f>H154='TOTAL POR UF'!E98</f>
        <v>1</v>
      </c>
      <c r="J155" t="b">
        <f>J154='TOTAL POR UF'!F98</f>
        <v>1</v>
      </c>
      <c r="L155" t="b">
        <f>L154=SUM('TOTAL POR UF'!G98:P98)</f>
        <v>1</v>
      </c>
      <c r="N155" s="93" t="b">
        <f>N154='TOTAL POR UF'!Q98</f>
        <v>1</v>
      </c>
    </row>
  </sheetData>
  <mergeCells count="14">
    <mergeCell ref="Y83:AA83"/>
    <mergeCell ref="Y99:AA99"/>
    <mergeCell ref="Y2:AA2"/>
    <mergeCell ref="Y19:AA19"/>
    <mergeCell ref="Y35:AA35"/>
    <mergeCell ref="Y51:AA51"/>
    <mergeCell ref="Y67:AA67"/>
    <mergeCell ref="A40:M40"/>
    <mergeCell ref="A1:M1"/>
    <mergeCell ref="A8:M8"/>
    <mergeCell ref="A15:M15"/>
    <mergeCell ref="A21:M21"/>
    <mergeCell ref="A28:M28"/>
    <mergeCell ref="A34:M34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59999389629810485"/>
  </sheetPr>
  <dimension ref="A1:CF110"/>
  <sheetViews>
    <sheetView topLeftCell="AF1" zoomScale="70" zoomScaleNormal="70" workbookViewId="0">
      <selection activeCell="AS3" sqref="AS3"/>
    </sheetView>
  </sheetViews>
  <sheetFormatPr defaultRowHeight="15"/>
  <cols>
    <col min="1" max="1" width="14.7109375" style="159" bestFit="1" customWidth="1"/>
    <col min="2" max="3" width="13.140625" style="159" customWidth="1"/>
    <col min="4" max="10" width="15" style="159" customWidth="1"/>
    <col min="11" max="40" width="15" customWidth="1"/>
    <col min="41" max="42" width="11.5703125" customWidth="1"/>
    <col min="43" max="43" width="23" bestFit="1" customWidth="1"/>
    <col min="44" max="44" width="15.42578125" customWidth="1"/>
    <col min="45" max="45" width="14" customWidth="1"/>
    <col min="46" max="46" width="37.28515625" customWidth="1"/>
    <col min="47" max="47" width="21.7109375" customWidth="1"/>
    <col min="48" max="48" width="21.5703125" customWidth="1"/>
    <col min="49" max="49" width="38.85546875" customWidth="1"/>
    <col min="50" max="50" width="37.140625" customWidth="1"/>
    <col min="51" max="51" width="23.140625" customWidth="1"/>
    <col min="52" max="52" width="23" customWidth="1"/>
    <col min="53" max="53" width="38.7109375" customWidth="1"/>
    <col min="54" max="54" width="17.140625" customWidth="1"/>
    <col min="55" max="55" width="23.140625" customWidth="1"/>
    <col min="56" max="56" width="23" customWidth="1"/>
    <col min="57" max="57" width="19.140625" customWidth="1"/>
    <col min="58" max="58" width="23.140625" customWidth="1"/>
    <col min="59" max="59" width="23" customWidth="1"/>
    <col min="60" max="60" width="23.140625" customWidth="1"/>
    <col min="61" max="61" width="30.5703125" customWidth="1"/>
    <col min="62" max="62" width="25.42578125" customWidth="1"/>
    <col min="63" max="63" width="30.7109375" customWidth="1"/>
    <col min="64" max="64" width="23" customWidth="1"/>
    <col min="65" max="65" width="30.28515625" customWidth="1"/>
    <col min="66" max="66" width="25.28515625" customWidth="1"/>
    <col min="67" max="67" width="30.5703125" customWidth="1"/>
    <col min="68" max="68" width="25" customWidth="1"/>
    <col min="69" max="69" width="29.140625" customWidth="1"/>
    <col min="70" max="71" width="22.5703125" customWidth="1"/>
    <col min="72" max="72" width="26.85546875" customWidth="1"/>
    <col min="73" max="73" width="27.140625" customWidth="1"/>
    <col min="74" max="74" width="26.7109375" customWidth="1"/>
    <col min="75" max="75" width="26.85546875" customWidth="1"/>
    <col min="76" max="76" width="13.140625" customWidth="1"/>
    <col min="77" max="77" width="22.85546875" customWidth="1"/>
    <col min="78" max="78" width="23.42578125" customWidth="1"/>
    <col min="79" max="79" width="35.42578125" customWidth="1"/>
    <col min="80" max="80" width="38.85546875" customWidth="1"/>
    <col min="81" max="81" width="15.28515625" customWidth="1"/>
    <col min="82" max="82" width="15" customWidth="1"/>
    <col min="83" max="83" width="18.5703125" customWidth="1"/>
    <col min="84" max="84" width="20.5703125" customWidth="1"/>
  </cols>
  <sheetData>
    <row r="1" spans="1:84">
      <c r="D1" s="340" t="s">
        <v>384</v>
      </c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1"/>
      <c r="R1" s="342" t="s">
        <v>383</v>
      </c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11"/>
      <c r="AD1" s="344" t="s">
        <v>478</v>
      </c>
      <c r="AE1" s="344"/>
      <c r="AF1" s="344"/>
      <c r="AG1" s="344"/>
      <c r="AH1" s="340" t="s">
        <v>382</v>
      </c>
      <c r="AI1" s="340"/>
      <c r="AJ1" s="340" t="s">
        <v>381</v>
      </c>
      <c r="AK1" s="340"/>
      <c r="AL1" s="340"/>
      <c r="AM1" s="334" t="s">
        <v>483</v>
      </c>
      <c r="AN1" s="335"/>
      <c r="AO1" s="335"/>
      <c r="AP1" s="336"/>
    </row>
    <row r="2" spans="1:84">
      <c r="D2" s="340" t="s">
        <v>230</v>
      </c>
      <c r="E2" s="340"/>
      <c r="F2" s="340"/>
      <c r="G2" s="340"/>
      <c r="H2" s="340" t="s">
        <v>231</v>
      </c>
      <c r="I2" s="340"/>
      <c r="J2" s="340"/>
      <c r="K2" s="340"/>
      <c r="L2" s="308" t="s">
        <v>28</v>
      </c>
      <c r="M2" s="308"/>
      <c r="N2" s="308"/>
      <c r="O2" s="308" t="s">
        <v>380</v>
      </c>
      <c r="P2" s="308"/>
      <c r="Q2" s="342"/>
      <c r="R2" s="308" t="s">
        <v>230</v>
      </c>
      <c r="S2" s="308"/>
      <c r="T2" s="308"/>
      <c r="U2" s="308"/>
      <c r="V2" s="308" t="s">
        <v>231</v>
      </c>
      <c r="W2" s="308"/>
      <c r="X2" s="308"/>
      <c r="Y2" s="308"/>
      <c r="Z2" s="342" t="s">
        <v>28</v>
      </c>
      <c r="AA2" s="343"/>
      <c r="AB2" s="343"/>
      <c r="AC2" s="311"/>
      <c r="AD2" s="308" t="s">
        <v>230</v>
      </c>
      <c r="AE2" s="308"/>
      <c r="AF2" s="308" t="s">
        <v>231</v>
      </c>
      <c r="AG2" s="308"/>
      <c r="AH2" s="340"/>
      <c r="AI2" s="340"/>
      <c r="AJ2" s="340"/>
      <c r="AK2" s="340"/>
      <c r="AL2" s="340"/>
      <c r="AM2" s="337"/>
      <c r="AN2" s="338"/>
      <c r="AO2" s="338"/>
      <c r="AP2" s="339"/>
    </row>
    <row r="3" spans="1:84" s="273" customFormat="1" ht="30">
      <c r="A3" s="98" t="s">
        <v>379</v>
      </c>
      <c r="B3" s="98" t="s">
        <v>227</v>
      </c>
      <c r="C3" s="98" t="s">
        <v>373</v>
      </c>
      <c r="D3" s="98" t="s">
        <v>378</v>
      </c>
      <c r="E3" s="98" t="s">
        <v>209</v>
      </c>
      <c r="F3" s="98" t="s">
        <v>332</v>
      </c>
      <c r="G3" s="98" t="s">
        <v>377</v>
      </c>
      <c r="H3" s="98" t="s">
        <v>376</v>
      </c>
      <c r="I3" s="98" t="s">
        <v>209</v>
      </c>
      <c r="J3" s="98" t="s">
        <v>332</v>
      </c>
      <c r="K3" s="98" t="s">
        <v>333</v>
      </c>
      <c r="L3" s="98" t="s">
        <v>28</v>
      </c>
      <c r="M3" s="98" t="s">
        <v>209</v>
      </c>
      <c r="N3" s="98" t="s">
        <v>332</v>
      </c>
      <c r="O3" s="98" t="s">
        <v>233</v>
      </c>
      <c r="P3" s="98" t="s">
        <v>209</v>
      </c>
      <c r="Q3" s="98" t="s">
        <v>332</v>
      </c>
      <c r="R3" s="226" t="s">
        <v>331</v>
      </c>
      <c r="S3" s="226" t="s">
        <v>492</v>
      </c>
      <c r="T3" s="226" t="s">
        <v>322</v>
      </c>
      <c r="U3" s="226" t="s">
        <v>329</v>
      </c>
      <c r="V3" s="226" t="s">
        <v>328</v>
      </c>
      <c r="W3" s="226" t="s">
        <v>493</v>
      </c>
      <c r="X3" s="226" t="s">
        <v>321</v>
      </c>
      <c r="Y3" s="226" t="s">
        <v>326</v>
      </c>
      <c r="Z3" s="226" t="s">
        <v>325</v>
      </c>
      <c r="AA3" s="226" t="s">
        <v>474</v>
      </c>
      <c r="AB3" s="226" t="s">
        <v>375</v>
      </c>
      <c r="AC3" s="226" t="s">
        <v>374</v>
      </c>
      <c r="AD3" s="98" t="s">
        <v>479</v>
      </c>
      <c r="AE3" s="98" t="s">
        <v>322</v>
      </c>
      <c r="AF3" s="98" t="s">
        <v>480</v>
      </c>
      <c r="AG3" s="98" t="s">
        <v>321</v>
      </c>
      <c r="AH3" s="225" t="s">
        <v>320</v>
      </c>
      <c r="AI3" s="225" t="s">
        <v>319</v>
      </c>
      <c r="AJ3" s="98" t="s">
        <v>318</v>
      </c>
      <c r="AK3" s="98" t="s">
        <v>317</v>
      </c>
      <c r="AL3" s="98" t="s">
        <v>316</v>
      </c>
      <c r="AM3" s="98" t="s">
        <v>230</v>
      </c>
      <c r="AN3" s="98" t="s">
        <v>231</v>
      </c>
      <c r="AO3" s="98" t="s">
        <v>28</v>
      </c>
      <c r="AP3" s="98" t="s">
        <v>233</v>
      </c>
      <c r="AR3" s="224" t="s">
        <v>227</v>
      </c>
      <c r="AS3" s="223" t="s">
        <v>373</v>
      </c>
      <c r="AT3" s="222" t="s">
        <v>372</v>
      </c>
      <c r="AU3" s="222" t="s">
        <v>371</v>
      </c>
      <c r="AV3" s="222" t="s">
        <v>370</v>
      </c>
      <c r="AW3" s="222" t="s">
        <v>369</v>
      </c>
      <c r="AX3" s="222" t="s">
        <v>368</v>
      </c>
      <c r="AY3" s="222" t="s">
        <v>367</v>
      </c>
      <c r="AZ3" s="222" t="s">
        <v>366</v>
      </c>
      <c r="BA3" s="222" t="s">
        <v>365</v>
      </c>
      <c r="BB3" s="222" t="s">
        <v>364</v>
      </c>
      <c r="BC3" s="222" t="s">
        <v>363</v>
      </c>
      <c r="BD3" s="222" t="s">
        <v>362</v>
      </c>
      <c r="BE3" s="222" t="s">
        <v>361</v>
      </c>
      <c r="BF3" s="222" t="s">
        <v>360</v>
      </c>
      <c r="BG3" s="222" t="s">
        <v>359</v>
      </c>
      <c r="BH3" s="222" t="s">
        <v>358</v>
      </c>
      <c r="BI3" t="s">
        <v>494</v>
      </c>
      <c r="BJ3" s="222" t="s">
        <v>357</v>
      </c>
      <c r="BK3" s="222" t="s">
        <v>356</v>
      </c>
      <c r="BL3" s="222" t="s">
        <v>355</v>
      </c>
      <c r="BM3" t="s">
        <v>495</v>
      </c>
      <c r="BN3" s="222" t="s">
        <v>354</v>
      </c>
      <c r="BO3" s="222" t="s">
        <v>353</v>
      </c>
      <c r="BP3" s="222" t="s">
        <v>352</v>
      </c>
      <c r="BQ3" s="273" t="s">
        <v>475</v>
      </c>
      <c r="BR3" s="222" t="s">
        <v>351</v>
      </c>
      <c r="BS3" s="222" t="s">
        <v>350</v>
      </c>
      <c r="BT3" t="s">
        <v>481</v>
      </c>
      <c r="BU3" s="222" t="s">
        <v>349</v>
      </c>
      <c r="BV3" t="s">
        <v>482</v>
      </c>
      <c r="BW3" s="222" t="s">
        <v>348</v>
      </c>
      <c r="BX3" s="222" t="s">
        <v>347</v>
      </c>
      <c r="BY3" s="222" t="s">
        <v>346</v>
      </c>
      <c r="BZ3" s="222" t="s">
        <v>345</v>
      </c>
      <c r="CA3" s="222" t="s">
        <v>344</v>
      </c>
      <c r="CB3" s="222" t="s">
        <v>343</v>
      </c>
      <c r="CC3" t="s">
        <v>488</v>
      </c>
      <c r="CD3" t="s">
        <v>489</v>
      </c>
      <c r="CE3" t="s">
        <v>490</v>
      </c>
      <c r="CF3" t="s">
        <v>491</v>
      </c>
    </row>
    <row r="4" spans="1:84">
      <c r="A4" s="221">
        <v>1</v>
      </c>
      <c r="B4" s="97" t="s">
        <v>119</v>
      </c>
      <c r="C4" s="221" t="s">
        <v>338</v>
      </c>
      <c r="D4" s="220">
        <f>VLOOKUP($B$4:$B$30,'TOTAL POR UF'!$A$5:$B$31,2,)</f>
        <v>62046.576000000008</v>
      </c>
      <c r="E4" s="220">
        <v>155680.01618888305</v>
      </c>
      <c r="F4" s="219">
        <f t="shared" ref="F4:F31" si="0">D4/E4</f>
        <v>0.39855196266629556</v>
      </c>
      <c r="G4" s="220">
        <f>VLOOKUP($B$4:$B$30,'TOTAL POR UF'!$A$5:$C$31,3,)</f>
        <v>6688.7520000000013</v>
      </c>
      <c r="H4" s="220">
        <f>VLOOKUP($B$4:$B$30,'TOTAL POR UF'!$A$5:$D$31,4,)</f>
        <v>8337.1840000000011</v>
      </c>
      <c r="I4" s="220">
        <v>35687.347082726388</v>
      </c>
      <c r="J4" s="219">
        <f t="shared" ref="J4:J31" si="1">H4/I4</f>
        <v>0.2336173652996307</v>
      </c>
      <c r="K4" s="220">
        <f>VLOOKUP($B$4:$B$30,'TOTAL POR UF'!$A$5:$E$31,5,)</f>
        <v>1292.1680000000001</v>
      </c>
      <c r="L4" s="220">
        <f>VLOOKUP($B$4:$B$30,'TOTAL POR UF'!$A$5:$F$31,6,)</f>
        <v>44407.839999999997</v>
      </c>
      <c r="M4" s="220">
        <v>142491.36448800002</v>
      </c>
      <c r="N4" s="219">
        <f t="shared" ref="N4:N31" si="2">L4/M4</f>
        <v>0.31165285110130181</v>
      </c>
      <c r="O4" s="220">
        <f>VLOOKUP($B$4:$B$30, 'TOTAL POR UF'!$A$5:$R$31,18,0)</f>
        <v>5479.4800000000005</v>
      </c>
      <c r="P4" s="220">
        <v>15023.642749182423</v>
      </c>
      <c r="Q4" s="219">
        <f t="shared" ref="Q4:Q31" si="3">O4/P4</f>
        <v>0.36472379511940872</v>
      </c>
      <c r="R4" s="62">
        <v>521</v>
      </c>
      <c r="S4" s="62">
        <v>14</v>
      </c>
      <c r="T4" s="62">
        <v>580</v>
      </c>
      <c r="U4" s="68">
        <f t="shared" ref="U4:U31" si="4">IFERROR(R4/T4,)</f>
        <v>0.89827586206896548</v>
      </c>
      <c r="V4" s="62">
        <v>104</v>
      </c>
      <c r="W4" s="62">
        <v>7</v>
      </c>
      <c r="X4" s="62">
        <v>125.90415296786196</v>
      </c>
      <c r="Y4" s="68">
        <f t="shared" ref="Y4:Y31" si="5">IFERROR(V4/X4,)</f>
        <v>0.82602517509130002</v>
      </c>
      <c r="Z4" s="62">
        <v>609</v>
      </c>
      <c r="AA4" s="62">
        <v>1885</v>
      </c>
      <c r="AB4" s="218">
        <f>Z4/R4</f>
        <v>1.1689059500959693</v>
      </c>
      <c r="AC4" s="218">
        <v>3.5845410628019323</v>
      </c>
      <c r="AD4" s="68">
        <v>0.49224806201550386</v>
      </c>
      <c r="AE4" s="68">
        <f>1-0.126</f>
        <v>0.874</v>
      </c>
      <c r="AF4" s="68">
        <v>0.24038461538461539</v>
      </c>
      <c r="AG4" s="68">
        <v>0.69289407804727088</v>
      </c>
      <c r="AH4" s="62">
        <v>278.55825436291985</v>
      </c>
      <c r="AI4" s="62">
        <v>240.61842043535373</v>
      </c>
      <c r="AJ4" s="62">
        <v>27</v>
      </c>
      <c r="AK4" s="62">
        <v>113</v>
      </c>
      <c r="AL4" s="68">
        <f t="shared" ref="AL4:AL31" si="6">AJ4/AK4</f>
        <v>0.23893805309734514</v>
      </c>
      <c r="AM4" s="68">
        <v>5.4111170372046047E-2</v>
      </c>
      <c r="AN4" s="68">
        <v>1.6468473566393982E-3</v>
      </c>
      <c r="AO4" s="68">
        <v>-1.4481895411492189E-2</v>
      </c>
      <c r="AP4" s="68">
        <v>7.7263224366074745E-2</v>
      </c>
      <c r="AR4" t="s">
        <v>119</v>
      </c>
      <c r="AS4" t="s">
        <v>338</v>
      </c>
      <c r="AT4" s="217">
        <v>62046.576000000008</v>
      </c>
      <c r="AU4" s="217">
        <v>155680.01618888305</v>
      </c>
      <c r="AV4" s="71">
        <v>0.39855196266629556</v>
      </c>
      <c r="AW4" s="217">
        <v>6688.7520000000013</v>
      </c>
      <c r="AX4" s="217">
        <v>8337.1840000000011</v>
      </c>
      <c r="AY4" s="217">
        <v>35687.347082726388</v>
      </c>
      <c r="AZ4" s="216">
        <v>0.2336173652996307</v>
      </c>
      <c r="BA4" s="217">
        <v>1292.1680000000001</v>
      </c>
      <c r="BB4" s="217">
        <v>44407.839999999997</v>
      </c>
      <c r="BC4" s="217">
        <v>142491.36448800002</v>
      </c>
      <c r="BD4" s="216">
        <v>0.31165285110130181</v>
      </c>
      <c r="BE4" s="217">
        <v>5479.4800000000005</v>
      </c>
      <c r="BF4" s="217">
        <v>15023.642749182423</v>
      </c>
      <c r="BG4" s="216">
        <v>0.36472379511940872</v>
      </c>
      <c r="BH4" s="216">
        <v>521</v>
      </c>
      <c r="BI4" s="216">
        <v>14</v>
      </c>
      <c r="BJ4" s="216">
        <v>580</v>
      </c>
      <c r="BK4" s="216">
        <v>0.89827586206896548</v>
      </c>
      <c r="BL4" s="216">
        <v>104</v>
      </c>
      <c r="BM4" s="216">
        <v>7</v>
      </c>
      <c r="BN4" s="216">
        <v>125.90415296786196</v>
      </c>
      <c r="BO4" s="216">
        <v>0.82602517509130002</v>
      </c>
      <c r="BP4" s="216">
        <v>609</v>
      </c>
      <c r="BQ4" s="216">
        <v>1885</v>
      </c>
      <c r="BR4" s="279">
        <v>1.1689059500959693</v>
      </c>
      <c r="BS4" s="279">
        <v>3.5845410628019323</v>
      </c>
      <c r="BT4" s="71">
        <v>0.49224806201550386</v>
      </c>
      <c r="BU4" s="71">
        <v>0.874</v>
      </c>
      <c r="BV4" s="71">
        <v>0.24038461538461539</v>
      </c>
      <c r="BW4" s="71">
        <v>0.69289407804727088</v>
      </c>
      <c r="BX4" s="217">
        <v>278.55825436291985</v>
      </c>
      <c r="BY4" s="217">
        <v>240.61842043535373</v>
      </c>
      <c r="BZ4" s="217">
        <v>27</v>
      </c>
      <c r="CA4" s="217">
        <v>113</v>
      </c>
      <c r="CB4" s="71">
        <v>0.23893805309734514</v>
      </c>
      <c r="CC4" s="71">
        <v>5.4111170372046047E-2</v>
      </c>
      <c r="CD4" s="71">
        <v>1.6468473566393982E-3</v>
      </c>
      <c r="CE4" s="71">
        <v>-1.4481895411492189E-2</v>
      </c>
      <c r="CF4" s="71">
        <v>7.7263224366074745E-2</v>
      </c>
    </row>
    <row r="5" spans="1:84">
      <c r="A5" s="221">
        <v>2</v>
      </c>
      <c r="B5" s="97" t="s">
        <v>122</v>
      </c>
      <c r="C5" s="221" t="s">
        <v>338</v>
      </c>
      <c r="D5" s="220">
        <f>VLOOKUP($B$4:$B$30,'TOTAL POR UF'!$A$5:$B$31,2,)</f>
        <v>200498.22400000002</v>
      </c>
      <c r="E5" s="220">
        <v>551189.02608274098</v>
      </c>
      <c r="F5" s="219">
        <f t="shared" si="0"/>
        <v>0.36375583422791602</v>
      </c>
      <c r="G5" s="220">
        <f>VLOOKUP($B$4:$B$30,'TOTAL POR UF'!$A$5:$C$31,3,)</f>
        <v>74752.216000000015</v>
      </c>
      <c r="H5" s="220">
        <f>VLOOKUP($B$4:$B$30,'TOTAL POR UF'!$A$5:$D$31,4,)</f>
        <v>21776.696000000004</v>
      </c>
      <c r="I5" s="220">
        <v>90122.396454311616</v>
      </c>
      <c r="J5" s="219">
        <f t="shared" si="1"/>
        <v>0.24163467525011834</v>
      </c>
      <c r="K5" s="220">
        <f>VLOOKUP($B$4:$B$30,'TOTAL POR UF'!$A$5:$E$31,5,)</f>
        <v>6920.6880000000001</v>
      </c>
      <c r="L5" s="220">
        <f>VLOOKUP($B$4:$B$30,'TOTAL POR UF'!$A$5:$F$31,6,)</f>
        <v>133485.02399999998</v>
      </c>
      <c r="M5" s="220">
        <v>434811.87703800009</v>
      </c>
      <c r="N5" s="219">
        <f t="shared" si="2"/>
        <v>0.30699488916751494</v>
      </c>
      <c r="O5" s="220">
        <f>VLOOKUP($B$4:$B$30, 'TOTAL POR UF'!$A$5:$R$31,18,0)</f>
        <v>23962.752000000004</v>
      </c>
      <c r="P5" s="220">
        <v>48425.548480877369</v>
      </c>
      <c r="Q5" s="219">
        <f t="shared" si="3"/>
        <v>0.4948369765902102</v>
      </c>
      <c r="R5" s="62">
        <v>1886</v>
      </c>
      <c r="S5" s="62">
        <v>45</v>
      </c>
      <c r="T5" s="62">
        <v>2037</v>
      </c>
      <c r="U5" s="68">
        <f t="shared" si="4"/>
        <v>0.92587137947962694</v>
      </c>
      <c r="V5" s="62">
        <v>281</v>
      </c>
      <c r="W5" s="62">
        <v>10</v>
      </c>
      <c r="X5" s="62">
        <v>322.702623007277</v>
      </c>
      <c r="Y5" s="68">
        <f t="shared" si="5"/>
        <v>0.87077073431058971</v>
      </c>
      <c r="Z5" s="62">
        <v>1778</v>
      </c>
      <c r="AA5" s="62">
        <v>5751</v>
      </c>
      <c r="AB5" s="218">
        <f t="shared" ref="AB5:AB31" si="7">Z5/R5</f>
        <v>0.94273594909862146</v>
      </c>
      <c r="AC5" s="218">
        <v>3.0420062695924766</v>
      </c>
      <c r="AD5" s="68">
        <v>0.3816631130063966</v>
      </c>
      <c r="AE5" s="68">
        <f>1-0.198</f>
        <v>0.80200000000000005</v>
      </c>
      <c r="AF5" s="68">
        <v>0.24199288256227758</v>
      </c>
      <c r="AG5" s="68">
        <v>0.6816801408995663</v>
      </c>
      <c r="AH5" s="62">
        <v>758.796678551323</v>
      </c>
      <c r="AI5" s="62">
        <v>1126.214017639332</v>
      </c>
      <c r="AJ5" s="62">
        <v>41</v>
      </c>
      <c r="AK5" s="62">
        <v>239.9</v>
      </c>
      <c r="AL5" s="68">
        <f t="shared" si="6"/>
        <v>0.17090454355981657</v>
      </c>
      <c r="AM5" s="68">
        <v>0.31152811693080962</v>
      </c>
      <c r="AN5" s="68">
        <v>0.12371534314346633</v>
      </c>
      <c r="AO5" s="68">
        <v>0.13598474971490801</v>
      </c>
      <c r="AP5" s="68">
        <v>-1.6087826495272139E-2</v>
      </c>
      <c r="AR5" t="s">
        <v>120</v>
      </c>
      <c r="AS5" t="s">
        <v>341</v>
      </c>
      <c r="AT5" s="217">
        <v>243955.48800000001</v>
      </c>
      <c r="AU5" s="217">
        <v>509811.61885582929</v>
      </c>
      <c r="AV5" s="71">
        <v>0.47852084765645309</v>
      </c>
      <c r="AW5" s="217">
        <v>38132.104000000007</v>
      </c>
      <c r="AX5" s="217">
        <v>12341.743999999999</v>
      </c>
      <c r="AY5" s="217">
        <v>42203.269505829485</v>
      </c>
      <c r="AZ5" s="216">
        <v>0.29243573174574183</v>
      </c>
      <c r="BA5" s="217">
        <v>955.87200000000007</v>
      </c>
      <c r="BB5" s="217">
        <v>157095.21600000001</v>
      </c>
      <c r="BC5" s="217">
        <v>561629.07801990001</v>
      </c>
      <c r="BD5" s="216">
        <v>0.27971346596558111</v>
      </c>
      <c r="BE5" s="217">
        <v>16772.384000000002</v>
      </c>
      <c r="BF5" s="217">
        <v>50113.978487170149</v>
      </c>
      <c r="BG5" s="216">
        <v>0.33468474278676474</v>
      </c>
      <c r="BH5" s="216">
        <v>1762</v>
      </c>
      <c r="BI5" s="216">
        <v>52</v>
      </c>
      <c r="BJ5" s="216">
        <v>1782</v>
      </c>
      <c r="BK5" s="216">
        <v>0.98877665544332216</v>
      </c>
      <c r="BL5" s="216">
        <v>131</v>
      </c>
      <c r="BM5" s="216">
        <v>5</v>
      </c>
      <c r="BN5" s="216">
        <v>150</v>
      </c>
      <c r="BO5" s="216">
        <v>0.87333333333333329</v>
      </c>
      <c r="BP5" s="216">
        <v>2104</v>
      </c>
      <c r="BQ5" s="216">
        <v>7428</v>
      </c>
      <c r="BR5" s="279">
        <v>1.1940976163450625</v>
      </c>
      <c r="BS5" s="279">
        <v>4.3314065510597306</v>
      </c>
      <c r="BT5" s="71">
        <v>0.47045324153757889</v>
      </c>
      <c r="BU5" s="71">
        <v>0.82400000000000007</v>
      </c>
      <c r="BV5" s="71">
        <v>0.25954198473282442</v>
      </c>
      <c r="BW5" s="71">
        <v>0.68714659287166457</v>
      </c>
      <c r="BX5" s="217">
        <v>476.24475745918556</v>
      </c>
      <c r="BY5" s="217">
        <v>1296.9432703133796</v>
      </c>
      <c r="BZ5" s="217">
        <v>56</v>
      </c>
      <c r="CA5" s="217">
        <v>108.95</v>
      </c>
      <c r="CB5" s="71">
        <v>0.51399724644332256</v>
      </c>
      <c r="CC5" s="71">
        <v>5.5172879483153851E-2</v>
      </c>
      <c r="CD5" s="71">
        <v>-0.12291936323874637</v>
      </c>
      <c r="CE5" s="71">
        <v>-8.5597005147860724E-4</v>
      </c>
      <c r="CF5" s="71">
        <v>-0.37766332995184532</v>
      </c>
    </row>
    <row r="6" spans="1:84">
      <c r="A6" s="221">
        <v>3</v>
      </c>
      <c r="B6" s="97" t="s">
        <v>121</v>
      </c>
      <c r="C6" s="221" t="s">
        <v>338</v>
      </c>
      <c r="D6" s="220">
        <f>VLOOKUP($B$4:$B$30,'TOTAL POR UF'!$A$5:$B$31,2,)</f>
        <v>58709.056000000004</v>
      </c>
      <c r="E6" s="220">
        <v>184182.62166397821</v>
      </c>
      <c r="F6" s="219">
        <f t="shared" si="0"/>
        <v>0.31875458970884069</v>
      </c>
      <c r="G6" s="220">
        <f>VLOOKUP($B$4:$B$30,'TOTAL POR UF'!$A$5:$C$31,3,)</f>
        <v>23777.103999999999</v>
      </c>
      <c r="H6" s="220">
        <f>VLOOKUP($B$4:$B$30,'TOTAL POR UF'!$A$5:$D$31,4,)</f>
        <v>8023.424</v>
      </c>
      <c r="I6" s="220">
        <v>67315.163241346061</v>
      </c>
      <c r="J6" s="219">
        <f t="shared" si="1"/>
        <v>0.11919192665749763</v>
      </c>
      <c r="K6" s="220">
        <f>VLOOKUP($B$4:$B$30,'TOTAL POR UF'!$A$5:$E$31,5,)</f>
        <v>2034.6320000000001</v>
      </c>
      <c r="L6" s="220">
        <f>VLOOKUP($B$4:$B$30,'TOTAL POR UF'!$A$5:$F$31,6,)</f>
        <v>67511.288</v>
      </c>
      <c r="M6" s="220">
        <v>184884.92708400002</v>
      </c>
      <c r="N6" s="219">
        <f t="shared" si="2"/>
        <v>0.36515301201015232</v>
      </c>
      <c r="O6" s="220">
        <f>VLOOKUP($B$4:$B$30, 'TOTAL POR UF'!$A$5:$R$31,18,0)</f>
        <v>13436.552000000001</v>
      </c>
      <c r="P6" s="220">
        <v>19637.222039519591</v>
      </c>
      <c r="Q6" s="219">
        <f t="shared" si="3"/>
        <v>0.68423894036331401</v>
      </c>
      <c r="R6" s="62">
        <v>605</v>
      </c>
      <c r="S6" s="62">
        <v>2</v>
      </c>
      <c r="T6" s="62">
        <v>704</v>
      </c>
      <c r="U6" s="68">
        <f t="shared" si="4"/>
        <v>0.859375</v>
      </c>
      <c r="V6" s="62">
        <v>218</v>
      </c>
      <c r="W6" s="62">
        <v>4</v>
      </c>
      <c r="X6" s="62">
        <v>248.39848802794936</v>
      </c>
      <c r="Y6" s="68">
        <f t="shared" si="5"/>
        <v>0.87762208913071571</v>
      </c>
      <c r="Z6" s="62">
        <v>925</v>
      </c>
      <c r="AA6" s="62">
        <v>2445</v>
      </c>
      <c r="AB6" s="218">
        <f t="shared" si="7"/>
        <v>1.5289256198347108</v>
      </c>
      <c r="AC6" s="218">
        <v>3.8187372708757636</v>
      </c>
      <c r="AD6" s="68">
        <v>0.40099833610648916</v>
      </c>
      <c r="AE6" s="68">
        <f>1-0.17</f>
        <v>0.83</v>
      </c>
      <c r="AF6" s="68">
        <v>0.12385321100917432</v>
      </c>
      <c r="AG6" s="68">
        <v>0.66060830607155652</v>
      </c>
      <c r="AH6" s="62">
        <v>326.48225511352973</v>
      </c>
      <c r="AI6" s="62">
        <v>278.55825436291985</v>
      </c>
      <c r="AJ6" s="62">
        <v>14</v>
      </c>
      <c r="AK6" s="62">
        <v>121</v>
      </c>
      <c r="AL6" s="68">
        <f t="shared" si="6"/>
        <v>0.11570247933884298</v>
      </c>
      <c r="AM6" s="68">
        <v>0.255790852265108</v>
      </c>
      <c r="AN6" s="68">
        <v>-0.11015350076297409</v>
      </c>
      <c r="AO6" s="68">
        <v>0.2100420931038201</v>
      </c>
      <c r="AP6" s="68">
        <v>0.51348212067124821</v>
      </c>
      <c r="AR6" t="s">
        <v>122</v>
      </c>
      <c r="AS6" t="s">
        <v>338</v>
      </c>
      <c r="AT6" s="217">
        <v>200498.22400000002</v>
      </c>
      <c r="AU6" s="217">
        <v>551189.02608274098</v>
      </c>
      <c r="AV6" s="71">
        <v>0.36375583422791602</v>
      </c>
      <c r="AW6" s="217">
        <v>74752.216000000015</v>
      </c>
      <c r="AX6" s="217">
        <v>21776.696000000004</v>
      </c>
      <c r="AY6" s="217">
        <v>90122.396454311616</v>
      </c>
      <c r="AZ6" s="216">
        <v>0.24163467525011834</v>
      </c>
      <c r="BA6" s="217">
        <v>6920.6880000000001</v>
      </c>
      <c r="BB6" s="217">
        <v>133485.02399999998</v>
      </c>
      <c r="BC6" s="217">
        <v>434811.87703800009</v>
      </c>
      <c r="BD6" s="216">
        <v>0.30699488916751494</v>
      </c>
      <c r="BE6" s="217">
        <v>23962.752000000004</v>
      </c>
      <c r="BF6" s="217">
        <v>48425.548480877369</v>
      </c>
      <c r="BG6" s="216">
        <v>0.4948369765902102</v>
      </c>
      <c r="BH6" s="216">
        <v>1886</v>
      </c>
      <c r="BI6" s="216">
        <v>45</v>
      </c>
      <c r="BJ6" s="216">
        <v>2037</v>
      </c>
      <c r="BK6" s="216">
        <v>0.92587137947962694</v>
      </c>
      <c r="BL6" s="216">
        <v>281</v>
      </c>
      <c r="BM6" s="216">
        <v>10</v>
      </c>
      <c r="BN6" s="216">
        <v>322.702623007277</v>
      </c>
      <c r="BO6" s="216">
        <v>0.87077073431058971</v>
      </c>
      <c r="BP6" s="216">
        <v>1778</v>
      </c>
      <c r="BQ6" s="216">
        <v>5751</v>
      </c>
      <c r="BR6" s="279">
        <v>0.94273594909862146</v>
      </c>
      <c r="BS6" s="279">
        <v>3.0420062695924766</v>
      </c>
      <c r="BT6" s="71">
        <v>0.3816631130063966</v>
      </c>
      <c r="BU6" s="71">
        <v>0.80200000000000005</v>
      </c>
      <c r="BV6" s="71">
        <v>0.24199288256227758</v>
      </c>
      <c r="BW6" s="71">
        <v>0.6816801408995663</v>
      </c>
      <c r="BX6" s="217">
        <v>758.796678551323</v>
      </c>
      <c r="BY6" s="217">
        <v>1126.214017639332</v>
      </c>
      <c r="BZ6" s="217">
        <v>41</v>
      </c>
      <c r="CA6" s="217">
        <v>239.9</v>
      </c>
      <c r="CB6" s="71">
        <v>0.17090454355981657</v>
      </c>
      <c r="CC6" s="71">
        <v>0.31152811693080962</v>
      </c>
      <c r="CD6" s="71">
        <v>0.12371534314346633</v>
      </c>
      <c r="CE6" s="71">
        <v>0.13598474971490801</v>
      </c>
      <c r="CF6" s="71">
        <v>-1.6087826495272139E-2</v>
      </c>
    </row>
    <row r="7" spans="1:84">
      <c r="A7" s="221">
        <v>4</v>
      </c>
      <c r="B7" s="97" t="s">
        <v>132</v>
      </c>
      <c r="C7" s="221" t="s">
        <v>338</v>
      </c>
      <c r="D7" s="220">
        <f>VLOOKUP($B$4:$B$30,'TOTAL POR UF'!$A$5:$B$31,2,)</f>
        <v>280469.84000000003</v>
      </c>
      <c r="E7" s="220">
        <v>700579.10263476521</v>
      </c>
      <c r="F7" s="219">
        <f t="shared" si="0"/>
        <v>0.40034000292786082</v>
      </c>
      <c r="G7" s="220">
        <f>VLOOKUP($B$4:$B$30,'TOTAL POR UF'!$A$5:$C$31,3,)</f>
        <v>70447.831999999995</v>
      </c>
      <c r="H7" s="220">
        <f>VLOOKUP($B$4:$B$30,'TOTAL POR UF'!$A$5:$D$31,4,)</f>
        <v>24116.239999999998</v>
      </c>
      <c r="I7" s="220">
        <v>128573.65344562527</v>
      </c>
      <c r="J7" s="219">
        <f t="shared" si="1"/>
        <v>0.18756750977912384</v>
      </c>
      <c r="K7" s="220">
        <f>VLOOKUP($B$4:$B$30,'TOTAL POR UF'!$A$5:$E$31,5,)</f>
        <v>11245.432000000001</v>
      </c>
      <c r="L7" s="220">
        <f>VLOOKUP($B$4:$B$30,'TOTAL POR UF'!$A$5:$F$31,6,)</f>
        <v>174031.872</v>
      </c>
      <c r="M7" s="220">
        <v>659759.74148700002</v>
      </c>
      <c r="N7" s="219">
        <f t="shared" si="2"/>
        <v>0.2637806781113351</v>
      </c>
      <c r="O7" s="220">
        <f>VLOOKUP($B$4:$B$30, 'TOTAL POR UF'!$A$5:$R$31,18,0)</f>
        <v>31464.928</v>
      </c>
      <c r="P7" s="220">
        <v>67001.062390532563</v>
      </c>
      <c r="Q7" s="219">
        <f t="shared" si="3"/>
        <v>0.46961834450622209</v>
      </c>
      <c r="R7" s="62">
        <v>2553</v>
      </c>
      <c r="S7" s="62">
        <v>76</v>
      </c>
      <c r="T7" s="62">
        <v>2556</v>
      </c>
      <c r="U7" s="68">
        <f t="shared" si="4"/>
        <v>0.99882629107981225</v>
      </c>
      <c r="V7" s="62">
        <v>390</v>
      </c>
      <c r="W7" s="62">
        <v>10</v>
      </c>
      <c r="X7" s="62">
        <v>497.83325643003087</v>
      </c>
      <c r="Y7" s="68">
        <f t="shared" si="5"/>
        <v>0.78339483142748512</v>
      </c>
      <c r="Z7" s="62">
        <v>2329</v>
      </c>
      <c r="AA7" s="62">
        <v>8726</v>
      </c>
      <c r="AB7" s="218">
        <f t="shared" si="7"/>
        <v>0.9122600861731297</v>
      </c>
      <c r="AC7" s="218">
        <v>3.4769027716673997</v>
      </c>
      <c r="AD7" s="68">
        <v>0.40500201694231547</v>
      </c>
      <c r="AE7" s="68">
        <f>1-0.209</f>
        <v>0.79100000000000004</v>
      </c>
      <c r="AF7" s="68">
        <v>0.18205128205128204</v>
      </c>
      <c r="AG7" s="68">
        <v>0.62956190084943975</v>
      </c>
      <c r="AH7" s="62">
        <v>947.49743150684935</v>
      </c>
      <c r="AI7" s="62">
        <v>1605.4540251454307</v>
      </c>
      <c r="AJ7" s="62">
        <v>71</v>
      </c>
      <c r="AK7" s="62">
        <v>126.3</v>
      </c>
      <c r="AL7" s="68">
        <f t="shared" si="6"/>
        <v>0.5621536025336501</v>
      </c>
      <c r="AM7" s="68">
        <v>5.0016773090935086E-2</v>
      </c>
      <c r="AN7" s="68">
        <v>0.62729717155438636</v>
      </c>
      <c r="AO7" s="68">
        <v>0.11878635711188949</v>
      </c>
      <c r="AP7" s="68">
        <v>-1.9657065816446391E-2</v>
      </c>
      <c r="AR7" t="s">
        <v>121</v>
      </c>
      <c r="AS7" t="s">
        <v>338</v>
      </c>
      <c r="AT7" s="217">
        <v>58709.056000000004</v>
      </c>
      <c r="AU7" s="217">
        <v>184182.62166397821</v>
      </c>
      <c r="AV7" s="71">
        <v>0.31875458970884069</v>
      </c>
      <c r="AW7" s="217">
        <v>23777.103999999999</v>
      </c>
      <c r="AX7" s="217">
        <v>8023.424</v>
      </c>
      <c r="AY7" s="217">
        <v>67315.163241346061</v>
      </c>
      <c r="AZ7" s="216">
        <v>0.11919192665749763</v>
      </c>
      <c r="BA7" s="217">
        <v>2034.6320000000001</v>
      </c>
      <c r="BB7" s="217">
        <v>67511.288</v>
      </c>
      <c r="BC7" s="217">
        <v>184884.92708400002</v>
      </c>
      <c r="BD7" s="216">
        <v>0.36515301201015232</v>
      </c>
      <c r="BE7" s="217">
        <v>13436.552000000001</v>
      </c>
      <c r="BF7" s="217">
        <v>19637.222039519591</v>
      </c>
      <c r="BG7" s="216">
        <v>0.68423894036331401</v>
      </c>
      <c r="BH7" s="216">
        <v>605</v>
      </c>
      <c r="BI7" s="216">
        <v>2</v>
      </c>
      <c r="BJ7" s="216">
        <v>704</v>
      </c>
      <c r="BK7" s="216">
        <v>0.859375</v>
      </c>
      <c r="BL7" s="216">
        <v>218</v>
      </c>
      <c r="BM7" s="216">
        <v>4</v>
      </c>
      <c r="BN7" s="216">
        <v>248.39848802794936</v>
      </c>
      <c r="BO7" s="216">
        <v>0.87762208913071571</v>
      </c>
      <c r="BP7" s="216">
        <v>925</v>
      </c>
      <c r="BQ7" s="216">
        <v>2445</v>
      </c>
      <c r="BR7" s="279">
        <v>1.5289256198347108</v>
      </c>
      <c r="BS7" s="279">
        <v>3.8187372708757636</v>
      </c>
      <c r="BT7" s="71">
        <v>0.40099833610648916</v>
      </c>
      <c r="BU7" s="71">
        <v>0.83</v>
      </c>
      <c r="BV7" s="71">
        <v>0.12385321100917432</v>
      </c>
      <c r="BW7" s="71">
        <v>0.66060830607155652</v>
      </c>
      <c r="BX7" s="217">
        <v>326.48225511352973</v>
      </c>
      <c r="BY7" s="217">
        <v>278.55825436291985</v>
      </c>
      <c r="BZ7" s="217">
        <v>14</v>
      </c>
      <c r="CA7" s="217">
        <v>121</v>
      </c>
      <c r="CB7" s="71">
        <v>0.11570247933884298</v>
      </c>
      <c r="CC7" s="71">
        <v>0.255790852265108</v>
      </c>
      <c r="CD7" s="71">
        <v>-0.11015350076297409</v>
      </c>
      <c r="CE7" s="71">
        <v>0.2100420931038201</v>
      </c>
      <c r="CF7" s="71">
        <v>0.51348212067124821</v>
      </c>
    </row>
    <row r="8" spans="1:84">
      <c r="A8" s="221">
        <v>5</v>
      </c>
      <c r="B8" s="97" t="s">
        <v>140</v>
      </c>
      <c r="C8" s="221" t="s">
        <v>338</v>
      </c>
      <c r="D8" s="220">
        <f>VLOOKUP($B$4:$B$30,'TOTAL POR UF'!$A$5:$B$31,2,)</f>
        <v>113993.09600000001</v>
      </c>
      <c r="E8" s="220">
        <v>276324.3573402628</v>
      </c>
      <c r="F8" s="219">
        <f t="shared" si="0"/>
        <v>0.41253365102241113</v>
      </c>
      <c r="G8" s="220">
        <f>VLOOKUP($B$4:$B$30,'TOTAL POR UF'!$A$5:$C$31,3,)</f>
        <v>16284.136000000002</v>
      </c>
      <c r="H8" s="220">
        <f>VLOOKUP($B$4:$B$30,'TOTAL POR UF'!$A$5:$D$31,4,)</f>
        <v>16101.848000000002</v>
      </c>
      <c r="I8" s="220">
        <v>57202.719895067945</v>
      </c>
      <c r="J8" s="219">
        <f t="shared" si="1"/>
        <v>0.28148745425981597</v>
      </c>
      <c r="K8" s="220">
        <f>VLOOKUP($B$4:$B$30,'TOTAL POR UF'!$A$5:$E$31,5,)</f>
        <v>3695.0320000000002</v>
      </c>
      <c r="L8" s="220">
        <f>VLOOKUP($B$4:$B$30,'TOTAL POR UF'!$A$5:$F$31,6,)</f>
        <v>182274.08000000002</v>
      </c>
      <c r="M8" s="220">
        <v>593328.41647199995</v>
      </c>
      <c r="N8" s="219">
        <f t="shared" si="2"/>
        <v>0.30720605138689122</v>
      </c>
      <c r="O8" s="220">
        <f>VLOOKUP($B$4:$B$30, 'TOTAL POR UF'!$A$5:$R$31,18,0)</f>
        <v>7402.9840000000013</v>
      </c>
      <c r="P8" s="220">
        <v>41708.497216829885</v>
      </c>
      <c r="Q8" s="219">
        <f t="shared" si="3"/>
        <v>0.17749342445770996</v>
      </c>
      <c r="R8" s="62">
        <v>947</v>
      </c>
      <c r="S8" s="62">
        <v>76</v>
      </c>
      <c r="T8" s="62">
        <v>994</v>
      </c>
      <c r="U8" s="68">
        <f t="shared" si="4"/>
        <v>0.95271629778672029</v>
      </c>
      <c r="V8" s="62">
        <v>174</v>
      </c>
      <c r="W8" s="62">
        <v>8</v>
      </c>
      <c r="X8" s="62">
        <v>201.60798324078164</v>
      </c>
      <c r="Y8" s="68">
        <f t="shared" si="5"/>
        <v>0.86306106138758776</v>
      </c>
      <c r="Z8" s="62">
        <v>2381</v>
      </c>
      <c r="AA8" s="62">
        <v>7847</v>
      </c>
      <c r="AB8" s="218">
        <f t="shared" si="7"/>
        <v>2.5142555438225975</v>
      </c>
      <c r="AC8" s="218">
        <v>8.7117486338797807</v>
      </c>
      <c r="AD8" s="68">
        <v>0.46927966101694918</v>
      </c>
      <c r="AE8" s="68">
        <f>1-0.132</f>
        <v>0.86799999999999999</v>
      </c>
      <c r="AF8" s="68">
        <v>0.27011494252873564</v>
      </c>
      <c r="AG8" s="68">
        <v>0.69203996179687921</v>
      </c>
      <c r="AH8" s="62">
        <v>425.32550666166259</v>
      </c>
      <c r="AI8" s="62">
        <v>522.17192484518671</v>
      </c>
      <c r="AJ8" s="62">
        <v>53</v>
      </c>
      <c r="AK8" s="62">
        <v>184</v>
      </c>
      <c r="AL8" s="68">
        <f t="shared" si="6"/>
        <v>0.28804347826086957</v>
      </c>
      <c r="AM8" s="68">
        <v>7.146250798350294E-2</v>
      </c>
      <c r="AN8" s="68">
        <v>0.46367127682415488</v>
      </c>
      <c r="AO8" s="68">
        <v>0.10368991240191036</v>
      </c>
      <c r="AP8" s="68">
        <v>0.19283376537329658</v>
      </c>
      <c r="AR8" t="s">
        <v>123</v>
      </c>
      <c r="AS8" t="s">
        <v>341</v>
      </c>
      <c r="AT8" s="217">
        <v>699548.81599999999</v>
      </c>
      <c r="AU8" s="217">
        <v>1227853.8636831325</v>
      </c>
      <c r="AV8" s="71">
        <v>0.56973295983415972</v>
      </c>
      <c r="AW8" s="217">
        <v>107484.21600000001</v>
      </c>
      <c r="AX8" s="217">
        <v>106447.856</v>
      </c>
      <c r="AY8" s="217">
        <v>203049.55956223415</v>
      </c>
      <c r="AZ8" s="216">
        <v>0.52424568774981273</v>
      </c>
      <c r="BA8" s="217">
        <v>14547.712000000001</v>
      </c>
      <c r="BB8" s="217">
        <v>450916.94400000002</v>
      </c>
      <c r="BC8" s="217">
        <v>1420330.3126006138</v>
      </c>
      <c r="BD8" s="216">
        <v>0.31747329476787312</v>
      </c>
      <c r="BE8" s="217">
        <v>50696.416000000012</v>
      </c>
      <c r="BF8" s="217">
        <v>128305.51811306912</v>
      </c>
      <c r="BG8" s="216">
        <v>0.39512264745561326</v>
      </c>
      <c r="BH8" s="216">
        <v>5418</v>
      </c>
      <c r="BI8" s="216">
        <v>154</v>
      </c>
      <c r="BJ8" s="216">
        <v>5744</v>
      </c>
      <c r="BK8" s="216">
        <v>0.94324512534818938</v>
      </c>
      <c r="BL8" s="216">
        <v>923</v>
      </c>
      <c r="BM8" s="216">
        <v>17</v>
      </c>
      <c r="BN8" s="216">
        <v>1052</v>
      </c>
      <c r="BO8" s="216">
        <v>0.87737642585551334</v>
      </c>
      <c r="BP8" s="216">
        <v>5894</v>
      </c>
      <c r="BQ8" s="216">
        <v>18785</v>
      </c>
      <c r="BR8" s="279">
        <v>1.0878552971576227</v>
      </c>
      <c r="BS8" s="279">
        <v>3.6197213290460879</v>
      </c>
      <c r="BT8" s="71">
        <v>0.51107948770075218</v>
      </c>
      <c r="BU8" s="71">
        <v>0.72699999999999998</v>
      </c>
      <c r="BV8" s="71">
        <v>0.323943661971831</v>
      </c>
      <c r="BW8" s="71">
        <v>0.4713815598495622</v>
      </c>
      <c r="BX8" s="217">
        <v>2114.6465331206605</v>
      </c>
      <c r="BY8" s="217">
        <v>3297.7703016513419</v>
      </c>
      <c r="BZ8" s="217">
        <v>153</v>
      </c>
      <c r="CA8" s="217">
        <v>482</v>
      </c>
      <c r="CB8" s="71">
        <v>0.31742738589211617</v>
      </c>
      <c r="CC8" s="71">
        <v>1.0217570280963172E-3</v>
      </c>
      <c r="CD8" s="71">
        <v>0.11922291929855547</v>
      </c>
      <c r="CE8" s="71">
        <v>0.14736610366670064</v>
      </c>
      <c r="CF8" s="71">
        <v>-0.33016674028747089</v>
      </c>
    </row>
    <row r="9" spans="1:84">
      <c r="A9" s="221">
        <v>6</v>
      </c>
      <c r="B9" s="97" t="s">
        <v>141</v>
      </c>
      <c r="C9" s="221" t="s">
        <v>338</v>
      </c>
      <c r="D9" s="220">
        <f>VLOOKUP($B$4:$B$30,'TOTAL POR UF'!$A$5:$B$31,2,)</f>
        <v>26127.167999999998</v>
      </c>
      <c r="E9" s="220">
        <v>61411.660705362832</v>
      </c>
      <c r="F9" s="219">
        <f t="shared" si="0"/>
        <v>0.42544311129040058</v>
      </c>
      <c r="G9" s="220">
        <f>VLOOKUP($B$4:$B$30,'TOTAL POR UF'!$A$5:$C$31,3,)</f>
        <v>2883.5840000000003</v>
      </c>
      <c r="H9" s="220">
        <f>VLOOKUP($B$4:$B$30,'TOTAL POR UF'!$A$5:$D$31,4,)</f>
        <v>2500.7439999999997</v>
      </c>
      <c r="I9" s="220">
        <v>13499.840660659143</v>
      </c>
      <c r="J9" s="219">
        <f t="shared" si="1"/>
        <v>0.18524248269741417</v>
      </c>
      <c r="K9" s="220">
        <f>VLOOKUP($B$4:$B$30,'TOTAL POR UF'!$A$5:$E$31,5,)</f>
        <v>152.43200000000002</v>
      </c>
      <c r="L9" s="220">
        <f>VLOOKUP($B$4:$B$30,'TOTAL POR UF'!$A$5:$F$31,6,)</f>
        <v>37658.320000000007</v>
      </c>
      <c r="M9" s="220">
        <v>107076.44613600001</v>
      </c>
      <c r="N9" s="219">
        <f t="shared" si="2"/>
        <v>0.35169564697888267</v>
      </c>
      <c r="O9" s="220">
        <f>VLOOKUP($B$4:$B$30, 'TOTAL POR UF'!$A$5:$R$31,18,0)</f>
        <v>1214.6640000000002</v>
      </c>
      <c r="P9" s="220">
        <v>8189.4576375909892</v>
      </c>
      <c r="Q9" s="219">
        <f t="shared" si="3"/>
        <v>0.14832044486370966</v>
      </c>
      <c r="R9" s="62">
        <v>195</v>
      </c>
      <c r="S9" s="62">
        <v>11</v>
      </c>
      <c r="T9" s="62">
        <v>210</v>
      </c>
      <c r="U9" s="68">
        <f t="shared" si="4"/>
        <v>0.9285714285714286</v>
      </c>
      <c r="V9" s="62">
        <v>46</v>
      </c>
      <c r="W9" s="62">
        <v>3</v>
      </c>
      <c r="X9" s="62">
        <v>55</v>
      </c>
      <c r="Y9" s="68">
        <f t="shared" si="5"/>
        <v>0.83636363636363631</v>
      </c>
      <c r="Z9" s="62">
        <v>477</v>
      </c>
      <c r="AA9" s="62">
        <v>1416</v>
      </c>
      <c r="AB9" s="218">
        <f t="shared" si="7"/>
        <v>2.4461538461538463</v>
      </c>
      <c r="AC9" s="218">
        <v>7.3294797687861273</v>
      </c>
      <c r="AD9" s="68">
        <v>0.48148148148148145</v>
      </c>
      <c r="AE9" s="68">
        <f>1-0.101</f>
        <v>0.89900000000000002</v>
      </c>
      <c r="AF9" s="68">
        <v>0.21739130434782608</v>
      </c>
      <c r="AG9" s="68">
        <v>0.60586204681240885</v>
      </c>
      <c r="AH9" s="62">
        <v>80.871751266654158</v>
      </c>
      <c r="AI9" s="62">
        <v>113.81950178269844</v>
      </c>
      <c r="AJ9" s="62">
        <v>10</v>
      </c>
      <c r="AK9" s="62">
        <v>32</v>
      </c>
      <c r="AL9" s="68">
        <f t="shared" si="6"/>
        <v>0.3125</v>
      </c>
      <c r="AM9" s="68">
        <v>-9.1331786789427841E-2</v>
      </c>
      <c r="AN9" s="68">
        <v>4.7163019797290817E-2</v>
      </c>
      <c r="AO9" s="68">
        <v>0.40701972007801401</v>
      </c>
      <c r="AP9" s="68">
        <v>-0.30417905933356865</v>
      </c>
      <c r="AR9" t="s">
        <v>124</v>
      </c>
      <c r="AS9" t="s">
        <v>341</v>
      </c>
      <c r="AT9" s="217">
        <v>393609.39199999999</v>
      </c>
      <c r="AU9" s="217">
        <v>792661.65598756156</v>
      </c>
      <c r="AV9" s="71">
        <v>0.49656671169442379</v>
      </c>
      <c r="AW9" s="217">
        <v>61676.376000000004</v>
      </c>
      <c r="AX9" s="217">
        <v>39708.328000000001</v>
      </c>
      <c r="AY9" s="217">
        <v>123688.88243139177</v>
      </c>
      <c r="AZ9" s="216">
        <v>0.32103392980388168</v>
      </c>
      <c r="BA9" s="217">
        <v>6519.12</v>
      </c>
      <c r="BB9" s="217">
        <v>238957.60000000003</v>
      </c>
      <c r="BC9" s="217">
        <v>910701.73260000022</v>
      </c>
      <c r="BD9" s="216">
        <v>0.26238843239903592</v>
      </c>
      <c r="BE9" s="217">
        <v>26235.552000000003</v>
      </c>
      <c r="BF9" s="217">
        <v>82217.352195852916</v>
      </c>
      <c r="BG9" s="216">
        <v>0.3190999381432687</v>
      </c>
      <c r="BH9" s="216">
        <v>2822</v>
      </c>
      <c r="BI9" s="216">
        <v>164</v>
      </c>
      <c r="BJ9" s="216">
        <v>2906</v>
      </c>
      <c r="BK9" s="216">
        <v>0.97109428768066075</v>
      </c>
      <c r="BL9" s="216">
        <v>336</v>
      </c>
      <c r="BM9" s="216">
        <v>7</v>
      </c>
      <c r="BN9" s="216">
        <v>416</v>
      </c>
      <c r="BO9" s="216">
        <v>0.80769230769230771</v>
      </c>
      <c r="BP9" s="216">
        <v>3166</v>
      </c>
      <c r="BQ9" s="216">
        <v>12045</v>
      </c>
      <c r="BR9" s="279">
        <v>1.1218993621545004</v>
      </c>
      <c r="BS9" s="279">
        <v>4.3711433756805809</v>
      </c>
      <c r="BT9" s="71">
        <v>0.51708930540242559</v>
      </c>
      <c r="BU9" s="71">
        <v>0.85699999999999998</v>
      </c>
      <c r="BV9" s="71">
        <v>0.35714285714285715</v>
      </c>
      <c r="BW9" s="71">
        <v>0.72487215406448979</v>
      </c>
      <c r="BX9" s="217">
        <v>1121.2219342278102</v>
      </c>
      <c r="BY9" s="217">
        <v>1701.3020266466503</v>
      </c>
      <c r="BZ9" s="217">
        <v>137</v>
      </c>
      <c r="CA9" s="217">
        <v>337</v>
      </c>
      <c r="CB9" s="71">
        <v>0.40652818991097922</v>
      </c>
      <c r="CC9" s="71">
        <v>0.14391255730432334</v>
      </c>
      <c r="CD9" s="71">
        <v>-8.1529696898796397E-2</v>
      </c>
      <c r="CE9" s="71">
        <v>5.7467772929969525E-2</v>
      </c>
      <c r="CF9" s="71">
        <v>-9.7706044557904478E-2</v>
      </c>
    </row>
    <row r="10" spans="1:84">
      <c r="A10" s="221">
        <v>7</v>
      </c>
      <c r="B10" s="97" t="s">
        <v>145</v>
      </c>
      <c r="C10" s="221" t="s">
        <v>338</v>
      </c>
      <c r="D10" s="220">
        <f>VLOOKUP($B$4:$B$30,'TOTAL POR UF'!$A$5:$B$31,2,)</f>
        <v>81492.112000000008</v>
      </c>
      <c r="E10" s="220">
        <v>196277.91407011417</v>
      </c>
      <c r="F10" s="219">
        <f t="shared" si="0"/>
        <v>0.41518737544199441</v>
      </c>
      <c r="G10" s="220">
        <f>VLOOKUP($B$4:$B$30,'TOTAL POR UF'!$A$5:$C$31,3,)</f>
        <v>20319.464</v>
      </c>
      <c r="H10" s="220">
        <f>VLOOKUP($B$4:$B$30,'TOTAL POR UF'!$A$5:$D$31,4,)</f>
        <v>11070.392</v>
      </c>
      <c r="I10" s="220">
        <v>61509.78032894768</v>
      </c>
      <c r="J10" s="219">
        <f t="shared" si="1"/>
        <v>0.17997775216878903</v>
      </c>
      <c r="K10" s="220">
        <f>VLOOKUP($B$4:$B$30,'TOTAL POR UF'!$A$5:$E$31,5,)</f>
        <v>7135.7040000000006</v>
      </c>
      <c r="L10" s="220">
        <f>VLOOKUP($B$4:$B$30,'TOTAL POR UF'!$A$5:$F$31,6,)</f>
        <v>98524.32</v>
      </c>
      <c r="M10" s="220">
        <v>385987.83022799995</v>
      </c>
      <c r="N10" s="219">
        <f t="shared" si="2"/>
        <v>0.25525239990546456</v>
      </c>
      <c r="O10" s="220">
        <f>VLOOKUP($B$4:$B$30, 'TOTAL POR UF'!$A$5:$R$31,18,0)</f>
        <v>12672.351999999999</v>
      </c>
      <c r="P10" s="220">
        <v>28969.89860821778</v>
      </c>
      <c r="Q10" s="219">
        <f t="shared" si="3"/>
        <v>0.4374317001028537</v>
      </c>
      <c r="R10" s="62">
        <v>664</v>
      </c>
      <c r="S10" s="62">
        <v>28</v>
      </c>
      <c r="T10" s="62">
        <v>695</v>
      </c>
      <c r="U10" s="68">
        <f t="shared" si="4"/>
        <v>0.95539568345323744</v>
      </c>
      <c r="V10" s="62">
        <v>211</v>
      </c>
      <c r="W10" s="62">
        <v>9</v>
      </c>
      <c r="X10" s="62">
        <v>230</v>
      </c>
      <c r="Y10" s="68">
        <f t="shared" si="5"/>
        <v>0.91739130434782612</v>
      </c>
      <c r="Z10" s="62">
        <v>1306</v>
      </c>
      <c r="AA10" s="62">
        <v>5105</v>
      </c>
      <c r="AB10" s="218">
        <f t="shared" si="7"/>
        <v>1.9668674698795181</v>
      </c>
      <c r="AC10" s="218">
        <v>7.7509025270758123</v>
      </c>
      <c r="AD10" s="68">
        <v>0.44916540212443096</v>
      </c>
      <c r="AE10" s="68">
        <f>1-0.174</f>
        <v>0.82600000000000007</v>
      </c>
      <c r="AF10" s="68">
        <v>0.17061611374407584</v>
      </c>
      <c r="AG10" s="68">
        <v>0.65211728055098617</v>
      </c>
      <c r="AH10" s="62">
        <v>285.54717113905048</v>
      </c>
      <c r="AI10" s="62">
        <v>379.3983392756615</v>
      </c>
      <c r="AJ10" s="62">
        <v>35</v>
      </c>
      <c r="AK10" s="62">
        <v>81</v>
      </c>
      <c r="AL10" s="68">
        <f t="shared" si="6"/>
        <v>0.43209876543209874</v>
      </c>
      <c r="AM10" s="68">
        <v>7.5998769484830142E-2</v>
      </c>
      <c r="AN10" s="68">
        <v>0.65169893840391158</v>
      </c>
      <c r="AO10" s="68">
        <v>-0.13798223894308592</v>
      </c>
      <c r="AP10" s="68">
        <v>1.2841536555356923</v>
      </c>
      <c r="AR10" t="s">
        <v>125</v>
      </c>
      <c r="AS10" t="s">
        <v>342</v>
      </c>
      <c r="AT10" s="217">
        <v>796306.70400000014</v>
      </c>
      <c r="AU10" s="217">
        <v>1544907.3915867512</v>
      </c>
      <c r="AV10" s="71">
        <v>0.51543976573387063</v>
      </c>
      <c r="AW10" s="217">
        <v>124401.07200000001</v>
      </c>
      <c r="AX10" s="217">
        <v>72703.040000000008</v>
      </c>
      <c r="AY10" s="217">
        <v>239875.31672358169</v>
      </c>
      <c r="AZ10" s="216">
        <v>0.30308679105895148</v>
      </c>
      <c r="BA10" s="217">
        <v>22435.864000000001</v>
      </c>
      <c r="BB10" s="217">
        <v>351396.68800000008</v>
      </c>
      <c r="BC10" s="217">
        <v>1324509.6294539999</v>
      </c>
      <c r="BD10" s="216">
        <v>0.26530323388049332</v>
      </c>
      <c r="BE10" s="217">
        <v>55057.412000000011</v>
      </c>
      <c r="BF10" s="217">
        <v>139918.155199395</v>
      </c>
      <c r="BG10" s="216">
        <v>0.39349726932533252</v>
      </c>
      <c r="BH10" s="216">
        <v>5440</v>
      </c>
      <c r="BI10" s="216">
        <v>195</v>
      </c>
      <c r="BJ10" s="216">
        <v>5501</v>
      </c>
      <c r="BK10" s="216">
        <v>0.98891110707144159</v>
      </c>
      <c r="BL10" s="216">
        <v>716</v>
      </c>
      <c r="BM10" s="216">
        <v>11</v>
      </c>
      <c r="BN10" s="216">
        <v>875</v>
      </c>
      <c r="BO10" s="216">
        <v>0.81828571428571428</v>
      </c>
      <c r="BP10" s="216">
        <v>4864</v>
      </c>
      <c r="BQ10" s="216">
        <v>17518</v>
      </c>
      <c r="BR10" s="279">
        <v>0.89411764705882357</v>
      </c>
      <c r="BS10" s="279">
        <v>3.3358066567733728</v>
      </c>
      <c r="BT10" s="71">
        <v>0.51001926782273599</v>
      </c>
      <c r="BU10" s="71">
        <v>0.85099999999999998</v>
      </c>
      <c r="BV10" s="71">
        <v>0.29748603351955305</v>
      </c>
      <c r="BW10" s="71">
        <v>0.66900606199546786</v>
      </c>
      <c r="BX10" s="217">
        <v>2000.8270313379621</v>
      </c>
      <c r="BY10" s="217">
        <v>3456.5185541377368</v>
      </c>
      <c r="BZ10" s="217">
        <v>156</v>
      </c>
      <c r="CA10" s="217">
        <v>385</v>
      </c>
      <c r="CB10" s="71">
        <v>0.40519480519480522</v>
      </c>
      <c r="CC10" s="71">
        <v>-1.4416345522042349E-2</v>
      </c>
      <c r="CD10" s="71">
        <v>0.2680380490435425</v>
      </c>
      <c r="CE10" s="71">
        <v>2.5315936839476479E-2</v>
      </c>
      <c r="CF10" s="71">
        <v>-0.30743571264793529</v>
      </c>
    </row>
    <row r="11" spans="1:84">
      <c r="A11" s="221">
        <v>8</v>
      </c>
      <c r="B11" s="97" t="s">
        <v>120</v>
      </c>
      <c r="C11" s="221" t="s">
        <v>341</v>
      </c>
      <c r="D11" s="220">
        <f>VLOOKUP($B$4:$B$30,'TOTAL POR UF'!$A$5:$B$31,2,)</f>
        <v>243955.48800000001</v>
      </c>
      <c r="E11" s="220">
        <v>509811.61885582929</v>
      </c>
      <c r="F11" s="219">
        <f t="shared" si="0"/>
        <v>0.47852084765645309</v>
      </c>
      <c r="G11" s="220">
        <f>VLOOKUP($B$4:$B$30,'TOTAL POR UF'!$A$5:$C$31,3,)</f>
        <v>38132.104000000007</v>
      </c>
      <c r="H11" s="220">
        <f>VLOOKUP($B$4:$B$30,'TOTAL POR UF'!$A$5:$D$31,4,)</f>
        <v>12341.743999999999</v>
      </c>
      <c r="I11" s="220">
        <v>42203.269505829485</v>
      </c>
      <c r="J11" s="219">
        <f t="shared" si="1"/>
        <v>0.29243573174574183</v>
      </c>
      <c r="K11" s="220">
        <f>VLOOKUP($B$4:$B$30,'TOTAL POR UF'!$A$5:$E$31,5,)</f>
        <v>955.87200000000007</v>
      </c>
      <c r="L11" s="220">
        <f>VLOOKUP($B$4:$B$30,'TOTAL POR UF'!$A$5:$F$31,6,)</f>
        <v>157095.21600000001</v>
      </c>
      <c r="M11" s="220">
        <v>561629.07801990001</v>
      </c>
      <c r="N11" s="219">
        <f t="shared" si="2"/>
        <v>0.27971346596558111</v>
      </c>
      <c r="O11" s="220">
        <f>VLOOKUP($B$4:$B$30, 'TOTAL POR UF'!$A$5:$R$31,18,0)</f>
        <v>16772.384000000002</v>
      </c>
      <c r="P11" s="220">
        <v>50113.978487170149</v>
      </c>
      <c r="Q11" s="219">
        <f t="shared" si="3"/>
        <v>0.33468474278676474</v>
      </c>
      <c r="R11" s="62">
        <v>1762</v>
      </c>
      <c r="S11" s="62">
        <v>52</v>
      </c>
      <c r="T11" s="62">
        <v>1782</v>
      </c>
      <c r="U11" s="68">
        <f t="shared" si="4"/>
        <v>0.98877665544332216</v>
      </c>
      <c r="V11" s="62">
        <v>131</v>
      </c>
      <c r="W11" s="62">
        <v>5</v>
      </c>
      <c r="X11" s="62">
        <v>150</v>
      </c>
      <c r="Y11" s="68">
        <f t="shared" si="5"/>
        <v>0.87333333333333329</v>
      </c>
      <c r="Z11" s="62">
        <v>2104</v>
      </c>
      <c r="AA11" s="62">
        <v>7428</v>
      </c>
      <c r="AB11" s="218">
        <f t="shared" si="7"/>
        <v>1.1940976163450625</v>
      </c>
      <c r="AC11" s="218">
        <v>4.3314065510597306</v>
      </c>
      <c r="AD11" s="68">
        <v>0.47045324153757889</v>
      </c>
      <c r="AE11" s="68">
        <f>1-0.176</f>
        <v>0.82400000000000007</v>
      </c>
      <c r="AF11" s="68">
        <v>0.25954198473282442</v>
      </c>
      <c r="AG11" s="68">
        <v>0.68714659287166457</v>
      </c>
      <c r="AH11" s="62">
        <v>476.24475745918556</v>
      </c>
      <c r="AI11" s="62">
        <v>1296.9432703133796</v>
      </c>
      <c r="AJ11" s="62">
        <v>56</v>
      </c>
      <c r="AK11" s="62">
        <v>108.95</v>
      </c>
      <c r="AL11" s="68">
        <f t="shared" si="6"/>
        <v>0.51399724644332256</v>
      </c>
      <c r="AM11" s="68">
        <v>5.5172879483153851E-2</v>
      </c>
      <c r="AN11" s="68">
        <v>-0.12291936323874637</v>
      </c>
      <c r="AO11" s="68">
        <v>-8.5597005147860724E-4</v>
      </c>
      <c r="AP11" s="68">
        <v>-0.37766332995184532</v>
      </c>
      <c r="AR11" t="s">
        <v>126</v>
      </c>
      <c r="AS11" t="s">
        <v>340</v>
      </c>
      <c r="AT11" s="217">
        <v>583863.72</v>
      </c>
      <c r="AU11" s="217">
        <v>1016106.4670154504</v>
      </c>
      <c r="AV11" s="71">
        <v>0.574608802279301</v>
      </c>
      <c r="AW11" s="217">
        <v>86065.864000000001</v>
      </c>
      <c r="AX11" s="217">
        <v>64451.424000000006</v>
      </c>
      <c r="AY11" s="217">
        <v>148974.35143416843</v>
      </c>
      <c r="AZ11" s="216">
        <v>0.43263436544297362</v>
      </c>
      <c r="BA11" s="217">
        <v>12791.136</v>
      </c>
      <c r="BB11" s="217">
        <v>328060.864</v>
      </c>
      <c r="BC11" s="217">
        <v>1157768.4213216</v>
      </c>
      <c r="BD11" s="216">
        <v>0.28335620315634147</v>
      </c>
      <c r="BE11" s="217">
        <v>42172.19200000001</v>
      </c>
      <c r="BF11" s="217">
        <v>104528.21578970483</v>
      </c>
      <c r="BG11" s="216">
        <v>0.40345271065225263</v>
      </c>
      <c r="BH11" s="216">
        <v>3022</v>
      </c>
      <c r="BI11" s="216">
        <v>74</v>
      </c>
      <c r="BJ11" s="216">
        <v>3352</v>
      </c>
      <c r="BK11" s="216">
        <v>0.90155131264916466</v>
      </c>
      <c r="BL11" s="216">
        <v>438</v>
      </c>
      <c r="BM11" s="216">
        <v>21</v>
      </c>
      <c r="BN11" s="216">
        <v>510</v>
      </c>
      <c r="BO11" s="216">
        <v>0.85882352941176465</v>
      </c>
      <c r="BP11" s="216">
        <v>4272</v>
      </c>
      <c r="BQ11" s="216">
        <v>15313</v>
      </c>
      <c r="BR11" s="279">
        <v>1.413633355393779</v>
      </c>
      <c r="BS11" s="279">
        <v>4.8289760348583881</v>
      </c>
      <c r="BT11" s="71">
        <v>0.68253436138115986</v>
      </c>
      <c r="BU11" s="71">
        <v>0.88200000000000001</v>
      </c>
      <c r="BV11" s="71">
        <v>0.4223744292237443</v>
      </c>
      <c r="BW11" s="71">
        <v>0.71276158006070878</v>
      </c>
      <c r="BX11" s="217">
        <v>846.65734659410771</v>
      </c>
      <c r="BY11" s="217">
        <v>2178.5452007881404</v>
      </c>
      <c r="BZ11" s="217">
        <v>141</v>
      </c>
      <c r="CA11" s="217">
        <v>324.3</v>
      </c>
      <c r="CB11" s="71">
        <v>0.43478260869565216</v>
      </c>
      <c r="CC11" s="71">
        <v>0.21194439940884208</v>
      </c>
      <c r="CD11" s="71">
        <v>0.61282843481816629</v>
      </c>
      <c r="CE11" s="71">
        <v>5.9530921582128686E-2</v>
      </c>
      <c r="CF11" s="71">
        <v>0.25913766361818147</v>
      </c>
    </row>
    <row r="12" spans="1:84">
      <c r="A12" s="221">
        <v>9</v>
      </c>
      <c r="B12" s="97" t="s">
        <v>123</v>
      </c>
      <c r="C12" s="221" t="s">
        <v>341</v>
      </c>
      <c r="D12" s="220">
        <f>VLOOKUP($B$4:$B$30,'TOTAL POR UF'!$A$5:$B$31,2,)</f>
        <v>699548.81599999999</v>
      </c>
      <c r="E12" s="220">
        <v>1227853.8636831325</v>
      </c>
      <c r="F12" s="219">
        <f t="shared" si="0"/>
        <v>0.56973295983415972</v>
      </c>
      <c r="G12" s="220">
        <f>VLOOKUP($B$4:$B$30,'TOTAL POR UF'!$A$5:$C$31,3,)</f>
        <v>107484.21600000001</v>
      </c>
      <c r="H12" s="220">
        <f>VLOOKUP($B$4:$B$30,'TOTAL POR UF'!$A$5:$D$31,4,)</f>
        <v>106447.856</v>
      </c>
      <c r="I12" s="220">
        <v>203049.55956223415</v>
      </c>
      <c r="J12" s="219">
        <f t="shared" si="1"/>
        <v>0.52424568774981273</v>
      </c>
      <c r="K12" s="220">
        <f>VLOOKUP($B$4:$B$30,'TOTAL POR UF'!$A$5:$E$31,5,)</f>
        <v>14547.712000000001</v>
      </c>
      <c r="L12" s="220">
        <f>VLOOKUP($B$4:$B$30,'TOTAL POR UF'!$A$5:$F$31,6,)</f>
        <v>450916.94400000002</v>
      </c>
      <c r="M12" s="220">
        <v>1420330.3126006138</v>
      </c>
      <c r="N12" s="219">
        <f t="shared" si="2"/>
        <v>0.31747329476787312</v>
      </c>
      <c r="O12" s="220">
        <f>VLOOKUP($B$4:$B$30, 'TOTAL POR UF'!$A$5:$R$31,18,0)</f>
        <v>50696.416000000012</v>
      </c>
      <c r="P12" s="220">
        <v>128305.51811306912</v>
      </c>
      <c r="Q12" s="219">
        <f t="shared" si="3"/>
        <v>0.39512264745561326</v>
      </c>
      <c r="R12" s="62">
        <v>5418</v>
      </c>
      <c r="S12" s="62">
        <v>154</v>
      </c>
      <c r="T12" s="62">
        <v>5744</v>
      </c>
      <c r="U12" s="68">
        <f t="shared" si="4"/>
        <v>0.94324512534818938</v>
      </c>
      <c r="V12" s="62">
        <v>923</v>
      </c>
      <c r="W12" s="62">
        <v>17</v>
      </c>
      <c r="X12" s="62">
        <v>1052</v>
      </c>
      <c r="Y12" s="68">
        <f t="shared" si="5"/>
        <v>0.87737642585551334</v>
      </c>
      <c r="Z12" s="62">
        <v>5894</v>
      </c>
      <c r="AA12" s="62">
        <v>18785</v>
      </c>
      <c r="AB12" s="218">
        <f t="shared" si="7"/>
        <v>1.0878552971576227</v>
      </c>
      <c r="AC12" s="218">
        <v>3.6197213290460879</v>
      </c>
      <c r="AD12" s="68">
        <v>0.51107948770075218</v>
      </c>
      <c r="AE12" s="68">
        <f>1-0.273</f>
        <v>0.72699999999999998</v>
      </c>
      <c r="AF12" s="68">
        <v>0.323943661971831</v>
      </c>
      <c r="AG12" s="68">
        <v>0.4713815598495622</v>
      </c>
      <c r="AH12" s="62">
        <v>2114.6465331206605</v>
      </c>
      <c r="AI12" s="62">
        <v>3297.7703016513419</v>
      </c>
      <c r="AJ12" s="62">
        <v>153</v>
      </c>
      <c r="AK12" s="62">
        <v>482</v>
      </c>
      <c r="AL12" s="68">
        <f t="shared" si="6"/>
        <v>0.31742738589211617</v>
      </c>
      <c r="AM12" s="68">
        <v>1.0217570280963172E-3</v>
      </c>
      <c r="AN12" s="68">
        <v>0.11922291929855547</v>
      </c>
      <c r="AO12" s="68">
        <v>0.14736610366670064</v>
      </c>
      <c r="AP12" s="68">
        <v>-0.33016674028747089</v>
      </c>
      <c r="AR12" t="s">
        <v>127</v>
      </c>
      <c r="AS12" t="s">
        <v>342</v>
      </c>
      <c r="AT12" s="217">
        <v>534076.53600000008</v>
      </c>
      <c r="AU12" s="217">
        <v>1108317.096401409</v>
      </c>
      <c r="AV12" s="71">
        <v>0.481880625801128</v>
      </c>
      <c r="AW12" s="217">
        <v>98818.312000000005</v>
      </c>
      <c r="AX12" s="217">
        <v>64425.472000000002</v>
      </c>
      <c r="AY12" s="217">
        <v>176536.80288894381</v>
      </c>
      <c r="AZ12" s="216">
        <v>0.36494074292559231</v>
      </c>
      <c r="BA12" s="217">
        <v>12989.720000000001</v>
      </c>
      <c r="BB12" s="217">
        <v>657431.152</v>
      </c>
      <c r="BC12" s="217">
        <v>2162708.7232701755</v>
      </c>
      <c r="BD12" s="216">
        <v>0.3039850650835289</v>
      </c>
      <c r="BE12" s="217">
        <v>72784.744000000006</v>
      </c>
      <c r="BF12" s="217">
        <v>120664.69178961852</v>
      </c>
      <c r="BG12" s="216">
        <v>0.6031983583640339</v>
      </c>
      <c r="BH12" s="216">
        <v>3954</v>
      </c>
      <c r="BI12" s="216">
        <v>127</v>
      </c>
      <c r="BJ12" s="216">
        <v>4158</v>
      </c>
      <c r="BK12" s="216">
        <v>0.95093795093795097</v>
      </c>
      <c r="BL12" s="216">
        <v>728</v>
      </c>
      <c r="BM12" s="216">
        <v>33</v>
      </c>
      <c r="BN12" s="216">
        <v>702</v>
      </c>
      <c r="BO12" s="216">
        <v>1.037037037037037</v>
      </c>
      <c r="BP12" s="216">
        <v>8699</v>
      </c>
      <c r="BQ12" s="216">
        <v>28604</v>
      </c>
      <c r="BR12" s="279">
        <v>2.2000505816894282</v>
      </c>
      <c r="BS12" s="279">
        <v>7.6764072593048294</v>
      </c>
      <c r="BT12" s="71">
        <v>0.48092395535946014</v>
      </c>
      <c r="BU12" s="71">
        <v>0.80499999999999994</v>
      </c>
      <c r="BV12" s="71">
        <v>0.25961538461538464</v>
      </c>
      <c r="BW12" s="71">
        <v>0.61396450470977937</v>
      </c>
      <c r="BX12" s="217">
        <v>1278.9717700319009</v>
      </c>
      <c r="BY12" s="217">
        <v>2680.7487919872397</v>
      </c>
      <c r="BZ12" s="217">
        <v>120</v>
      </c>
      <c r="CA12" s="217">
        <v>461.9</v>
      </c>
      <c r="CB12" s="71">
        <v>0.25979649274734795</v>
      </c>
      <c r="CC12" s="71">
        <v>0.11414780659673113</v>
      </c>
      <c r="CD12" s="71">
        <v>0.11124407696820697</v>
      </c>
      <c r="CE12" s="71">
        <v>0.12064784626599206</v>
      </c>
      <c r="CF12" s="71">
        <v>0.92974550972344872</v>
      </c>
    </row>
    <row r="13" spans="1:84">
      <c r="A13" s="221">
        <v>10</v>
      </c>
      <c r="B13" s="97" t="s">
        <v>124</v>
      </c>
      <c r="C13" s="221" t="s">
        <v>341</v>
      </c>
      <c r="D13" s="220">
        <f>VLOOKUP($B$4:$B$30,'TOTAL POR UF'!$A$5:$B$31,2,)</f>
        <v>393609.39199999999</v>
      </c>
      <c r="E13" s="220">
        <v>792661.65598756156</v>
      </c>
      <c r="F13" s="219">
        <f t="shared" si="0"/>
        <v>0.49656671169442379</v>
      </c>
      <c r="G13" s="220">
        <f>VLOOKUP($B$4:$B$30,'TOTAL POR UF'!$A$5:$C$31,3,)</f>
        <v>61676.376000000004</v>
      </c>
      <c r="H13" s="220">
        <f>VLOOKUP($B$4:$B$30,'TOTAL POR UF'!$A$5:$D$31,4,)</f>
        <v>39708.328000000001</v>
      </c>
      <c r="I13" s="220">
        <v>123688.88243139177</v>
      </c>
      <c r="J13" s="219">
        <f t="shared" si="1"/>
        <v>0.32103392980388168</v>
      </c>
      <c r="K13" s="220">
        <f>VLOOKUP($B$4:$B$30,'TOTAL POR UF'!$A$5:$E$31,5,)</f>
        <v>6519.12</v>
      </c>
      <c r="L13" s="220">
        <f>VLOOKUP($B$4:$B$30,'TOTAL POR UF'!$A$5:$F$31,6,)</f>
        <v>238957.60000000003</v>
      </c>
      <c r="M13" s="220">
        <v>910701.73260000022</v>
      </c>
      <c r="N13" s="219">
        <f t="shared" si="2"/>
        <v>0.26238843239903592</v>
      </c>
      <c r="O13" s="220">
        <f>VLOOKUP($B$4:$B$30, 'TOTAL POR UF'!$A$5:$R$31,18,0)</f>
        <v>26235.552000000003</v>
      </c>
      <c r="P13" s="220">
        <v>82217.352195852916</v>
      </c>
      <c r="Q13" s="219">
        <f t="shared" si="3"/>
        <v>0.3190999381432687</v>
      </c>
      <c r="R13" s="62">
        <v>2822</v>
      </c>
      <c r="S13" s="62">
        <v>164</v>
      </c>
      <c r="T13" s="62">
        <v>2906</v>
      </c>
      <c r="U13" s="68">
        <f t="shared" si="4"/>
        <v>0.97109428768066075</v>
      </c>
      <c r="V13" s="62">
        <v>336</v>
      </c>
      <c r="W13" s="62">
        <v>7</v>
      </c>
      <c r="X13" s="62">
        <v>416</v>
      </c>
      <c r="Y13" s="68">
        <f t="shared" si="5"/>
        <v>0.80769230769230771</v>
      </c>
      <c r="Z13" s="62">
        <v>3166</v>
      </c>
      <c r="AA13" s="62">
        <v>12045</v>
      </c>
      <c r="AB13" s="218">
        <f t="shared" si="7"/>
        <v>1.1218993621545004</v>
      </c>
      <c r="AC13" s="218">
        <v>4.3711433756805809</v>
      </c>
      <c r="AD13" s="68">
        <v>0.51708930540242559</v>
      </c>
      <c r="AE13" s="68">
        <f>1-0.143</f>
        <v>0.85699999999999998</v>
      </c>
      <c r="AF13" s="68">
        <v>0.35714285714285715</v>
      </c>
      <c r="AG13" s="68">
        <v>0.72487215406448979</v>
      </c>
      <c r="AH13" s="62">
        <v>1121.2219342278102</v>
      </c>
      <c r="AI13" s="62">
        <v>1701.3020266466503</v>
      </c>
      <c r="AJ13" s="62">
        <v>137</v>
      </c>
      <c r="AK13" s="62">
        <v>337</v>
      </c>
      <c r="AL13" s="68">
        <f t="shared" si="6"/>
        <v>0.40652818991097922</v>
      </c>
      <c r="AM13" s="68">
        <v>0.14391255730432334</v>
      </c>
      <c r="AN13" s="68">
        <v>-8.1529696898796397E-2</v>
      </c>
      <c r="AO13" s="68">
        <v>5.7467772929969525E-2</v>
      </c>
      <c r="AP13" s="68">
        <v>-9.7706044557904478E-2</v>
      </c>
      <c r="AR13" t="s">
        <v>128</v>
      </c>
      <c r="AS13" t="s">
        <v>341</v>
      </c>
      <c r="AT13" s="217">
        <v>168910.94400000002</v>
      </c>
      <c r="AU13" s="217">
        <v>423059.05526496918</v>
      </c>
      <c r="AV13" s="71">
        <v>0.39926091144464021</v>
      </c>
      <c r="AW13" s="217">
        <v>43300.28</v>
      </c>
      <c r="AX13" s="217">
        <v>20200.527999999998</v>
      </c>
      <c r="AY13" s="217">
        <v>80717.048407853639</v>
      </c>
      <c r="AZ13" s="216">
        <v>0.25026346228530477</v>
      </c>
      <c r="BA13" s="217">
        <v>5524.7920000000004</v>
      </c>
      <c r="BB13" s="217">
        <v>107668.4</v>
      </c>
      <c r="BC13" s="217">
        <v>384359.22787680005</v>
      </c>
      <c r="BD13" s="216">
        <v>0.2801244049603287</v>
      </c>
      <c r="BE13" s="217">
        <v>20611.847999999998</v>
      </c>
      <c r="BF13" s="217">
        <v>39966.089919733029</v>
      </c>
      <c r="BG13" s="216">
        <v>0.51573341403665851</v>
      </c>
      <c r="BH13" s="216">
        <v>1418</v>
      </c>
      <c r="BI13" s="216">
        <v>68</v>
      </c>
      <c r="BJ13" s="216">
        <v>1473</v>
      </c>
      <c r="BK13" s="216">
        <v>0.96266123557365924</v>
      </c>
      <c r="BL13" s="216">
        <v>244</v>
      </c>
      <c r="BM13" s="216">
        <v>5</v>
      </c>
      <c r="BN13" s="216">
        <v>309</v>
      </c>
      <c r="BO13" s="216">
        <v>0.78964401294498376</v>
      </c>
      <c r="BP13" s="216">
        <v>1359</v>
      </c>
      <c r="BQ13" s="216">
        <v>5084</v>
      </c>
      <c r="BR13" s="279">
        <v>0.95839210155148091</v>
      </c>
      <c r="BS13" s="279">
        <v>3.5978618421052633</v>
      </c>
      <c r="BT13" s="71">
        <v>0.42389758179231862</v>
      </c>
      <c r="BU13" s="71">
        <v>0.81</v>
      </c>
      <c r="BV13" s="71">
        <v>0.23770491803278687</v>
      </c>
      <c r="BW13" s="71">
        <v>0.63794463990008277</v>
      </c>
      <c r="BX13" s="217">
        <v>583.07534246575347</v>
      </c>
      <c r="BY13" s="217">
        <v>834.6763464064552</v>
      </c>
      <c r="BZ13" s="217">
        <v>56</v>
      </c>
      <c r="CA13" s="217">
        <v>122.2</v>
      </c>
      <c r="CB13" s="71">
        <v>0.45826513911620292</v>
      </c>
      <c r="CC13" s="71">
        <v>0.14633898303070494</v>
      </c>
      <c r="CD13" s="71">
        <v>0.23215516656710578</v>
      </c>
      <c r="CE13" s="71">
        <v>4.8049199764046618E-2</v>
      </c>
      <c r="CF13" s="71">
        <v>0.76028968303108169</v>
      </c>
    </row>
    <row r="14" spans="1:84">
      <c r="A14" s="221">
        <v>11</v>
      </c>
      <c r="B14" s="97" t="s">
        <v>128</v>
      </c>
      <c r="C14" s="221" t="s">
        <v>341</v>
      </c>
      <c r="D14" s="220">
        <f>VLOOKUP($B$4:$B$30,'TOTAL POR UF'!$A$5:$B$31,2,)</f>
        <v>168910.94400000002</v>
      </c>
      <c r="E14" s="220">
        <v>423059.05526496918</v>
      </c>
      <c r="F14" s="219">
        <f t="shared" si="0"/>
        <v>0.39926091144464021</v>
      </c>
      <c r="G14" s="220">
        <f>VLOOKUP($B$4:$B$30,'TOTAL POR UF'!$A$5:$C$31,3,)</f>
        <v>43300.28</v>
      </c>
      <c r="H14" s="220">
        <f>VLOOKUP($B$4:$B$30,'TOTAL POR UF'!$A$5:$D$31,4,)</f>
        <v>20200.527999999998</v>
      </c>
      <c r="I14" s="220">
        <v>80717.048407853639</v>
      </c>
      <c r="J14" s="219">
        <f t="shared" si="1"/>
        <v>0.25026346228530477</v>
      </c>
      <c r="K14" s="220">
        <f>VLOOKUP($B$4:$B$30,'TOTAL POR UF'!$A$5:$E$31,5,)</f>
        <v>5524.7920000000004</v>
      </c>
      <c r="L14" s="220">
        <f>VLOOKUP($B$4:$B$30,'TOTAL POR UF'!$A$5:$F$31,6,)</f>
        <v>107668.4</v>
      </c>
      <c r="M14" s="220">
        <v>384359.22787680005</v>
      </c>
      <c r="N14" s="219">
        <f t="shared" si="2"/>
        <v>0.2801244049603287</v>
      </c>
      <c r="O14" s="220">
        <f>VLOOKUP($B$4:$B$30, 'TOTAL POR UF'!$A$5:$R$31,18,0)</f>
        <v>20611.847999999998</v>
      </c>
      <c r="P14" s="220">
        <v>39966.089919733029</v>
      </c>
      <c r="Q14" s="219">
        <f t="shared" si="3"/>
        <v>0.51573341403665851</v>
      </c>
      <c r="R14" s="62">
        <v>1418</v>
      </c>
      <c r="S14" s="62">
        <v>68</v>
      </c>
      <c r="T14" s="62">
        <v>1473</v>
      </c>
      <c r="U14" s="68">
        <f t="shared" si="4"/>
        <v>0.96266123557365924</v>
      </c>
      <c r="V14" s="62">
        <v>244</v>
      </c>
      <c r="W14" s="62">
        <v>5</v>
      </c>
      <c r="X14" s="62">
        <v>309</v>
      </c>
      <c r="Y14" s="68">
        <f t="shared" si="5"/>
        <v>0.78964401294498376</v>
      </c>
      <c r="Z14" s="62">
        <v>1359</v>
      </c>
      <c r="AA14" s="62">
        <v>5084</v>
      </c>
      <c r="AB14" s="218">
        <f t="shared" si="7"/>
        <v>0.95839210155148091</v>
      </c>
      <c r="AC14" s="218">
        <v>3.5978618421052633</v>
      </c>
      <c r="AD14" s="68">
        <v>0.42389758179231862</v>
      </c>
      <c r="AE14" s="68">
        <f>1-0.19</f>
        <v>0.81</v>
      </c>
      <c r="AF14" s="68">
        <v>0.23770491803278687</v>
      </c>
      <c r="AG14" s="68">
        <v>0.63794463990008277</v>
      </c>
      <c r="AH14" s="62">
        <v>583.07534246575347</v>
      </c>
      <c r="AI14" s="62">
        <v>834.6763464064552</v>
      </c>
      <c r="AJ14" s="62">
        <v>56</v>
      </c>
      <c r="AK14" s="62">
        <v>122.2</v>
      </c>
      <c r="AL14" s="68">
        <f t="shared" si="6"/>
        <v>0.45826513911620292</v>
      </c>
      <c r="AM14" s="68">
        <v>0.14633898303070494</v>
      </c>
      <c r="AN14" s="68">
        <v>0.23215516656710578</v>
      </c>
      <c r="AO14" s="68">
        <v>4.8049199764046618E-2</v>
      </c>
      <c r="AP14" s="68">
        <v>0.76028968303108169</v>
      </c>
      <c r="AR14" t="s">
        <v>131</v>
      </c>
      <c r="AS14" t="s">
        <v>340</v>
      </c>
      <c r="AT14" s="217">
        <v>2007039.7119999998</v>
      </c>
      <c r="AU14" s="217">
        <v>3848081.179841321</v>
      </c>
      <c r="AV14" s="71">
        <v>0.52156896338729575</v>
      </c>
      <c r="AW14" s="217">
        <v>369531.72800000006</v>
      </c>
      <c r="AX14" s="217">
        <v>232550.92</v>
      </c>
      <c r="AY14" s="217">
        <v>607808.97105975857</v>
      </c>
      <c r="AZ14" s="216">
        <v>0.38260527743532774</v>
      </c>
      <c r="BA14" s="217">
        <v>69245.464000000007</v>
      </c>
      <c r="BB14" s="217">
        <v>1235770.56</v>
      </c>
      <c r="BC14" s="217">
        <v>3589374.5589240002</v>
      </c>
      <c r="BD14" s="216">
        <v>0.34428576335885419</v>
      </c>
      <c r="BE14" s="217">
        <v>173052.758</v>
      </c>
      <c r="BF14" s="217">
        <v>362036.91194212856</v>
      </c>
      <c r="BG14" s="216">
        <v>0.47799755298891294</v>
      </c>
      <c r="BH14" s="216">
        <v>13199</v>
      </c>
      <c r="BI14" s="216">
        <v>278</v>
      </c>
      <c r="BJ14" s="216">
        <v>14096</v>
      </c>
      <c r="BK14" s="216">
        <v>0.93636492622020429</v>
      </c>
      <c r="BL14" s="216">
        <v>1942</v>
      </c>
      <c r="BM14" s="216">
        <v>62</v>
      </c>
      <c r="BN14" s="216">
        <v>2237</v>
      </c>
      <c r="BO14" s="216">
        <v>0.86812695574430043</v>
      </c>
      <c r="BP14" s="216">
        <v>16332</v>
      </c>
      <c r="BQ14" s="216">
        <v>47473</v>
      </c>
      <c r="BR14" s="279">
        <v>1.2373664671566027</v>
      </c>
      <c r="BS14" s="279">
        <v>4.3095318860244234</v>
      </c>
      <c r="BT14" s="71">
        <v>0.52552294723696535</v>
      </c>
      <c r="BU14" s="71">
        <v>0.80400000000000005</v>
      </c>
      <c r="BV14" s="71">
        <v>0.33625128733264675</v>
      </c>
      <c r="BW14" s="71">
        <v>0.66316339441761918</v>
      </c>
      <c r="BX14" s="217">
        <v>4149.4197316569716</v>
      </c>
      <c r="BY14" s="217">
        <v>9062.6282252767869</v>
      </c>
      <c r="BZ14" s="217">
        <v>327</v>
      </c>
      <c r="CA14" s="217">
        <v>1063.5999999999999</v>
      </c>
      <c r="CB14" s="71">
        <v>0.30744640842421966</v>
      </c>
      <c r="CC14" s="71">
        <v>5.2041902414431004E-2</v>
      </c>
      <c r="CD14" s="71">
        <v>0.30327093746040845</v>
      </c>
      <c r="CE14" s="71">
        <v>9.9266503667481631E-2</v>
      </c>
      <c r="CF14" s="71">
        <v>-7.8324439816333746E-2</v>
      </c>
    </row>
    <row r="15" spans="1:84">
      <c r="A15" s="221">
        <v>12</v>
      </c>
      <c r="B15" s="97" t="s">
        <v>133</v>
      </c>
      <c r="C15" s="221" t="s">
        <v>341</v>
      </c>
      <c r="D15" s="220">
        <f>VLOOKUP($B$4:$B$30,'TOTAL POR UF'!$A$5:$B$31,2,)</f>
        <v>288798.68</v>
      </c>
      <c r="E15" s="220">
        <v>599742.61711316369</v>
      </c>
      <c r="F15" s="219">
        <f t="shared" si="0"/>
        <v>0.48153769927193185</v>
      </c>
      <c r="G15" s="220">
        <f>VLOOKUP($B$4:$B$30,'TOTAL POR UF'!$A$5:$C$31,3,)</f>
        <v>56843.207999999999</v>
      </c>
      <c r="H15" s="220">
        <f>VLOOKUP($B$4:$B$30,'TOTAL POR UF'!$A$5:$D$31,4,)</f>
        <v>29329.376000000004</v>
      </c>
      <c r="I15" s="220">
        <v>142824.32725102155</v>
      </c>
      <c r="J15" s="219">
        <f t="shared" si="1"/>
        <v>0.2053528034369945</v>
      </c>
      <c r="K15" s="220">
        <f>VLOOKUP($B$4:$B$30,'TOTAL POR UF'!$A$5:$E$31,5,)</f>
        <v>8589.4160000000011</v>
      </c>
      <c r="L15" s="220">
        <f>VLOOKUP($B$4:$B$30,'TOTAL POR UF'!$A$5:$F$31,6,)</f>
        <v>224551.47200000001</v>
      </c>
      <c r="M15" s="220">
        <v>775551.93210000009</v>
      </c>
      <c r="N15" s="219">
        <f t="shared" si="2"/>
        <v>0.28953763469065308</v>
      </c>
      <c r="O15" s="220">
        <f>VLOOKUP($B$4:$B$30, 'TOTAL POR UF'!$A$5:$R$31,18,0)</f>
        <v>24756.072000000004</v>
      </c>
      <c r="P15" s="220">
        <v>68315.349440888342</v>
      </c>
      <c r="Q15" s="219">
        <f t="shared" si="3"/>
        <v>0.3623793510918194</v>
      </c>
      <c r="R15" s="62">
        <v>2181</v>
      </c>
      <c r="S15" s="62">
        <v>110</v>
      </c>
      <c r="T15" s="62">
        <v>2143</v>
      </c>
      <c r="U15" s="68">
        <f t="shared" si="4"/>
        <v>1.0177321511899207</v>
      </c>
      <c r="V15" s="62">
        <v>466</v>
      </c>
      <c r="W15" s="62">
        <v>19</v>
      </c>
      <c r="X15" s="62">
        <v>505</v>
      </c>
      <c r="Y15" s="68">
        <f t="shared" si="5"/>
        <v>0.92277227722772281</v>
      </c>
      <c r="Z15" s="62">
        <v>3031</v>
      </c>
      <c r="AA15" s="62">
        <v>10258</v>
      </c>
      <c r="AB15" s="218">
        <f t="shared" si="7"/>
        <v>1.3897294818890418</v>
      </c>
      <c r="AC15" s="218">
        <v>5.0427163198247538</v>
      </c>
      <c r="AD15" s="68">
        <v>0.47083333333333333</v>
      </c>
      <c r="AE15" s="68">
        <f>1-0.183</f>
        <v>0.81699999999999995</v>
      </c>
      <c r="AF15" s="68">
        <v>0.18884120171673821</v>
      </c>
      <c r="AG15" s="68">
        <v>0.69022533609908765</v>
      </c>
      <c r="AH15" s="62">
        <v>738.82834490523555</v>
      </c>
      <c r="AI15" s="62">
        <v>1441.7136892475137</v>
      </c>
      <c r="AJ15" s="62">
        <v>110</v>
      </c>
      <c r="AK15" s="62">
        <v>183</v>
      </c>
      <c r="AL15" s="68">
        <f t="shared" si="6"/>
        <v>0.60109289617486339</v>
      </c>
      <c r="AM15" s="68">
        <v>3.2686346103900379E-2</v>
      </c>
      <c r="AN15" s="68">
        <v>-0.11025059632942273</v>
      </c>
      <c r="AO15" s="68">
        <v>9.6200799432937745E-2</v>
      </c>
      <c r="AP15" s="68">
        <v>-8.8182808428560688E-2</v>
      </c>
      <c r="AR15" t="s">
        <v>130</v>
      </c>
      <c r="AS15" t="s">
        <v>342</v>
      </c>
      <c r="AT15" s="217">
        <v>373195.21600000001</v>
      </c>
      <c r="AU15" s="217">
        <v>850068.70047072589</v>
      </c>
      <c r="AV15" s="71">
        <v>0.43901771209002638</v>
      </c>
      <c r="AW15" s="217">
        <v>60863.672000000006</v>
      </c>
      <c r="AX15" s="217">
        <v>59265.328000000001</v>
      </c>
      <c r="AY15" s="217">
        <v>210090.53830561569</v>
      </c>
      <c r="AZ15" s="216">
        <v>0.28209422698411851</v>
      </c>
      <c r="BA15" s="217">
        <v>9390.8320000000003</v>
      </c>
      <c r="BB15" s="217">
        <v>546003.47200000007</v>
      </c>
      <c r="BC15" s="217">
        <v>1817471.83464</v>
      </c>
      <c r="BD15" s="216">
        <v>0.30041922058624415</v>
      </c>
      <c r="BE15" s="217">
        <v>33873.360000000001</v>
      </c>
      <c r="BF15" s="217">
        <v>129493.39830373538</v>
      </c>
      <c r="BG15" s="216">
        <v>0.26158368259475112</v>
      </c>
      <c r="BH15" s="216">
        <v>2803</v>
      </c>
      <c r="BI15" s="216">
        <v>101</v>
      </c>
      <c r="BJ15" s="216">
        <v>2974</v>
      </c>
      <c r="BK15" s="216">
        <v>0.94250168123739075</v>
      </c>
      <c r="BL15" s="216">
        <v>663</v>
      </c>
      <c r="BM15" s="216">
        <v>22</v>
      </c>
      <c r="BN15" s="216">
        <v>757</v>
      </c>
      <c r="BO15" s="216">
        <v>0.87582562747688242</v>
      </c>
      <c r="BP15" s="216">
        <v>7269</v>
      </c>
      <c r="BQ15" s="216">
        <v>24038</v>
      </c>
      <c r="BR15" s="279">
        <v>2.5932929004637888</v>
      </c>
      <c r="BS15" s="279">
        <v>8.5159467097295121</v>
      </c>
      <c r="BT15" s="71">
        <v>0.46813107670147641</v>
      </c>
      <c r="BU15" s="71">
        <v>0.84</v>
      </c>
      <c r="BV15" s="71">
        <v>0.26395173453996984</v>
      </c>
      <c r="BW15" s="71">
        <v>0.67706597741946484</v>
      </c>
      <c r="BX15" s="217">
        <v>1115.2314341339838</v>
      </c>
      <c r="BY15" s="217">
        <v>1687.3241930943891</v>
      </c>
      <c r="BZ15" s="217">
        <v>100</v>
      </c>
      <c r="CA15" s="217">
        <v>292</v>
      </c>
      <c r="CB15" s="71">
        <v>0.34246575342465752</v>
      </c>
      <c r="CC15" s="71">
        <v>-5.972893938547514E-3</v>
      </c>
      <c r="CD15" s="71">
        <v>7.3655712868450532E-2</v>
      </c>
      <c r="CE15" s="71">
        <v>0.14419936939508277</v>
      </c>
      <c r="CF15" s="71">
        <v>-0.33522565564839057</v>
      </c>
    </row>
    <row r="16" spans="1:84">
      <c r="A16" s="221">
        <v>13</v>
      </c>
      <c r="B16" s="97" t="s">
        <v>135</v>
      </c>
      <c r="C16" s="221" t="s">
        <v>341</v>
      </c>
      <c r="D16" s="220">
        <f>VLOOKUP($B$4:$B$30,'TOTAL POR UF'!$A$5:$B$31,2,)</f>
        <v>648099.57600000012</v>
      </c>
      <c r="E16" s="220">
        <v>1339205.9448397537</v>
      </c>
      <c r="F16" s="219">
        <f t="shared" si="0"/>
        <v>0.48394317430957212</v>
      </c>
      <c r="G16" s="220">
        <f>VLOOKUP($B$4:$B$30,'TOTAL POR UF'!$A$5:$C$31,3,)</f>
        <v>133308</v>
      </c>
      <c r="H16" s="220">
        <f>VLOOKUP($B$4:$B$30,'TOTAL POR UF'!$A$5:$D$31,4,)</f>
        <v>79757.392000000022</v>
      </c>
      <c r="I16" s="220">
        <v>203198.35368017503</v>
      </c>
      <c r="J16" s="219">
        <f t="shared" si="1"/>
        <v>0.39251003049726735</v>
      </c>
      <c r="K16" s="220">
        <f>VLOOKUP($B$4:$B$30,'TOTAL POR UF'!$A$5:$E$31,5,)</f>
        <v>16284.056</v>
      </c>
      <c r="L16" s="220">
        <f>VLOOKUP($B$4:$B$30,'TOTAL POR UF'!$A$5:$F$31,6,)</f>
        <v>420855.24800000002</v>
      </c>
      <c r="M16" s="220">
        <v>1251392.64228</v>
      </c>
      <c r="N16" s="219">
        <f t="shared" si="2"/>
        <v>0.33630951132429093</v>
      </c>
      <c r="O16" s="220">
        <f>VLOOKUP($B$4:$B$30, 'TOTAL POR UF'!$A$5:$R$31,18,0)</f>
        <v>61881.528000000006</v>
      </c>
      <c r="P16" s="220">
        <v>125720.86233599678</v>
      </c>
      <c r="Q16" s="219">
        <f t="shared" si="3"/>
        <v>0.49221367758851192</v>
      </c>
      <c r="R16" s="62">
        <v>4474</v>
      </c>
      <c r="S16" s="62">
        <v>75</v>
      </c>
      <c r="T16" s="62">
        <v>4776</v>
      </c>
      <c r="U16" s="68">
        <f t="shared" si="4"/>
        <v>0.93676716917922953</v>
      </c>
      <c r="V16" s="62">
        <v>617</v>
      </c>
      <c r="W16" s="62">
        <v>43</v>
      </c>
      <c r="X16" s="62">
        <v>706</v>
      </c>
      <c r="Y16" s="68">
        <f t="shared" si="5"/>
        <v>0.87393767705382441</v>
      </c>
      <c r="Z16" s="62">
        <v>5529</v>
      </c>
      <c r="AA16" s="62">
        <v>16551</v>
      </c>
      <c r="AB16" s="218">
        <f t="shared" si="7"/>
        <v>1.2358068842199375</v>
      </c>
      <c r="AC16" s="218">
        <v>3.5909528392685273</v>
      </c>
      <c r="AD16" s="68">
        <v>0.55602536997885832</v>
      </c>
      <c r="AE16" s="68">
        <f>1-0.15</f>
        <v>0.85</v>
      </c>
      <c r="AF16" s="68">
        <v>0.39059967585089139</v>
      </c>
      <c r="AG16" s="68">
        <v>0.70225336772684666</v>
      </c>
      <c r="AH16" s="62">
        <v>1422.7437722837306</v>
      </c>
      <c r="AI16" s="62">
        <v>3041.1772142991181</v>
      </c>
      <c r="AJ16" s="62">
        <v>158</v>
      </c>
      <c r="AK16" s="62">
        <v>357</v>
      </c>
      <c r="AL16" s="68">
        <f t="shared" si="6"/>
        <v>0.44257703081232491</v>
      </c>
      <c r="AM16" s="68">
        <v>0.14762874969959114</v>
      </c>
      <c r="AN16" s="68">
        <v>0.39769860548048486</v>
      </c>
      <c r="AO16" s="68">
        <v>9.1782942197059472E-2</v>
      </c>
      <c r="AP16" s="68">
        <v>0.39071314224729375</v>
      </c>
      <c r="AR16" t="s">
        <v>129</v>
      </c>
      <c r="AS16" t="s">
        <v>342</v>
      </c>
      <c r="AT16" s="217">
        <v>368076.12800000003</v>
      </c>
      <c r="AU16" s="217">
        <v>807120.33194208215</v>
      </c>
      <c r="AV16" s="71">
        <v>0.45603624816926636</v>
      </c>
      <c r="AW16" s="217">
        <v>60100.625999999997</v>
      </c>
      <c r="AX16" s="217">
        <v>42181.792000000001</v>
      </c>
      <c r="AY16" s="217">
        <v>168218.29165184795</v>
      </c>
      <c r="AZ16" s="216">
        <v>0.25075627380226467</v>
      </c>
      <c r="BA16" s="217">
        <v>4750.808</v>
      </c>
      <c r="BB16" s="217">
        <v>649259.3600000001</v>
      </c>
      <c r="BC16" s="217">
        <v>1974113.2887300001</v>
      </c>
      <c r="BD16" s="216">
        <v>0.32888657591565373</v>
      </c>
      <c r="BE16" s="217">
        <v>27619.556000000008</v>
      </c>
      <c r="BF16" s="217">
        <v>132725.33605457685</v>
      </c>
      <c r="BG16" s="216">
        <v>0.20809558160502833</v>
      </c>
      <c r="BH16" s="216">
        <v>2633</v>
      </c>
      <c r="BI16" s="216">
        <v>74</v>
      </c>
      <c r="BJ16" s="216">
        <v>2799</v>
      </c>
      <c r="BK16" s="216">
        <v>0.94069310468024292</v>
      </c>
      <c r="BL16" s="216">
        <v>492</v>
      </c>
      <c r="BM16" s="216">
        <v>10</v>
      </c>
      <c r="BN16" s="216">
        <v>635</v>
      </c>
      <c r="BO16" s="216">
        <v>0.77480314960629926</v>
      </c>
      <c r="BP16" s="216">
        <v>8469</v>
      </c>
      <c r="BQ16" s="216">
        <v>26110</v>
      </c>
      <c r="BR16" s="279">
        <v>3.2164830991264717</v>
      </c>
      <c r="BS16" s="279">
        <v>10.02214188883868</v>
      </c>
      <c r="BT16" s="71">
        <v>0.52208989627353053</v>
      </c>
      <c r="BU16" s="71">
        <v>0.86799999999999999</v>
      </c>
      <c r="BV16" s="71">
        <v>0.26016260162601629</v>
      </c>
      <c r="BW16" s="71">
        <v>0.64609660523347268</v>
      </c>
      <c r="BX16" s="217">
        <v>908.55918089697877</v>
      </c>
      <c r="BY16" s="217">
        <v>1731.2545271157817</v>
      </c>
      <c r="BZ16" s="217">
        <v>73</v>
      </c>
      <c r="CA16" s="217">
        <v>375.95</v>
      </c>
      <c r="CB16" s="71">
        <v>0.1941747572815534</v>
      </c>
      <c r="CC16" s="71">
        <v>8.1176999546194117E-2</v>
      </c>
      <c r="CD16" s="71">
        <v>-2.489838977736241E-2</v>
      </c>
      <c r="CE16" s="71">
        <v>0.23873223051115858</v>
      </c>
      <c r="CF16" s="71">
        <v>0.1075114139266546</v>
      </c>
    </row>
    <row r="17" spans="1:84">
      <c r="A17" s="221">
        <v>14</v>
      </c>
      <c r="B17" s="97" t="s">
        <v>136</v>
      </c>
      <c r="C17" s="221" t="s">
        <v>341</v>
      </c>
      <c r="D17" s="220">
        <f>VLOOKUP($B$4:$B$30,'TOTAL POR UF'!$A$5:$B$31,2,)</f>
        <v>148691.54400000002</v>
      </c>
      <c r="E17" s="220">
        <v>306550.54466266575</v>
      </c>
      <c r="F17" s="219">
        <f t="shared" si="0"/>
        <v>0.48504739785611251</v>
      </c>
      <c r="G17" s="220">
        <f>VLOOKUP($B$4:$B$30,'TOTAL POR UF'!$A$5:$C$31,3,)</f>
        <v>16559.36</v>
      </c>
      <c r="H17" s="220">
        <f>VLOOKUP($B$4:$B$30,'TOTAL POR UF'!$A$5:$D$31,4,)</f>
        <v>21149.52</v>
      </c>
      <c r="I17" s="220">
        <v>67077.713027582504</v>
      </c>
      <c r="J17" s="219">
        <f t="shared" si="1"/>
        <v>0.31529876385772532</v>
      </c>
      <c r="K17" s="220">
        <f>VLOOKUP($B$4:$B$30,'TOTAL POR UF'!$A$5:$E$31,5,)</f>
        <v>1501.6000000000001</v>
      </c>
      <c r="L17" s="220">
        <f>VLOOKUP($B$4:$B$30,'TOTAL POR UF'!$A$5:$F$31,6,)</f>
        <v>100649.072</v>
      </c>
      <c r="M17" s="220">
        <v>414390.08061000006</v>
      </c>
      <c r="N17" s="219">
        <f t="shared" si="2"/>
        <v>0.2428848486234039</v>
      </c>
      <c r="O17" s="220">
        <f>VLOOKUP($B$4:$B$30, 'TOTAL POR UF'!$A$5:$R$31,18,0)</f>
        <v>18560.545999999998</v>
      </c>
      <c r="P17" s="220">
        <v>35460.825223511165</v>
      </c>
      <c r="Q17" s="219">
        <f t="shared" si="3"/>
        <v>0.52340987224668489</v>
      </c>
      <c r="R17" s="62">
        <v>1075</v>
      </c>
      <c r="S17" s="62">
        <v>81</v>
      </c>
      <c r="T17" s="62">
        <v>1071</v>
      </c>
      <c r="U17" s="68">
        <f t="shared" si="4"/>
        <v>1.003734827264239</v>
      </c>
      <c r="V17" s="62">
        <v>200</v>
      </c>
      <c r="W17" s="62">
        <v>6</v>
      </c>
      <c r="X17" s="62">
        <v>228</v>
      </c>
      <c r="Y17" s="68">
        <f t="shared" si="5"/>
        <v>0.8771929824561403</v>
      </c>
      <c r="Z17" s="62">
        <v>1441</v>
      </c>
      <c r="AA17" s="62">
        <v>5481</v>
      </c>
      <c r="AB17" s="218">
        <f t="shared" si="7"/>
        <v>1.3404651162790697</v>
      </c>
      <c r="AC17" s="218">
        <v>5.5415676959619953</v>
      </c>
      <c r="AD17" s="68">
        <v>0.50523311132255</v>
      </c>
      <c r="AE17" s="68">
        <f>1-0.125</f>
        <v>0.875</v>
      </c>
      <c r="AF17" s="68">
        <v>0.35</v>
      </c>
      <c r="AG17" s="68">
        <v>0.71718025599458235</v>
      </c>
      <c r="AH17" s="62">
        <v>402.36192296866204</v>
      </c>
      <c r="AI17" s="62">
        <v>675.92809392006006</v>
      </c>
      <c r="AJ17" s="62">
        <v>43</v>
      </c>
      <c r="AK17" s="62">
        <v>149</v>
      </c>
      <c r="AL17" s="68">
        <f t="shared" si="6"/>
        <v>0.28859060402684567</v>
      </c>
      <c r="AM17" s="68">
        <v>1.731498179788744E-2</v>
      </c>
      <c r="AN17" s="68">
        <v>-9.3324153610913216E-2</v>
      </c>
      <c r="AO17" s="68">
        <v>0.10634538291049182</v>
      </c>
      <c r="AP17" s="68">
        <v>4.6244330097512144E-2</v>
      </c>
      <c r="AR17" t="s">
        <v>132</v>
      </c>
      <c r="AS17" t="s">
        <v>338</v>
      </c>
      <c r="AT17" s="217">
        <v>280469.84000000003</v>
      </c>
      <c r="AU17" s="217">
        <v>700579.10263476521</v>
      </c>
      <c r="AV17" s="71">
        <v>0.40034000292786082</v>
      </c>
      <c r="AW17" s="217">
        <v>70447.831999999995</v>
      </c>
      <c r="AX17" s="217">
        <v>24116.239999999998</v>
      </c>
      <c r="AY17" s="217">
        <v>128573.65344562527</v>
      </c>
      <c r="AZ17" s="216">
        <v>0.18756750977912384</v>
      </c>
      <c r="BA17" s="217">
        <v>11245.432000000001</v>
      </c>
      <c r="BB17" s="217">
        <v>174031.872</v>
      </c>
      <c r="BC17" s="217">
        <v>659759.74148700002</v>
      </c>
      <c r="BD17" s="216">
        <v>0.2637806781113351</v>
      </c>
      <c r="BE17" s="217">
        <v>31464.928</v>
      </c>
      <c r="BF17" s="217">
        <v>67001.062390532563</v>
      </c>
      <c r="BG17" s="216">
        <v>0.46961834450622209</v>
      </c>
      <c r="BH17" s="216">
        <v>2553</v>
      </c>
      <c r="BI17" s="216">
        <v>76</v>
      </c>
      <c r="BJ17" s="216">
        <v>2556</v>
      </c>
      <c r="BK17" s="216">
        <v>0.99882629107981225</v>
      </c>
      <c r="BL17" s="216">
        <v>390</v>
      </c>
      <c r="BM17" s="216">
        <v>10</v>
      </c>
      <c r="BN17" s="216">
        <v>497.83325643003087</v>
      </c>
      <c r="BO17" s="216">
        <v>0.78339483142748512</v>
      </c>
      <c r="BP17" s="216">
        <v>2329</v>
      </c>
      <c r="BQ17" s="216">
        <v>8726</v>
      </c>
      <c r="BR17" s="279">
        <v>0.9122600861731297</v>
      </c>
      <c r="BS17" s="279">
        <v>3.4769027716673997</v>
      </c>
      <c r="BT17" s="71">
        <v>0.40500201694231547</v>
      </c>
      <c r="BU17" s="71">
        <v>0.79100000000000004</v>
      </c>
      <c r="BV17" s="71">
        <v>0.18205128205128204</v>
      </c>
      <c r="BW17" s="71">
        <v>0.62956190084943975</v>
      </c>
      <c r="BX17" s="217">
        <v>947.49743150684935</v>
      </c>
      <c r="BY17" s="217">
        <v>1605.4540251454307</v>
      </c>
      <c r="BZ17" s="217">
        <v>71</v>
      </c>
      <c r="CA17" s="217">
        <v>126.3</v>
      </c>
      <c r="CB17" s="71">
        <v>0.5621536025336501</v>
      </c>
      <c r="CC17" s="71">
        <v>5.0016773090935086E-2</v>
      </c>
      <c r="CD17" s="71">
        <v>0.62729717155438636</v>
      </c>
      <c r="CE17" s="71">
        <v>0.11878635711188949</v>
      </c>
      <c r="CF17" s="71">
        <v>-1.9657065816446391E-2</v>
      </c>
    </row>
    <row r="18" spans="1:84">
      <c r="A18" s="221">
        <v>15</v>
      </c>
      <c r="B18" s="97" t="s">
        <v>138</v>
      </c>
      <c r="C18" s="221" t="s">
        <v>341</v>
      </c>
      <c r="D18" s="220">
        <f>VLOOKUP($B$4:$B$30,'TOTAL POR UF'!$A$5:$B$31,2,)</f>
        <v>293633.62400000001</v>
      </c>
      <c r="E18" s="220">
        <v>691202.17533197242</v>
      </c>
      <c r="F18" s="219">
        <f t="shared" si="0"/>
        <v>0.42481582737926549</v>
      </c>
      <c r="G18" s="220">
        <f>VLOOKUP($B$4:$B$30,'TOTAL POR UF'!$A$5:$C$31,3,)</f>
        <v>61394.414000000004</v>
      </c>
      <c r="H18" s="220">
        <f>VLOOKUP($B$4:$B$30,'TOTAL POR UF'!$A$5:$D$31,4,)</f>
        <v>21537.968000000001</v>
      </c>
      <c r="I18" s="220">
        <v>94001.068632183975</v>
      </c>
      <c r="J18" s="219">
        <f t="shared" si="1"/>
        <v>0.22912471436123499</v>
      </c>
      <c r="K18" s="220">
        <f>VLOOKUP($B$4:$B$30,'TOTAL POR UF'!$A$5:$E$31,5,)</f>
        <v>7149.5760000000009</v>
      </c>
      <c r="L18" s="220">
        <f>VLOOKUP($B$4:$B$30,'TOTAL POR UF'!$A$5:$F$31,6,)</f>
        <v>185873.74400000001</v>
      </c>
      <c r="M18" s="220">
        <v>685872.95119199995</v>
      </c>
      <c r="N18" s="219">
        <f t="shared" si="2"/>
        <v>0.27100317001416113</v>
      </c>
      <c r="O18" s="220">
        <f>VLOOKUP($B$4:$B$30, 'TOTAL POR UF'!$A$5:$R$31,18,0)</f>
        <v>28134.762000000002</v>
      </c>
      <c r="P18" s="220">
        <v>66198.428782027026</v>
      </c>
      <c r="Q18" s="219">
        <f t="shared" si="3"/>
        <v>0.42500649211237224</v>
      </c>
      <c r="R18" s="62">
        <v>2311</v>
      </c>
      <c r="S18" s="62">
        <v>90</v>
      </c>
      <c r="T18" s="62">
        <v>2431</v>
      </c>
      <c r="U18" s="68">
        <f t="shared" si="4"/>
        <v>0.9506375976964212</v>
      </c>
      <c r="V18" s="62">
        <v>298</v>
      </c>
      <c r="W18" s="62">
        <v>5</v>
      </c>
      <c r="X18" s="62">
        <v>315</v>
      </c>
      <c r="Y18" s="68">
        <f t="shared" si="5"/>
        <v>0.946031746031746</v>
      </c>
      <c r="Z18" s="62">
        <v>2502</v>
      </c>
      <c r="AA18" s="62">
        <v>9071</v>
      </c>
      <c r="AB18" s="218">
        <f t="shared" si="7"/>
        <v>1.0826482042405885</v>
      </c>
      <c r="AC18" s="218">
        <v>3.8547486033519553</v>
      </c>
      <c r="AD18" s="68">
        <v>0.4607329842931937</v>
      </c>
      <c r="AE18" s="68">
        <f>1-0.166</f>
        <v>0.83399999999999996</v>
      </c>
      <c r="AF18" s="68">
        <v>0.21812080536912751</v>
      </c>
      <c r="AG18" s="68">
        <v>0.72827039974433805</v>
      </c>
      <c r="AH18" s="62">
        <v>602.04525942953649</v>
      </c>
      <c r="AI18" s="62">
        <v>1706.2941100581722</v>
      </c>
      <c r="AJ18" s="62">
        <v>93</v>
      </c>
      <c r="AK18" s="62">
        <v>210</v>
      </c>
      <c r="AL18" s="68">
        <f t="shared" si="6"/>
        <v>0.44285714285714284</v>
      </c>
      <c r="AM18" s="68">
        <v>-1.3241799569627375E-2</v>
      </c>
      <c r="AN18" s="68">
        <v>0.23238699903840682</v>
      </c>
      <c r="AO18" s="68">
        <v>2.7736687077595263E-2</v>
      </c>
      <c r="AP18" s="68">
        <v>-0.32528145605949149</v>
      </c>
      <c r="AR18" t="s">
        <v>133</v>
      </c>
      <c r="AS18" t="s">
        <v>341</v>
      </c>
      <c r="AT18" s="217">
        <v>288798.68</v>
      </c>
      <c r="AU18" s="217">
        <v>599742.61711316369</v>
      </c>
      <c r="AV18" s="71">
        <v>0.48153769927193185</v>
      </c>
      <c r="AW18" s="217">
        <v>56843.207999999999</v>
      </c>
      <c r="AX18" s="217">
        <v>29329.376000000004</v>
      </c>
      <c r="AY18" s="217">
        <v>142824.32725102155</v>
      </c>
      <c r="AZ18" s="216">
        <v>0.2053528034369945</v>
      </c>
      <c r="BA18" s="217">
        <v>8589.4160000000011</v>
      </c>
      <c r="BB18" s="217">
        <v>224551.47200000001</v>
      </c>
      <c r="BC18" s="217">
        <v>775551.93210000009</v>
      </c>
      <c r="BD18" s="216">
        <v>0.28953763469065308</v>
      </c>
      <c r="BE18" s="217">
        <v>24756.072000000004</v>
      </c>
      <c r="BF18" s="217">
        <v>68315.349440888342</v>
      </c>
      <c r="BG18" s="216">
        <v>0.3623793510918194</v>
      </c>
      <c r="BH18" s="216">
        <v>2181</v>
      </c>
      <c r="BI18" s="216">
        <v>110</v>
      </c>
      <c r="BJ18" s="216">
        <v>2143</v>
      </c>
      <c r="BK18" s="216">
        <v>1.0177321511899207</v>
      </c>
      <c r="BL18" s="216">
        <v>466</v>
      </c>
      <c r="BM18" s="216">
        <v>19</v>
      </c>
      <c r="BN18" s="216">
        <v>505</v>
      </c>
      <c r="BO18" s="216">
        <v>0.92277227722772281</v>
      </c>
      <c r="BP18" s="216">
        <v>3031</v>
      </c>
      <c r="BQ18" s="216">
        <v>10258</v>
      </c>
      <c r="BR18" s="279">
        <v>1.3897294818890418</v>
      </c>
      <c r="BS18" s="279">
        <v>5.0427163198247538</v>
      </c>
      <c r="BT18" s="71">
        <v>0.47083333333333333</v>
      </c>
      <c r="BU18" s="71">
        <v>0.81699999999999995</v>
      </c>
      <c r="BV18" s="71">
        <v>0.18884120171673821</v>
      </c>
      <c r="BW18" s="71">
        <v>0.69022533609908765</v>
      </c>
      <c r="BX18" s="217">
        <v>738.82834490523555</v>
      </c>
      <c r="BY18" s="217">
        <v>1441.7136892475137</v>
      </c>
      <c r="BZ18" s="217">
        <v>110</v>
      </c>
      <c r="CA18" s="217">
        <v>183</v>
      </c>
      <c r="CB18" s="71">
        <v>0.60109289617486339</v>
      </c>
      <c r="CC18" s="71">
        <v>3.2686346103900379E-2</v>
      </c>
      <c r="CD18" s="71">
        <v>-0.11025059632942273</v>
      </c>
      <c r="CE18" s="71">
        <v>9.6200799432937745E-2</v>
      </c>
      <c r="CF18" s="71">
        <v>-8.8182808428560688E-2</v>
      </c>
    </row>
    <row r="19" spans="1:84">
      <c r="A19" s="221">
        <v>16</v>
      </c>
      <c r="B19" s="97" t="s">
        <v>144</v>
      </c>
      <c r="C19" s="221" t="s">
        <v>341</v>
      </c>
      <c r="D19" s="220">
        <f>VLOOKUP($B$4:$B$30,'TOTAL POR UF'!$A$5:$B$31,2,)</f>
        <v>170012.89600000004</v>
      </c>
      <c r="E19" s="220">
        <v>386427.15226237202</v>
      </c>
      <c r="F19" s="219">
        <f t="shared" si="0"/>
        <v>0.4399610508853854</v>
      </c>
      <c r="G19" s="220">
        <f>VLOOKUP($B$4:$B$30,'TOTAL POR UF'!$A$5:$C$31,3,)</f>
        <v>41925.928000000007</v>
      </c>
      <c r="H19" s="220">
        <f>VLOOKUP($B$4:$B$30,'TOTAL POR UF'!$A$5:$D$31,4,)</f>
        <v>19886.888000000003</v>
      </c>
      <c r="I19" s="220">
        <v>57583.313459937141</v>
      </c>
      <c r="J19" s="219">
        <f t="shared" si="1"/>
        <v>0.34535852150703439</v>
      </c>
      <c r="K19" s="220">
        <f>VLOOKUP($B$4:$B$30,'TOTAL POR UF'!$A$5:$E$31,5,)</f>
        <v>2669.52</v>
      </c>
      <c r="L19" s="220">
        <f>VLOOKUP($B$4:$B$30,'TOTAL POR UF'!$A$5:$F$31,6,)</f>
        <v>157189.45600000001</v>
      </c>
      <c r="M19" s="220">
        <v>519542.29602000007</v>
      </c>
      <c r="N19" s="219">
        <f t="shared" si="2"/>
        <v>0.3025537231601042</v>
      </c>
      <c r="O19" s="220">
        <f>VLOOKUP($B$4:$B$30, 'TOTAL POR UF'!$A$5:$R$31,18,0)</f>
        <v>16596.432000000001</v>
      </c>
      <c r="P19" s="220">
        <v>43359.874278403906</v>
      </c>
      <c r="Q19" s="219">
        <f t="shared" si="3"/>
        <v>0.38276015039707173</v>
      </c>
      <c r="R19" s="62">
        <v>1262</v>
      </c>
      <c r="S19" s="62">
        <v>52</v>
      </c>
      <c r="T19" s="62">
        <v>1342</v>
      </c>
      <c r="U19" s="68">
        <f t="shared" si="4"/>
        <v>0.94038748137108796</v>
      </c>
      <c r="V19" s="62">
        <v>154</v>
      </c>
      <c r="W19" s="62">
        <v>6</v>
      </c>
      <c r="X19" s="62">
        <v>195</v>
      </c>
      <c r="Y19" s="68">
        <f t="shared" si="5"/>
        <v>0.78974358974358971</v>
      </c>
      <c r="Z19" s="62">
        <v>2123</v>
      </c>
      <c r="AA19" s="62">
        <v>6872</v>
      </c>
      <c r="AB19" s="218">
        <f t="shared" si="7"/>
        <v>1.6822503961965134</v>
      </c>
      <c r="AC19" s="218">
        <v>5.4</v>
      </c>
      <c r="AD19" s="68">
        <v>0.48953301127214172</v>
      </c>
      <c r="AE19" s="68">
        <f>1-0.153</f>
        <v>0.84699999999999998</v>
      </c>
      <c r="AF19" s="68">
        <v>0.37662337662337664</v>
      </c>
      <c r="AG19" s="68">
        <v>0.72023398267347871</v>
      </c>
      <c r="AH19" s="62">
        <v>488.22575764683808</v>
      </c>
      <c r="AI19" s="62">
        <v>774.77134546819286</v>
      </c>
      <c r="AJ19" s="62">
        <v>62</v>
      </c>
      <c r="AK19" s="62">
        <v>139</v>
      </c>
      <c r="AL19" s="68">
        <f t="shared" si="6"/>
        <v>0.4460431654676259</v>
      </c>
      <c r="AM19" s="68">
        <v>0.14571971734460945</v>
      </c>
      <c r="AN19" s="68">
        <v>2.5750435922407604E-2</v>
      </c>
      <c r="AO19" s="68">
        <v>-4.5701946655774608E-2</v>
      </c>
      <c r="AP19" s="68">
        <v>-5.38851835526701E-2</v>
      </c>
      <c r="AR19" t="s">
        <v>135</v>
      </c>
      <c r="AS19" t="s">
        <v>341</v>
      </c>
      <c r="AT19" s="217">
        <v>648099.57600000012</v>
      </c>
      <c r="AU19" s="217">
        <v>1339205.9448397537</v>
      </c>
      <c r="AV19" s="71">
        <v>0.48394317430957212</v>
      </c>
      <c r="AW19" s="217">
        <v>133308</v>
      </c>
      <c r="AX19" s="217">
        <v>79757.392000000022</v>
      </c>
      <c r="AY19" s="217">
        <v>203198.35368017503</v>
      </c>
      <c r="AZ19" s="216">
        <v>0.39251003049726735</v>
      </c>
      <c r="BA19" s="217">
        <v>16284.056</v>
      </c>
      <c r="BB19" s="217">
        <v>420855.24800000002</v>
      </c>
      <c r="BC19" s="217">
        <v>1251392.64228</v>
      </c>
      <c r="BD19" s="216">
        <v>0.33630951132429093</v>
      </c>
      <c r="BE19" s="217">
        <v>61881.528000000006</v>
      </c>
      <c r="BF19" s="217">
        <v>125720.86233599678</v>
      </c>
      <c r="BG19" s="216">
        <v>0.49221367758851192</v>
      </c>
      <c r="BH19" s="216">
        <v>4474</v>
      </c>
      <c r="BI19" s="216">
        <v>75</v>
      </c>
      <c r="BJ19" s="216">
        <v>4776</v>
      </c>
      <c r="BK19" s="216">
        <v>0.93676716917922953</v>
      </c>
      <c r="BL19" s="216">
        <v>617</v>
      </c>
      <c r="BM19" s="216">
        <v>43</v>
      </c>
      <c r="BN19" s="216">
        <v>706</v>
      </c>
      <c r="BO19" s="216">
        <v>0.87393767705382441</v>
      </c>
      <c r="BP19" s="216">
        <v>5529</v>
      </c>
      <c r="BQ19" s="216">
        <v>16551</v>
      </c>
      <c r="BR19" s="279">
        <v>1.2358068842199375</v>
      </c>
      <c r="BS19" s="279">
        <v>3.5909528392685273</v>
      </c>
      <c r="BT19" s="71">
        <v>0.55602536997885832</v>
      </c>
      <c r="BU19" s="71">
        <v>0.85</v>
      </c>
      <c r="BV19" s="71">
        <v>0.39059967585089139</v>
      </c>
      <c r="BW19" s="71">
        <v>0.70225336772684666</v>
      </c>
      <c r="BX19" s="217">
        <v>1422.7437722837306</v>
      </c>
      <c r="BY19" s="217">
        <v>3041.1772142991181</v>
      </c>
      <c r="BZ19" s="217">
        <v>158</v>
      </c>
      <c r="CA19" s="217">
        <v>357</v>
      </c>
      <c r="CB19" s="71">
        <v>0.44257703081232491</v>
      </c>
      <c r="CC19" s="71">
        <v>0.14762874969959114</v>
      </c>
      <c r="CD19" s="71">
        <v>0.39769860548048486</v>
      </c>
      <c r="CE19" s="71">
        <v>9.1782942197059472E-2</v>
      </c>
      <c r="CF19" s="71">
        <v>0.39071314224729375</v>
      </c>
    </row>
    <row r="20" spans="1:84">
      <c r="A20" s="221">
        <v>17</v>
      </c>
      <c r="B20" s="97" t="s">
        <v>125</v>
      </c>
      <c r="C20" s="221" t="s">
        <v>342</v>
      </c>
      <c r="D20" s="220">
        <f>VLOOKUP($B$4:$B$30,'TOTAL POR UF'!$A$5:$B$31,2,)</f>
        <v>796306.70400000014</v>
      </c>
      <c r="E20" s="220">
        <v>1544907.3915867512</v>
      </c>
      <c r="F20" s="219">
        <f t="shared" si="0"/>
        <v>0.51543976573387063</v>
      </c>
      <c r="G20" s="220">
        <f>VLOOKUP($B$4:$B$30,'TOTAL POR UF'!$A$5:$C$31,3,)</f>
        <v>124401.07200000001</v>
      </c>
      <c r="H20" s="220">
        <f>VLOOKUP($B$4:$B$30,'TOTAL POR UF'!$A$5:$D$31,4,)</f>
        <v>72703.040000000008</v>
      </c>
      <c r="I20" s="220">
        <v>239875.31672358169</v>
      </c>
      <c r="J20" s="219">
        <f t="shared" si="1"/>
        <v>0.30308679105895148</v>
      </c>
      <c r="K20" s="220">
        <f>VLOOKUP($B$4:$B$30,'TOTAL POR UF'!$A$5:$E$31,5,)</f>
        <v>22435.864000000001</v>
      </c>
      <c r="L20" s="220">
        <f>VLOOKUP($B$4:$B$30,'TOTAL POR UF'!$A$5:$F$31,6,)</f>
        <v>351396.68800000008</v>
      </c>
      <c r="M20" s="220">
        <v>1324509.6294539999</v>
      </c>
      <c r="N20" s="219">
        <f t="shared" si="2"/>
        <v>0.26530323388049332</v>
      </c>
      <c r="O20" s="220">
        <f>VLOOKUP($B$4:$B$30, 'TOTAL POR UF'!$A$5:$R$31,18,0)</f>
        <v>55057.412000000011</v>
      </c>
      <c r="P20" s="220">
        <v>139918.155199395</v>
      </c>
      <c r="Q20" s="219">
        <f t="shared" si="3"/>
        <v>0.39349726932533252</v>
      </c>
      <c r="R20" s="62">
        <v>5440</v>
      </c>
      <c r="S20" s="62">
        <v>195</v>
      </c>
      <c r="T20" s="62">
        <v>5501</v>
      </c>
      <c r="U20" s="68">
        <f t="shared" si="4"/>
        <v>0.98891110707144159</v>
      </c>
      <c r="V20" s="62">
        <v>716</v>
      </c>
      <c r="W20" s="62">
        <v>11</v>
      </c>
      <c r="X20" s="62">
        <v>875</v>
      </c>
      <c r="Y20" s="68">
        <f t="shared" si="5"/>
        <v>0.81828571428571428</v>
      </c>
      <c r="Z20" s="62">
        <v>4864</v>
      </c>
      <c r="AA20" s="62">
        <v>17518</v>
      </c>
      <c r="AB20" s="218">
        <f t="shared" si="7"/>
        <v>0.89411764705882357</v>
      </c>
      <c r="AC20" s="218">
        <v>3.3358066567733728</v>
      </c>
      <c r="AD20" s="68">
        <v>0.51001926782273599</v>
      </c>
      <c r="AE20" s="68">
        <f>1-0.149</f>
        <v>0.85099999999999998</v>
      </c>
      <c r="AF20" s="68">
        <v>0.29748603351955305</v>
      </c>
      <c r="AG20" s="68">
        <v>0.66900606199546786</v>
      </c>
      <c r="AH20" s="62">
        <v>2000.8270313379621</v>
      </c>
      <c r="AI20" s="62">
        <v>3456.5185541377368</v>
      </c>
      <c r="AJ20" s="62">
        <v>156</v>
      </c>
      <c r="AK20" s="62">
        <v>385</v>
      </c>
      <c r="AL20" s="68">
        <f t="shared" si="6"/>
        <v>0.40519480519480522</v>
      </c>
      <c r="AM20" s="68">
        <v>-1.4416345522042349E-2</v>
      </c>
      <c r="AN20" s="68">
        <v>0.2680380490435425</v>
      </c>
      <c r="AO20" s="68">
        <v>2.5315936839476479E-2</v>
      </c>
      <c r="AP20" s="68">
        <v>-0.30743571264793529</v>
      </c>
      <c r="AR20" t="s">
        <v>136</v>
      </c>
      <c r="AS20" t="s">
        <v>341</v>
      </c>
      <c r="AT20" s="217">
        <v>148691.54400000002</v>
      </c>
      <c r="AU20" s="217">
        <v>306550.54466266575</v>
      </c>
      <c r="AV20" s="71">
        <v>0.48504739785611251</v>
      </c>
      <c r="AW20" s="217">
        <v>16559.36</v>
      </c>
      <c r="AX20" s="217">
        <v>21149.52</v>
      </c>
      <c r="AY20" s="217">
        <v>67077.713027582504</v>
      </c>
      <c r="AZ20" s="216">
        <v>0.31529876385772532</v>
      </c>
      <c r="BA20" s="217">
        <v>1501.6000000000001</v>
      </c>
      <c r="BB20" s="217">
        <v>100649.072</v>
      </c>
      <c r="BC20" s="217">
        <v>414390.08061000006</v>
      </c>
      <c r="BD20" s="216">
        <v>0.2428848486234039</v>
      </c>
      <c r="BE20" s="217">
        <v>18560.545999999998</v>
      </c>
      <c r="BF20" s="217">
        <v>35460.825223511165</v>
      </c>
      <c r="BG20" s="216">
        <v>0.52340987224668489</v>
      </c>
      <c r="BH20" s="216">
        <v>1075</v>
      </c>
      <c r="BI20" s="216">
        <v>81</v>
      </c>
      <c r="BJ20" s="216">
        <v>1071</v>
      </c>
      <c r="BK20" s="216">
        <v>1.003734827264239</v>
      </c>
      <c r="BL20" s="216">
        <v>200</v>
      </c>
      <c r="BM20" s="216">
        <v>6</v>
      </c>
      <c r="BN20" s="216">
        <v>228</v>
      </c>
      <c r="BO20" s="216">
        <v>0.8771929824561403</v>
      </c>
      <c r="BP20" s="216">
        <v>1441</v>
      </c>
      <c r="BQ20" s="216">
        <v>5481</v>
      </c>
      <c r="BR20" s="279">
        <v>1.3404651162790697</v>
      </c>
      <c r="BS20" s="279">
        <v>5.5415676959619953</v>
      </c>
      <c r="BT20" s="71">
        <v>0.50523311132255</v>
      </c>
      <c r="BU20" s="71">
        <v>0.875</v>
      </c>
      <c r="BV20" s="71">
        <v>0.35</v>
      </c>
      <c r="BW20" s="71">
        <v>0.71718025599458235</v>
      </c>
      <c r="BX20" s="217">
        <v>402.36192296866204</v>
      </c>
      <c r="BY20" s="217">
        <v>675.92809392006006</v>
      </c>
      <c r="BZ20" s="217">
        <v>43</v>
      </c>
      <c r="CA20" s="217">
        <v>149</v>
      </c>
      <c r="CB20" s="71">
        <v>0.28859060402684567</v>
      </c>
      <c r="CC20" s="71">
        <v>1.731498179788744E-2</v>
      </c>
      <c r="CD20" s="71">
        <v>-9.3324153610913216E-2</v>
      </c>
      <c r="CE20" s="71">
        <v>0.10634538291049182</v>
      </c>
      <c r="CF20" s="71">
        <v>4.6244330097512144E-2</v>
      </c>
    </row>
    <row r="21" spans="1:84">
      <c r="A21" s="221">
        <v>18</v>
      </c>
      <c r="B21" s="97" t="s">
        <v>127</v>
      </c>
      <c r="C21" s="221" t="s">
        <v>342</v>
      </c>
      <c r="D21" s="220">
        <f>VLOOKUP($B$4:$B$30,'TOTAL POR UF'!$A$5:$B$31,2,)</f>
        <v>534076.53600000008</v>
      </c>
      <c r="E21" s="220">
        <v>1108317.096401409</v>
      </c>
      <c r="F21" s="219">
        <f t="shared" si="0"/>
        <v>0.481880625801128</v>
      </c>
      <c r="G21" s="220">
        <f>VLOOKUP($B$4:$B$30,'TOTAL POR UF'!$A$5:$C$31,3,)</f>
        <v>98818.312000000005</v>
      </c>
      <c r="H21" s="220">
        <f>VLOOKUP($B$4:$B$30,'TOTAL POR UF'!$A$5:$D$31,4,)</f>
        <v>64425.472000000002</v>
      </c>
      <c r="I21" s="220">
        <v>176536.80288894381</v>
      </c>
      <c r="J21" s="219">
        <f t="shared" si="1"/>
        <v>0.36494074292559231</v>
      </c>
      <c r="K21" s="220">
        <f>VLOOKUP($B$4:$B$30,'TOTAL POR UF'!$A$5:$E$31,5,)</f>
        <v>12989.720000000001</v>
      </c>
      <c r="L21" s="220">
        <f>VLOOKUP($B$4:$B$30,'TOTAL POR UF'!$A$5:$F$31,6,)</f>
        <v>657431.152</v>
      </c>
      <c r="M21" s="220">
        <v>2162708.7232701755</v>
      </c>
      <c r="N21" s="219">
        <f t="shared" si="2"/>
        <v>0.3039850650835289</v>
      </c>
      <c r="O21" s="220">
        <f>VLOOKUP($B$4:$B$30, 'TOTAL POR UF'!$A$5:$R$31,18,0)</f>
        <v>72784.744000000006</v>
      </c>
      <c r="P21" s="220">
        <v>120664.69178961852</v>
      </c>
      <c r="Q21" s="219">
        <f t="shared" si="3"/>
        <v>0.6031983583640339</v>
      </c>
      <c r="R21" s="62">
        <v>3954</v>
      </c>
      <c r="S21" s="62">
        <v>127</v>
      </c>
      <c r="T21" s="62">
        <v>4158</v>
      </c>
      <c r="U21" s="68">
        <f t="shared" si="4"/>
        <v>0.95093795093795097</v>
      </c>
      <c r="V21" s="62">
        <v>728</v>
      </c>
      <c r="W21" s="62">
        <v>33</v>
      </c>
      <c r="X21" s="62">
        <v>702</v>
      </c>
      <c r="Y21" s="68">
        <f t="shared" si="5"/>
        <v>1.037037037037037</v>
      </c>
      <c r="Z21" s="62">
        <v>8699</v>
      </c>
      <c r="AA21" s="62">
        <v>28604</v>
      </c>
      <c r="AB21" s="218">
        <f t="shared" si="7"/>
        <v>2.2000505816894282</v>
      </c>
      <c r="AC21" s="218">
        <v>7.6764072593048294</v>
      </c>
      <c r="AD21" s="68">
        <v>0.48092395535946014</v>
      </c>
      <c r="AE21" s="68">
        <f>1-0.195</f>
        <v>0.80499999999999994</v>
      </c>
      <c r="AF21" s="68">
        <v>0.25961538461538464</v>
      </c>
      <c r="AG21" s="68">
        <v>0.61396450470977937</v>
      </c>
      <c r="AH21" s="62">
        <v>1278.9717700319009</v>
      </c>
      <c r="AI21" s="62">
        <v>2680.7487919872397</v>
      </c>
      <c r="AJ21" s="62">
        <v>120</v>
      </c>
      <c r="AK21" s="62">
        <v>461.9</v>
      </c>
      <c r="AL21" s="68">
        <f t="shared" si="6"/>
        <v>0.25979649274734795</v>
      </c>
      <c r="AM21" s="68">
        <v>0.11414780659673113</v>
      </c>
      <c r="AN21" s="68">
        <v>0.11124407696820697</v>
      </c>
      <c r="AO21" s="68">
        <v>0.12064784626599206</v>
      </c>
      <c r="AP21" s="68">
        <v>0.92974550972344872</v>
      </c>
      <c r="AR21" t="s">
        <v>134</v>
      </c>
      <c r="AS21" t="s">
        <v>339</v>
      </c>
      <c r="AT21" s="217">
        <v>1786485.4080000001</v>
      </c>
      <c r="AU21" s="217">
        <v>3259270.0843493436</v>
      </c>
      <c r="AV21" s="71">
        <v>0.54812438422286835</v>
      </c>
      <c r="AW21" s="217">
        <v>215979.24000000002</v>
      </c>
      <c r="AX21" s="217">
        <v>302427.26400000008</v>
      </c>
      <c r="AY21" s="217">
        <v>860080.09900579508</v>
      </c>
      <c r="AZ21" s="216">
        <v>0.35162685934669252</v>
      </c>
      <c r="BA21" s="217">
        <v>62118</v>
      </c>
      <c r="BB21" s="217">
        <v>1827771.2319999998</v>
      </c>
      <c r="BC21" s="217">
        <v>5665056.3482713932</v>
      </c>
      <c r="BD21" s="216">
        <v>0.32263955018871376</v>
      </c>
      <c r="BE21" s="217">
        <v>104281.56000000001</v>
      </c>
      <c r="BF21" s="217">
        <v>440298.29392319388</v>
      </c>
      <c r="BG21" s="216">
        <v>0.23684297995074904</v>
      </c>
      <c r="BH21" s="216">
        <v>11189</v>
      </c>
      <c r="BI21" s="216">
        <v>507</v>
      </c>
      <c r="BJ21" s="216">
        <v>11358</v>
      </c>
      <c r="BK21" s="216">
        <v>0.98512061982743437</v>
      </c>
      <c r="BL21" s="216">
        <v>2690</v>
      </c>
      <c r="BM21" s="216">
        <v>118</v>
      </c>
      <c r="BN21" s="216">
        <v>2940</v>
      </c>
      <c r="BO21" s="216">
        <v>0.91496598639455784</v>
      </c>
      <c r="BP21" s="216">
        <v>24832</v>
      </c>
      <c r="BQ21" s="216">
        <v>74926</v>
      </c>
      <c r="BR21" s="279">
        <v>2.219322548931987</v>
      </c>
      <c r="BS21" s="279">
        <v>8.4545748813120412</v>
      </c>
      <c r="BT21" s="71">
        <v>0.55607136355361364</v>
      </c>
      <c r="BU21" s="71">
        <v>0.86099999999999999</v>
      </c>
      <c r="BV21" s="71">
        <v>0.33940520446096656</v>
      </c>
      <c r="BW21" s="71">
        <v>0.71376906783266447</v>
      </c>
      <c r="BX21" s="217">
        <v>3876.8519773878775</v>
      </c>
      <c r="BY21" s="217">
        <v>7319.3926979733533</v>
      </c>
      <c r="BZ21" s="217">
        <v>511</v>
      </c>
      <c r="CA21" s="217">
        <v>1001.25</v>
      </c>
      <c r="CB21" s="71">
        <v>0.51036204744069913</v>
      </c>
      <c r="CC21" s="71">
        <v>0.10349731922897859</v>
      </c>
      <c r="CD21" s="71">
        <v>0.26391697629770022</v>
      </c>
      <c r="CE21" s="71">
        <v>8.6846730792306912E-2</v>
      </c>
      <c r="CF21" s="71">
        <v>-0.19813677702650423</v>
      </c>
    </row>
    <row r="22" spans="1:84">
      <c r="A22" s="221">
        <v>19</v>
      </c>
      <c r="B22" s="97" t="s">
        <v>130</v>
      </c>
      <c r="C22" s="221" t="s">
        <v>342</v>
      </c>
      <c r="D22" s="220">
        <f>VLOOKUP($B$4:$B$30,'TOTAL POR UF'!$A$5:$B$31,2,)</f>
        <v>373195.21600000001</v>
      </c>
      <c r="E22" s="220">
        <v>850068.70047072589</v>
      </c>
      <c r="F22" s="219">
        <f t="shared" si="0"/>
        <v>0.43901771209002638</v>
      </c>
      <c r="G22" s="220">
        <f>VLOOKUP($B$4:$B$30,'TOTAL POR UF'!$A$5:$C$31,3,)</f>
        <v>60863.672000000006</v>
      </c>
      <c r="H22" s="220">
        <f>VLOOKUP($B$4:$B$30,'TOTAL POR UF'!$A$5:$D$31,4,)</f>
        <v>59265.328000000001</v>
      </c>
      <c r="I22" s="220">
        <v>210090.53830561569</v>
      </c>
      <c r="J22" s="219">
        <f t="shared" si="1"/>
        <v>0.28209422698411851</v>
      </c>
      <c r="K22" s="220">
        <f>VLOOKUP($B$4:$B$30,'TOTAL POR UF'!$A$5:$E$31,5,)</f>
        <v>9390.8320000000003</v>
      </c>
      <c r="L22" s="220">
        <f>VLOOKUP($B$4:$B$30,'TOTAL POR UF'!$A$5:$F$31,6,)</f>
        <v>546003.47200000007</v>
      </c>
      <c r="M22" s="220">
        <v>1817471.83464</v>
      </c>
      <c r="N22" s="219">
        <f t="shared" si="2"/>
        <v>0.30041922058624415</v>
      </c>
      <c r="O22" s="220">
        <f>VLOOKUP($B$4:$B$30, 'TOTAL POR UF'!$A$5:$R$31,18,0)</f>
        <v>33873.360000000001</v>
      </c>
      <c r="P22" s="220">
        <v>129493.39830373538</v>
      </c>
      <c r="Q22" s="219">
        <f t="shared" si="3"/>
        <v>0.26158368259475112</v>
      </c>
      <c r="R22" s="62">
        <v>2803</v>
      </c>
      <c r="S22" s="62">
        <v>101</v>
      </c>
      <c r="T22" s="62">
        <v>2974</v>
      </c>
      <c r="U22" s="68">
        <f t="shared" si="4"/>
        <v>0.94250168123739075</v>
      </c>
      <c r="V22" s="62">
        <v>663</v>
      </c>
      <c r="W22" s="62">
        <v>22</v>
      </c>
      <c r="X22" s="62">
        <v>757</v>
      </c>
      <c r="Y22" s="68">
        <f t="shared" si="5"/>
        <v>0.87582562747688242</v>
      </c>
      <c r="Z22" s="62">
        <v>7269</v>
      </c>
      <c r="AA22" s="62">
        <v>24038</v>
      </c>
      <c r="AB22" s="218">
        <f t="shared" si="7"/>
        <v>2.5932929004637888</v>
      </c>
      <c r="AC22" s="218">
        <v>8.5159467097295121</v>
      </c>
      <c r="AD22" s="68">
        <v>0.46813107670147641</v>
      </c>
      <c r="AE22" s="68">
        <f>1-0.16</f>
        <v>0.84</v>
      </c>
      <c r="AF22" s="68">
        <v>0.26395173453996984</v>
      </c>
      <c r="AG22" s="68">
        <v>0.67706597741946484</v>
      </c>
      <c r="AH22" s="62">
        <v>1115.2314341339838</v>
      </c>
      <c r="AI22" s="62">
        <v>1687.3241930943891</v>
      </c>
      <c r="AJ22" s="62">
        <v>100</v>
      </c>
      <c r="AK22" s="62">
        <v>292</v>
      </c>
      <c r="AL22" s="68">
        <f t="shared" si="6"/>
        <v>0.34246575342465752</v>
      </c>
      <c r="AM22" s="68">
        <v>-5.972893938547514E-3</v>
      </c>
      <c r="AN22" s="68">
        <v>7.3655712868450532E-2</v>
      </c>
      <c r="AO22" s="68">
        <v>0.14419936939508277</v>
      </c>
      <c r="AP22" s="68">
        <v>-0.33522565564839057</v>
      </c>
      <c r="AR22" t="s">
        <v>137</v>
      </c>
      <c r="AS22" t="s">
        <v>340</v>
      </c>
      <c r="AT22" s="217">
        <v>2530541.3199999998</v>
      </c>
      <c r="AU22" s="217">
        <v>4784373.2206191225</v>
      </c>
      <c r="AV22" s="71">
        <v>0.52891804282621058</v>
      </c>
      <c r="AW22" s="217">
        <v>322863.57800000004</v>
      </c>
      <c r="AX22" s="217">
        <v>363129.60800000007</v>
      </c>
      <c r="AY22" s="217">
        <v>1031647.8224520484</v>
      </c>
      <c r="AZ22" s="216">
        <v>0.35198989431965627</v>
      </c>
      <c r="BA22" s="217">
        <v>56500.298000000003</v>
      </c>
      <c r="BB22" s="217">
        <v>1418394.9920000001</v>
      </c>
      <c r="BC22" s="217">
        <v>4384074.2879340006</v>
      </c>
      <c r="BD22" s="216">
        <v>0.32353352129633284</v>
      </c>
      <c r="BE22" s="217">
        <v>191373.63200000001</v>
      </c>
      <c r="BF22" s="217">
        <v>459004.28989523271</v>
      </c>
      <c r="BG22" s="216">
        <v>0.41693212070780616</v>
      </c>
      <c r="BH22" s="216">
        <v>19437</v>
      </c>
      <c r="BI22" s="216">
        <v>80</v>
      </c>
      <c r="BJ22" s="216">
        <v>20377</v>
      </c>
      <c r="BK22" s="216">
        <v>0.95386955881631252</v>
      </c>
      <c r="BL22" s="216">
        <v>3143</v>
      </c>
      <c r="BM22" s="216">
        <v>65</v>
      </c>
      <c r="BN22" s="216">
        <v>3685</v>
      </c>
      <c r="BO22" s="216">
        <v>0.85291723202170966</v>
      </c>
      <c r="BP22" s="216">
        <v>18687</v>
      </c>
      <c r="BQ22" s="216">
        <v>57984</v>
      </c>
      <c r="BR22" s="279">
        <v>0.96141379842568297</v>
      </c>
      <c r="BS22" s="279">
        <v>2.8998815165876777</v>
      </c>
      <c r="BT22" s="71">
        <v>0.50576220903696945</v>
      </c>
      <c r="BU22" s="71">
        <v>0.8</v>
      </c>
      <c r="BV22" s="71">
        <v>0.32771237671014952</v>
      </c>
      <c r="BW22" s="71">
        <v>0.68315040336563515</v>
      </c>
      <c r="BX22" s="217">
        <v>8196.002545036592</v>
      </c>
      <c r="BY22" s="217">
        <v>11232.187675924188</v>
      </c>
      <c r="BZ22" s="217">
        <v>221</v>
      </c>
      <c r="CA22" s="217">
        <v>765</v>
      </c>
      <c r="CB22" s="71">
        <v>0.28888888888888886</v>
      </c>
      <c r="CC22" s="71">
        <v>-1.5058521905769453E-2</v>
      </c>
      <c r="CD22" s="71">
        <v>8.9660635319791029E-3</v>
      </c>
      <c r="CE22" s="71">
        <v>0.19260099122779351</v>
      </c>
      <c r="CF22" s="71">
        <v>-0.20377217350685398</v>
      </c>
    </row>
    <row r="23" spans="1:84">
      <c r="A23" s="221">
        <v>20</v>
      </c>
      <c r="B23" s="97" t="s">
        <v>129</v>
      </c>
      <c r="C23" s="221" t="s">
        <v>342</v>
      </c>
      <c r="D23" s="220">
        <f>VLOOKUP($B$4:$B$30,'TOTAL POR UF'!$A$5:$B$31,2,)</f>
        <v>368076.12800000003</v>
      </c>
      <c r="E23" s="220">
        <v>807120.33194208215</v>
      </c>
      <c r="F23" s="219">
        <f t="shared" si="0"/>
        <v>0.45603624816926636</v>
      </c>
      <c r="G23" s="220">
        <f>VLOOKUP($B$4:$B$30,'TOTAL POR UF'!$A$5:$C$31,3,)</f>
        <v>60100.625999999997</v>
      </c>
      <c r="H23" s="220">
        <f>VLOOKUP($B$4:$B$30,'TOTAL POR UF'!$A$5:$D$31,4,)</f>
        <v>42181.792000000001</v>
      </c>
      <c r="I23" s="220">
        <v>168218.29165184795</v>
      </c>
      <c r="J23" s="219">
        <f t="shared" si="1"/>
        <v>0.25075627380226467</v>
      </c>
      <c r="K23" s="220">
        <f>VLOOKUP($B$4:$B$30,'TOTAL POR UF'!$A$5:$E$31,5,)</f>
        <v>4750.808</v>
      </c>
      <c r="L23" s="220">
        <f>VLOOKUP($B$4:$B$30,'TOTAL POR UF'!$A$5:$F$31,6,)</f>
        <v>649259.3600000001</v>
      </c>
      <c r="M23" s="220">
        <v>1974113.2887300001</v>
      </c>
      <c r="N23" s="219">
        <f t="shared" si="2"/>
        <v>0.32888657591565373</v>
      </c>
      <c r="O23" s="220">
        <f>VLOOKUP($B$4:$B$30, 'TOTAL POR UF'!$A$5:$R$31,18,0)</f>
        <v>27619.556000000008</v>
      </c>
      <c r="P23" s="220">
        <v>132725.33605457685</v>
      </c>
      <c r="Q23" s="219">
        <f t="shared" si="3"/>
        <v>0.20809558160502833</v>
      </c>
      <c r="R23" s="62">
        <v>2633</v>
      </c>
      <c r="S23" s="62">
        <v>74</v>
      </c>
      <c r="T23" s="62">
        <v>2799</v>
      </c>
      <c r="U23" s="68">
        <f t="shared" si="4"/>
        <v>0.94069310468024292</v>
      </c>
      <c r="V23" s="62">
        <v>492</v>
      </c>
      <c r="W23" s="62">
        <v>10</v>
      </c>
      <c r="X23" s="62">
        <v>635</v>
      </c>
      <c r="Y23" s="68">
        <f t="shared" si="5"/>
        <v>0.77480314960629926</v>
      </c>
      <c r="Z23" s="62">
        <v>8469</v>
      </c>
      <c r="AA23" s="62">
        <v>26110</v>
      </c>
      <c r="AB23" s="218">
        <f t="shared" si="7"/>
        <v>3.2164830991264717</v>
      </c>
      <c r="AC23" s="218">
        <v>10.02214188883868</v>
      </c>
      <c r="AD23" s="68">
        <v>0.52208989627353053</v>
      </c>
      <c r="AE23" s="68">
        <f>1-0.132</f>
        <v>0.86799999999999999</v>
      </c>
      <c r="AF23" s="68">
        <v>0.26016260162601629</v>
      </c>
      <c r="AG23" s="68">
        <v>0.64609660523347268</v>
      </c>
      <c r="AH23" s="62">
        <v>908.55918089697877</v>
      </c>
      <c r="AI23" s="62">
        <v>1731.2545271157817</v>
      </c>
      <c r="AJ23" s="62">
        <v>73</v>
      </c>
      <c r="AK23" s="62">
        <v>375.95</v>
      </c>
      <c r="AL23" s="68">
        <f t="shared" si="6"/>
        <v>0.1941747572815534</v>
      </c>
      <c r="AM23" s="68">
        <v>8.1176999546194117E-2</v>
      </c>
      <c r="AN23" s="68">
        <v>-2.489838977736241E-2</v>
      </c>
      <c r="AO23" s="68">
        <v>0.23873223051115858</v>
      </c>
      <c r="AP23" s="68">
        <v>0.1075114139266546</v>
      </c>
      <c r="AR23" t="s">
        <v>138</v>
      </c>
      <c r="AS23" t="s">
        <v>341</v>
      </c>
      <c r="AT23" s="217">
        <v>293633.62400000001</v>
      </c>
      <c r="AU23" s="217">
        <v>691202.17533197242</v>
      </c>
      <c r="AV23" s="71">
        <v>0.42481582737926549</v>
      </c>
      <c r="AW23" s="217">
        <v>61394.414000000004</v>
      </c>
      <c r="AX23" s="217">
        <v>21537.968000000001</v>
      </c>
      <c r="AY23" s="217">
        <v>94001.068632183975</v>
      </c>
      <c r="AZ23" s="216">
        <v>0.22912471436123499</v>
      </c>
      <c r="BA23" s="217">
        <v>7149.5760000000009</v>
      </c>
      <c r="BB23" s="217">
        <v>185873.74400000001</v>
      </c>
      <c r="BC23" s="217">
        <v>685872.95119199995</v>
      </c>
      <c r="BD23" s="216">
        <v>0.27100317001416113</v>
      </c>
      <c r="BE23" s="217">
        <v>28134.762000000002</v>
      </c>
      <c r="BF23" s="217">
        <v>66198.428782027026</v>
      </c>
      <c r="BG23" s="216">
        <v>0.42500649211237224</v>
      </c>
      <c r="BH23" s="216">
        <v>2311</v>
      </c>
      <c r="BI23" s="216">
        <v>90</v>
      </c>
      <c r="BJ23" s="216">
        <v>2431</v>
      </c>
      <c r="BK23" s="216">
        <v>0.9506375976964212</v>
      </c>
      <c r="BL23" s="216">
        <v>298</v>
      </c>
      <c r="BM23" s="216">
        <v>5</v>
      </c>
      <c r="BN23" s="216">
        <v>315</v>
      </c>
      <c r="BO23" s="216">
        <v>0.946031746031746</v>
      </c>
      <c r="BP23" s="216">
        <v>2502</v>
      </c>
      <c r="BQ23" s="216">
        <v>9071</v>
      </c>
      <c r="BR23" s="279">
        <v>1.0826482042405885</v>
      </c>
      <c r="BS23" s="279">
        <v>3.8547486033519553</v>
      </c>
      <c r="BT23" s="71">
        <v>0.4607329842931937</v>
      </c>
      <c r="BU23" s="71">
        <v>0.83399999999999996</v>
      </c>
      <c r="BV23" s="71">
        <v>0.21812080536912751</v>
      </c>
      <c r="BW23" s="71">
        <v>0.72827039974433805</v>
      </c>
      <c r="BX23" s="217">
        <v>602.04525942953649</v>
      </c>
      <c r="BY23" s="217">
        <v>1706.2941100581722</v>
      </c>
      <c r="BZ23" s="217">
        <v>93</v>
      </c>
      <c r="CA23" s="217">
        <v>210</v>
      </c>
      <c r="CB23" s="71">
        <v>0.44285714285714284</v>
      </c>
      <c r="CC23" s="71">
        <v>-1.3241799569627375E-2</v>
      </c>
      <c r="CD23" s="71">
        <v>0.23238699903840682</v>
      </c>
      <c r="CE23" s="71">
        <v>2.7736687077595263E-2</v>
      </c>
      <c r="CF23" s="71">
        <v>-0.32528145605949149</v>
      </c>
    </row>
    <row r="24" spans="1:84">
      <c r="A24" s="221">
        <v>21</v>
      </c>
      <c r="B24" s="97" t="s">
        <v>126</v>
      </c>
      <c r="C24" s="221" t="s">
        <v>340</v>
      </c>
      <c r="D24" s="220">
        <f>VLOOKUP($B$4:$B$30,'TOTAL POR UF'!$A$5:$B$31,2,)</f>
        <v>583863.72</v>
      </c>
      <c r="E24" s="220">
        <v>1016106.4670154504</v>
      </c>
      <c r="F24" s="219">
        <f t="shared" si="0"/>
        <v>0.574608802279301</v>
      </c>
      <c r="G24" s="220">
        <f>VLOOKUP($B$4:$B$30,'TOTAL POR UF'!$A$5:$C$31,3,)</f>
        <v>86065.864000000001</v>
      </c>
      <c r="H24" s="220">
        <f>VLOOKUP($B$4:$B$30,'TOTAL POR UF'!$A$5:$D$31,4,)</f>
        <v>64451.424000000006</v>
      </c>
      <c r="I24" s="220">
        <v>148974.35143416843</v>
      </c>
      <c r="J24" s="219">
        <f t="shared" si="1"/>
        <v>0.43263436544297362</v>
      </c>
      <c r="K24" s="220">
        <f>VLOOKUP($B$4:$B$30,'TOTAL POR UF'!$A$5:$E$31,5,)</f>
        <v>12791.136</v>
      </c>
      <c r="L24" s="220">
        <f>VLOOKUP($B$4:$B$30,'TOTAL POR UF'!$A$5:$F$31,6,)</f>
        <v>328060.864</v>
      </c>
      <c r="M24" s="220">
        <v>1157768.4213216</v>
      </c>
      <c r="N24" s="219">
        <f t="shared" si="2"/>
        <v>0.28335620315634147</v>
      </c>
      <c r="O24" s="220">
        <f>VLOOKUP($B$4:$B$30, 'TOTAL POR UF'!$A$5:$R$31,18,0)</f>
        <v>42172.19200000001</v>
      </c>
      <c r="P24" s="220">
        <v>104528.21578970483</v>
      </c>
      <c r="Q24" s="219">
        <f t="shared" si="3"/>
        <v>0.40345271065225263</v>
      </c>
      <c r="R24" s="62">
        <v>3022</v>
      </c>
      <c r="S24" s="62">
        <v>74</v>
      </c>
      <c r="T24" s="62">
        <v>3352</v>
      </c>
      <c r="U24" s="68">
        <f t="shared" si="4"/>
        <v>0.90155131264916466</v>
      </c>
      <c r="V24" s="62">
        <v>438</v>
      </c>
      <c r="W24" s="62">
        <v>21</v>
      </c>
      <c r="X24" s="62">
        <v>510</v>
      </c>
      <c r="Y24" s="68">
        <f t="shared" si="5"/>
        <v>0.85882352941176465</v>
      </c>
      <c r="Z24" s="62">
        <v>4272</v>
      </c>
      <c r="AA24" s="62">
        <v>15313</v>
      </c>
      <c r="AB24" s="218">
        <f t="shared" si="7"/>
        <v>1.413633355393779</v>
      </c>
      <c r="AC24" s="218">
        <v>4.8289760348583881</v>
      </c>
      <c r="AD24" s="68">
        <v>0.68253436138115986</v>
      </c>
      <c r="AE24" s="68">
        <f>1-0.118</f>
        <v>0.88200000000000001</v>
      </c>
      <c r="AF24" s="68">
        <v>0.4223744292237443</v>
      </c>
      <c r="AG24" s="68">
        <v>0.71276158006070878</v>
      </c>
      <c r="AH24" s="62">
        <v>846.65734659410771</v>
      </c>
      <c r="AI24" s="62">
        <v>2178.5452007881404</v>
      </c>
      <c r="AJ24" s="62">
        <v>141</v>
      </c>
      <c r="AK24" s="62">
        <v>324.3</v>
      </c>
      <c r="AL24" s="68">
        <f t="shared" si="6"/>
        <v>0.43478260869565216</v>
      </c>
      <c r="AM24" s="68">
        <v>0.21194439940884208</v>
      </c>
      <c r="AN24" s="68">
        <v>0.61282843481816629</v>
      </c>
      <c r="AO24" s="68">
        <v>5.9530921582128686E-2</v>
      </c>
      <c r="AP24" s="68">
        <v>0.25913766361818147</v>
      </c>
      <c r="AR24" t="s">
        <v>140</v>
      </c>
      <c r="AS24" t="s">
        <v>338</v>
      </c>
      <c r="AT24" s="217">
        <v>113993.09600000001</v>
      </c>
      <c r="AU24" s="217">
        <v>276324.3573402628</v>
      </c>
      <c r="AV24" s="71">
        <v>0.41253365102241113</v>
      </c>
      <c r="AW24" s="217">
        <v>16284.136000000002</v>
      </c>
      <c r="AX24" s="217">
        <v>16101.848000000002</v>
      </c>
      <c r="AY24" s="217">
        <v>57202.719895067945</v>
      </c>
      <c r="AZ24" s="216">
        <v>0.28148745425981597</v>
      </c>
      <c r="BA24" s="217">
        <v>3695.0320000000002</v>
      </c>
      <c r="BB24" s="217">
        <v>182274.08000000002</v>
      </c>
      <c r="BC24" s="217">
        <v>593328.41647199995</v>
      </c>
      <c r="BD24" s="216">
        <v>0.30720605138689122</v>
      </c>
      <c r="BE24" s="217">
        <v>7402.9840000000013</v>
      </c>
      <c r="BF24" s="217">
        <v>41708.497216829885</v>
      </c>
      <c r="BG24" s="216">
        <v>0.17749342445770996</v>
      </c>
      <c r="BH24" s="216">
        <v>947</v>
      </c>
      <c r="BI24" s="216">
        <v>76</v>
      </c>
      <c r="BJ24" s="216">
        <v>994</v>
      </c>
      <c r="BK24" s="216">
        <v>0.95271629778672029</v>
      </c>
      <c r="BL24" s="216">
        <v>174</v>
      </c>
      <c r="BM24" s="216">
        <v>8</v>
      </c>
      <c r="BN24" s="216">
        <v>201.60798324078164</v>
      </c>
      <c r="BO24" s="216">
        <v>0.86306106138758776</v>
      </c>
      <c r="BP24" s="216">
        <v>2381</v>
      </c>
      <c r="BQ24" s="216">
        <v>7847</v>
      </c>
      <c r="BR24" s="279">
        <v>2.5142555438225975</v>
      </c>
      <c r="BS24" s="279">
        <v>8.7117486338797807</v>
      </c>
      <c r="BT24" s="71">
        <v>0.46927966101694918</v>
      </c>
      <c r="BU24" s="71">
        <v>0.86799999999999999</v>
      </c>
      <c r="BV24" s="71">
        <v>0.27011494252873564</v>
      </c>
      <c r="BW24" s="71">
        <v>0.69203996179687921</v>
      </c>
      <c r="BX24" s="217">
        <v>425.32550666166259</v>
      </c>
      <c r="BY24" s="217">
        <v>522.17192484518671</v>
      </c>
      <c r="BZ24" s="217">
        <v>53</v>
      </c>
      <c r="CA24" s="217">
        <v>184</v>
      </c>
      <c r="CB24" s="71">
        <v>0.28804347826086957</v>
      </c>
      <c r="CC24" s="71">
        <v>7.146250798350294E-2</v>
      </c>
      <c r="CD24" s="71">
        <v>0.46367127682415488</v>
      </c>
      <c r="CE24" s="71">
        <v>0.10368991240191036</v>
      </c>
      <c r="CF24" s="71">
        <v>0.19283376537329658</v>
      </c>
    </row>
    <row r="25" spans="1:84">
      <c r="A25" s="221">
        <v>22</v>
      </c>
      <c r="B25" s="97" t="s">
        <v>131</v>
      </c>
      <c r="C25" s="221" t="s">
        <v>340</v>
      </c>
      <c r="D25" s="220">
        <f>VLOOKUP($B$4:$B$30,'TOTAL POR UF'!$A$5:$B$31,2,)</f>
        <v>2007039.7119999998</v>
      </c>
      <c r="E25" s="220">
        <v>3848081.179841321</v>
      </c>
      <c r="F25" s="219">
        <f t="shared" si="0"/>
        <v>0.52156896338729575</v>
      </c>
      <c r="G25" s="220">
        <f>VLOOKUP($B$4:$B$30,'TOTAL POR UF'!$A$5:$C$31,3,)</f>
        <v>369531.72800000006</v>
      </c>
      <c r="H25" s="220">
        <f>VLOOKUP($B$4:$B$30,'TOTAL POR UF'!$A$5:$D$31,4,)</f>
        <v>232550.92</v>
      </c>
      <c r="I25" s="220">
        <v>607808.97105975857</v>
      </c>
      <c r="J25" s="219">
        <f t="shared" si="1"/>
        <v>0.38260527743532774</v>
      </c>
      <c r="K25" s="220">
        <f>VLOOKUP($B$4:$B$30,'TOTAL POR UF'!$A$5:$E$31,5,)</f>
        <v>69245.464000000007</v>
      </c>
      <c r="L25" s="220">
        <f>VLOOKUP($B$4:$B$30,'TOTAL POR UF'!$A$5:$F$31,6,)</f>
        <v>1235770.56</v>
      </c>
      <c r="M25" s="220">
        <v>3589374.5589240002</v>
      </c>
      <c r="N25" s="219">
        <f t="shared" si="2"/>
        <v>0.34428576335885419</v>
      </c>
      <c r="O25" s="220">
        <f>VLOOKUP($B$4:$B$30, 'TOTAL POR UF'!$A$5:$R$31,18,0)</f>
        <v>173052.758</v>
      </c>
      <c r="P25" s="220">
        <v>362036.91194212856</v>
      </c>
      <c r="Q25" s="219">
        <f t="shared" si="3"/>
        <v>0.47799755298891294</v>
      </c>
      <c r="R25" s="62">
        <v>13199</v>
      </c>
      <c r="S25" s="62">
        <v>278</v>
      </c>
      <c r="T25" s="62">
        <v>14096</v>
      </c>
      <c r="U25" s="68">
        <f t="shared" si="4"/>
        <v>0.93636492622020429</v>
      </c>
      <c r="V25" s="62">
        <v>1942</v>
      </c>
      <c r="W25" s="62">
        <v>62</v>
      </c>
      <c r="X25" s="62">
        <v>2237</v>
      </c>
      <c r="Y25" s="68">
        <f t="shared" si="5"/>
        <v>0.86812695574430043</v>
      </c>
      <c r="Z25" s="62">
        <v>16332</v>
      </c>
      <c r="AA25" s="62">
        <v>47473</v>
      </c>
      <c r="AB25" s="218">
        <f t="shared" si="7"/>
        <v>1.2373664671566027</v>
      </c>
      <c r="AC25" s="218">
        <v>4.3095318860244234</v>
      </c>
      <c r="AD25" s="68">
        <v>0.52552294723696535</v>
      </c>
      <c r="AE25" s="68">
        <f>1-0.196</f>
        <v>0.80400000000000005</v>
      </c>
      <c r="AF25" s="68">
        <v>0.33625128733264675</v>
      </c>
      <c r="AG25" s="68">
        <v>0.66316339441761918</v>
      </c>
      <c r="AH25" s="62">
        <v>4149.4197316569716</v>
      </c>
      <c r="AI25" s="62">
        <v>9062.6282252767869</v>
      </c>
      <c r="AJ25" s="62">
        <v>327</v>
      </c>
      <c r="AK25" s="62">
        <v>1063.5999999999999</v>
      </c>
      <c r="AL25" s="68">
        <f t="shared" si="6"/>
        <v>0.30744640842421966</v>
      </c>
      <c r="AM25" s="68">
        <v>5.2041902414431004E-2</v>
      </c>
      <c r="AN25" s="68">
        <v>0.30327093746040845</v>
      </c>
      <c r="AO25" s="68">
        <v>9.9266503667481631E-2</v>
      </c>
      <c r="AP25" s="68">
        <v>-7.8324439816333746E-2</v>
      </c>
      <c r="AR25" t="s">
        <v>141</v>
      </c>
      <c r="AS25" t="s">
        <v>338</v>
      </c>
      <c r="AT25" s="217">
        <v>26127.167999999998</v>
      </c>
      <c r="AU25" s="217">
        <v>61411.660705362832</v>
      </c>
      <c r="AV25" s="71">
        <v>0.42544311129040058</v>
      </c>
      <c r="AW25" s="217">
        <v>2883.5840000000003</v>
      </c>
      <c r="AX25" s="217">
        <v>2500.7439999999997</v>
      </c>
      <c r="AY25" s="217">
        <v>13499.840660659143</v>
      </c>
      <c r="AZ25" s="216">
        <v>0.18524248269741417</v>
      </c>
      <c r="BA25" s="217">
        <v>152.43200000000002</v>
      </c>
      <c r="BB25" s="217">
        <v>37658.320000000007</v>
      </c>
      <c r="BC25" s="217">
        <v>107076.44613600001</v>
      </c>
      <c r="BD25" s="216">
        <v>0.35169564697888267</v>
      </c>
      <c r="BE25" s="217">
        <v>1214.6640000000002</v>
      </c>
      <c r="BF25" s="217">
        <v>8189.4576375909892</v>
      </c>
      <c r="BG25" s="216">
        <v>0.14832044486370966</v>
      </c>
      <c r="BH25" s="216">
        <v>195</v>
      </c>
      <c r="BI25" s="216">
        <v>11</v>
      </c>
      <c r="BJ25" s="216">
        <v>210</v>
      </c>
      <c r="BK25" s="216">
        <v>0.9285714285714286</v>
      </c>
      <c r="BL25" s="216">
        <v>46</v>
      </c>
      <c r="BM25" s="216">
        <v>3</v>
      </c>
      <c r="BN25" s="216">
        <v>55</v>
      </c>
      <c r="BO25" s="216">
        <v>0.83636363636363631</v>
      </c>
      <c r="BP25" s="216">
        <v>477</v>
      </c>
      <c r="BQ25" s="216">
        <v>1416</v>
      </c>
      <c r="BR25" s="279">
        <v>2.4461538461538463</v>
      </c>
      <c r="BS25" s="279">
        <v>7.3294797687861273</v>
      </c>
      <c r="BT25" s="71">
        <v>0.48148148148148145</v>
      </c>
      <c r="BU25" s="71">
        <v>0.89900000000000002</v>
      </c>
      <c r="BV25" s="71">
        <v>0.21739130434782608</v>
      </c>
      <c r="BW25" s="71">
        <v>0.60586204681240885</v>
      </c>
      <c r="BX25" s="217">
        <v>80.871751266654158</v>
      </c>
      <c r="BY25" s="217">
        <v>113.81950178269844</v>
      </c>
      <c r="BZ25" s="217">
        <v>10</v>
      </c>
      <c r="CA25" s="217">
        <v>32</v>
      </c>
      <c r="CB25" s="71">
        <v>0.3125</v>
      </c>
      <c r="CC25" s="71">
        <v>-9.1331786789427841E-2</v>
      </c>
      <c r="CD25" s="71">
        <v>4.7163019797290817E-2</v>
      </c>
      <c r="CE25" s="71">
        <v>0.40701972007801401</v>
      </c>
      <c r="CF25" s="71">
        <v>-0.30417905933356865</v>
      </c>
    </row>
    <row r="26" spans="1:84">
      <c r="A26" s="221">
        <v>23</v>
      </c>
      <c r="B26" s="97" t="s">
        <v>137</v>
      </c>
      <c r="C26" s="221" t="s">
        <v>340</v>
      </c>
      <c r="D26" s="220">
        <f>VLOOKUP($B$4:$B$30,'TOTAL POR UF'!$A$5:$B$31,2,)</f>
        <v>2530541.3199999998</v>
      </c>
      <c r="E26" s="220">
        <v>4784373.2206191225</v>
      </c>
      <c r="F26" s="219">
        <f t="shared" si="0"/>
        <v>0.52891804282621058</v>
      </c>
      <c r="G26" s="220">
        <f>VLOOKUP($B$4:$B$30,'TOTAL POR UF'!$A$5:$C$31,3,)</f>
        <v>322863.57800000004</v>
      </c>
      <c r="H26" s="220">
        <f>VLOOKUP($B$4:$B$30,'TOTAL POR UF'!$A$5:$D$31,4,)</f>
        <v>363129.60800000007</v>
      </c>
      <c r="I26" s="220">
        <v>1031647.8224520484</v>
      </c>
      <c r="J26" s="219">
        <f t="shared" si="1"/>
        <v>0.35198989431965627</v>
      </c>
      <c r="K26" s="220">
        <f>VLOOKUP($B$4:$B$30,'TOTAL POR UF'!$A$5:$E$31,5,)</f>
        <v>56500.298000000003</v>
      </c>
      <c r="L26" s="220">
        <f>VLOOKUP($B$4:$B$30,'TOTAL POR UF'!$A$5:$F$31,6,)</f>
        <v>1418394.9920000001</v>
      </c>
      <c r="M26" s="220">
        <v>4384074.2879340006</v>
      </c>
      <c r="N26" s="219">
        <f t="shared" si="2"/>
        <v>0.32353352129633284</v>
      </c>
      <c r="O26" s="220">
        <f>VLOOKUP($B$4:$B$30, 'TOTAL POR UF'!$A$5:$R$31,18,0)</f>
        <v>191373.63200000001</v>
      </c>
      <c r="P26" s="220">
        <v>459004.28989523271</v>
      </c>
      <c r="Q26" s="219">
        <f t="shared" si="3"/>
        <v>0.41693212070780616</v>
      </c>
      <c r="R26" s="62">
        <v>19437</v>
      </c>
      <c r="S26" s="62">
        <v>80</v>
      </c>
      <c r="T26" s="62">
        <v>20377</v>
      </c>
      <c r="U26" s="68">
        <f t="shared" si="4"/>
        <v>0.95386955881631252</v>
      </c>
      <c r="V26" s="62">
        <v>3143</v>
      </c>
      <c r="W26" s="62">
        <v>65</v>
      </c>
      <c r="X26" s="62">
        <v>3685</v>
      </c>
      <c r="Y26" s="68">
        <f t="shared" si="5"/>
        <v>0.85291723202170966</v>
      </c>
      <c r="Z26" s="62">
        <v>18687</v>
      </c>
      <c r="AA26" s="62">
        <v>57984</v>
      </c>
      <c r="AB26" s="218">
        <f t="shared" si="7"/>
        <v>0.96141379842568297</v>
      </c>
      <c r="AC26" s="218">
        <v>2.8998815165876777</v>
      </c>
      <c r="AD26" s="68">
        <v>0.50576220903696945</v>
      </c>
      <c r="AE26" s="68">
        <f>1-0.2</f>
        <v>0.8</v>
      </c>
      <c r="AF26" s="68">
        <v>0.32771237671014952</v>
      </c>
      <c r="AG26" s="68">
        <v>0.68315040336563515</v>
      </c>
      <c r="AH26" s="62">
        <v>8196.002545036592</v>
      </c>
      <c r="AI26" s="62">
        <v>11232.187675924188</v>
      </c>
      <c r="AJ26" s="62">
        <v>221</v>
      </c>
      <c r="AK26" s="62">
        <v>765</v>
      </c>
      <c r="AL26" s="68">
        <f t="shared" si="6"/>
        <v>0.28888888888888886</v>
      </c>
      <c r="AM26" s="68">
        <v>-1.5058521905769453E-2</v>
      </c>
      <c r="AN26" s="68">
        <v>8.9660635319791029E-3</v>
      </c>
      <c r="AO26" s="68">
        <v>0.19260099122779351</v>
      </c>
      <c r="AP26" s="68">
        <v>-0.20377217350685398</v>
      </c>
      <c r="AR26" t="s">
        <v>139</v>
      </c>
      <c r="AS26" t="s">
        <v>339</v>
      </c>
      <c r="AT26" s="217">
        <v>2434621.4160000002</v>
      </c>
      <c r="AU26" s="217">
        <v>4463773.5082184961</v>
      </c>
      <c r="AV26" s="71">
        <v>0.54541777523377621</v>
      </c>
      <c r="AW26" s="217">
        <v>370682.07</v>
      </c>
      <c r="AX26" s="217">
        <v>319506.61600000004</v>
      </c>
      <c r="AY26" s="217">
        <v>928114.04013799131</v>
      </c>
      <c r="AZ26" s="216">
        <v>0.3442536177477673</v>
      </c>
      <c r="BA26" s="217">
        <v>83099.662000000011</v>
      </c>
      <c r="BB26" s="217">
        <v>2349225.9440000001</v>
      </c>
      <c r="BC26" s="217">
        <v>8295112.9328760002</v>
      </c>
      <c r="BD26" s="216">
        <v>0.2832060229932879</v>
      </c>
      <c r="BE26" s="217">
        <v>171792.91</v>
      </c>
      <c r="BF26" s="217">
        <v>615915.02165546198</v>
      </c>
      <c r="BG26" s="216">
        <v>0.27892307211188561</v>
      </c>
      <c r="BH26" s="216">
        <v>15067</v>
      </c>
      <c r="BI26" s="216">
        <v>274</v>
      </c>
      <c r="BJ26" s="216">
        <v>15513</v>
      </c>
      <c r="BK26" s="216">
        <v>0.97124991942241989</v>
      </c>
      <c r="BL26" s="216">
        <v>2775</v>
      </c>
      <c r="BM26" s="216">
        <v>81</v>
      </c>
      <c r="BN26" s="216">
        <v>3243</v>
      </c>
      <c r="BO26" s="216">
        <v>0.85568917668825162</v>
      </c>
      <c r="BP26" s="216">
        <v>31173</v>
      </c>
      <c r="BQ26" s="216">
        <v>109712</v>
      </c>
      <c r="BR26" s="279">
        <v>2.0689586513572706</v>
      </c>
      <c r="BS26" s="279">
        <v>7.3399518213008248</v>
      </c>
      <c r="BT26" s="71">
        <v>0.56211882409374359</v>
      </c>
      <c r="BU26" s="71">
        <v>0.86399999999999999</v>
      </c>
      <c r="BV26" s="71">
        <v>0.33117117117117117</v>
      </c>
      <c r="BW26" s="71">
        <v>0.69821825477224209</v>
      </c>
      <c r="BX26" s="217">
        <v>5249.6749155563894</v>
      </c>
      <c r="BY26" s="217">
        <v>9794.4676534058926</v>
      </c>
      <c r="BZ26" s="217">
        <v>319</v>
      </c>
      <c r="CA26" s="217">
        <v>968</v>
      </c>
      <c r="CB26" s="71">
        <v>0.32954545454545453</v>
      </c>
      <c r="CC26" s="71">
        <v>1.440131238582552E-2</v>
      </c>
      <c r="CD26" s="71">
        <v>0.15240109385602962</v>
      </c>
      <c r="CE26" s="71">
        <v>4.7805964392510419E-2</v>
      </c>
      <c r="CF26" s="71">
        <v>-0.1345138561183461</v>
      </c>
    </row>
    <row r="27" spans="1:84">
      <c r="A27" s="221">
        <v>24</v>
      </c>
      <c r="B27" s="97" t="s">
        <v>143</v>
      </c>
      <c r="C27" s="221" t="s">
        <v>340</v>
      </c>
      <c r="D27" s="220">
        <f>VLOOKUP($B$4:$B$30,'TOTAL POR UF'!$A$5:$B$31,2,)</f>
        <v>8507058.2400000002</v>
      </c>
      <c r="E27" s="220">
        <v>13341925.435892532</v>
      </c>
      <c r="F27" s="219">
        <f t="shared" si="0"/>
        <v>0.63761848174584002</v>
      </c>
      <c r="G27" s="220">
        <f>VLOOKUP($B$4:$B$30,'TOTAL POR UF'!$A$5:$C$31,3,)</f>
        <v>1153900.5959999999</v>
      </c>
      <c r="H27" s="220">
        <f>VLOOKUP($B$4:$B$30,'TOTAL POR UF'!$A$5:$D$31,4,)</f>
        <v>1036639.0640000001</v>
      </c>
      <c r="I27" s="220">
        <v>1709049.1311078393</v>
      </c>
      <c r="J27" s="219">
        <f t="shared" si="1"/>
        <v>0.6065589602611543</v>
      </c>
      <c r="K27" s="220">
        <f>VLOOKUP($B$4:$B$30,'TOTAL POR UF'!$A$5:$E$31,5,)</f>
        <v>154376.66999999998</v>
      </c>
      <c r="L27" s="220">
        <f>VLOOKUP($B$4:$B$30,'TOTAL POR UF'!$A$5:$F$31,6,)</f>
        <v>7776187.7280000001</v>
      </c>
      <c r="M27" s="220">
        <v>23669126.785432562</v>
      </c>
      <c r="N27" s="219">
        <f t="shared" si="2"/>
        <v>0.32853716144635908</v>
      </c>
      <c r="O27" s="220">
        <f>VLOOKUP($B$4:$B$30, 'TOTAL POR UF'!$A$5:$R$31,18,0)</f>
        <v>537858.19039999996</v>
      </c>
      <c r="P27" s="220">
        <v>1598450.9713600003</v>
      </c>
      <c r="Q27" s="219">
        <f t="shared" si="3"/>
        <v>0.33648713663227175</v>
      </c>
      <c r="R27" s="62">
        <v>54551</v>
      </c>
      <c r="S27" s="62">
        <v>975</v>
      </c>
      <c r="T27" s="62">
        <v>55941</v>
      </c>
      <c r="U27" s="68">
        <f t="shared" si="4"/>
        <v>0.9751523926994512</v>
      </c>
      <c r="V27" s="62">
        <v>7323</v>
      </c>
      <c r="W27" s="62">
        <v>210</v>
      </c>
      <c r="X27" s="62">
        <v>8633</v>
      </c>
      <c r="Y27" s="68">
        <f t="shared" si="5"/>
        <v>0.84825668944746901</v>
      </c>
      <c r="Z27" s="62">
        <v>103656</v>
      </c>
      <c r="AA27" s="62">
        <v>313049</v>
      </c>
      <c r="AB27" s="218">
        <f t="shared" si="7"/>
        <v>1.9001668163736687</v>
      </c>
      <c r="AC27" s="218">
        <v>5.9656631987024804</v>
      </c>
      <c r="AD27" s="68">
        <v>0.54228269545057195</v>
      </c>
      <c r="AE27" s="68">
        <f>1-0.26</f>
        <v>0.74</v>
      </c>
      <c r="AF27" s="68">
        <v>0.40147480540761982</v>
      </c>
      <c r="AG27" s="68">
        <v>0.48331946780904805</v>
      </c>
      <c r="AH27" s="62">
        <v>20819.983076093074</v>
      </c>
      <c r="AI27" s="62">
        <v>33711.539278007134</v>
      </c>
      <c r="AJ27" s="62">
        <v>1030</v>
      </c>
      <c r="AK27" s="62">
        <v>3933</v>
      </c>
      <c r="AL27" s="68">
        <f t="shared" si="6"/>
        <v>0.26188660055936946</v>
      </c>
      <c r="AM27" s="68">
        <v>-4.8679036056802974E-2</v>
      </c>
      <c r="AN27" s="68">
        <v>-8.5359911023880387E-3</v>
      </c>
      <c r="AO27" s="68">
        <v>5.1801498996501605E-2</v>
      </c>
      <c r="AP27" s="68">
        <v>-0.31159797010080198</v>
      </c>
      <c r="AR27" t="s">
        <v>142</v>
      </c>
      <c r="AS27" t="s">
        <v>339</v>
      </c>
      <c r="AT27" s="217">
        <v>1550006.76</v>
      </c>
      <c r="AU27" s="217">
        <v>2850579.0588817415</v>
      </c>
      <c r="AV27" s="71">
        <v>0.54375154239996937</v>
      </c>
      <c r="AW27" s="217">
        <v>163490.72</v>
      </c>
      <c r="AX27" s="217">
        <v>193981.09600000002</v>
      </c>
      <c r="AY27" s="217">
        <v>602521.68427794962</v>
      </c>
      <c r="AZ27" s="216">
        <v>0.32194873821423248</v>
      </c>
      <c r="BA27" s="217">
        <v>33841.392000000007</v>
      </c>
      <c r="BB27" s="217">
        <v>1326162.56</v>
      </c>
      <c r="BC27" s="217">
        <v>4482898.0903080003</v>
      </c>
      <c r="BD27" s="216">
        <v>0.29582705947903565</v>
      </c>
      <c r="BE27" s="217">
        <v>68355.72</v>
      </c>
      <c r="BF27" s="217">
        <v>357119.94750604616</v>
      </c>
      <c r="BG27" s="216">
        <v>0.19140829426461181</v>
      </c>
      <c r="BH27" s="216">
        <v>8869</v>
      </c>
      <c r="BI27" s="216">
        <v>287</v>
      </c>
      <c r="BJ27" s="216">
        <v>9428</v>
      </c>
      <c r="BK27" s="216">
        <v>0.94070852778956304</v>
      </c>
      <c r="BL27" s="216">
        <v>1797</v>
      </c>
      <c r="BM27" s="216">
        <v>54</v>
      </c>
      <c r="BN27" s="216">
        <v>2073</v>
      </c>
      <c r="BO27" s="216">
        <v>0.86685962373371928</v>
      </c>
      <c r="BP27" s="216">
        <v>17724</v>
      </c>
      <c r="BQ27" s="216">
        <v>59291</v>
      </c>
      <c r="BR27" s="279">
        <v>1.9984214680347276</v>
      </c>
      <c r="BS27" s="279">
        <v>6.6105794790005312</v>
      </c>
      <c r="BT27" s="71">
        <v>0.59634703196347028</v>
      </c>
      <c r="BU27" s="71">
        <v>0.88300000000000001</v>
      </c>
      <c r="BV27" s="71">
        <v>0.31942125765164164</v>
      </c>
      <c r="BW27" s="71">
        <v>0.70918025882820168</v>
      </c>
      <c r="BX27" s="217">
        <v>2978.2769633139424</v>
      </c>
      <c r="BY27" s="217">
        <v>5893.6536756427095</v>
      </c>
      <c r="BZ27" s="217">
        <v>251</v>
      </c>
      <c r="CA27" s="217">
        <v>889</v>
      </c>
      <c r="CB27" s="71">
        <v>0.2823397075365579</v>
      </c>
      <c r="CC27" s="71">
        <v>7.8366487463437273E-2</v>
      </c>
      <c r="CD27" s="71">
        <v>9.7369936156907214E-2</v>
      </c>
      <c r="CE27" s="71">
        <v>0.17102534688194651</v>
      </c>
      <c r="CF27" s="71">
        <v>-4.7261838038977967E-2</v>
      </c>
    </row>
    <row r="28" spans="1:84">
      <c r="A28" s="221">
        <v>25</v>
      </c>
      <c r="B28" s="97" t="s">
        <v>134</v>
      </c>
      <c r="C28" s="221" t="s">
        <v>339</v>
      </c>
      <c r="D28" s="220">
        <f>VLOOKUP($B$4:$B$30,'TOTAL POR UF'!$A$5:$B$31,2,)</f>
        <v>1786485.4080000001</v>
      </c>
      <c r="E28" s="220">
        <v>3259270.0843493436</v>
      </c>
      <c r="F28" s="219">
        <f t="shared" si="0"/>
        <v>0.54812438422286835</v>
      </c>
      <c r="G28" s="220">
        <f>VLOOKUP($B$4:$B$30,'TOTAL POR UF'!$A$5:$C$31,3,)</f>
        <v>215979.24000000002</v>
      </c>
      <c r="H28" s="220">
        <f>VLOOKUP($B$4:$B$30,'TOTAL POR UF'!$A$5:$D$31,4,)</f>
        <v>302427.26400000008</v>
      </c>
      <c r="I28" s="220">
        <v>860080.09900579508</v>
      </c>
      <c r="J28" s="219">
        <f t="shared" si="1"/>
        <v>0.35162685934669252</v>
      </c>
      <c r="K28" s="220">
        <f>VLOOKUP($B$4:$B$30,'TOTAL POR UF'!$A$5:$E$31,5,)</f>
        <v>62118</v>
      </c>
      <c r="L28" s="220">
        <f>VLOOKUP($B$4:$B$30,'TOTAL POR UF'!$A$5:$F$31,6,)</f>
        <v>1827771.2319999998</v>
      </c>
      <c r="M28" s="220">
        <v>5665056.3482713932</v>
      </c>
      <c r="N28" s="219">
        <f t="shared" si="2"/>
        <v>0.32263955018871376</v>
      </c>
      <c r="O28" s="220">
        <f>VLOOKUP($B$4:$B$30, 'TOTAL POR UF'!$A$5:$R$31,18,0)</f>
        <v>104281.56000000001</v>
      </c>
      <c r="P28" s="220">
        <v>440298.29392319388</v>
      </c>
      <c r="Q28" s="219">
        <f t="shared" si="3"/>
        <v>0.23684297995074904</v>
      </c>
      <c r="R28" s="62">
        <v>11189</v>
      </c>
      <c r="S28" s="62">
        <v>507</v>
      </c>
      <c r="T28" s="62">
        <v>11358</v>
      </c>
      <c r="U28" s="68">
        <f t="shared" si="4"/>
        <v>0.98512061982743437</v>
      </c>
      <c r="V28" s="62">
        <v>2690</v>
      </c>
      <c r="W28" s="62">
        <v>118</v>
      </c>
      <c r="X28" s="62">
        <v>2940</v>
      </c>
      <c r="Y28" s="68">
        <f t="shared" si="5"/>
        <v>0.91496598639455784</v>
      </c>
      <c r="Z28" s="62">
        <v>24832</v>
      </c>
      <c r="AA28" s="62">
        <v>74926</v>
      </c>
      <c r="AB28" s="218">
        <f t="shared" si="7"/>
        <v>2.219322548931987</v>
      </c>
      <c r="AC28" s="218">
        <v>8.4545748813120412</v>
      </c>
      <c r="AD28" s="68">
        <v>0.55607136355361364</v>
      </c>
      <c r="AE28" s="68">
        <f>1-0.139</f>
        <v>0.86099999999999999</v>
      </c>
      <c r="AF28" s="68">
        <v>0.33940520446096656</v>
      </c>
      <c r="AG28" s="68">
        <v>0.71376906783266447</v>
      </c>
      <c r="AH28" s="62">
        <v>3876.8519773878775</v>
      </c>
      <c r="AI28" s="62">
        <v>7319.3926979733533</v>
      </c>
      <c r="AJ28" s="62">
        <v>511</v>
      </c>
      <c r="AK28" s="62">
        <v>1001.25</v>
      </c>
      <c r="AL28" s="68">
        <f t="shared" si="6"/>
        <v>0.51036204744069913</v>
      </c>
      <c r="AM28" s="68">
        <v>0.10349731922897859</v>
      </c>
      <c r="AN28" s="68">
        <v>0.26391697629770022</v>
      </c>
      <c r="AO28" s="68">
        <v>8.6846730792306912E-2</v>
      </c>
      <c r="AP28" s="68">
        <v>-0.19813677702650423</v>
      </c>
      <c r="AR28" t="s">
        <v>144</v>
      </c>
      <c r="AS28" t="s">
        <v>341</v>
      </c>
      <c r="AT28" s="217">
        <v>170012.89600000004</v>
      </c>
      <c r="AU28" s="217">
        <v>386427.15226237202</v>
      </c>
      <c r="AV28" s="71">
        <v>0.4399610508853854</v>
      </c>
      <c r="AW28" s="217">
        <v>41925.928000000007</v>
      </c>
      <c r="AX28" s="217">
        <v>19886.888000000003</v>
      </c>
      <c r="AY28" s="217">
        <v>57583.313459937141</v>
      </c>
      <c r="AZ28" s="216">
        <v>0.34535852150703439</v>
      </c>
      <c r="BA28" s="217">
        <v>2669.52</v>
      </c>
      <c r="BB28" s="217">
        <v>157189.45600000001</v>
      </c>
      <c r="BC28" s="217">
        <v>519542.29602000007</v>
      </c>
      <c r="BD28" s="216">
        <v>0.3025537231601042</v>
      </c>
      <c r="BE28" s="217">
        <v>16596.432000000001</v>
      </c>
      <c r="BF28" s="217">
        <v>43359.874278403906</v>
      </c>
      <c r="BG28" s="216">
        <v>0.38276015039707173</v>
      </c>
      <c r="BH28" s="216">
        <v>1262</v>
      </c>
      <c r="BI28" s="216">
        <v>52</v>
      </c>
      <c r="BJ28" s="216">
        <v>1342</v>
      </c>
      <c r="BK28" s="216">
        <v>0.94038748137108796</v>
      </c>
      <c r="BL28" s="216">
        <v>154</v>
      </c>
      <c r="BM28" s="216">
        <v>6</v>
      </c>
      <c r="BN28" s="216">
        <v>195</v>
      </c>
      <c r="BO28" s="216">
        <v>0.78974358974358971</v>
      </c>
      <c r="BP28" s="216">
        <v>2123</v>
      </c>
      <c r="BQ28" s="216">
        <v>6872</v>
      </c>
      <c r="BR28" s="279">
        <v>1.6822503961965134</v>
      </c>
      <c r="BS28" s="279">
        <v>5.4</v>
      </c>
      <c r="BT28" s="71">
        <v>0.48953301127214172</v>
      </c>
      <c r="BU28" s="71">
        <v>0.84699999999999998</v>
      </c>
      <c r="BV28" s="71">
        <v>0.37662337662337664</v>
      </c>
      <c r="BW28" s="71">
        <v>0.72023398267347871</v>
      </c>
      <c r="BX28" s="217">
        <v>488.22575764683808</v>
      </c>
      <c r="BY28" s="217">
        <v>774.77134546819286</v>
      </c>
      <c r="BZ28" s="217">
        <v>62</v>
      </c>
      <c r="CA28" s="217">
        <v>139</v>
      </c>
      <c r="CB28" s="71">
        <v>0.4460431654676259</v>
      </c>
      <c r="CC28" s="71">
        <v>0.14571971734460945</v>
      </c>
      <c r="CD28" s="71">
        <v>2.5750435922407604E-2</v>
      </c>
      <c r="CE28" s="71">
        <v>-4.5701946655774608E-2</v>
      </c>
      <c r="CF28" s="71">
        <v>-5.38851835526701E-2</v>
      </c>
    </row>
    <row r="29" spans="1:84">
      <c r="A29" s="221">
        <v>26</v>
      </c>
      <c r="B29" s="97" t="s">
        <v>139</v>
      </c>
      <c r="C29" s="221" t="s">
        <v>339</v>
      </c>
      <c r="D29" s="220">
        <f>VLOOKUP($B$4:$B$30,'TOTAL POR UF'!$A$5:$B$31,2,)</f>
        <v>2434621.4160000002</v>
      </c>
      <c r="E29" s="220">
        <v>4463773.5082184961</v>
      </c>
      <c r="F29" s="219">
        <f t="shared" si="0"/>
        <v>0.54541777523377621</v>
      </c>
      <c r="G29" s="220">
        <f>VLOOKUP($B$4:$B$30,'TOTAL POR UF'!$A$5:$C$31,3,)</f>
        <v>370682.07</v>
      </c>
      <c r="H29" s="220">
        <f>VLOOKUP($B$4:$B$30,'TOTAL POR UF'!$A$5:$D$31,4,)</f>
        <v>319506.61600000004</v>
      </c>
      <c r="I29" s="220">
        <v>928114.04013799131</v>
      </c>
      <c r="J29" s="219">
        <f t="shared" si="1"/>
        <v>0.3442536177477673</v>
      </c>
      <c r="K29" s="220">
        <f>VLOOKUP($B$4:$B$30,'TOTAL POR UF'!$A$5:$E$31,5,)</f>
        <v>83099.662000000011</v>
      </c>
      <c r="L29" s="220">
        <f>VLOOKUP($B$4:$B$30,'TOTAL POR UF'!$A$5:$F$31,6,)</f>
        <v>2349225.9440000001</v>
      </c>
      <c r="M29" s="220">
        <v>8295112.9328760002</v>
      </c>
      <c r="N29" s="219">
        <f t="shared" si="2"/>
        <v>0.2832060229932879</v>
      </c>
      <c r="O29" s="220">
        <f>VLOOKUP($B$4:$B$30, 'TOTAL POR UF'!$A$5:$R$31,18,0)</f>
        <v>171792.91</v>
      </c>
      <c r="P29" s="220">
        <v>615915.02165546198</v>
      </c>
      <c r="Q29" s="219">
        <f t="shared" si="3"/>
        <v>0.27892307211188561</v>
      </c>
      <c r="R29" s="62">
        <v>15067</v>
      </c>
      <c r="S29" s="62">
        <v>274</v>
      </c>
      <c r="T29" s="62">
        <v>15513</v>
      </c>
      <c r="U29" s="68">
        <f t="shared" si="4"/>
        <v>0.97124991942241989</v>
      </c>
      <c r="V29" s="62">
        <v>2775</v>
      </c>
      <c r="W29" s="62">
        <v>81</v>
      </c>
      <c r="X29" s="62">
        <v>3243</v>
      </c>
      <c r="Y29" s="68">
        <f t="shared" si="5"/>
        <v>0.85568917668825162</v>
      </c>
      <c r="Z29" s="62">
        <v>31173</v>
      </c>
      <c r="AA29" s="62">
        <v>109712</v>
      </c>
      <c r="AB29" s="218">
        <f t="shared" si="7"/>
        <v>2.0689586513572706</v>
      </c>
      <c r="AC29" s="218">
        <v>7.3399518213008248</v>
      </c>
      <c r="AD29" s="68">
        <v>0.56211882409374359</v>
      </c>
      <c r="AE29" s="68">
        <f>1-0.136</f>
        <v>0.86399999999999999</v>
      </c>
      <c r="AF29" s="68">
        <v>0.33117117117117117</v>
      </c>
      <c r="AG29" s="68">
        <v>0.69821825477224209</v>
      </c>
      <c r="AH29" s="62">
        <v>5249.6749155563894</v>
      </c>
      <c r="AI29" s="62">
        <v>9794.4676534058926</v>
      </c>
      <c r="AJ29" s="62">
        <v>319</v>
      </c>
      <c r="AK29" s="62">
        <v>968</v>
      </c>
      <c r="AL29" s="68">
        <f t="shared" si="6"/>
        <v>0.32954545454545453</v>
      </c>
      <c r="AM29" s="68">
        <v>1.440131238582552E-2</v>
      </c>
      <c r="AN29" s="68">
        <v>0.15240109385602962</v>
      </c>
      <c r="AO29" s="68">
        <v>4.7805964392510419E-2</v>
      </c>
      <c r="AP29" s="68">
        <v>-0.1345138561183461</v>
      </c>
      <c r="AR29" t="s">
        <v>143</v>
      </c>
      <c r="AS29" t="s">
        <v>340</v>
      </c>
      <c r="AT29" s="217">
        <v>8507058.2400000002</v>
      </c>
      <c r="AU29" s="217">
        <v>13341925.435892532</v>
      </c>
      <c r="AV29" s="71">
        <v>0.63761848174584002</v>
      </c>
      <c r="AW29" s="217">
        <v>1153900.5959999999</v>
      </c>
      <c r="AX29" s="217">
        <v>1036639.0640000001</v>
      </c>
      <c r="AY29" s="217">
        <v>1709049.1311078393</v>
      </c>
      <c r="AZ29" s="216">
        <v>0.6065589602611543</v>
      </c>
      <c r="BA29" s="217">
        <v>154376.66999999998</v>
      </c>
      <c r="BB29" s="217">
        <v>7776187.7280000001</v>
      </c>
      <c r="BC29" s="217">
        <v>23669126.785432562</v>
      </c>
      <c r="BD29" s="216">
        <v>0.32853716144635908</v>
      </c>
      <c r="BE29" s="217">
        <v>537858.19039999996</v>
      </c>
      <c r="BF29" s="217">
        <v>1598450.9713600003</v>
      </c>
      <c r="BG29" s="216">
        <v>0.33648713663227175</v>
      </c>
      <c r="BH29" s="216">
        <v>54551</v>
      </c>
      <c r="BI29" s="216">
        <v>975</v>
      </c>
      <c r="BJ29" s="216">
        <v>55941</v>
      </c>
      <c r="BK29" s="216">
        <v>0.9751523926994512</v>
      </c>
      <c r="BL29" s="216">
        <v>7323</v>
      </c>
      <c r="BM29" s="216">
        <v>210</v>
      </c>
      <c r="BN29" s="216">
        <v>8633</v>
      </c>
      <c r="BO29" s="216">
        <v>0.84825668944746901</v>
      </c>
      <c r="BP29" s="216">
        <v>103656</v>
      </c>
      <c r="BQ29" s="216">
        <v>313049</v>
      </c>
      <c r="BR29" s="279">
        <v>1.9001668163736687</v>
      </c>
      <c r="BS29" s="279">
        <v>5.9656631987024804</v>
      </c>
      <c r="BT29" s="71">
        <v>0.54228269545057195</v>
      </c>
      <c r="BU29" s="71">
        <v>0.74</v>
      </c>
      <c r="BV29" s="71">
        <v>0.40147480540761982</v>
      </c>
      <c r="BW29" s="71">
        <v>0.48331946780904805</v>
      </c>
      <c r="BX29" s="217">
        <v>20819.983076093074</v>
      </c>
      <c r="BY29" s="217">
        <v>33711.539278007134</v>
      </c>
      <c r="BZ29" s="217">
        <v>1030</v>
      </c>
      <c r="CA29" s="217">
        <v>3933</v>
      </c>
      <c r="CB29" s="71">
        <v>0.26188660055936946</v>
      </c>
      <c r="CC29" s="71">
        <v>-4.8679036056802974E-2</v>
      </c>
      <c r="CD29" s="71">
        <v>-8.5359911023880387E-3</v>
      </c>
      <c r="CE29" s="71">
        <v>5.1801498996501605E-2</v>
      </c>
      <c r="CF29" s="71">
        <v>-0.31159797010080198</v>
      </c>
    </row>
    <row r="30" spans="1:84">
      <c r="A30" s="221">
        <v>27</v>
      </c>
      <c r="B30" s="97" t="s">
        <v>142</v>
      </c>
      <c r="C30" s="221" t="s">
        <v>339</v>
      </c>
      <c r="D30" s="220">
        <f>VLOOKUP($B$4:$B$30,'TOTAL POR UF'!$A$5:$B$31,2,)</f>
        <v>1550006.76</v>
      </c>
      <c r="E30" s="220">
        <v>2850579.0588817415</v>
      </c>
      <c r="F30" s="219">
        <f t="shared" si="0"/>
        <v>0.54375154239996937</v>
      </c>
      <c r="G30" s="220">
        <f>VLOOKUP($B$4:$B$30,'TOTAL POR UF'!$A$5:$C$31,3,)</f>
        <v>163490.72</v>
      </c>
      <c r="H30" s="220">
        <f>VLOOKUP($B$4:$B$30,'TOTAL POR UF'!$A$5:$D$31,4,)</f>
        <v>193981.09600000002</v>
      </c>
      <c r="I30" s="220">
        <v>602521.68427794962</v>
      </c>
      <c r="J30" s="219">
        <f t="shared" si="1"/>
        <v>0.32194873821423248</v>
      </c>
      <c r="K30" s="220">
        <f>VLOOKUP($B$4:$B$30,'TOTAL POR UF'!$A$5:$E$31,5,)</f>
        <v>33841.392000000007</v>
      </c>
      <c r="L30" s="220">
        <f>VLOOKUP($B$4:$B$30,'TOTAL POR UF'!$A$5:$F$31,6,)</f>
        <v>1326162.56</v>
      </c>
      <c r="M30" s="220">
        <v>4482898.0903080003</v>
      </c>
      <c r="N30" s="219">
        <f t="shared" si="2"/>
        <v>0.29582705947903565</v>
      </c>
      <c r="O30" s="220">
        <f>VLOOKUP($B$4:$B$30, 'TOTAL POR UF'!$A$5:$R$31,18,0)</f>
        <v>68355.72</v>
      </c>
      <c r="P30" s="220">
        <v>357119.94750604616</v>
      </c>
      <c r="Q30" s="219">
        <f t="shared" si="3"/>
        <v>0.19140829426461181</v>
      </c>
      <c r="R30" s="62">
        <v>8869</v>
      </c>
      <c r="S30" s="62">
        <v>287</v>
      </c>
      <c r="T30" s="62">
        <v>9428</v>
      </c>
      <c r="U30" s="68">
        <f t="shared" si="4"/>
        <v>0.94070852778956304</v>
      </c>
      <c r="V30" s="62">
        <v>1797</v>
      </c>
      <c r="W30" s="62">
        <v>54</v>
      </c>
      <c r="X30" s="62">
        <v>2073</v>
      </c>
      <c r="Y30" s="68">
        <f t="shared" si="5"/>
        <v>0.86685962373371928</v>
      </c>
      <c r="Z30" s="62">
        <v>17724</v>
      </c>
      <c r="AA30" s="62">
        <v>59291</v>
      </c>
      <c r="AB30" s="218">
        <f t="shared" si="7"/>
        <v>1.9984214680347276</v>
      </c>
      <c r="AC30" s="218">
        <v>6.6105794790005312</v>
      </c>
      <c r="AD30" s="68">
        <v>0.59634703196347028</v>
      </c>
      <c r="AE30" s="68">
        <f>1-0.117</f>
        <v>0.88300000000000001</v>
      </c>
      <c r="AF30" s="68">
        <v>0.31942125765164164</v>
      </c>
      <c r="AG30" s="68">
        <v>0.70918025882820168</v>
      </c>
      <c r="AH30" s="62">
        <v>2978.2769633139424</v>
      </c>
      <c r="AI30" s="62">
        <v>5893.6536756427095</v>
      </c>
      <c r="AJ30" s="62">
        <v>251</v>
      </c>
      <c r="AK30" s="62">
        <v>889</v>
      </c>
      <c r="AL30" s="68">
        <f t="shared" si="6"/>
        <v>0.2823397075365579</v>
      </c>
      <c r="AM30" s="68">
        <v>7.8366487463437273E-2</v>
      </c>
      <c r="AN30" s="68">
        <v>9.7369936156907214E-2</v>
      </c>
      <c r="AO30" s="68">
        <v>0.17102534688194651</v>
      </c>
      <c r="AP30" s="68">
        <v>-4.7261838038977967E-2</v>
      </c>
      <c r="AR30" t="s">
        <v>145</v>
      </c>
      <c r="AS30" t="s">
        <v>338</v>
      </c>
      <c r="AT30" s="217">
        <v>81492.112000000008</v>
      </c>
      <c r="AU30" s="217">
        <v>196277.91407011417</v>
      </c>
      <c r="AV30" s="71">
        <v>0.41518737544199441</v>
      </c>
      <c r="AW30" s="217">
        <v>20319.464</v>
      </c>
      <c r="AX30" s="217">
        <v>11070.392</v>
      </c>
      <c r="AY30" s="217">
        <v>61509.78032894768</v>
      </c>
      <c r="AZ30" s="216">
        <v>0.17997775216878903</v>
      </c>
      <c r="BA30" s="217">
        <v>7135.7040000000006</v>
      </c>
      <c r="BB30" s="217">
        <v>98524.32</v>
      </c>
      <c r="BC30" s="217">
        <v>385987.83022799995</v>
      </c>
      <c r="BD30" s="216">
        <v>0.25525239990546456</v>
      </c>
      <c r="BE30" s="217">
        <v>12672.351999999999</v>
      </c>
      <c r="BF30" s="217">
        <v>28969.89860821778</v>
      </c>
      <c r="BG30" s="216">
        <v>0.4374317001028537</v>
      </c>
      <c r="BH30" s="216">
        <v>664</v>
      </c>
      <c r="BI30" s="216">
        <v>28</v>
      </c>
      <c r="BJ30" s="216">
        <v>695</v>
      </c>
      <c r="BK30" s="216">
        <v>0.95539568345323744</v>
      </c>
      <c r="BL30" s="216">
        <v>211</v>
      </c>
      <c r="BM30" s="216">
        <v>9</v>
      </c>
      <c r="BN30" s="216">
        <v>230</v>
      </c>
      <c r="BO30" s="216">
        <v>0.91739130434782612</v>
      </c>
      <c r="BP30" s="216">
        <v>1306</v>
      </c>
      <c r="BQ30" s="216">
        <v>5105</v>
      </c>
      <c r="BR30" s="279">
        <v>1.9668674698795181</v>
      </c>
      <c r="BS30" s="279">
        <v>7.7509025270758123</v>
      </c>
      <c r="BT30" s="71">
        <v>0.44916540212443096</v>
      </c>
      <c r="BU30" s="71">
        <v>0.82600000000000007</v>
      </c>
      <c r="BV30" s="71">
        <v>0.17061611374407584</v>
      </c>
      <c r="BW30" s="71">
        <v>0.65211728055098617</v>
      </c>
      <c r="BX30" s="217">
        <v>285.54717113905048</v>
      </c>
      <c r="BY30" s="217">
        <v>379.3983392756615</v>
      </c>
      <c r="BZ30" s="217">
        <v>35</v>
      </c>
      <c r="CA30" s="217">
        <v>81</v>
      </c>
      <c r="CB30" s="71">
        <v>0.43209876543209874</v>
      </c>
      <c r="CC30" s="71">
        <v>7.5998769484830142E-2</v>
      </c>
      <c r="CD30" s="71">
        <v>0.65169893840391158</v>
      </c>
      <c r="CE30" s="71">
        <v>-0.13798223894308592</v>
      </c>
      <c r="CF30" s="71">
        <v>1.2841536555356923</v>
      </c>
    </row>
    <row r="31" spans="1:84">
      <c r="A31" s="221">
        <v>28</v>
      </c>
      <c r="B31" s="97" t="s">
        <v>337</v>
      </c>
      <c r="C31" s="221" t="s">
        <v>336</v>
      </c>
      <c r="D31" s="220">
        <f>'TOTAL POR UF'!$B$65</f>
        <v>6337467.0480000004</v>
      </c>
      <c r="E31" s="220">
        <v>11569170.450476624</v>
      </c>
      <c r="F31" s="219">
        <f t="shared" si="0"/>
        <v>0.54778923649957212</v>
      </c>
      <c r="G31" s="220">
        <f>'TOTAL POR UF'!$C$65</f>
        <v>949044.08799999999</v>
      </c>
      <c r="H31" s="220">
        <f>'TOTAL POR UF'!$D$65</f>
        <v>798386.93800000008</v>
      </c>
      <c r="I31" s="220">
        <v>2037792.8715281086</v>
      </c>
      <c r="J31" s="219">
        <f t="shared" si="1"/>
        <v>0.39179003379342592</v>
      </c>
      <c r="K31" s="220">
        <f>'TOTAL POR UF'!$E$65</f>
        <v>154164.98200000002</v>
      </c>
      <c r="L31" s="220">
        <f>'TOTAL POR UF'!$F$65</f>
        <v>5312807.2320000008</v>
      </c>
      <c r="M31" s="220">
        <v>16988581.439348515</v>
      </c>
      <c r="N31" s="219">
        <f t="shared" si="2"/>
        <v>0.31272812571004976</v>
      </c>
      <c r="O31" s="220">
        <f>'TOTAL POR UF'!$R$65</f>
        <v>454146.9166</v>
      </c>
      <c r="P31" s="220">
        <v>1332192.2103296244</v>
      </c>
      <c r="Q31" s="219">
        <f t="shared" si="3"/>
        <v>0.34090194573921911</v>
      </c>
      <c r="R31" s="62">
        <v>170258</v>
      </c>
      <c r="S31" s="62">
        <v>4070</v>
      </c>
      <c r="T31" s="62">
        <v>176941</v>
      </c>
      <c r="U31" s="68">
        <f t="shared" si="4"/>
        <v>0.96223034796909701</v>
      </c>
      <c r="V31" s="62">
        <v>27500</v>
      </c>
      <c r="W31" s="62">
        <v>851</v>
      </c>
      <c r="X31" s="62">
        <v>31847.446503673902</v>
      </c>
      <c r="Y31" s="68">
        <f t="shared" si="5"/>
        <v>0.86349152032730836</v>
      </c>
      <c r="Z31" s="62">
        <v>282931</v>
      </c>
      <c r="AA31" s="62">
        <f>SUM(AA4:AA30)</f>
        <v>898768</v>
      </c>
      <c r="AB31" s="218">
        <f t="shared" si="7"/>
        <v>1.6617780074945083</v>
      </c>
      <c r="AC31" s="218">
        <v>5.5</v>
      </c>
      <c r="AD31" s="68">
        <v>0.53019626042671686</v>
      </c>
      <c r="AE31" s="68">
        <f>1-0.197</f>
        <v>0.80299999999999994</v>
      </c>
      <c r="AF31" s="68">
        <v>0.33585454545454546</v>
      </c>
      <c r="AG31" s="68">
        <v>0.62460132679913527</v>
      </c>
      <c r="AH31" s="62">
        <v>62472.928645149186</v>
      </c>
      <c r="AI31" s="62">
        <v>107785.07135485082</v>
      </c>
      <c r="AJ31" s="62">
        <f>SUM(AJ4:AJ30)</f>
        <v>4368</v>
      </c>
      <c r="AK31" s="62">
        <f>SUM(AK4:AK30)</f>
        <v>13444.35</v>
      </c>
      <c r="AL31" s="68">
        <f t="shared" si="6"/>
        <v>0.32489484430262527</v>
      </c>
      <c r="AM31" s="68">
        <v>1.6654729587789206E-2</v>
      </c>
      <c r="AN31" s="68">
        <v>9.8092034611256332E-2</v>
      </c>
      <c r="AO31" s="68">
        <v>8.4858762036337229E-2</v>
      </c>
      <c r="AP31" s="68">
        <v>-0.16896907024792113</v>
      </c>
      <c r="AT31" s="217"/>
      <c r="AU31" s="217"/>
      <c r="AV31" s="92"/>
      <c r="AW31" s="217"/>
      <c r="AX31" s="217"/>
      <c r="AY31" s="217"/>
      <c r="AZ31" s="216"/>
      <c r="BA31" s="217"/>
      <c r="BB31" s="217"/>
      <c r="BC31" s="217"/>
      <c r="BD31" s="216"/>
      <c r="BE31" s="217"/>
      <c r="BF31" s="217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79"/>
      <c r="BT31" s="92"/>
      <c r="BU31" s="92"/>
      <c r="BV31" s="92"/>
      <c r="BW31" s="92"/>
      <c r="BX31" s="217"/>
      <c r="BY31" s="217"/>
      <c r="BZ31" s="217"/>
      <c r="CA31" s="217"/>
      <c r="CB31" s="92"/>
    </row>
    <row r="32" spans="1:84">
      <c r="D32" s="276">
        <f>'TOTAL POR UF'!B98-SUM(D4:D31)</f>
        <v>0</v>
      </c>
      <c r="E32" s="206"/>
      <c r="F32" s="206"/>
      <c r="G32" s="276">
        <f>'TOTAL POR UF'!C98-SUM(G4:G31)</f>
        <v>0</v>
      </c>
      <c r="H32" s="276">
        <f>'TOTAL POR UF'!D98-SUM(H4:H31)</f>
        <v>0</v>
      </c>
      <c r="I32" s="206"/>
      <c r="J32" s="206"/>
      <c r="K32" s="276">
        <f>'TOTAL POR UF'!E98-SUM(K4:K31)</f>
        <v>0</v>
      </c>
      <c r="L32" s="276">
        <f>'TOTAL POR UF'!F98-SUM(L4:L31)</f>
        <v>0</v>
      </c>
      <c r="M32" s="277"/>
      <c r="N32" s="275"/>
      <c r="O32" s="276">
        <f>SUM('TOTAL POR UF'!G98:P98)-SUM(O4:O31)</f>
        <v>0</v>
      </c>
      <c r="P32" s="275"/>
      <c r="Q32" s="277"/>
      <c r="R32" s="275">
        <v>170258</v>
      </c>
      <c r="S32" s="275">
        <v>4070</v>
      </c>
      <c r="T32" s="275"/>
      <c r="U32" s="275"/>
      <c r="V32" s="275">
        <v>27500</v>
      </c>
      <c r="W32" s="275">
        <v>851</v>
      </c>
      <c r="X32" s="275"/>
      <c r="Y32" s="275"/>
      <c r="Z32" s="275">
        <v>282931</v>
      </c>
      <c r="AA32" s="275"/>
      <c r="AB32" s="275"/>
      <c r="AC32" s="275"/>
      <c r="AD32" s="278">
        <v>0.53019626042671686</v>
      </c>
      <c r="AE32" s="275"/>
      <c r="AF32" s="278">
        <v>0.33585454545454546</v>
      </c>
      <c r="AG32" s="275"/>
      <c r="AH32" s="284">
        <v>62472.928645149186</v>
      </c>
      <c r="AI32" s="284">
        <v>107785.07135485082</v>
      </c>
      <c r="AJ32" s="275">
        <v>4368</v>
      </c>
      <c r="AK32" s="275"/>
      <c r="AT32" s="217">
        <f>SUM(AT4:AT31)</f>
        <v>25349868.191999998</v>
      </c>
      <c r="AU32" s="217">
        <f>SUM(AU4:AU31)</f>
        <v>46276681.801906496</v>
      </c>
      <c r="AV32" s="92">
        <f>AVERAGE(AV4:AV30)</f>
        <v>0.47356797968545244</v>
      </c>
      <c r="AW32" s="217">
        <f>SUM(AW4:AW31)</f>
        <v>3802474.4520000005</v>
      </c>
      <c r="AX32" s="217">
        <f>SUM(AX4:AX31)</f>
        <v>3193547.7520000003</v>
      </c>
      <c r="AY32" s="217">
        <f>SUM(AY4:AY31)</f>
        <v>8151171.4861124344</v>
      </c>
      <c r="AZ32" s="216">
        <f>AVERAGE(AZ4:AZ30)</f>
        <v>0.30729031699615256</v>
      </c>
      <c r="BA32" s="217">
        <f>SUM(BA4:BA31)</f>
        <v>617757.59800000011</v>
      </c>
      <c r="BB32" s="217">
        <f>SUM(BB4:BB31)</f>
        <v>21247314.448000003</v>
      </c>
      <c r="BC32" s="217">
        <f>SUM(BC4:BC31)</f>
        <v>67954325.757394046</v>
      </c>
      <c r="BD32" s="216">
        <f>AVERAGE(BD4:BD30)</f>
        <v>0.30087790340562293</v>
      </c>
      <c r="BE32" s="217">
        <f>SUM(BE4:BE31)</f>
        <v>1838101.2864000001</v>
      </c>
      <c r="BF32" s="217">
        <f>SUM(BF4:BF31)</f>
        <v>5328768.8413184965</v>
      </c>
      <c r="BG32" s="216">
        <f>AVERAGE(BG4:BG30)</f>
        <v>0.38279602485406783</v>
      </c>
      <c r="BH32" s="216">
        <f>SUM(BH4:BH31)</f>
        <v>170258</v>
      </c>
      <c r="BI32" s="216">
        <f>SUM(BI4:BI31)</f>
        <v>4070</v>
      </c>
      <c r="BJ32" s="216">
        <f>SUM(BJ4:BJ31)</f>
        <v>176941</v>
      </c>
      <c r="BK32" s="216">
        <f>AVERAGE(BK4:BK30)</f>
        <v>0.95263442868659609</v>
      </c>
      <c r="BL32" s="216">
        <f>SUM(BL4:BL31)</f>
        <v>27500</v>
      </c>
      <c r="BM32" s="216">
        <f>SUM(BM4:BM31)</f>
        <v>851</v>
      </c>
      <c r="BN32" s="216">
        <f>SUM(BN4:BN31)</f>
        <v>31847.446503673902</v>
      </c>
      <c r="BO32" s="216">
        <f>AVERAGE(BO4:BO30)</f>
        <v>0.86310903356466695</v>
      </c>
      <c r="BP32" s="216">
        <f>SUM(BP4:BP31)</f>
        <v>282931</v>
      </c>
      <c r="BQ32" s="216">
        <f>SUM(BQ4:BQ31)</f>
        <v>898768</v>
      </c>
      <c r="BR32" s="279">
        <f>ROUNDUP(AVERAGE(BR4:BR30),1)</f>
        <v>1.7000000000000002</v>
      </c>
      <c r="BS32" s="279">
        <f>ROUNDUP(AVERAGE(BS4:BS30),1)</f>
        <v>5.5</v>
      </c>
      <c r="BT32" s="92">
        <f>AVERAGE(BT4:BT31)</f>
        <v>0.4976488566000154</v>
      </c>
      <c r="BU32" s="92">
        <f>AVERAGE(BU4:BU30)</f>
        <v>0.83440740740740749</v>
      </c>
      <c r="BV32" s="92">
        <f t="shared" ref="BV32:BW32" si="8">AVERAGE(BV4:BV30)</f>
        <v>0.28547959701212161</v>
      </c>
      <c r="BW32" s="92">
        <f t="shared" si="8"/>
        <v>0.6653321326072793</v>
      </c>
      <c r="BX32" s="217">
        <f>SUM(BX4:BX31)</f>
        <v>62472.928645149186</v>
      </c>
      <c r="BY32" s="217">
        <f>SUM(BY4:BY31)</f>
        <v>107785.07135485082</v>
      </c>
      <c r="BZ32" s="217">
        <f>SUM(BZ4:BZ31)</f>
        <v>4368</v>
      </c>
      <c r="CA32" s="217">
        <f>SUM(CA4:CA31)</f>
        <v>13444.35</v>
      </c>
      <c r="CB32" s="92">
        <f>AVERAGE(CB4:CB30)</f>
        <v>0.35757789806160195</v>
      </c>
      <c r="CC32" s="92">
        <f t="shared" ref="CC32:CF32" si="9">AVERAGE(CC4:CC30)</f>
        <v>7.3169629821545221E-2</v>
      </c>
      <c r="CD32" s="92">
        <f t="shared" si="9"/>
        <v>0.15786986343213325</v>
      </c>
      <c r="CE32" s="92">
        <f t="shared" si="9"/>
        <v>9.5897148514070038E-2</v>
      </c>
      <c r="CF32" s="92">
        <f t="shared" si="9"/>
        <v>4.9344317451967039E-2</v>
      </c>
    </row>
    <row r="33" spans="1:47" ht="15.75" thickBot="1">
      <c r="A33" s="34"/>
      <c r="E33" s="215"/>
      <c r="I33" s="215"/>
      <c r="M33" s="215"/>
      <c r="P33" s="215"/>
      <c r="AS33" t="s">
        <v>335</v>
      </c>
      <c r="AT33" t="s">
        <v>219</v>
      </c>
    </row>
    <row r="34" spans="1:47">
      <c r="A34" s="34"/>
      <c r="B34" s="214"/>
      <c r="C34" s="214"/>
      <c r="D34" s="213"/>
      <c r="E34" s="213"/>
      <c r="F34" s="213"/>
      <c r="G34" s="213"/>
      <c r="H34" s="213"/>
      <c r="I34" s="213"/>
      <c r="J34" s="213"/>
      <c r="K34" s="93"/>
      <c r="L34" s="93"/>
      <c r="M34" s="93"/>
      <c r="AQ34" s="212" t="s">
        <v>284</v>
      </c>
      <c r="AR34" s="207">
        <f>AT32</f>
        <v>25349868.191999998</v>
      </c>
      <c r="AS34" s="92">
        <f>AR34/AT34</f>
        <v>0.45227995805316634</v>
      </c>
      <c r="AT34" s="207">
        <f>'TOTAL POR UF'!$Q$32</f>
        <v>56049063.728399999</v>
      </c>
      <c r="AU34" t="s">
        <v>407</v>
      </c>
    </row>
    <row r="35" spans="1:47">
      <c r="A35" s="34"/>
      <c r="B35" s="210"/>
      <c r="C35" s="211"/>
      <c r="D35" s="210"/>
      <c r="E35" s="210"/>
      <c r="F35" s="210"/>
      <c r="G35" s="210"/>
      <c r="H35" s="210"/>
      <c r="I35" s="210"/>
      <c r="J35" s="210"/>
      <c r="K35" s="93"/>
      <c r="L35" s="93"/>
      <c r="M35" s="93"/>
      <c r="AQ35" s="209" t="s">
        <v>209</v>
      </c>
      <c r="AR35" s="207">
        <f>AU32</f>
        <v>46276681.801906496</v>
      </c>
      <c r="AS35" s="92"/>
      <c r="AT35" s="207"/>
    </row>
    <row r="36" spans="1:47">
      <c r="A36" s="197"/>
      <c r="B36" s="195"/>
      <c r="C36" s="196"/>
      <c r="D36" s="195"/>
      <c r="E36" s="195"/>
      <c r="F36" s="195"/>
      <c r="G36" s="195"/>
      <c r="H36" s="195"/>
      <c r="I36" s="195"/>
      <c r="J36" s="195"/>
      <c r="K36" s="93"/>
      <c r="L36" s="93"/>
      <c r="M36" s="93"/>
      <c r="AQ36" s="209" t="s">
        <v>332</v>
      </c>
      <c r="AR36" s="92">
        <f>AV32</f>
        <v>0.47356797968545244</v>
      </c>
      <c r="AS36" s="92"/>
      <c r="AT36" s="207"/>
    </row>
    <row r="37" spans="1:47">
      <c r="A37" s="197"/>
      <c r="B37" s="195"/>
      <c r="C37" s="196"/>
      <c r="D37" s="195"/>
      <c r="E37" s="195"/>
      <c r="F37" s="195"/>
      <c r="G37" s="195"/>
      <c r="H37" s="195"/>
      <c r="I37" s="195"/>
      <c r="J37" s="195"/>
      <c r="K37" s="93"/>
      <c r="L37" s="93"/>
      <c r="M37" s="93"/>
      <c r="AQ37" s="209" t="s">
        <v>334</v>
      </c>
      <c r="AR37" s="207">
        <f>AW32</f>
        <v>3802474.4520000005</v>
      </c>
      <c r="AS37" s="92">
        <f>AR37/AT37</f>
        <v>6.7841890641132885E-2</v>
      </c>
      <c r="AT37" s="207">
        <f>'TOTAL POR UF'!$Q$32</f>
        <v>56049063.728399999</v>
      </c>
    </row>
    <row r="38" spans="1:47">
      <c r="A38" s="197"/>
      <c r="B38" s="195"/>
      <c r="C38" s="196"/>
      <c r="D38" s="195"/>
      <c r="E38" s="195"/>
      <c r="F38" s="195"/>
      <c r="G38" s="195"/>
      <c r="H38" s="195"/>
      <c r="I38" s="195"/>
      <c r="J38" s="195"/>
      <c r="K38" s="93"/>
      <c r="L38" s="93"/>
      <c r="M38" s="93"/>
      <c r="AQ38" s="260" t="s">
        <v>313</v>
      </c>
      <c r="AR38" s="207">
        <f>AX32</f>
        <v>3193547.7520000003</v>
      </c>
      <c r="AS38" s="92">
        <f>AR38/AT38</f>
        <v>5.6977718084197597E-2</v>
      </c>
      <c r="AT38" s="207">
        <f>'TOTAL POR UF'!$Q$32</f>
        <v>56049063.728399999</v>
      </c>
    </row>
    <row r="39" spans="1:47">
      <c r="A39" s="197"/>
      <c r="B39" s="195"/>
      <c r="C39" s="196"/>
      <c r="D39" s="195"/>
      <c r="E39" s="195"/>
      <c r="F39" s="195"/>
      <c r="G39" s="195"/>
      <c r="H39" s="195"/>
      <c r="I39" s="195"/>
      <c r="J39" s="195"/>
      <c r="K39" s="93"/>
      <c r="L39" s="93"/>
      <c r="M39" s="93"/>
      <c r="AQ39" s="260" t="s">
        <v>209</v>
      </c>
      <c r="AR39" s="207">
        <f>AY32</f>
        <v>8151171.4861124344</v>
      </c>
      <c r="AS39" s="92"/>
      <c r="AT39" s="207"/>
    </row>
    <row r="40" spans="1:47">
      <c r="A40" s="197"/>
      <c r="B40" s="195"/>
      <c r="C40" s="196"/>
      <c r="D40" s="195"/>
      <c r="E40" s="195"/>
      <c r="F40" s="195"/>
      <c r="G40" s="195"/>
      <c r="H40" s="195"/>
      <c r="I40" s="195"/>
      <c r="J40" s="195"/>
      <c r="K40" s="93"/>
      <c r="L40" s="93"/>
      <c r="M40" s="93"/>
      <c r="AQ40" s="202" t="s">
        <v>332</v>
      </c>
      <c r="AR40" s="92">
        <f>AZ32</f>
        <v>0.30729031699615256</v>
      </c>
      <c r="AS40" s="92"/>
      <c r="AT40" s="207"/>
    </row>
    <row r="41" spans="1:47">
      <c r="A41" s="197"/>
      <c r="B41" s="195"/>
      <c r="C41" s="196"/>
      <c r="D41" s="195"/>
      <c r="E41" s="195"/>
      <c r="F41" s="195"/>
      <c r="G41" s="195"/>
      <c r="H41" s="195"/>
      <c r="I41" s="195"/>
      <c r="J41" s="195"/>
      <c r="K41" s="93"/>
      <c r="L41" s="93"/>
      <c r="M41" s="93"/>
      <c r="AQ41" s="202" t="s">
        <v>333</v>
      </c>
      <c r="AR41" s="207">
        <f>BA32</f>
        <v>617757.59800000011</v>
      </c>
      <c r="AS41" s="92">
        <f>AR41/AT41</f>
        <v>1.1021729122782528E-2</v>
      </c>
      <c r="AT41" s="207">
        <f>'TOTAL POR UF'!$Q$32</f>
        <v>56049063.728399999</v>
      </c>
    </row>
    <row r="42" spans="1:47">
      <c r="A42" s="197"/>
      <c r="B42" s="195"/>
      <c r="C42" s="196"/>
      <c r="D42" s="195"/>
      <c r="E42" s="195"/>
      <c r="F42" s="195"/>
      <c r="G42" s="195"/>
      <c r="H42" s="195"/>
      <c r="I42" s="195"/>
      <c r="J42" s="195"/>
      <c r="K42" s="93"/>
      <c r="L42" s="93"/>
      <c r="M42" s="93"/>
      <c r="AQ42" s="208" t="s">
        <v>28</v>
      </c>
      <c r="AR42" s="207">
        <f>BB32</f>
        <v>21247314.448000003</v>
      </c>
      <c r="AS42" s="92">
        <f>AR42/AT42</f>
        <v>0.37908419935361048</v>
      </c>
      <c r="AT42" s="207">
        <f>'TOTAL POR UF'!$Q$32</f>
        <v>56049063.728399999</v>
      </c>
    </row>
    <row r="43" spans="1:47">
      <c r="A43" s="197"/>
      <c r="B43" s="195"/>
      <c r="C43" s="196"/>
      <c r="D43" s="195"/>
      <c r="E43" s="195"/>
      <c r="F43" s="195"/>
      <c r="G43" s="195"/>
      <c r="H43" s="195"/>
      <c r="I43" s="195"/>
      <c r="J43" s="195"/>
      <c r="K43" s="93"/>
      <c r="L43" s="93"/>
      <c r="M43" s="93"/>
      <c r="AQ43" s="208" t="s">
        <v>209</v>
      </c>
      <c r="AR43" s="207">
        <f>BC32</f>
        <v>67954325.757394046</v>
      </c>
      <c r="AS43" s="92"/>
      <c r="AT43" s="207"/>
    </row>
    <row r="44" spans="1:47">
      <c r="A44" s="197"/>
      <c r="B44" s="195"/>
      <c r="C44" s="196"/>
      <c r="D44" s="195"/>
      <c r="E44" s="195"/>
      <c r="F44" s="195"/>
      <c r="G44" s="195"/>
      <c r="H44" s="195"/>
      <c r="I44" s="195"/>
      <c r="J44" s="195"/>
      <c r="K44" s="93"/>
      <c r="L44" s="93"/>
      <c r="M44" s="93"/>
      <c r="AQ44" s="208" t="s">
        <v>332</v>
      </c>
      <c r="AR44" s="92">
        <f>BD32</f>
        <v>0.30087790340562293</v>
      </c>
      <c r="AS44" s="92"/>
      <c r="AT44" s="207"/>
    </row>
    <row r="45" spans="1:47">
      <c r="A45" s="197"/>
      <c r="B45" s="195"/>
      <c r="C45" s="196"/>
      <c r="D45" s="195"/>
      <c r="E45" s="195"/>
      <c r="F45" s="195"/>
      <c r="G45" s="195"/>
      <c r="H45" s="195"/>
      <c r="I45" s="195"/>
      <c r="J45" s="195"/>
      <c r="K45" s="93"/>
      <c r="L45" s="93"/>
      <c r="M45" s="93"/>
      <c r="AQ45" s="261" t="s">
        <v>233</v>
      </c>
      <c r="AR45" s="207">
        <f>BE32</f>
        <v>1838101.2864000001</v>
      </c>
      <c r="AS45" s="92">
        <f>AR45/AT45</f>
        <v>3.2794504745110239E-2</v>
      </c>
      <c r="AT45" s="207">
        <f>'TOTAL POR UF'!$Q$32</f>
        <v>56049063.728399999</v>
      </c>
    </row>
    <row r="46" spans="1:47">
      <c r="A46" s="197"/>
      <c r="B46" s="195"/>
      <c r="C46" s="196"/>
      <c r="D46" s="195"/>
      <c r="E46" s="195"/>
      <c r="F46" s="195"/>
      <c r="G46" s="195"/>
      <c r="H46" s="195"/>
      <c r="I46" s="195"/>
      <c r="J46" s="195"/>
      <c r="K46" s="93"/>
      <c r="L46" s="93"/>
      <c r="M46" s="93"/>
      <c r="AQ46" s="261" t="s">
        <v>209</v>
      </c>
      <c r="AR46" s="207">
        <f>BF32</f>
        <v>5328768.8413184965</v>
      </c>
      <c r="AS46" s="92"/>
    </row>
    <row r="47" spans="1:47" ht="15.75" thickBot="1">
      <c r="A47" s="200"/>
      <c r="B47" s="198"/>
      <c r="C47" s="199"/>
      <c r="D47" s="198"/>
      <c r="E47" s="198"/>
      <c r="F47" s="198"/>
      <c r="G47" s="198"/>
      <c r="H47" s="198"/>
      <c r="I47" s="198"/>
      <c r="J47" s="198"/>
      <c r="K47" s="93"/>
      <c r="L47" s="93"/>
      <c r="M47" s="93"/>
      <c r="AQ47" s="262" t="s">
        <v>332</v>
      </c>
      <c r="AR47" s="92">
        <f>BG32</f>
        <v>0.38279602485406783</v>
      </c>
      <c r="AS47" s="92"/>
    </row>
    <row r="48" spans="1:47">
      <c r="A48" s="197"/>
      <c r="B48" s="195"/>
      <c r="C48" s="196"/>
      <c r="D48" s="195"/>
      <c r="E48" s="195"/>
      <c r="F48" s="195"/>
      <c r="G48" s="195"/>
      <c r="H48" s="195"/>
      <c r="I48" s="195"/>
      <c r="J48" s="195"/>
      <c r="K48" s="93"/>
      <c r="L48" s="93"/>
      <c r="M48" s="93"/>
      <c r="AQ48" s="206" t="s">
        <v>331</v>
      </c>
      <c r="AR48" s="93">
        <f>BH32</f>
        <v>170258</v>
      </c>
      <c r="AS48" s="92"/>
    </row>
    <row r="49" spans="1:45">
      <c r="A49" s="197"/>
      <c r="B49" s="195"/>
      <c r="C49" s="196"/>
      <c r="D49" s="195"/>
      <c r="E49" s="195"/>
      <c r="F49" s="195"/>
      <c r="G49" s="195"/>
      <c r="H49" s="195"/>
      <c r="I49" s="195"/>
      <c r="J49" s="195"/>
      <c r="K49" s="93"/>
      <c r="L49" s="93"/>
      <c r="M49" s="93"/>
      <c r="AQ49" s="205" t="s">
        <v>330</v>
      </c>
      <c r="AR49" s="93">
        <f>BI32</f>
        <v>4070</v>
      </c>
      <c r="AS49" s="92"/>
    </row>
    <row r="50" spans="1:45">
      <c r="A50" s="197"/>
      <c r="B50" s="195"/>
      <c r="C50" s="196"/>
      <c r="D50" s="195"/>
      <c r="E50" s="195"/>
      <c r="F50" s="195"/>
      <c r="G50" s="195"/>
      <c r="H50" s="195"/>
      <c r="I50" s="195"/>
      <c r="J50" s="195"/>
      <c r="K50" s="93"/>
      <c r="L50" s="93"/>
      <c r="M50" s="93"/>
      <c r="AQ50" s="205" t="s">
        <v>322</v>
      </c>
      <c r="AR50" s="93">
        <f>BJ32</f>
        <v>176941</v>
      </c>
      <c r="AS50" s="92"/>
    </row>
    <row r="51" spans="1:45">
      <c r="A51" s="197"/>
      <c r="B51" s="195"/>
      <c r="C51" s="196"/>
      <c r="D51" s="195"/>
      <c r="E51" s="195"/>
      <c r="F51" s="195"/>
      <c r="G51" s="195"/>
      <c r="H51" s="195"/>
      <c r="I51" s="195"/>
      <c r="J51" s="195"/>
      <c r="K51" s="93"/>
      <c r="L51" s="93"/>
      <c r="M51" s="93"/>
      <c r="AQ51" s="205" t="s">
        <v>329</v>
      </c>
      <c r="AR51" s="92">
        <f>BK32</f>
        <v>0.95263442868659609</v>
      </c>
      <c r="AS51" s="92"/>
    </row>
    <row r="52" spans="1:45">
      <c r="A52" s="197"/>
      <c r="B52" s="195"/>
      <c r="C52" s="196"/>
      <c r="D52" s="195"/>
      <c r="E52" s="195"/>
      <c r="F52" s="195"/>
      <c r="G52" s="195"/>
      <c r="H52" s="195"/>
      <c r="I52" s="195"/>
      <c r="J52" s="195"/>
      <c r="K52" s="93"/>
      <c r="L52" s="93"/>
      <c r="M52" s="93"/>
      <c r="AQ52" s="205" t="s">
        <v>328</v>
      </c>
      <c r="AR52" s="93">
        <f>BL32</f>
        <v>27500</v>
      </c>
      <c r="AS52" s="92"/>
    </row>
    <row r="53" spans="1:45">
      <c r="A53" s="197"/>
      <c r="B53" s="195"/>
      <c r="C53" s="196"/>
      <c r="D53" s="195"/>
      <c r="E53" s="195"/>
      <c r="F53" s="195"/>
      <c r="G53" s="195"/>
      <c r="H53" s="195"/>
      <c r="I53" s="195"/>
      <c r="J53" s="195"/>
      <c r="K53" s="93"/>
      <c r="L53" s="93"/>
      <c r="M53" s="93"/>
      <c r="AQ53" s="205" t="s">
        <v>327</v>
      </c>
      <c r="AR53" s="93">
        <f>BM32</f>
        <v>851</v>
      </c>
      <c r="AS53" s="92"/>
    </row>
    <row r="54" spans="1:45">
      <c r="A54" s="197"/>
      <c r="B54" s="195"/>
      <c r="C54" s="196"/>
      <c r="D54" s="195"/>
      <c r="E54" s="195"/>
      <c r="F54" s="195"/>
      <c r="G54" s="195"/>
      <c r="H54" s="195"/>
      <c r="I54" s="195"/>
      <c r="J54" s="195"/>
      <c r="K54" s="93"/>
      <c r="L54" s="93"/>
      <c r="M54" s="93"/>
      <c r="AQ54" s="205" t="s">
        <v>321</v>
      </c>
      <c r="AR54" s="93">
        <f>BN32</f>
        <v>31847.446503673902</v>
      </c>
      <c r="AS54" s="92"/>
    </row>
    <row r="55" spans="1:45" ht="15.75" thickBot="1">
      <c r="A55" s="197"/>
      <c r="B55" s="195"/>
      <c r="C55" s="196"/>
      <c r="D55" s="195"/>
      <c r="E55" s="195"/>
      <c r="F55" s="195"/>
      <c r="G55" s="195"/>
      <c r="H55" s="195"/>
      <c r="I55" s="195"/>
      <c r="J55" s="195"/>
      <c r="K55" s="93"/>
      <c r="L55" s="93"/>
      <c r="M55" s="93"/>
      <c r="AQ55" s="205" t="s">
        <v>326</v>
      </c>
      <c r="AR55" s="92">
        <f>BO32</f>
        <v>0.86310903356466695</v>
      </c>
      <c r="AS55" s="92"/>
    </row>
    <row r="56" spans="1:45">
      <c r="A56" s="197"/>
      <c r="B56" s="195"/>
      <c r="C56" s="196"/>
      <c r="D56" s="195"/>
      <c r="E56" s="195"/>
      <c r="F56" s="195"/>
      <c r="G56" s="195"/>
      <c r="H56" s="195"/>
      <c r="I56" s="195"/>
      <c r="J56" s="195"/>
      <c r="K56" s="93"/>
      <c r="L56" s="93"/>
      <c r="M56" s="93"/>
      <c r="AQ56" s="203" t="s">
        <v>325</v>
      </c>
      <c r="AR56" s="93">
        <f>BP32</f>
        <v>282931</v>
      </c>
      <c r="AS56" s="92"/>
    </row>
    <row r="57" spans="1:45">
      <c r="A57" s="200"/>
      <c r="B57" s="198"/>
      <c r="C57" s="199"/>
      <c r="D57" s="198"/>
      <c r="E57" s="198"/>
      <c r="F57" s="198"/>
      <c r="G57" s="198"/>
      <c r="H57" s="198"/>
      <c r="I57" s="198"/>
      <c r="J57" s="198"/>
      <c r="K57" s="93"/>
      <c r="L57" s="93"/>
      <c r="M57" s="93"/>
      <c r="AQ57" s="208" t="s">
        <v>476</v>
      </c>
      <c r="AR57" s="93">
        <f>BQ32</f>
        <v>898768</v>
      </c>
      <c r="AS57" s="92"/>
    </row>
    <row r="58" spans="1:45">
      <c r="A58" s="197"/>
      <c r="B58" s="195"/>
      <c r="C58" s="196"/>
      <c r="D58" s="195"/>
      <c r="E58" s="195"/>
      <c r="F58" s="195"/>
      <c r="G58" s="195"/>
      <c r="H58" s="195"/>
      <c r="I58" s="195"/>
      <c r="J58" s="195"/>
      <c r="K58" s="93"/>
      <c r="L58" s="93"/>
      <c r="M58" s="93"/>
      <c r="AQ58" s="202" t="s">
        <v>324</v>
      </c>
      <c r="AR58" s="204">
        <f>BR32</f>
        <v>1.7000000000000002</v>
      </c>
      <c r="AS58" s="92"/>
    </row>
    <row r="59" spans="1:45" ht="15.75" thickBot="1">
      <c r="A59" s="197"/>
      <c r="B59" s="195"/>
      <c r="C59" s="196"/>
      <c r="D59" s="195"/>
      <c r="E59" s="195"/>
      <c r="F59" s="195"/>
      <c r="G59" s="195"/>
      <c r="H59" s="195"/>
      <c r="I59" s="195"/>
      <c r="J59" s="195"/>
      <c r="K59" s="93"/>
      <c r="L59" s="93"/>
      <c r="M59" s="93"/>
      <c r="AQ59" s="201" t="s">
        <v>323</v>
      </c>
      <c r="AR59" s="204">
        <f>BS32</f>
        <v>5.5</v>
      </c>
      <c r="AS59" s="92"/>
    </row>
    <row r="60" spans="1:45">
      <c r="A60" s="197"/>
      <c r="B60" s="195"/>
      <c r="C60" s="196"/>
      <c r="D60" s="195"/>
      <c r="E60" s="195"/>
      <c r="F60" s="195"/>
      <c r="G60" s="195"/>
      <c r="H60" s="195"/>
      <c r="I60" s="195"/>
      <c r="J60" s="195"/>
      <c r="K60" s="93"/>
      <c r="L60" s="93"/>
      <c r="M60" s="93"/>
      <c r="AQ60" s="205" t="s">
        <v>479</v>
      </c>
      <c r="AR60" s="92">
        <f>BT32</f>
        <v>0.4976488566000154</v>
      </c>
      <c r="AS60" s="92"/>
    </row>
    <row r="61" spans="1:45">
      <c r="A61" s="197"/>
      <c r="B61" s="195"/>
      <c r="C61" s="196"/>
      <c r="D61" s="195"/>
      <c r="E61" s="195"/>
      <c r="F61" s="195"/>
      <c r="G61" s="195"/>
      <c r="H61" s="195"/>
      <c r="I61" s="195"/>
      <c r="J61" s="195"/>
      <c r="K61" s="93"/>
      <c r="L61" s="93"/>
      <c r="M61" s="93"/>
      <c r="AQ61" s="205" t="s">
        <v>322</v>
      </c>
      <c r="AR61" s="92">
        <f>BU32</f>
        <v>0.83440740740740749</v>
      </c>
      <c r="AS61" s="92"/>
    </row>
    <row r="62" spans="1:45">
      <c r="A62" s="197"/>
      <c r="B62" s="195"/>
      <c r="C62" s="196"/>
      <c r="D62" s="195"/>
      <c r="E62" s="195"/>
      <c r="F62" s="195"/>
      <c r="G62" s="195"/>
      <c r="H62" s="195"/>
      <c r="I62" s="195"/>
      <c r="J62" s="195"/>
      <c r="K62" s="93"/>
      <c r="L62" s="93"/>
      <c r="M62" s="93"/>
      <c r="AQ62" s="205" t="s">
        <v>480</v>
      </c>
      <c r="AR62" s="92">
        <f>BV32</f>
        <v>0.28547959701212161</v>
      </c>
      <c r="AS62" s="92"/>
    </row>
    <row r="63" spans="1:45">
      <c r="A63" s="197"/>
      <c r="B63" s="195"/>
      <c r="C63" s="196"/>
      <c r="D63" s="195"/>
      <c r="E63" s="195"/>
      <c r="F63" s="195"/>
      <c r="G63" s="195"/>
      <c r="H63" s="195"/>
      <c r="I63" s="195"/>
      <c r="J63" s="195"/>
      <c r="K63" s="93"/>
      <c r="L63" s="93"/>
      <c r="M63" s="93"/>
      <c r="AQ63" s="205" t="s">
        <v>321</v>
      </c>
      <c r="AR63" s="92">
        <f>BW32</f>
        <v>0.6653321326072793</v>
      </c>
      <c r="AS63" s="92"/>
    </row>
    <row r="64" spans="1:45">
      <c r="A64" s="197"/>
      <c r="B64" s="195"/>
      <c r="C64" s="196"/>
      <c r="D64" s="195"/>
      <c r="E64" s="195"/>
      <c r="F64" s="195"/>
      <c r="G64" s="195"/>
      <c r="H64" s="195"/>
      <c r="I64" s="195"/>
      <c r="J64" s="195"/>
      <c r="K64" s="93"/>
      <c r="L64" s="93"/>
      <c r="M64" s="93"/>
      <c r="AQ64" s="205" t="s">
        <v>320</v>
      </c>
      <c r="AR64" s="93">
        <f>BX32</f>
        <v>62472.928645149186</v>
      </c>
      <c r="AS64" s="92"/>
    </row>
    <row r="65" spans="1:45" ht="15.75" thickBot="1">
      <c r="A65" s="200"/>
      <c r="B65" s="198"/>
      <c r="C65" s="199"/>
      <c r="D65" s="198"/>
      <c r="E65" s="198"/>
      <c r="F65" s="198"/>
      <c r="G65" s="198"/>
      <c r="H65" s="198"/>
      <c r="I65" s="198"/>
      <c r="J65" s="198"/>
      <c r="K65" s="93"/>
      <c r="L65" s="93"/>
      <c r="M65" s="93"/>
      <c r="AQ65" s="205" t="s">
        <v>319</v>
      </c>
      <c r="AR65" s="93">
        <f>BY32</f>
        <v>107785.07135485082</v>
      </c>
      <c r="AS65" s="92"/>
    </row>
    <row r="66" spans="1:45">
      <c r="A66" s="197"/>
      <c r="B66" s="195"/>
      <c r="C66" s="196"/>
      <c r="D66" s="195"/>
      <c r="E66" s="195"/>
      <c r="F66" s="195"/>
      <c r="G66" s="195"/>
      <c r="H66" s="195"/>
      <c r="I66" s="195"/>
      <c r="J66" s="195"/>
      <c r="K66" s="93"/>
      <c r="L66" s="93"/>
      <c r="M66" s="93"/>
      <c r="AQ66" s="212" t="s">
        <v>318</v>
      </c>
      <c r="AR66" s="93">
        <f>BZ32</f>
        <v>4368</v>
      </c>
      <c r="AS66" s="92"/>
    </row>
    <row r="67" spans="1:45">
      <c r="A67" s="197"/>
      <c r="B67" s="195"/>
      <c r="C67" s="196"/>
      <c r="D67" s="195"/>
      <c r="E67" s="195"/>
      <c r="F67" s="195"/>
      <c r="G67" s="195"/>
      <c r="H67" s="195"/>
      <c r="I67" s="195"/>
      <c r="J67" s="195"/>
      <c r="K67" s="93"/>
      <c r="L67" s="93"/>
      <c r="M67" s="93"/>
      <c r="AQ67" s="209" t="s">
        <v>317</v>
      </c>
      <c r="AR67" s="93">
        <f>CA32</f>
        <v>13444.35</v>
      </c>
      <c r="AS67" s="92"/>
    </row>
    <row r="68" spans="1:45" ht="15.75" thickBot="1">
      <c r="A68" s="197"/>
      <c r="B68" s="195"/>
      <c r="C68" s="196"/>
      <c r="D68" s="195"/>
      <c r="E68" s="195"/>
      <c r="F68" s="195"/>
      <c r="G68" s="196"/>
      <c r="H68" s="195"/>
      <c r="I68" s="195"/>
      <c r="J68" s="195"/>
      <c r="AQ68" s="259" t="s">
        <v>316</v>
      </c>
      <c r="AR68" s="92">
        <f>CB32</f>
        <v>0.35757789806160195</v>
      </c>
    </row>
    <row r="69" spans="1:45">
      <c r="A69" s="197"/>
      <c r="B69" s="195"/>
      <c r="C69" s="196"/>
      <c r="D69" s="195"/>
      <c r="E69" s="195"/>
      <c r="F69" s="195"/>
      <c r="G69" s="196"/>
      <c r="H69" s="195"/>
      <c r="I69" s="195"/>
      <c r="J69" s="195"/>
      <c r="AQ69" s="274" t="s">
        <v>484</v>
      </c>
      <c r="AR69" s="71">
        <f>CC32</f>
        <v>7.3169629821545221E-2</v>
      </c>
    </row>
    <row r="70" spans="1:45">
      <c r="A70" s="200"/>
      <c r="B70" s="198"/>
      <c r="C70" s="199"/>
      <c r="D70" s="198"/>
      <c r="E70" s="198"/>
      <c r="F70" s="198"/>
      <c r="G70" s="199"/>
      <c r="H70" s="198"/>
      <c r="I70" s="198"/>
      <c r="J70" s="198"/>
      <c r="AQ70" s="274" t="s">
        <v>485</v>
      </c>
      <c r="AR70" s="71">
        <f>CD32</f>
        <v>0.15786986343213325</v>
      </c>
    </row>
    <row r="71" spans="1:45">
      <c r="A71" s="197"/>
      <c r="B71" s="195"/>
      <c r="C71" s="196"/>
      <c r="D71" s="195"/>
      <c r="E71" s="195"/>
      <c r="F71" s="195"/>
      <c r="G71" s="196"/>
      <c r="H71" s="195"/>
      <c r="I71" s="195"/>
      <c r="J71" s="195"/>
      <c r="AQ71" s="274" t="s">
        <v>486</v>
      </c>
      <c r="AR71" s="71">
        <f>CE32</f>
        <v>9.5897148514070038E-2</v>
      </c>
    </row>
    <row r="72" spans="1:45">
      <c r="A72" s="197"/>
      <c r="B72" s="195"/>
      <c r="C72" s="196"/>
      <c r="D72" s="195"/>
      <c r="E72" s="195"/>
      <c r="F72" s="195"/>
      <c r="G72" s="196"/>
      <c r="H72" s="195"/>
      <c r="I72" s="195"/>
      <c r="J72" s="195"/>
      <c r="AQ72" s="274" t="s">
        <v>487</v>
      </c>
      <c r="AR72" s="71">
        <f>CF32</f>
        <v>4.9344317451967039E-2</v>
      </c>
    </row>
    <row r="73" spans="1:45">
      <c r="A73" s="197"/>
      <c r="B73" s="195"/>
      <c r="C73" s="196"/>
      <c r="D73" s="195"/>
      <c r="E73" s="195"/>
      <c r="F73" s="195"/>
      <c r="G73" s="196"/>
      <c r="H73" s="195"/>
      <c r="I73" s="195"/>
      <c r="J73" s="195"/>
    </row>
    <row r="74" spans="1:45">
      <c r="A74" s="197"/>
      <c r="B74" s="195"/>
      <c r="C74" s="196"/>
      <c r="D74" s="195"/>
      <c r="E74" s="195"/>
      <c r="F74" s="195"/>
      <c r="G74" s="196"/>
      <c r="H74" s="195"/>
      <c r="I74" s="195"/>
      <c r="J74" s="195"/>
    </row>
    <row r="75" spans="1:45">
      <c r="A75" s="197"/>
      <c r="B75" s="195"/>
      <c r="C75" s="196"/>
      <c r="D75" s="195"/>
      <c r="E75" s="195"/>
      <c r="F75" s="195"/>
      <c r="G75" s="196"/>
      <c r="H75" s="195"/>
      <c r="I75" s="195"/>
      <c r="J75" s="195"/>
    </row>
    <row r="76" spans="1:45">
      <c r="A76" s="197"/>
      <c r="B76" s="195"/>
      <c r="C76" s="196"/>
      <c r="D76" s="195"/>
      <c r="E76" s="195"/>
      <c r="F76" s="195"/>
      <c r="G76" s="196"/>
      <c r="H76" s="195"/>
      <c r="I76" s="195"/>
      <c r="J76" s="195"/>
    </row>
    <row r="77" spans="1:45">
      <c r="A77" s="197"/>
      <c r="B77" s="195"/>
      <c r="C77" s="196"/>
      <c r="D77" s="195"/>
      <c r="E77" s="195"/>
      <c r="F77" s="195"/>
      <c r="G77" s="196"/>
      <c r="H77" s="195"/>
      <c r="I77" s="195"/>
      <c r="J77" s="195"/>
    </row>
    <row r="78" spans="1:45">
      <c r="A78" s="197"/>
      <c r="B78" s="195"/>
      <c r="C78" s="196"/>
      <c r="D78" s="195"/>
      <c r="E78" s="195"/>
      <c r="F78" s="195"/>
      <c r="G78" s="196"/>
      <c r="H78" s="195"/>
      <c r="I78" s="195"/>
      <c r="J78" s="195"/>
    </row>
    <row r="79" spans="1:45">
      <c r="A79" s="197"/>
      <c r="B79" s="195"/>
      <c r="C79" s="196"/>
      <c r="D79" s="195"/>
      <c r="E79" s="195"/>
      <c r="F79" s="195"/>
      <c r="G79" s="196"/>
      <c r="H79" s="195"/>
      <c r="I79" s="195"/>
      <c r="J79" s="195"/>
    </row>
    <row r="80" spans="1:45">
      <c r="A80" s="197"/>
      <c r="B80" s="195"/>
      <c r="C80" s="196"/>
      <c r="D80" s="195"/>
      <c r="E80" s="195"/>
      <c r="F80" s="195"/>
      <c r="G80" s="196"/>
      <c r="H80" s="195"/>
      <c r="I80" s="195"/>
      <c r="J80" s="195"/>
    </row>
    <row r="81" spans="1:10">
      <c r="A81" s="197"/>
      <c r="B81" s="195"/>
      <c r="C81" s="196"/>
      <c r="D81" s="195"/>
      <c r="E81" s="195"/>
      <c r="F81" s="195"/>
      <c r="G81" s="196"/>
      <c r="H81" s="195"/>
      <c r="I81" s="195"/>
      <c r="J81" s="195"/>
    </row>
    <row r="82" spans="1:10">
      <c r="A82" s="200"/>
      <c r="B82" s="198"/>
      <c r="C82" s="199"/>
      <c r="D82" s="198"/>
      <c r="E82" s="198"/>
      <c r="F82" s="198"/>
      <c r="G82" s="199"/>
      <c r="H82" s="198"/>
      <c r="I82" s="198"/>
      <c r="J82" s="198"/>
    </row>
    <row r="83" spans="1:10">
      <c r="A83" s="197"/>
      <c r="B83" s="195"/>
      <c r="C83" s="196"/>
      <c r="D83" s="195"/>
      <c r="E83" s="195"/>
      <c r="F83" s="195"/>
      <c r="G83" s="196"/>
      <c r="H83" s="195"/>
      <c r="I83" s="195"/>
      <c r="J83" s="195"/>
    </row>
    <row r="84" spans="1:10">
      <c r="A84" s="197"/>
      <c r="B84" s="195"/>
      <c r="C84" s="196"/>
      <c r="D84" s="195"/>
      <c r="E84" s="195"/>
      <c r="F84" s="195"/>
      <c r="G84" s="196"/>
      <c r="H84" s="195"/>
      <c r="I84" s="195"/>
      <c r="J84" s="195"/>
    </row>
    <row r="85" spans="1:10">
      <c r="A85" s="197"/>
      <c r="B85" s="195"/>
      <c r="C85" s="196"/>
      <c r="D85" s="195"/>
      <c r="E85" s="195"/>
      <c r="F85" s="195"/>
      <c r="G85" s="196"/>
      <c r="H85" s="195"/>
      <c r="I85" s="195"/>
      <c r="J85" s="195"/>
    </row>
    <row r="86" spans="1:10">
      <c r="A86" s="200"/>
      <c r="B86" s="198"/>
      <c r="C86" s="199"/>
      <c r="D86" s="198"/>
      <c r="E86" s="198"/>
      <c r="F86" s="198"/>
      <c r="G86" s="199"/>
      <c r="H86" s="198"/>
      <c r="I86" s="198"/>
      <c r="J86" s="198"/>
    </row>
    <row r="87" spans="1:10">
      <c r="A87" s="197"/>
      <c r="B87" s="195"/>
      <c r="C87" s="196"/>
      <c r="D87" s="195"/>
      <c r="E87" s="195"/>
      <c r="F87" s="195"/>
      <c r="G87" s="196"/>
      <c r="H87" s="195"/>
      <c r="I87" s="195"/>
      <c r="J87" s="195"/>
    </row>
    <row r="88" spans="1:10">
      <c r="A88" s="197"/>
      <c r="B88" s="195"/>
      <c r="C88" s="196"/>
      <c r="D88" s="195"/>
      <c r="E88" s="195"/>
      <c r="F88" s="195"/>
      <c r="G88" s="196"/>
      <c r="H88" s="195"/>
      <c r="I88" s="195"/>
      <c r="J88" s="195"/>
    </row>
    <row r="89" spans="1:10">
      <c r="A89" s="197"/>
      <c r="B89" s="195"/>
      <c r="C89" s="196"/>
      <c r="D89" s="195"/>
      <c r="E89" s="195"/>
      <c r="F89" s="195"/>
      <c r="G89" s="196"/>
      <c r="H89" s="195"/>
      <c r="I89" s="195"/>
      <c r="J89" s="195"/>
    </row>
    <row r="90" spans="1:10">
      <c r="A90" s="197"/>
      <c r="B90" s="195"/>
      <c r="C90" s="196"/>
      <c r="D90" s="195"/>
      <c r="E90" s="195"/>
      <c r="F90" s="195"/>
      <c r="G90" s="196"/>
      <c r="H90" s="195"/>
      <c r="I90" s="195"/>
      <c r="J90" s="195"/>
    </row>
    <row r="91" spans="1:10">
      <c r="A91" s="197"/>
      <c r="B91" s="195"/>
      <c r="C91" s="196"/>
      <c r="D91" s="195"/>
      <c r="E91" s="195"/>
      <c r="F91" s="195"/>
      <c r="G91" s="196"/>
      <c r="H91" s="195"/>
      <c r="I91" s="195"/>
      <c r="J91" s="195"/>
    </row>
    <row r="92" spans="1:10">
      <c r="A92" s="197"/>
      <c r="B92" s="195"/>
      <c r="C92" s="196"/>
      <c r="D92" s="195"/>
      <c r="E92" s="195"/>
      <c r="F92" s="195"/>
      <c r="G92" s="196"/>
      <c r="H92" s="195"/>
      <c r="I92" s="195"/>
      <c r="J92" s="195"/>
    </row>
    <row r="93" spans="1:10">
      <c r="A93" s="197"/>
      <c r="B93" s="195"/>
      <c r="C93" s="196"/>
      <c r="D93" s="195"/>
      <c r="E93" s="195"/>
      <c r="F93" s="195"/>
      <c r="G93" s="196"/>
      <c r="H93" s="195"/>
      <c r="I93" s="195"/>
      <c r="J93" s="195"/>
    </row>
    <row r="94" spans="1:10">
      <c r="A94" s="197"/>
      <c r="B94" s="195"/>
      <c r="C94" s="196"/>
      <c r="D94" s="195"/>
      <c r="E94" s="195"/>
      <c r="F94" s="195"/>
      <c r="G94" s="196"/>
      <c r="H94" s="195"/>
      <c r="I94" s="195"/>
      <c r="J94" s="195"/>
    </row>
    <row r="95" spans="1:10">
      <c r="A95" s="161"/>
      <c r="B95" s="194"/>
      <c r="C95" s="193"/>
      <c r="D95" s="194"/>
      <c r="E95" s="194"/>
      <c r="F95" s="194"/>
      <c r="G95" s="193"/>
      <c r="H95" s="161"/>
      <c r="I95" s="161"/>
      <c r="J95" s="161"/>
    </row>
    <row r="96" spans="1:10">
      <c r="A96" s="161"/>
      <c r="B96" s="161"/>
      <c r="C96" s="161"/>
      <c r="D96" s="161"/>
      <c r="E96" s="161"/>
      <c r="F96" s="161"/>
      <c r="G96" s="161"/>
      <c r="H96" s="161"/>
      <c r="I96" s="161"/>
      <c r="J96" s="161"/>
    </row>
    <row r="97" spans="1:10">
      <c r="A97" s="161"/>
      <c r="B97" s="161"/>
      <c r="C97" s="161"/>
      <c r="D97" s="161"/>
      <c r="E97" s="161"/>
      <c r="F97" s="161"/>
      <c r="G97" s="161"/>
      <c r="H97" s="161"/>
      <c r="I97" s="161"/>
      <c r="J97" s="161"/>
    </row>
    <row r="98" spans="1:10">
      <c r="A98" s="161"/>
      <c r="B98" s="161"/>
      <c r="C98" s="161"/>
      <c r="D98" s="161"/>
      <c r="E98" s="161"/>
      <c r="F98" s="161"/>
      <c r="G98" s="161"/>
      <c r="H98" s="161"/>
      <c r="I98" s="161"/>
      <c r="J98" s="161"/>
    </row>
    <row r="99" spans="1:10">
      <c r="A99" s="161"/>
      <c r="B99" s="161"/>
      <c r="C99" s="161"/>
      <c r="D99" s="161"/>
      <c r="E99" s="161"/>
      <c r="F99" s="161"/>
      <c r="G99" s="161"/>
      <c r="H99" s="161"/>
      <c r="I99" s="161"/>
      <c r="J99" s="161"/>
    </row>
    <row r="100" spans="1:10">
      <c r="A100" s="161"/>
      <c r="B100" s="161"/>
      <c r="C100" s="161"/>
      <c r="D100" s="161"/>
      <c r="E100" s="161"/>
      <c r="F100" s="161"/>
      <c r="G100" s="161"/>
      <c r="H100" s="161"/>
      <c r="I100" s="161"/>
      <c r="J100" s="161"/>
    </row>
    <row r="101" spans="1:10">
      <c r="A101" s="161"/>
      <c r="B101" s="161"/>
      <c r="C101" s="161"/>
      <c r="D101" s="161"/>
      <c r="E101" s="161"/>
      <c r="F101" s="161"/>
      <c r="G101" s="161"/>
      <c r="H101" s="161"/>
      <c r="I101" s="161"/>
      <c r="J101" s="161"/>
    </row>
    <row r="102" spans="1:10">
      <c r="A102" s="161"/>
      <c r="B102" s="161"/>
      <c r="C102" s="161"/>
      <c r="D102" s="161"/>
      <c r="E102" s="161"/>
      <c r="F102" s="161"/>
      <c r="G102" s="161"/>
      <c r="H102" s="161"/>
      <c r="I102" s="161"/>
      <c r="J102" s="161"/>
    </row>
    <row r="103" spans="1:10">
      <c r="A103" s="161"/>
      <c r="B103" s="161"/>
      <c r="C103" s="161"/>
      <c r="D103" s="161"/>
      <c r="E103" s="161"/>
      <c r="F103" s="161"/>
      <c r="G103" s="161"/>
      <c r="H103" s="161"/>
      <c r="I103" s="161"/>
      <c r="J103" s="161"/>
    </row>
    <row r="104" spans="1:10">
      <c r="A104" s="161"/>
      <c r="B104" s="161"/>
      <c r="C104" s="161"/>
      <c r="D104" s="161"/>
      <c r="E104" s="161"/>
      <c r="F104" s="161"/>
      <c r="G104" s="161"/>
      <c r="H104" s="161"/>
      <c r="I104" s="161"/>
      <c r="J104" s="161"/>
    </row>
    <row r="105" spans="1:10">
      <c r="A105" s="161"/>
      <c r="B105" s="161"/>
      <c r="C105" s="161"/>
      <c r="D105" s="161"/>
      <c r="E105" s="161"/>
      <c r="F105" s="161"/>
      <c r="G105" s="161"/>
      <c r="H105" s="161"/>
      <c r="I105" s="161"/>
      <c r="J105" s="161"/>
    </row>
    <row r="106" spans="1:10">
      <c r="A106" s="161"/>
      <c r="B106" s="161"/>
      <c r="C106" s="161"/>
      <c r="D106" s="161"/>
      <c r="E106" s="161"/>
      <c r="F106" s="161"/>
      <c r="G106" s="161"/>
      <c r="H106" s="161"/>
      <c r="I106" s="161"/>
      <c r="J106" s="161"/>
    </row>
    <row r="107" spans="1:10">
      <c r="A107" s="161"/>
      <c r="B107" s="161"/>
      <c r="C107" s="161"/>
      <c r="D107" s="161"/>
      <c r="E107" s="161"/>
      <c r="F107" s="161"/>
      <c r="G107" s="161"/>
      <c r="H107" s="161"/>
      <c r="I107" s="161"/>
      <c r="J107" s="161"/>
    </row>
    <row r="108" spans="1:10">
      <c r="A108" s="161"/>
      <c r="B108" s="161"/>
      <c r="C108" s="161"/>
      <c r="D108" s="161"/>
      <c r="E108" s="161"/>
      <c r="F108" s="161"/>
      <c r="G108" s="161"/>
      <c r="H108" s="161"/>
      <c r="I108" s="161"/>
      <c r="J108" s="161"/>
    </row>
    <row r="109" spans="1:10">
      <c r="A109" s="161"/>
      <c r="B109" s="161"/>
      <c r="C109" s="161"/>
      <c r="D109" s="161"/>
      <c r="E109" s="161"/>
      <c r="F109" s="161"/>
      <c r="G109" s="161"/>
      <c r="H109" s="161"/>
      <c r="I109" s="161"/>
      <c r="J109" s="161"/>
    </row>
    <row r="110" spans="1:10">
      <c r="A110" s="161"/>
      <c r="B110" s="161"/>
      <c r="C110" s="161"/>
      <c r="D110" s="161"/>
      <c r="E110" s="161"/>
      <c r="F110" s="161"/>
      <c r="G110" s="161"/>
      <c r="H110" s="161"/>
      <c r="I110" s="161"/>
      <c r="J110" s="161"/>
    </row>
  </sheetData>
  <autoFilter ref="A3:AO3" xr:uid="{00000000-0009-0000-0000-000014000000}"/>
  <mergeCells count="15">
    <mergeCell ref="AM1:AP2"/>
    <mergeCell ref="D1:Q1"/>
    <mergeCell ref="D2:G2"/>
    <mergeCell ref="H2:K2"/>
    <mergeCell ref="L2:N2"/>
    <mergeCell ref="O2:Q2"/>
    <mergeCell ref="AH1:AI2"/>
    <mergeCell ref="AJ1:AL2"/>
    <mergeCell ref="Z2:AC2"/>
    <mergeCell ref="V2:Y2"/>
    <mergeCell ref="R2:U2"/>
    <mergeCell ref="AD1:AG1"/>
    <mergeCell ref="AF2:AG2"/>
    <mergeCell ref="AD2:AE2"/>
    <mergeCell ref="R1:AC1"/>
  </mergeCells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2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59999389629810485"/>
  </sheetPr>
  <dimension ref="A1:U54"/>
  <sheetViews>
    <sheetView zoomScale="70" zoomScaleNormal="70" workbookViewId="0">
      <selection activeCell="A2" sqref="A2:AC37"/>
    </sheetView>
  </sheetViews>
  <sheetFormatPr defaultRowHeight="15"/>
  <cols>
    <col min="1" max="1" width="14.7109375" style="159" customWidth="1"/>
    <col min="2" max="2" width="14.7109375" style="159" bestFit="1" customWidth="1"/>
    <col min="3" max="3" width="15.5703125" style="159" customWidth="1"/>
    <col min="4" max="4" width="13.140625" style="159" customWidth="1"/>
    <col min="5" max="7" width="16" style="159" customWidth="1"/>
    <col min="8" max="8" width="16" customWidth="1"/>
    <col min="9" max="9" width="45.28515625" customWidth="1"/>
    <col min="10" max="10" width="24.5703125" bestFit="1" customWidth="1"/>
    <col min="11" max="11" width="23.42578125" bestFit="1" customWidth="1"/>
    <col min="12" max="12" width="23.5703125" bestFit="1" customWidth="1"/>
    <col min="13" max="18" width="11.5703125" customWidth="1"/>
    <col min="20" max="20" width="18" bestFit="1" customWidth="1"/>
    <col min="21" max="21" width="14" bestFit="1" customWidth="1"/>
    <col min="22" max="22" width="40.5703125" customWidth="1"/>
    <col min="23" max="23" width="42.140625" bestFit="1" customWidth="1"/>
    <col min="24" max="24" width="40.28515625" customWidth="1"/>
    <col min="25" max="25" width="42" bestFit="1" customWidth="1"/>
    <col min="26" max="26" width="20.28515625" customWidth="1"/>
    <col min="27" max="27" width="22.42578125" customWidth="1"/>
    <col min="28" max="28" width="26.42578125" bestFit="1" customWidth="1"/>
    <col min="29" max="29" width="26.28515625" customWidth="1"/>
    <col min="30" max="30" width="28.28515625" customWidth="1"/>
    <col min="31" max="31" width="30.140625" bestFit="1" customWidth="1"/>
    <col min="32" max="32" width="30" bestFit="1" customWidth="1"/>
    <col min="33" max="33" width="27.28515625" bestFit="1" customWidth="1"/>
    <col min="34" max="34" width="26" bestFit="1" customWidth="1"/>
  </cols>
  <sheetData>
    <row r="1" spans="1:21">
      <c r="A1" s="257" t="s">
        <v>472</v>
      </c>
      <c r="B1" s="263" t="s">
        <v>473</v>
      </c>
      <c r="C1" s="225" t="s">
        <v>389</v>
      </c>
      <c r="D1" s="225" t="s">
        <v>388</v>
      </c>
      <c r="E1" s="225" t="s">
        <v>387</v>
      </c>
      <c r="F1" s="225" t="s">
        <v>386</v>
      </c>
      <c r="G1" s="264" t="s">
        <v>385</v>
      </c>
      <c r="I1" s="224" t="s">
        <v>410</v>
      </c>
      <c r="J1" t="s">
        <v>409</v>
      </c>
      <c r="K1" t="s">
        <v>408</v>
      </c>
    </row>
    <row r="2" spans="1:21" ht="24" customHeight="1">
      <c r="A2" s="265" t="s">
        <v>412</v>
      </c>
      <c r="B2" s="265" t="s">
        <v>413</v>
      </c>
      <c r="C2" s="227">
        <v>37762</v>
      </c>
      <c r="D2" s="228">
        <v>0.538602671837631</v>
      </c>
      <c r="E2" s="227">
        <v>32349</v>
      </c>
      <c r="F2" s="228">
        <v>0.461397328162369</v>
      </c>
      <c r="G2" s="266">
        <f t="shared" ref="G2:G29" si="0">C2+E2</f>
        <v>70111</v>
      </c>
      <c r="I2" s="271" t="s">
        <v>412</v>
      </c>
      <c r="J2" s="258"/>
      <c r="K2" s="258"/>
      <c r="U2" s="94"/>
    </row>
    <row r="3" spans="1:21" ht="24" customHeight="1">
      <c r="A3" s="265" t="s">
        <v>412</v>
      </c>
      <c r="B3" s="265" t="s">
        <v>414</v>
      </c>
      <c r="C3" s="227">
        <v>8399</v>
      </c>
      <c r="D3" s="228">
        <v>0.63103612917684426</v>
      </c>
      <c r="E3" s="227">
        <v>4911</v>
      </c>
      <c r="F3" s="228">
        <v>0.36896387082315568</v>
      </c>
      <c r="G3" s="266">
        <f t="shared" si="0"/>
        <v>13310</v>
      </c>
      <c r="I3" s="272" t="s">
        <v>413</v>
      </c>
      <c r="J3" s="258">
        <v>37762</v>
      </c>
      <c r="K3" s="258">
        <v>32349</v>
      </c>
      <c r="U3" s="92"/>
    </row>
    <row r="4" spans="1:21" ht="24" customHeight="1">
      <c r="A4" s="265" t="s">
        <v>412</v>
      </c>
      <c r="B4" s="265" t="s">
        <v>415</v>
      </c>
      <c r="C4" s="227">
        <v>764</v>
      </c>
      <c r="D4" s="228">
        <v>0.49721857637892475</v>
      </c>
      <c r="E4" s="227">
        <v>772</v>
      </c>
      <c r="F4" s="228">
        <v>0.50278142362107536</v>
      </c>
      <c r="G4" s="266">
        <f t="shared" si="0"/>
        <v>1536</v>
      </c>
      <c r="I4" s="272" t="s">
        <v>422</v>
      </c>
      <c r="J4" s="258">
        <v>934</v>
      </c>
      <c r="K4" s="258">
        <v>614</v>
      </c>
      <c r="U4" s="92"/>
    </row>
    <row r="5" spans="1:21" ht="24" customHeight="1">
      <c r="A5" s="265" t="s">
        <v>412</v>
      </c>
      <c r="B5" s="265" t="s">
        <v>416</v>
      </c>
      <c r="C5" s="227">
        <v>2428</v>
      </c>
      <c r="D5" s="228">
        <v>0.22469906543317908</v>
      </c>
      <c r="E5" s="227">
        <v>8379</v>
      </c>
      <c r="F5" s="228">
        <v>0.77530093456682092</v>
      </c>
      <c r="G5" s="266">
        <f t="shared" si="0"/>
        <v>10807</v>
      </c>
      <c r="I5" s="272" t="s">
        <v>423</v>
      </c>
      <c r="J5" s="258">
        <v>73</v>
      </c>
      <c r="K5" s="258">
        <v>76</v>
      </c>
      <c r="U5" s="92"/>
    </row>
    <row r="6" spans="1:21" ht="24" customHeight="1">
      <c r="A6" s="265" t="s">
        <v>412</v>
      </c>
      <c r="B6" s="265" t="s">
        <v>417</v>
      </c>
      <c r="C6" s="227">
        <v>17508</v>
      </c>
      <c r="D6" s="228">
        <v>0.61044183791328155</v>
      </c>
      <c r="E6" s="227">
        <v>11173</v>
      </c>
      <c r="F6" s="228">
        <v>0.38955816208671845</v>
      </c>
      <c r="G6" s="266">
        <f t="shared" si="0"/>
        <v>28681</v>
      </c>
      <c r="I6" s="272" t="s">
        <v>414</v>
      </c>
      <c r="J6" s="258">
        <v>8399</v>
      </c>
      <c r="K6" s="258">
        <v>4911</v>
      </c>
      <c r="U6" s="92"/>
    </row>
    <row r="7" spans="1:21" ht="24" customHeight="1">
      <c r="A7" s="265" t="s">
        <v>412</v>
      </c>
      <c r="B7" s="265" t="s">
        <v>418</v>
      </c>
      <c r="C7" s="227">
        <v>520</v>
      </c>
      <c r="D7" s="228">
        <v>0.50546457581747239</v>
      </c>
      <c r="E7" s="227">
        <v>509</v>
      </c>
      <c r="F7" s="228">
        <v>0.49453542418252755</v>
      </c>
      <c r="G7" s="266">
        <f t="shared" si="0"/>
        <v>1029</v>
      </c>
      <c r="I7" s="272" t="s">
        <v>415</v>
      </c>
      <c r="J7" s="258">
        <v>764</v>
      </c>
      <c r="K7" s="258">
        <v>772</v>
      </c>
    </row>
    <row r="8" spans="1:21" ht="24" customHeight="1">
      <c r="A8" s="265" t="s">
        <v>412</v>
      </c>
      <c r="B8" s="265" t="s">
        <v>419</v>
      </c>
      <c r="C8" s="227">
        <v>2545</v>
      </c>
      <c r="D8" s="228">
        <v>0.55829185394899472</v>
      </c>
      <c r="E8" s="227">
        <v>2014</v>
      </c>
      <c r="F8" s="228">
        <v>0.44170814605100533</v>
      </c>
      <c r="G8" s="266">
        <f t="shared" si="0"/>
        <v>4559</v>
      </c>
      <c r="I8" s="272" t="s">
        <v>416</v>
      </c>
      <c r="J8" s="258">
        <v>2428</v>
      </c>
      <c r="K8" s="258">
        <v>8379</v>
      </c>
    </row>
    <row r="9" spans="1:21" ht="24" customHeight="1">
      <c r="A9" s="265" t="s">
        <v>412</v>
      </c>
      <c r="B9" s="265" t="s">
        <v>420</v>
      </c>
      <c r="C9" s="227">
        <v>5056</v>
      </c>
      <c r="D9" s="228">
        <v>0.59878256203345381</v>
      </c>
      <c r="E9" s="227">
        <v>3388</v>
      </c>
      <c r="F9" s="228">
        <v>0.40121743796654624</v>
      </c>
      <c r="G9" s="266">
        <f t="shared" si="0"/>
        <v>8444</v>
      </c>
      <c r="I9" s="272" t="s">
        <v>417</v>
      </c>
      <c r="J9" s="258">
        <v>17508</v>
      </c>
      <c r="K9" s="258">
        <v>11173</v>
      </c>
    </row>
    <row r="10" spans="1:21" ht="24" customHeight="1">
      <c r="A10" s="265" t="s">
        <v>412</v>
      </c>
      <c r="B10" s="265" t="s">
        <v>421</v>
      </c>
      <c r="C10" s="227">
        <v>933</v>
      </c>
      <c r="D10" s="228">
        <v>0.71117980097389322</v>
      </c>
      <c r="E10" s="227">
        <v>379</v>
      </c>
      <c r="F10" s="228">
        <v>0.28882019902610678</v>
      </c>
      <c r="G10" s="266">
        <f t="shared" si="0"/>
        <v>1312</v>
      </c>
      <c r="I10" s="272" t="s">
        <v>418</v>
      </c>
      <c r="J10" s="258">
        <v>520</v>
      </c>
      <c r="K10" s="258">
        <v>509</v>
      </c>
    </row>
    <row r="11" spans="1:21" ht="24" customHeight="1">
      <c r="A11" s="265" t="s">
        <v>412</v>
      </c>
      <c r="B11" s="265" t="s">
        <v>422</v>
      </c>
      <c r="C11" s="227">
        <v>934</v>
      </c>
      <c r="D11" s="228">
        <v>0.60325611704131754</v>
      </c>
      <c r="E11" s="227">
        <v>614</v>
      </c>
      <c r="F11" s="228">
        <v>0.39674388295868251</v>
      </c>
      <c r="G11" s="266">
        <f t="shared" si="0"/>
        <v>1548</v>
      </c>
      <c r="I11" s="272" t="s">
        <v>419</v>
      </c>
      <c r="J11" s="258">
        <v>2545</v>
      </c>
      <c r="K11" s="258">
        <v>2014</v>
      </c>
    </row>
    <row r="12" spans="1:21" ht="24" customHeight="1">
      <c r="A12" s="265" t="s">
        <v>412</v>
      </c>
      <c r="B12" s="265" t="s">
        <v>423</v>
      </c>
      <c r="C12" s="227">
        <v>73</v>
      </c>
      <c r="D12" s="228">
        <v>0.4904566632778885</v>
      </c>
      <c r="E12" s="227">
        <v>76</v>
      </c>
      <c r="F12" s="228">
        <v>0.5095433367221115</v>
      </c>
      <c r="G12" s="266">
        <f t="shared" si="0"/>
        <v>149</v>
      </c>
      <c r="I12" s="272" t="s">
        <v>420</v>
      </c>
      <c r="J12" s="258">
        <v>5056</v>
      </c>
      <c r="K12" s="258">
        <v>3388</v>
      </c>
    </row>
    <row r="13" spans="1:21" ht="24" customHeight="1">
      <c r="A13" s="265" t="s">
        <v>424</v>
      </c>
      <c r="B13" s="265" t="s">
        <v>425</v>
      </c>
      <c r="C13" s="227">
        <v>28416</v>
      </c>
      <c r="D13" s="228">
        <v>0.60181042003276075</v>
      </c>
      <c r="E13" s="227">
        <v>18802</v>
      </c>
      <c r="F13" s="228">
        <v>0.39818957996723908</v>
      </c>
      <c r="G13" s="266">
        <f t="shared" si="0"/>
        <v>47218</v>
      </c>
      <c r="I13" s="272" t="s">
        <v>421</v>
      </c>
      <c r="J13" s="258">
        <v>933</v>
      </c>
      <c r="K13" s="258">
        <v>379</v>
      </c>
    </row>
    <row r="14" spans="1:21" ht="24" customHeight="1">
      <c r="A14" s="265" t="s">
        <v>424</v>
      </c>
      <c r="B14" s="265" t="s">
        <v>426</v>
      </c>
      <c r="C14" s="227">
        <v>8438</v>
      </c>
      <c r="D14" s="228">
        <v>0.63696247431740693</v>
      </c>
      <c r="E14" s="227">
        <v>4810</v>
      </c>
      <c r="F14" s="228">
        <v>0.36303752568259312</v>
      </c>
      <c r="G14" s="266">
        <f t="shared" si="0"/>
        <v>13248</v>
      </c>
      <c r="I14" s="271" t="s">
        <v>477</v>
      </c>
      <c r="J14" s="258">
        <v>76922</v>
      </c>
      <c r="K14" s="258">
        <v>64564</v>
      </c>
    </row>
    <row r="15" spans="1:21" ht="24" customHeight="1">
      <c r="A15" s="265" t="s">
        <v>424</v>
      </c>
      <c r="B15" s="265" t="s">
        <v>427</v>
      </c>
      <c r="C15" s="227">
        <v>1081</v>
      </c>
      <c r="D15" s="228">
        <v>0.61337420119876684</v>
      </c>
      <c r="E15" s="227">
        <v>681</v>
      </c>
      <c r="F15" s="228">
        <v>0.38662579880123321</v>
      </c>
      <c r="G15" s="266">
        <f t="shared" si="0"/>
        <v>1762</v>
      </c>
      <c r="I15" s="271" t="s">
        <v>411</v>
      </c>
      <c r="J15" s="258">
        <v>76922</v>
      </c>
      <c r="K15" s="258">
        <v>64564</v>
      </c>
    </row>
    <row r="16" spans="1:21" ht="24" customHeight="1">
      <c r="A16" s="265" t="s">
        <v>424</v>
      </c>
      <c r="B16" s="265" t="s">
        <v>428</v>
      </c>
      <c r="C16" s="227">
        <v>4604</v>
      </c>
      <c r="D16" s="228">
        <v>0.40093060496532495</v>
      </c>
      <c r="E16" s="227">
        <v>6879</v>
      </c>
      <c r="F16" s="228">
        <v>0.59906939503467505</v>
      </c>
      <c r="G16" s="266">
        <f t="shared" si="0"/>
        <v>11483</v>
      </c>
    </row>
    <row r="17" spans="1:7" ht="24" customHeight="1">
      <c r="A17" s="265" t="s">
        <v>424</v>
      </c>
      <c r="B17" s="265" t="s">
        <v>429</v>
      </c>
      <c r="C17" s="227">
        <v>15381</v>
      </c>
      <c r="D17" s="228">
        <v>0.63143424769842094</v>
      </c>
      <c r="E17" s="227">
        <v>8978</v>
      </c>
      <c r="F17" s="228">
        <v>0.36856575230157906</v>
      </c>
      <c r="G17" s="266">
        <f t="shared" si="0"/>
        <v>24359</v>
      </c>
    </row>
    <row r="18" spans="1:7" ht="24" customHeight="1">
      <c r="A18" s="265" t="s">
        <v>424</v>
      </c>
      <c r="B18" s="265" t="s">
        <v>430</v>
      </c>
      <c r="C18" s="227">
        <v>97</v>
      </c>
      <c r="D18" s="228">
        <v>0.57495683111701423</v>
      </c>
      <c r="E18" s="227">
        <v>72</v>
      </c>
      <c r="F18" s="228">
        <v>0.42504316888298582</v>
      </c>
      <c r="G18" s="266">
        <f t="shared" si="0"/>
        <v>169</v>
      </c>
    </row>
    <row r="19" spans="1:7" ht="24" customHeight="1">
      <c r="A19" s="265" t="s">
        <v>424</v>
      </c>
      <c r="B19" s="265" t="s">
        <v>431</v>
      </c>
      <c r="C19" s="227">
        <v>271</v>
      </c>
      <c r="D19" s="228">
        <v>0.57470962758271948</v>
      </c>
      <c r="E19" s="227">
        <v>201</v>
      </c>
      <c r="F19" s="228">
        <v>0.42529037241728046</v>
      </c>
      <c r="G19" s="266">
        <f t="shared" si="0"/>
        <v>472</v>
      </c>
    </row>
    <row r="20" spans="1:7" ht="24" customHeight="1">
      <c r="A20" s="265" t="s">
        <v>424</v>
      </c>
      <c r="B20" s="265" t="s">
        <v>432</v>
      </c>
      <c r="C20" s="227">
        <v>548</v>
      </c>
      <c r="D20" s="228">
        <v>0.79154811483611209</v>
      </c>
      <c r="E20" s="227">
        <v>144</v>
      </c>
      <c r="F20" s="228">
        <v>0.20845188516388802</v>
      </c>
      <c r="G20" s="266">
        <f t="shared" si="0"/>
        <v>692</v>
      </c>
    </row>
    <row r="21" spans="1:7" ht="24" customHeight="1">
      <c r="A21" s="265" t="s">
        <v>424</v>
      </c>
      <c r="B21" s="265" t="s">
        <v>433</v>
      </c>
      <c r="C21" s="227">
        <v>48</v>
      </c>
      <c r="D21" s="228">
        <v>0.57486772486772486</v>
      </c>
      <c r="E21" s="227">
        <v>35</v>
      </c>
      <c r="F21" s="228">
        <v>0.42513227513227514</v>
      </c>
      <c r="G21" s="266">
        <f t="shared" si="0"/>
        <v>83</v>
      </c>
    </row>
    <row r="22" spans="1:7" ht="24" customHeight="1">
      <c r="A22" s="265" t="s">
        <v>434</v>
      </c>
      <c r="B22" s="265" t="s">
        <v>435</v>
      </c>
      <c r="C22" s="227">
        <v>179</v>
      </c>
      <c r="D22" s="228">
        <v>0.47122273130647802</v>
      </c>
      <c r="E22" s="227">
        <v>201</v>
      </c>
      <c r="F22" s="228">
        <v>0.52877726869352215</v>
      </c>
      <c r="G22" s="266">
        <f t="shared" si="0"/>
        <v>380</v>
      </c>
    </row>
    <row r="23" spans="1:7" ht="24" customHeight="1">
      <c r="A23" s="265" t="s">
        <v>434</v>
      </c>
      <c r="B23" s="265" t="s">
        <v>436</v>
      </c>
      <c r="C23" s="227">
        <v>487</v>
      </c>
      <c r="D23" s="228">
        <v>0.54371916446743573</v>
      </c>
      <c r="E23" s="227">
        <v>409</v>
      </c>
      <c r="F23" s="228">
        <v>0.45628083553256438</v>
      </c>
      <c r="G23" s="266">
        <f t="shared" si="0"/>
        <v>896</v>
      </c>
    </row>
    <row r="24" spans="1:7" ht="24" customHeight="1">
      <c r="A24" s="265" t="s">
        <v>434</v>
      </c>
      <c r="B24" s="265" t="s">
        <v>437</v>
      </c>
      <c r="C24" s="227">
        <v>1808</v>
      </c>
      <c r="D24" s="228">
        <v>0.67589618139611185</v>
      </c>
      <c r="E24" s="227">
        <v>867</v>
      </c>
      <c r="F24" s="228">
        <v>0.32410381860388815</v>
      </c>
      <c r="G24" s="266">
        <f t="shared" si="0"/>
        <v>2675</v>
      </c>
    </row>
    <row r="25" spans="1:7" ht="24" customHeight="1">
      <c r="A25" s="265" t="s">
        <v>434</v>
      </c>
      <c r="B25" s="265" t="s">
        <v>438</v>
      </c>
      <c r="C25" s="227">
        <v>217</v>
      </c>
      <c r="D25" s="228">
        <v>0.57140011417505021</v>
      </c>
      <c r="E25" s="227">
        <v>163</v>
      </c>
      <c r="F25" s="228">
        <v>0.42859988582494973</v>
      </c>
      <c r="G25" s="266">
        <f t="shared" si="0"/>
        <v>380</v>
      </c>
    </row>
    <row r="26" spans="1:7" ht="24" customHeight="1">
      <c r="A26" s="265" t="s">
        <v>434</v>
      </c>
      <c r="B26" s="265" t="s">
        <v>439</v>
      </c>
      <c r="C26" s="227">
        <v>363</v>
      </c>
      <c r="D26" s="228">
        <v>0.49823955457784325</v>
      </c>
      <c r="E26" s="227">
        <v>366</v>
      </c>
      <c r="F26" s="228">
        <v>0.50176044542215681</v>
      </c>
      <c r="G26" s="266">
        <f t="shared" si="0"/>
        <v>729</v>
      </c>
    </row>
    <row r="27" spans="1:7" ht="24" customHeight="1">
      <c r="A27" s="265" t="s">
        <v>434</v>
      </c>
      <c r="B27" s="265" t="s">
        <v>440</v>
      </c>
      <c r="C27" s="227">
        <v>863</v>
      </c>
      <c r="D27" s="228">
        <v>0.58421376665042046</v>
      </c>
      <c r="E27" s="227">
        <v>614</v>
      </c>
      <c r="F27" s="228">
        <v>0.41578623334957959</v>
      </c>
      <c r="G27" s="266">
        <f t="shared" si="0"/>
        <v>1477</v>
      </c>
    </row>
    <row r="28" spans="1:7" ht="24" customHeight="1">
      <c r="A28" s="265" t="s">
        <v>434</v>
      </c>
      <c r="B28" s="265" t="s">
        <v>441</v>
      </c>
      <c r="C28" s="227">
        <v>1004</v>
      </c>
      <c r="D28" s="228">
        <v>0.53203039209860514</v>
      </c>
      <c r="E28" s="227">
        <v>883</v>
      </c>
      <c r="F28" s="228">
        <v>0.46796960790139475</v>
      </c>
      <c r="G28" s="266">
        <f t="shared" si="0"/>
        <v>1887</v>
      </c>
    </row>
    <row r="29" spans="1:7" ht="24" customHeight="1">
      <c r="A29" s="265" t="s">
        <v>442</v>
      </c>
      <c r="B29" s="265" t="s">
        <v>443</v>
      </c>
      <c r="C29" s="227">
        <v>1342</v>
      </c>
      <c r="D29" s="228">
        <v>0.69863816146074698</v>
      </c>
      <c r="E29" s="227">
        <v>579</v>
      </c>
      <c r="F29" s="228">
        <v>0.30136183853925314</v>
      </c>
      <c r="G29" s="266">
        <f t="shared" si="0"/>
        <v>1921</v>
      </c>
    </row>
    <row r="30" spans="1:7" ht="24" customHeight="1">
      <c r="A30" s="265" t="s">
        <v>442</v>
      </c>
      <c r="B30" s="265" t="s">
        <v>444</v>
      </c>
      <c r="C30" s="227">
        <v>1021</v>
      </c>
      <c r="D30" s="228">
        <v>0.56280162686984558</v>
      </c>
      <c r="E30" s="227">
        <v>793</v>
      </c>
      <c r="F30" s="228">
        <v>0.43719837313015442</v>
      </c>
      <c r="G30" s="266">
        <f t="shared" ref="G30:G54" si="1">C30+E30</f>
        <v>1814</v>
      </c>
    </row>
    <row r="31" spans="1:7" ht="24" customHeight="1">
      <c r="A31" s="265" t="s">
        <v>442</v>
      </c>
      <c r="B31" s="265" t="s">
        <v>445</v>
      </c>
      <c r="C31" s="227">
        <v>29</v>
      </c>
      <c r="D31" s="228">
        <v>0.50222222222222224</v>
      </c>
      <c r="E31" s="227">
        <v>29</v>
      </c>
      <c r="F31" s="228">
        <v>0.49777777777777776</v>
      </c>
      <c r="G31" s="266">
        <f t="shared" si="1"/>
        <v>58</v>
      </c>
    </row>
    <row r="32" spans="1:7" ht="24" customHeight="1">
      <c r="A32" s="265" t="s">
        <v>442</v>
      </c>
      <c r="B32" s="265" t="s">
        <v>446</v>
      </c>
      <c r="C32" s="227">
        <v>109</v>
      </c>
      <c r="D32" s="228">
        <v>0.45272195936766968</v>
      </c>
      <c r="E32" s="227">
        <v>132</v>
      </c>
      <c r="F32" s="228">
        <v>0.54727804063233032</v>
      </c>
      <c r="G32" s="266">
        <f t="shared" si="1"/>
        <v>241</v>
      </c>
    </row>
    <row r="33" spans="1:7" ht="24" customHeight="1">
      <c r="A33" s="265" t="s">
        <v>447</v>
      </c>
      <c r="B33" s="265" t="s">
        <v>448</v>
      </c>
      <c r="C33" s="227">
        <v>411</v>
      </c>
      <c r="D33" s="228">
        <v>0.49364993544098845</v>
      </c>
      <c r="E33" s="227">
        <v>421</v>
      </c>
      <c r="F33" s="228">
        <v>0.50635006455901155</v>
      </c>
      <c r="G33" s="266">
        <f t="shared" si="1"/>
        <v>832</v>
      </c>
    </row>
    <row r="34" spans="1:7" ht="24" customHeight="1">
      <c r="A34" s="265" t="s">
        <v>447</v>
      </c>
      <c r="B34" s="265" t="s">
        <v>449</v>
      </c>
      <c r="C34" s="227">
        <v>140</v>
      </c>
      <c r="D34" s="228">
        <v>0.38858734710439413</v>
      </c>
      <c r="E34" s="227">
        <v>220</v>
      </c>
      <c r="F34" s="228">
        <v>0.61141265289560587</v>
      </c>
      <c r="G34" s="266">
        <f t="shared" si="1"/>
        <v>360</v>
      </c>
    </row>
    <row r="35" spans="1:7" ht="24" customHeight="1">
      <c r="A35" s="265" t="s">
        <v>447</v>
      </c>
      <c r="B35" s="265" t="s">
        <v>450</v>
      </c>
      <c r="C35" s="227">
        <v>238</v>
      </c>
      <c r="D35" s="228">
        <v>0.58311080477450583</v>
      </c>
      <c r="E35" s="227">
        <v>170</v>
      </c>
      <c r="F35" s="228">
        <v>0.41688919522549417</v>
      </c>
      <c r="G35" s="266">
        <f t="shared" si="1"/>
        <v>408</v>
      </c>
    </row>
    <row r="36" spans="1:7" ht="24" customHeight="1">
      <c r="A36" s="265" t="s">
        <v>447</v>
      </c>
      <c r="B36" s="265" t="s">
        <v>451</v>
      </c>
      <c r="C36" s="227">
        <v>2855</v>
      </c>
      <c r="D36" s="228">
        <v>0.49139458331206448</v>
      </c>
      <c r="E36" s="227">
        <v>2955</v>
      </c>
      <c r="F36" s="228">
        <v>0.50860541668793535</v>
      </c>
      <c r="G36" s="266">
        <f t="shared" si="1"/>
        <v>5810</v>
      </c>
    </row>
    <row r="37" spans="1:7" ht="24" customHeight="1">
      <c r="A37" s="265" t="s">
        <v>447</v>
      </c>
      <c r="B37" s="265" t="s">
        <v>452</v>
      </c>
      <c r="C37" s="227">
        <v>130</v>
      </c>
      <c r="D37" s="228">
        <v>0.66565893901420226</v>
      </c>
      <c r="E37" s="227">
        <v>65</v>
      </c>
      <c r="F37" s="228">
        <v>0.33434106098579786</v>
      </c>
      <c r="G37" s="266">
        <f t="shared" si="1"/>
        <v>195</v>
      </c>
    </row>
    <row r="38" spans="1:7" ht="24" customHeight="1">
      <c r="A38" s="265" t="s">
        <v>447</v>
      </c>
      <c r="B38" s="265" t="s">
        <v>453</v>
      </c>
      <c r="C38" s="227">
        <v>1110</v>
      </c>
      <c r="D38" s="228">
        <v>0.43487983069872904</v>
      </c>
      <c r="E38" s="227">
        <v>1442</v>
      </c>
      <c r="F38" s="228">
        <v>0.56512016930127096</v>
      </c>
      <c r="G38" s="266">
        <f t="shared" si="1"/>
        <v>2552</v>
      </c>
    </row>
    <row r="39" spans="1:7" ht="24" customHeight="1">
      <c r="A39" s="265" t="s">
        <v>447</v>
      </c>
      <c r="B39" s="265" t="s">
        <v>454</v>
      </c>
      <c r="C39" s="227">
        <v>8322</v>
      </c>
      <c r="D39" s="228">
        <v>0.57118839963470447</v>
      </c>
      <c r="E39" s="227">
        <v>6248</v>
      </c>
      <c r="F39" s="228">
        <v>0.42881160036529553</v>
      </c>
      <c r="G39" s="266">
        <f t="shared" si="1"/>
        <v>14570</v>
      </c>
    </row>
    <row r="40" spans="1:7" ht="24" customHeight="1">
      <c r="A40" s="265" t="s">
        <v>447</v>
      </c>
      <c r="B40" s="265" t="s">
        <v>455</v>
      </c>
      <c r="C40" s="227">
        <v>977</v>
      </c>
      <c r="D40" s="228">
        <v>0.60694922051833367</v>
      </c>
      <c r="E40" s="227">
        <v>632</v>
      </c>
      <c r="F40" s="228">
        <v>0.39305077948166645</v>
      </c>
      <c r="G40" s="266">
        <f t="shared" si="1"/>
        <v>1609</v>
      </c>
    </row>
    <row r="41" spans="1:7" ht="24" customHeight="1">
      <c r="A41" s="265" t="s">
        <v>447</v>
      </c>
      <c r="B41" s="265" t="s">
        <v>456</v>
      </c>
      <c r="C41" s="227">
        <v>4</v>
      </c>
      <c r="D41" s="228">
        <v>0.6</v>
      </c>
      <c r="E41" s="227">
        <v>3</v>
      </c>
      <c r="F41" s="228">
        <v>0.4</v>
      </c>
      <c r="G41" s="266">
        <f t="shared" si="1"/>
        <v>7</v>
      </c>
    </row>
    <row r="42" spans="1:7" ht="24" customHeight="1">
      <c r="A42" s="265" t="s">
        <v>447</v>
      </c>
      <c r="B42" s="265" t="s">
        <v>457</v>
      </c>
      <c r="C42" s="227">
        <v>5</v>
      </c>
      <c r="D42" s="228">
        <v>0.7</v>
      </c>
      <c r="E42" s="227">
        <v>2</v>
      </c>
      <c r="F42" s="228">
        <v>0.3</v>
      </c>
      <c r="G42" s="266">
        <f t="shared" si="1"/>
        <v>7</v>
      </c>
    </row>
    <row r="43" spans="1:7" ht="24" customHeight="1">
      <c r="A43" s="265" t="s">
        <v>447</v>
      </c>
      <c r="B43" s="265" t="s">
        <v>458</v>
      </c>
      <c r="C43" s="227">
        <v>504</v>
      </c>
      <c r="D43" s="228">
        <v>0.56815273417539069</v>
      </c>
      <c r="E43" s="227">
        <v>383</v>
      </c>
      <c r="F43" s="228">
        <v>0.43184726582460931</v>
      </c>
      <c r="G43" s="266">
        <f t="shared" si="1"/>
        <v>887</v>
      </c>
    </row>
    <row r="44" spans="1:7" ht="24" customHeight="1">
      <c r="A44" s="265" t="s">
        <v>459</v>
      </c>
      <c r="B44" s="265" t="s">
        <v>460</v>
      </c>
      <c r="C44" s="227">
        <v>21</v>
      </c>
      <c r="D44" s="228">
        <v>0.48936423054070111</v>
      </c>
      <c r="E44" s="227">
        <v>22</v>
      </c>
      <c r="F44" s="228">
        <v>0.510635769459299</v>
      </c>
      <c r="G44" s="266">
        <f t="shared" si="1"/>
        <v>43</v>
      </c>
    </row>
    <row r="45" spans="1:7" ht="24" customHeight="1">
      <c r="A45" s="265" t="s">
        <v>459</v>
      </c>
      <c r="B45" s="265" t="s">
        <v>461</v>
      </c>
      <c r="C45" s="227">
        <v>0</v>
      </c>
      <c r="D45" s="228">
        <v>2.7777777777777776E-2</v>
      </c>
      <c r="E45" s="227">
        <v>3</v>
      </c>
      <c r="F45" s="228">
        <v>0.97222222222222221</v>
      </c>
      <c r="G45" s="266">
        <f t="shared" si="1"/>
        <v>3</v>
      </c>
    </row>
    <row r="46" spans="1:7" ht="24" customHeight="1">
      <c r="A46" s="265" t="s">
        <v>459</v>
      </c>
      <c r="B46" s="265" t="s">
        <v>462</v>
      </c>
      <c r="C46" s="227">
        <v>21</v>
      </c>
      <c r="D46" s="228">
        <v>0.55590277777777775</v>
      </c>
      <c r="E46" s="227">
        <v>17</v>
      </c>
      <c r="F46" s="228">
        <v>0.44409722222222225</v>
      </c>
      <c r="G46" s="266">
        <f t="shared" si="1"/>
        <v>38</v>
      </c>
    </row>
    <row r="47" spans="1:7" ht="24" customHeight="1">
      <c r="A47" s="265" t="s">
        <v>463</v>
      </c>
      <c r="B47" s="265" t="s">
        <v>464</v>
      </c>
      <c r="C47" s="227">
        <v>47</v>
      </c>
      <c r="D47" s="228">
        <v>0.5251424501424502</v>
      </c>
      <c r="E47" s="227">
        <v>42</v>
      </c>
      <c r="F47" s="228">
        <v>0.4748575498575498</v>
      </c>
      <c r="G47" s="266">
        <f t="shared" si="1"/>
        <v>89</v>
      </c>
    </row>
    <row r="48" spans="1:7" ht="24" customHeight="1">
      <c r="A48" s="265" t="s">
        <v>463</v>
      </c>
      <c r="B48" s="265" t="s">
        <v>465</v>
      </c>
      <c r="C48" s="227">
        <v>183</v>
      </c>
      <c r="D48" s="228">
        <v>0.47223948299827528</v>
      </c>
      <c r="E48" s="227">
        <v>205</v>
      </c>
      <c r="F48" s="228">
        <v>0.52776051700172466</v>
      </c>
      <c r="G48" s="266">
        <f t="shared" si="1"/>
        <v>388</v>
      </c>
    </row>
    <row r="49" spans="1:7" ht="24" customHeight="1">
      <c r="A49" s="265" t="s">
        <v>463</v>
      </c>
      <c r="B49" s="265" t="s">
        <v>466</v>
      </c>
      <c r="C49" s="227">
        <v>83</v>
      </c>
      <c r="D49" s="228">
        <v>0.62086474372188649</v>
      </c>
      <c r="E49" s="227">
        <v>51</v>
      </c>
      <c r="F49" s="228">
        <v>0.3791352562781134</v>
      </c>
      <c r="G49" s="266">
        <f t="shared" si="1"/>
        <v>134</v>
      </c>
    </row>
    <row r="50" spans="1:7" ht="24" customHeight="1">
      <c r="A50" s="265" t="s">
        <v>463</v>
      </c>
      <c r="B50" s="265" t="s">
        <v>467</v>
      </c>
      <c r="C50" s="227">
        <v>5</v>
      </c>
      <c r="D50" s="228">
        <v>0.32857142857142857</v>
      </c>
      <c r="E50" s="227">
        <v>10</v>
      </c>
      <c r="F50" s="228">
        <v>0.67142857142857149</v>
      </c>
      <c r="G50" s="266">
        <f t="shared" si="1"/>
        <v>15</v>
      </c>
    </row>
    <row r="51" spans="1:7" ht="24" customHeight="1">
      <c r="A51" s="265" t="s">
        <v>463</v>
      </c>
      <c r="B51" s="265" t="s">
        <v>468</v>
      </c>
      <c r="C51" s="227">
        <v>25</v>
      </c>
      <c r="D51" s="228">
        <v>0.80238095238095242</v>
      </c>
      <c r="E51" s="227">
        <v>6</v>
      </c>
      <c r="F51" s="228">
        <v>0.19761904761904761</v>
      </c>
      <c r="G51" s="266">
        <f t="shared" si="1"/>
        <v>31</v>
      </c>
    </row>
    <row r="52" spans="1:7" ht="24" customHeight="1">
      <c r="A52" s="265" t="s">
        <v>463</v>
      </c>
      <c r="B52" s="265" t="s">
        <v>469</v>
      </c>
      <c r="C52" s="227">
        <v>38</v>
      </c>
      <c r="D52" s="228">
        <v>0.35677713091506197</v>
      </c>
      <c r="E52" s="227">
        <v>69</v>
      </c>
      <c r="F52" s="228">
        <v>0.64322286908493809</v>
      </c>
      <c r="G52" s="266">
        <f t="shared" si="1"/>
        <v>107</v>
      </c>
    </row>
    <row r="53" spans="1:7" ht="24" customHeight="1">
      <c r="A53" s="265" t="s">
        <v>463</v>
      </c>
      <c r="B53" s="265" t="s">
        <v>470</v>
      </c>
      <c r="C53" s="227">
        <v>255</v>
      </c>
      <c r="D53" s="228">
        <v>0.68367348241499615</v>
      </c>
      <c r="E53" s="227">
        <v>118</v>
      </c>
      <c r="F53" s="228">
        <v>0.3163265175850038</v>
      </c>
      <c r="G53" s="266">
        <f t="shared" si="1"/>
        <v>373</v>
      </c>
    </row>
    <row r="54" spans="1:7" ht="24" customHeight="1">
      <c r="A54" s="265" t="s">
        <v>463</v>
      </c>
      <c r="B54" s="267" t="s">
        <v>471</v>
      </c>
      <c r="C54" s="268">
        <v>476</v>
      </c>
      <c r="D54" s="269">
        <v>0.45561051202541653</v>
      </c>
      <c r="E54" s="268">
        <v>568</v>
      </c>
      <c r="F54" s="269">
        <v>0.54438948797458342</v>
      </c>
      <c r="G54" s="270">
        <f t="shared" si="1"/>
        <v>1044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tableParts count="1">
    <tablePart r:id="rId3"/>
  </tableParts>
</worksheet>
</file>

<file path=xl/worksheets/sheet2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59999389629810485"/>
  </sheetPr>
  <dimension ref="A1:XFC37"/>
  <sheetViews>
    <sheetView showGridLines="0" showRowColHeaders="0" tabSelected="1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0.59999389629810485"/>
  </sheetPr>
  <dimension ref="A1:XFC37"/>
  <sheetViews>
    <sheetView showGridLines="0" showRowColHeaders="0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0.59999389629810485"/>
  </sheetPr>
  <dimension ref="A1:XFC37"/>
  <sheetViews>
    <sheetView showGridLines="0" showRowColHeaders="0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0.59999389629810485"/>
  </sheetPr>
  <dimension ref="A1:XFC37"/>
  <sheetViews>
    <sheetView showGridLines="0" showRowColHeaders="0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 tint="0.59999389629810485"/>
  </sheetPr>
  <dimension ref="A1:XFC37"/>
  <sheetViews>
    <sheetView showGridLines="0" showRowColHeaders="0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0.59999389629810485"/>
  </sheetPr>
  <dimension ref="A1:XFC37"/>
  <sheetViews>
    <sheetView showGridLines="0" showRowColHeaders="0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0.59999389629810485"/>
  </sheetPr>
  <dimension ref="A1:XFC37"/>
  <sheetViews>
    <sheetView showGridLines="0" showRowColHeaders="0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AM137"/>
  <sheetViews>
    <sheetView topLeftCell="I112" zoomScale="85" zoomScaleNormal="85" workbookViewId="0">
      <selection activeCell="A2" sqref="A2:AC37"/>
    </sheetView>
  </sheetViews>
  <sheetFormatPr defaultRowHeight="15"/>
  <cols>
    <col min="1" max="1" width="23.140625" customWidth="1"/>
    <col min="2" max="2" width="13.85546875" customWidth="1"/>
    <col min="3" max="3" width="13.7109375" customWidth="1"/>
    <col min="4" max="4" width="13.28515625" customWidth="1"/>
    <col min="5" max="5" width="13.42578125" customWidth="1"/>
    <col min="6" max="6" width="13.85546875" customWidth="1"/>
    <col min="7" max="7" width="19.7109375" customWidth="1"/>
    <col min="8" max="8" width="11.5703125" customWidth="1"/>
    <col min="9" max="9" width="15.7109375" customWidth="1"/>
    <col min="10" max="10" width="13.140625" customWidth="1"/>
    <col min="11" max="11" width="20.42578125" customWidth="1"/>
    <col min="12" max="14" width="20.28515625" customWidth="1"/>
    <col min="15" max="15" width="15.140625" bestFit="1" customWidth="1"/>
    <col min="16" max="16" width="13.28515625" bestFit="1" customWidth="1"/>
    <col min="17" max="17" width="11.5703125" bestFit="1" customWidth="1"/>
    <col min="18" max="18" width="22" style="20" customWidth="1"/>
    <col min="19" max="23" width="13.85546875" customWidth="1"/>
    <col min="24" max="24" width="17.42578125" customWidth="1"/>
    <col min="25" max="27" width="13.85546875" customWidth="1"/>
    <col min="28" max="28" width="15.42578125" customWidth="1"/>
    <col min="29" max="34" width="13.85546875" customWidth="1"/>
    <col min="35" max="38" width="11.42578125" customWidth="1"/>
    <col min="39" max="39" width="9.5703125" bestFit="1" customWidth="1"/>
  </cols>
  <sheetData>
    <row r="2" spans="1:38" ht="46.5">
      <c r="A2" s="292" t="s">
        <v>65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4"/>
      <c r="R2" s="292" t="s">
        <v>67</v>
      </c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4"/>
    </row>
    <row r="3" spans="1:38" ht="21.75" customHeight="1">
      <c r="A3" s="290" t="s">
        <v>33</v>
      </c>
      <c r="B3" s="287" t="s">
        <v>27</v>
      </c>
      <c r="C3" s="288"/>
      <c r="D3" s="287" t="s">
        <v>29</v>
      </c>
      <c r="E3" s="288"/>
      <c r="F3" s="285" t="s">
        <v>28</v>
      </c>
      <c r="G3" s="285" t="s">
        <v>36</v>
      </c>
      <c r="H3" s="285" t="s">
        <v>30</v>
      </c>
      <c r="I3" s="285" t="s">
        <v>31</v>
      </c>
      <c r="J3" s="285" t="s">
        <v>41</v>
      </c>
      <c r="K3" s="285" t="s">
        <v>35</v>
      </c>
      <c r="L3" s="285" t="s">
        <v>40</v>
      </c>
      <c r="M3" s="285" t="s">
        <v>42</v>
      </c>
      <c r="N3" s="285" t="s">
        <v>45</v>
      </c>
      <c r="O3" s="285" t="s">
        <v>34</v>
      </c>
      <c r="R3" s="290" t="s">
        <v>33</v>
      </c>
      <c r="S3" s="287" t="s">
        <v>27</v>
      </c>
      <c r="T3" s="288"/>
      <c r="U3" s="287" t="s">
        <v>29</v>
      </c>
      <c r="V3" s="288"/>
      <c r="W3" s="285" t="s">
        <v>28</v>
      </c>
      <c r="X3" s="285" t="s">
        <v>36</v>
      </c>
      <c r="Y3" s="285" t="s">
        <v>30</v>
      </c>
      <c r="Z3" s="285" t="s">
        <v>31</v>
      </c>
      <c r="AA3" s="285" t="s">
        <v>41</v>
      </c>
      <c r="AB3" s="285" t="s">
        <v>35</v>
      </c>
      <c r="AC3" s="285" t="s">
        <v>40</v>
      </c>
      <c r="AD3" s="285" t="s">
        <v>42</v>
      </c>
      <c r="AE3" s="285" t="s">
        <v>45</v>
      </c>
      <c r="AF3" s="287" t="s">
        <v>52</v>
      </c>
      <c r="AG3" s="288"/>
      <c r="AH3" s="285" t="s">
        <v>34</v>
      </c>
    </row>
    <row r="4" spans="1:38" ht="30">
      <c r="A4" s="291"/>
      <c r="B4" s="56" t="s">
        <v>43</v>
      </c>
      <c r="C4" s="56" t="s">
        <v>44</v>
      </c>
      <c r="D4" s="56" t="s">
        <v>43</v>
      </c>
      <c r="E4" s="56" t="s">
        <v>44</v>
      </c>
      <c r="F4" s="286"/>
      <c r="G4" s="286"/>
      <c r="H4" s="286"/>
      <c r="I4" s="286"/>
      <c r="J4" s="286"/>
      <c r="K4" s="286"/>
      <c r="L4" s="286"/>
      <c r="M4" s="286"/>
      <c r="N4" s="286"/>
      <c r="O4" s="286"/>
      <c r="R4" s="291"/>
      <c r="S4" s="56" t="s">
        <v>43</v>
      </c>
      <c r="T4" s="56" t="s">
        <v>44</v>
      </c>
      <c r="U4" s="56" t="s">
        <v>43</v>
      </c>
      <c r="V4" s="56" t="s">
        <v>44</v>
      </c>
      <c r="W4" s="286"/>
      <c r="X4" s="286"/>
      <c r="Y4" s="286"/>
      <c r="Z4" s="286"/>
      <c r="AA4" s="286"/>
      <c r="AB4" s="286"/>
      <c r="AC4" s="286"/>
      <c r="AD4" s="286"/>
      <c r="AE4" s="286"/>
      <c r="AF4" s="55" t="s">
        <v>53</v>
      </c>
      <c r="AG4" s="55" t="s">
        <v>54</v>
      </c>
      <c r="AH4" s="286"/>
      <c r="AI4" s="129" t="s">
        <v>230</v>
      </c>
      <c r="AJ4" s="129" t="s">
        <v>231</v>
      </c>
      <c r="AK4" s="129" t="s">
        <v>28</v>
      </c>
      <c r="AL4" s="129" t="s">
        <v>233</v>
      </c>
    </row>
    <row r="5" spans="1:38">
      <c r="A5" s="1" t="s">
        <v>119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P5" s="15"/>
      <c r="R5" s="1" t="s">
        <v>119</v>
      </c>
      <c r="S5" s="35">
        <f>S75*0.8</f>
        <v>11289.136</v>
      </c>
      <c r="T5" s="35">
        <f t="shared" ref="T5:AG20" si="0">T75*0.8</f>
        <v>595.87200000000007</v>
      </c>
      <c r="U5" s="35">
        <f t="shared" si="0"/>
        <v>1714.864</v>
      </c>
      <c r="V5" s="35">
        <f t="shared" si="0"/>
        <v>323.97600000000006</v>
      </c>
      <c r="W5" s="35">
        <f t="shared" si="0"/>
        <v>10840.544000000002</v>
      </c>
      <c r="X5" s="35">
        <f t="shared" si="0"/>
        <v>1288.7360000000001</v>
      </c>
      <c r="Y5" s="35">
        <f t="shared" si="0"/>
        <v>157.94400000000002</v>
      </c>
      <c r="Z5" s="35">
        <f t="shared" si="0"/>
        <v>0</v>
      </c>
      <c r="AA5" s="35">
        <f t="shared" si="0"/>
        <v>140.50399999999999</v>
      </c>
      <c r="AB5" s="35">
        <f t="shared" si="0"/>
        <v>75.808000000000007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26427.384000000002</v>
      </c>
      <c r="AI5" s="129">
        <f>B5+C5+S5+T5</f>
        <v>11885.008</v>
      </c>
      <c r="AJ5" s="129">
        <f>D5+E5+U5+V5</f>
        <v>2038.8400000000001</v>
      </c>
      <c r="AK5" s="129">
        <f>F5+W5</f>
        <v>10840.544000000002</v>
      </c>
      <c r="AL5" s="129">
        <f>SUM(G5:N5)+SUM(X5:AG5)</f>
        <v>1662.992</v>
      </c>
    </row>
    <row r="6" spans="1:38">
      <c r="A6" s="1" t="s">
        <v>120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P6" s="15"/>
      <c r="R6" s="1" t="s">
        <v>120</v>
      </c>
      <c r="S6" s="35">
        <f t="shared" ref="S6:AG21" si="2">S76*0.8</f>
        <v>32893.296000000002</v>
      </c>
      <c r="T6" s="35">
        <f t="shared" si="2"/>
        <v>8342.1200000000008</v>
      </c>
      <c r="U6" s="35">
        <f t="shared" si="2"/>
        <v>1111.104</v>
      </c>
      <c r="V6" s="35">
        <f t="shared" si="2"/>
        <v>0</v>
      </c>
      <c r="W6" s="35">
        <f t="shared" si="2"/>
        <v>34871.68</v>
      </c>
      <c r="X6" s="35">
        <f t="shared" si="2"/>
        <v>1061.3120000000001</v>
      </c>
      <c r="Y6" s="35">
        <f t="shared" si="2"/>
        <v>1364.4560000000001</v>
      </c>
      <c r="Z6" s="35">
        <f t="shared" si="2"/>
        <v>0</v>
      </c>
      <c r="AA6" s="35">
        <f t="shared" si="2"/>
        <v>802.89600000000007</v>
      </c>
      <c r="AB6" s="35">
        <f t="shared" si="2"/>
        <v>0</v>
      </c>
      <c r="AC6" s="35">
        <f t="shared" si="2"/>
        <v>0</v>
      </c>
      <c r="AD6" s="35">
        <f t="shared" si="2"/>
        <v>0</v>
      </c>
      <c r="AE6" s="35">
        <f t="shared" si="2"/>
        <v>0</v>
      </c>
      <c r="AF6" s="35">
        <f t="shared" si="0"/>
        <v>0</v>
      </c>
      <c r="AG6" s="35">
        <f t="shared" si="0"/>
        <v>0</v>
      </c>
      <c r="AH6" s="4">
        <f t="shared" ref="AH6:AH31" si="3">SUM(S6:AG6)</f>
        <v>80446.864000000016</v>
      </c>
      <c r="AI6" s="129">
        <f t="shared" ref="AI6:AI32" si="4">B6+C6+S6+T6</f>
        <v>41235.416000000005</v>
      </c>
      <c r="AJ6" s="129">
        <f t="shared" ref="AJ6:AJ32" si="5">D6+E6+U6+V6</f>
        <v>1111.104</v>
      </c>
      <c r="AK6" s="129">
        <f t="shared" ref="AK6:AK32" si="6">F6+W6</f>
        <v>34871.68</v>
      </c>
      <c r="AL6" s="129">
        <f t="shared" ref="AL6:AL32" si="7">SUM(G6:N6)+SUM(X6:AG6)</f>
        <v>3228.6640000000002</v>
      </c>
    </row>
    <row r="7" spans="1:38">
      <c r="A7" s="18" t="s">
        <v>121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P7" s="15"/>
      <c r="R7" s="18" t="s">
        <v>121</v>
      </c>
      <c r="S7" s="35">
        <f t="shared" si="2"/>
        <v>12195.592000000001</v>
      </c>
      <c r="T7" s="35">
        <f t="shared" si="2"/>
        <v>4616.2240000000002</v>
      </c>
      <c r="U7" s="35">
        <f t="shared" si="2"/>
        <v>1592.0240000000001</v>
      </c>
      <c r="V7" s="35">
        <f t="shared" si="2"/>
        <v>966.13600000000008</v>
      </c>
      <c r="W7" s="35">
        <f t="shared" si="2"/>
        <v>17587.456000000002</v>
      </c>
      <c r="X7" s="35">
        <f t="shared" si="2"/>
        <v>909.69599999999991</v>
      </c>
      <c r="Y7" s="35">
        <f t="shared" si="2"/>
        <v>629.36000000000013</v>
      </c>
      <c r="Z7" s="35">
        <f t="shared" si="2"/>
        <v>219.60000000000002</v>
      </c>
      <c r="AA7" s="35">
        <f t="shared" si="2"/>
        <v>938.97600000000011</v>
      </c>
      <c r="AB7" s="35">
        <f t="shared" si="2"/>
        <v>227.42399999999998</v>
      </c>
      <c r="AC7" s="35">
        <f t="shared" si="2"/>
        <v>0</v>
      </c>
      <c r="AD7" s="35">
        <f t="shared" si="2"/>
        <v>0</v>
      </c>
      <c r="AE7" s="35">
        <f t="shared" si="2"/>
        <v>0</v>
      </c>
      <c r="AF7" s="35">
        <f t="shared" si="0"/>
        <v>0</v>
      </c>
      <c r="AG7" s="35">
        <f t="shared" si="0"/>
        <v>0</v>
      </c>
      <c r="AH7" s="4">
        <f t="shared" si="3"/>
        <v>39882.487999999998</v>
      </c>
      <c r="AI7" s="129">
        <f t="shared" si="4"/>
        <v>16811.815999999999</v>
      </c>
      <c r="AJ7" s="129">
        <f t="shared" si="5"/>
        <v>2558.1600000000003</v>
      </c>
      <c r="AK7" s="129">
        <f t="shared" si="6"/>
        <v>17587.456000000002</v>
      </c>
      <c r="AL7" s="129">
        <f t="shared" si="7"/>
        <v>2925.056</v>
      </c>
    </row>
    <row r="8" spans="1:38">
      <c r="A8" s="2" t="s">
        <v>122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P8" s="15"/>
      <c r="R8" s="2" t="s">
        <v>122</v>
      </c>
      <c r="S8" s="35">
        <f t="shared" si="2"/>
        <v>42518.032000000007</v>
      </c>
      <c r="T8" s="35">
        <f t="shared" si="2"/>
        <v>19076.88</v>
      </c>
      <c r="U8" s="35">
        <f t="shared" si="2"/>
        <v>5006.5120000000006</v>
      </c>
      <c r="V8" s="35">
        <f t="shared" si="2"/>
        <v>1282.4639999999999</v>
      </c>
      <c r="W8" s="35">
        <f t="shared" si="2"/>
        <v>34795.871999999996</v>
      </c>
      <c r="X8" s="35">
        <f t="shared" si="2"/>
        <v>227.42399999999998</v>
      </c>
      <c r="Y8" s="35">
        <f t="shared" si="2"/>
        <v>2593.0320000000002</v>
      </c>
      <c r="Z8" s="35">
        <f t="shared" si="2"/>
        <v>0</v>
      </c>
      <c r="AA8" s="35">
        <f t="shared" si="2"/>
        <v>2251.3360000000002</v>
      </c>
      <c r="AB8" s="35">
        <f t="shared" si="2"/>
        <v>151.61600000000001</v>
      </c>
      <c r="AC8" s="35">
        <f t="shared" si="2"/>
        <v>0</v>
      </c>
      <c r="AD8" s="35">
        <f t="shared" si="2"/>
        <v>0</v>
      </c>
      <c r="AE8" s="35">
        <f t="shared" si="2"/>
        <v>0</v>
      </c>
      <c r="AF8" s="35">
        <f>AF78</f>
        <v>0</v>
      </c>
      <c r="AG8" s="35">
        <f>AG78</f>
        <v>274.7</v>
      </c>
      <c r="AH8" s="4">
        <f t="shared" si="3"/>
        <v>108177.868</v>
      </c>
      <c r="AI8" s="129">
        <f t="shared" si="4"/>
        <v>61594.912000000011</v>
      </c>
      <c r="AJ8" s="129">
        <f t="shared" si="5"/>
        <v>6288.9760000000006</v>
      </c>
      <c r="AK8" s="129">
        <f t="shared" si="6"/>
        <v>34795.871999999996</v>
      </c>
      <c r="AL8" s="129">
        <f t="shared" si="7"/>
        <v>5498.1080000000002</v>
      </c>
    </row>
    <row r="9" spans="1:38">
      <c r="A9" s="1" t="s">
        <v>123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P9" s="15"/>
      <c r="R9" s="1" t="s">
        <v>123</v>
      </c>
      <c r="S9" s="35">
        <f t="shared" si="2"/>
        <v>100497.11200000001</v>
      </c>
      <c r="T9" s="35">
        <f t="shared" si="2"/>
        <v>18714.655999999999</v>
      </c>
      <c r="U9" s="35">
        <f t="shared" si="2"/>
        <v>14773.520000000002</v>
      </c>
      <c r="V9" s="35">
        <f t="shared" si="2"/>
        <v>6223.5680000000002</v>
      </c>
      <c r="W9" s="35">
        <f t="shared" si="2"/>
        <v>102871.45600000001</v>
      </c>
      <c r="X9" s="35">
        <f t="shared" si="2"/>
        <v>2653.28</v>
      </c>
      <c r="Y9" s="35">
        <f t="shared" si="2"/>
        <v>4480.3280000000004</v>
      </c>
      <c r="Z9" s="35">
        <f t="shared" si="2"/>
        <v>0</v>
      </c>
      <c r="AA9" s="35">
        <f t="shared" si="2"/>
        <v>3594.5920000000001</v>
      </c>
      <c r="AB9" s="35">
        <f t="shared" si="2"/>
        <v>682.27200000000005</v>
      </c>
      <c r="AC9" s="35">
        <f t="shared" si="2"/>
        <v>0</v>
      </c>
      <c r="AD9" s="35">
        <f t="shared" si="2"/>
        <v>0</v>
      </c>
      <c r="AE9" s="35">
        <f t="shared" si="2"/>
        <v>375.904</v>
      </c>
      <c r="AF9" s="35">
        <f t="shared" si="0"/>
        <v>0</v>
      </c>
      <c r="AG9" s="35">
        <f t="shared" si="0"/>
        <v>0</v>
      </c>
      <c r="AH9" s="4">
        <f t="shared" si="3"/>
        <v>254866.68800000002</v>
      </c>
      <c r="AI9" s="129">
        <f t="shared" si="4"/>
        <v>119211.76800000001</v>
      </c>
      <c r="AJ9" s="129">
        <f t="shared" si="5"/>
        <v>20997.088000000003</v>
      </c>
      <c r="AK9" s="129">
        <f t="shared" si="6"/>
        <v>102871.45600000001</v>
      </c>
      <c r="AL9" s="129">
        <f t="shared" si="7"/>
        <v>11786.376000000002</v>
      </c>
    </row>
    <row r="10" spans="1:38">
      <c r="A10" s="1" t="s">
        <v>124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P10" s="15"/>
      <c r="R10" s="1" t="s">
        <v>124</v>
      </c>
      <c r="S10" s="35">
        <f t="shared" si="2"/>
        <v>60937.664000000004</v>
      </c>
      <c r="T10" s="35">
        <f t="shared" si="2"/>
        <v>13544.792000000001</v>
      </c>
      <c r="U10" s="35">
        <f t="shared" si="2"/>
        <v>5483.6959999999999</v>
      </c>
      <c r="V10" s="35">
        <f t="shared" si="2"/>
        <v>1081.4639999999999</v>
      </c>
      <c r="W10" s="35">
        <f t="shared" si="2"/>
        <v>50412.320000000007</v>
      </c>
      <c r="X10" s="35">
        <f t="shared" si="2"/>
        <v>227.42399999999998</v>
      </c>
      <c r="Y10" s="35">
        <f t="shared" si="2"/>
        <v>1869.4400000000003</v>
      </c>
      <c r="Z10" s="35">
        <f t="shared" si="2"/>
        <v>200.59200000000001</v>
      </c>
      <c r="AA10" s="35">
        <f t="shared" si="2"/>
        <v>1890</v>
      </c>
      <c r="AB10" s="35">
        <f t="shared" si="2"/>
        <v>0</v>
      </c>
      <c r="AC10" s="35">
        <f t="shared" si="2"/>
        <v>0</v>
      </c>
      <c r="AD10" s="35">
        <f t="shared" si="2"/>
        <v>0</v>
      </c>
      <c r="AE10" s="35">
        <f t="shared" si="2"/>
        <v>66.335999999999999</v>
      </c>
      <c r="AF10" s="35">
        <f t="shared" si="0"/>
        <v>0</v>
      </c>
      <c r="AG10" s="35">
        <f t="shared" si="0"/>
        <v>0</v>
      </c>
      <c r="AH10" s="4">
        <f t="shared" si="3"/>
        <v>135713.72800000003</v>
      </c>
      <c r="AI10" s="129">
        <f t="shared" si="4"/>
        <v>74482.456000000006</v>
      </c>
      <c r="AJ10" s="129">
        <f t="shared" si="5"/>
        <v>6565.16</v>
      </c>
      <c r="AK10" s="129">
        <f t="shared" si="6"/>
        <v>50412.320000000007</v>
      </c>
      <c r="AL10" s="129">
        <f t="shared" si="7"/>
        <v>4253.7920000000004</v>
      </c>
    </row>
    <row r="11" spans="1:38">
      <c r="A11" s="1" t="s">
        <v>125</v>
      </c>
      <c r="B11" s="35">
        <v>0</v>
      </c>
      <c r="C11" s="35">
        <v>84.03</v>
      </c>
      <c r="D11" s="35">
        <v>0</v>
      </c>
      <c r="E11" s="35">
        <v>0</v>
      </c>
      <c r="F11" s="35">
        <v>0</v>
      </c>
      <c r="G11" s="35">
        <v>0</v>
      </c>
      <c r="H11" s="35">
        <v>33.24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117.27000000000001</v>
      </c>
      <c r="P11" s="15"/>
      <c r="R11" s="1" t="s">
        <v>125</v>
      </c>
      <c r="S11" s="35">
        <f t="shared" si="2"/>
        <v>124848.43200000002</v>
      </c>
      <c r="T11" s="35">
        <f t="shared" si="2"/>
        <v>24459.704000000002</v>
      </c>
      <c r="U11" s="35">
        <f t="shared" si="2"/>
        <v>11816.04</v>
      </c>
      <c r="V11" s="35">
        <f t="shared" si="2"/>
        <v>6957.9840000000004</v>
      </c>
      <c r="W11" s="35">
        <f t="shared" si="2"/>
        <v>85587.232000000004</v>
      </c>
      <c r="X11" s="35">
        <f t="shared" si="2"/>
        <v>1971.0080000000003</v>
      </c>
      <c r="Y11" s="35">
        <f t="shared" si="2"/>
        <v>4727.9120000000003</v>
      </c>
      <c r="Z11" s="35">
        <f t="shared" si="2"/>
        <v>0</v>
      </c>
      <c r="AA11" s="35">
        <f t="shared" si="2"/>
        <v>3709.8800000000006</v>
      </c>
      <c r="AB11" s="35">
        <f t="shared" si="2"/>
        <v>454.84799999999996</v>
      </c>
      <c r="AC11" s="35">
        <f t="shared" si="2"/>
        <v>151.61600000000001</v>
      </c>
      <c r="AD11" s="35">
        <f t="shared" si="2"/>
        <v>0</v>
      </c>
      <c r="AE11" s="35">
        <f t="shared" si="2"/>
        <v>353.79200000000003</v>
      </c>
      <c r="AF11" s="35">
        <f t="shared" si="0"/>
        <v>0</v>
      </c>
      <c r="AG11" s="35">
        <f t="shared" si="0"/>
        <v>0</v>
      </c>
      <c r="AH11" s="4">
        <f t="shared" si="3"/>
        <v>265038.44800000003</v>
      </c>
      <c r="AI11" s="129">
        <f t="shared" si="4"/>
        <v>149392.16600000003</v>
      </c>
      <c r="AJ11" s="129">
        <f t="shared" si="5"/>
        <v>18774.024000000001</v>
      </c>
      <c r="AK11" s="129">
        <f t="shared" si="6"/>
        <v>85587.232000000004</v>
      </c>
      <c r="AL11" s="129">
        <f t="shared" si="7"/>
        <v>11402.296</v>
      </c>
    </row>
    <row r="12" spans="1:38">
      <c r="A12" s="1" t="s">
        <v>126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P12" s="15"/>
      <c r="R12" s="1" t="s">
        <v>126</v>
      </c>
      <c r="S12" s="35">
        <f t="shared" si="2"/>
        <v>89267.847999999998</v>
      </c>
      <c r="T12" s="35">
        <f t="shared" si="2"/>
        <v>19136.288</v>
      </c>
      <c r="U12" s="35">
        <f t="shared" si="2"/>
        <v>10523.928</v>
      </c>
      <c r="V12" s="35">
        <f t="shared" si="2"/>
        <v>2541.864</v>
      </c>
      <c r="W12" s="35">
        <f t="shared" si="2"/>
        <v>70956.288</v>
      </c>
      <c r="X12" s="35">
        <f t="shared" si="2"/>
        <v>2350.0480000000002</v>
      </c>
      <c r="Y12" s="35">
        <f t="shared" si="2"/>
        <v>3584.752</v>
      </c>
      <c r="Z12" s="35">
        <f t="shared" si="2"/>
        <v>838.75200000000007</v>
      </c>
      <c r="AA12" s="35">
        <f t="shared" si="2"/>
        <v>2760.0560000000005</v>
      </c>
      <c r="AB12" s="35">
        <f t="shared" si="2"/>
        <v>151.61600000000001</v>
      </c>
      <c r="AC12" s="35">
        <f t="shared" si="2"/>
        <v>0</v>
      </c>
      <c r="AD12" s="35">
        <f t="shared" si="2"/>
        <v>0</v>
      </c>
      <c r="AE12" s="35">
        <f t="shared" si="2"/>
        <v>66.335999999999999</v>
      </c>
      <c r="AF12" s="35">
        <f t="shared" si="0"/>
        <v>0</v>
      </c>
      <c r="AG12" s="35">
        <f t="shared" si="0"/>
        <v>0</v>
      </c>
      <c r="AH12" s="4">
        <f t="shared" si="3"/>
        <v>202177.77600000007</v>
      </c>
      <c r="AI12" s="129">
        <f t="shared" si="4"/>
        <v>108404.136</v>
      </c>
      <c r="AJ12" s="129">
        <f t="shared" si="5"/>
        <v>13065.791999999999</v>
      </c>
      <c r="AK12" s="129">
        <f t="shared" si="6"/>
        <v>70956.288</v>
      </c>
      <c r="AL12" s="129">
        <f t="shared" si="7"/>
        <v>9751.56</v>
      </c>
    </row>
    <row r="13" spans="1:38">
      <c r="A13" s="1" t="s">
        <v>127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P13" s="15"/>
      <c r="R13" s="1" t="s">
        <v>127</v>
      </c>
      <c r="S13" s="35">
        <f t="shared" si="2"/>
        <v>89950.144</v>
      </c>
      <c r="T13" s="35">
        <f t="shared" si="2"/>
        <v>21479.184000000001</v>
      </c>
      <c r="U13" s="35">
        <f t="shared" si="2"/>
        <v>9953.2080000000005</v>
      </c>
      <c r="V13" s="35">
        <f t="shared" si="2"/>
        <v>1566.1680000000001</v>
      </c>
      <c r="W13" s="35">
        <f t="shared" si="2"/>
        <v>165034.016</v>
      </c>
      <c r="X13" s="35">
        <f t="shared" si="2"/>
        <v>11674.432000000001</v>
      </c>
      <c r="Y13" s="35">
        <f t="shared" si="2"/>
        <v>4501.6959999999999</v>
      </c>
      <c r="Z13" s="35">
        <f t="shared" si="2"/>
        <v>2824.152</v>
      </c>
      <c r="AA13" s="35">
        <f t="shared" si="2"/>
        <v>3917.6880000000001</v>
      </c>
      <c r="AB13" s="35">
        <f t="shared" si="2"/>
        <v>227.42399999999998</v>
      </c>
      <c r="AC13" s="35">
        <f t="shared" si="2"/>
        <v>0</v>
      </c>
      <c r="AD13" s="35">
        <f t="shared" si="2"/>
        <v>0</v>
      </c>
      <c r="AE13" s="35">
        <f t="shared" si="2"/>
        <v>132.672</v>
      </c>
      <c r="AF13" s="35">
        <f t="shared" si="0"/>
        <v>0</v>
      </c>
      <c r="AG13" s="35">
        <f t="shared" si="0"/>
        <v>0</v>
      </c>
      <c r="AH13" s="4">
        <f t="shared" si="3"/>
        <v>311260.78400000004</v>
      </c>
      <c r="AI13" s="129">
        <f t="shared" si="4"/>
        <v>111429.32800000001</v>
      </c>
      <c r="AJ13" s="129">
        <f t="shared" si="5"/>
        <v>11519.376</v>
      </c>
      <c r="AK13" s="129">
        <f t="shared" si="6"/>
        <v>165034.016</v>
      </c>
      <c r="AL13" s="129">
        <f t="shared" si="7"/>
        <v>23278.063999999998</v>
      </c>
    </row>
    <row r="14" spans="1:38">
      <c r="A14" s="2" t="s">
        <v>128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P14" s="15"/>
      <c r="R14" s="2" t="s">
        <v>128</v>
      </c>
      <c r="S14" s="35">
        <f t="shared" si="2"/>
        <v>28758.888000000003</v>
      </c>
      <c r="T14" s="35">
        <f t="shared" si="2"/>
        <v>11036.008000000002</v>
      </c>
      <c r="U14" s="35">
        <f t="shared" si="2"/>
        <v>3139.84</v>
      </c>
      <c r="V14" s="35">
        <f t="shared" si="2"/>
        <v>2220.192</v>
      </c>
      <c r="W14" s="35">
        <f t="shared" si="2"/>
        <v>24258.560000000001</v>
      </c>
      <c r="X14" s="35">
        <f t="shared" si="2"/>
        <v>1061.3120000000001</v>
      </c>
      <c r="Y14" s="35">
        <f t="shared" si="2"/>
        <v>2142.712</v>
      </c>
      <c r="Z14" s="35">
        <f t="shared" si="2"/>
        <v>2211.1200000000003</v>
      </c>
      <c r="AA14" s="35">
        <f t="shared" si="2"/>
        <v>1492.96</v>
      </c>
      <c r="AB14" s="35">
        <f t="shared" si="2"/>
        <v>303.23200000000003</v>
      </c>
      <c r="AC14" s="35">
        <f t="shared" si="2"/>
        <v>0</v>
      </c>
      <c r="AD14" s="35">
        <f t="shared" si="2"/>
        <v>0</v>
      </c>
      <c r="AE14" s="35">
        <f t="shared" si="2"/>
        <v>22.112000000000002</v>
      </c>
      <c r="AF14" s="35">
        <f t="shared" si="0"/>
        <v>0</v>
      </c>
      <c r="AG14" s="35">
        <f t="shared" si="0"/>
        <v>0</v>
      </c>
      <c r="AH14" s="4">
        <f t="shared" si="3"/>
        <v>76646.936000000016</v>
      </c>
      <c r="AI14" s="129">
        <f t="shared" si="4"/>
        <v>39794.896000000008</v>
      </c>
      <c r="AJ14" s="129">
        <f t="shared" si="5"/>
        <v>5360.0320000000002</v>
      </c>
      <c r="AK14" s="129">
        <f t="shared" si="6"/>
        <v>24258.560000000001</v>
      </c>
      <c r="AL14" s="129">
        <f t="shared" si="7"/>
        <v>7233.4480000000003</v>
      </c>
    </row>
    <row r="15" spans="1:38">
      <c r="A15" s="18" t="s">
        <v>129</v>
      </c>
      <c r="B15" s="35">
        <v>0</v>
      </c>
      <c r="C15" s="35">
        <v>126.05</v>
      </c>
      <c r="D15" s="35">
        <v>0</v>
      </c>
      <c r="E15" s="35">
        <v>0</v>
      </c>
      <c r="F15" s="35">
        <v>0</v>
      </c>
      <c r="G15" s="35">
        <v>0</v>
      </c>
      <c r="H15" s="35">
        <v>49.86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175.91</v>
      </c>
      <c r="P15" s="15"/>
      <c r="R15" s="18" t="s">
        <v>129</v>
      </c>
      <c r="S15" s="35">
        <f t="shared" si="2"/>
        <v>68666.144</v>
      </c>
      <c r="T15" s="35">
        <f t="shared" si="2"/>
        <v>15941.567999999999</v>
      </c>
      <c r="U15" s="35">
        <f t="shared" si="2"/>
        <v>7455.5280000000002</v>
      </c>
      <c r="V15" s="35">
        <f t="shared" si="2"/>
        <v>191.352</v>
      </c>
      <c r="W15" s="35">
        <f t="shared" si="2"/>
        <v>167535.68000000002</v>
      </c>
      <c r="X15" s="35">
        <f t="shared" si="2"/>
        <v>2274.2400000000002</v>
      </c>
      <c r="Y15" s="35">
        <f t="shared" si="2"/>
        <v>1757.1279999999999</v>
      </c>
      <c r="Z15" s="35">
        <f t="shared" si="2"/>
        <v>0</v>
      </c>
      <c r="AA15" s="35">
        <f t="shared" si="2"/>
        <v>2129.3520000000003</v>
      </c>
      <c r="AB15" s="35">
        <f t="shared" si="2"/>
        <v>454.84799999999996</v>
      </c>
      <c r="AC15" s="35">
        <f t="shared" si="2"/>
        <v>0</v>
      </c>
      <c r="AD15" s="35">
        <f t="shared" si="2"/>
        <v>0</v>
      </c>
      <c r="AE15" s="35">
        <f t="shared" si="2"/>
        <v>44.224000000000004</v>
      </c>
      <c r="AF15" s="35">
        <f t="shared" si="0"/>
        <v>0</v>
      </c>
      <c r="AG15" s="35">
        <f t="shared" si="0"/>
        <v>0</v>
      </c>
      <c r="AH15" s="4">
        <f t="shared" si="3"/>
        <v>266450.06400000001</v>
      </c>
      <c r="AI15" s="129">
        <f t="shared" si="4"/>
        <v>84733.762000000002</v>
      </c>
      <c r="AJ15" s="129">
        <f t="shared" si="5"/>
        <v>7646.88</v>
      </c>
      <c r="AK15" s="129">
        <f t="shared" si="6"/>
        <v>167535.68000000002</v>
      </c>
      <c r="AL15" s="129">
        <f t="shared" si="7"/>
        <v>6709.652000000001</v>
      </c>
    </row>
    <row r="16" spans="1:38">
      <c r="A16" s="1" t="s">
        <v>130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P16" s="15"/>
      <c r="R16" s="1" t="s">
        <v>130</v>
      </c>
      <c r="S16" s="35">
        <f t="shared" si="2"/>
        <v>47568.032000000007</v>
      </c>
      <c r="T16" s="35">
        <f t="shared" si="2"/>
        <v>11736.576000000001</v>
      </c>
      <c r="U16" s="35">
        <f t="shared" si="2"/>
        <v>6564.3520000000008</v>
      </c>
      <c r="V16" s="35">
        <f t="shared" si="2"/>
        <v>1733.3520000000001</v>
      </c>
      <c r="W16" s="35">
        <f t="shared" si="2"/>
        <v>137060.864</v>
      </c>
      <c r="X16" s="35">
        <f t="shared" si="2"/>
        <v>2122.6240000000003</v>
      </c>
      <c r="Y16" s="35">
        <f t="shared" si="2"/>
        <v>2415.0720000000001</v>
      </c>
      <c r="Z16" s="35">
        <f t="shared" si="2"/>
        <v>1123.0640000000001</v>
      </c>
      <c r="AA16" s="35">
        <f t="shared" si="2"/>
        <v>1805.8000000000002</v>
      </c>
      <c r="AB16" s="35">
        <f t="shared" si="2"/>
        <v>682.27200000000005</v>
      </c>
      <c r="AC16" s="35">
        <f t="shared" si="2"/>
        <v>0</v>
      </c>
      <c r="AD16" s="35">
        <f t="shared" si="2"/>
        <v>0</v>
      </c>
      <c r="AE16" s="35">
        <f t="shared" si="2"/>
        <v>88.448000000000008</v>
      </c>
      <c r="AF16" s="35">
        <f t="shared" si="0"/>
        <v>0</v>
      </c>
      <c r="AG16" s="35">
        <f t="shared" si="0"/>
        <v>0</v>
      </c>
      <c r="AH16" s="4">
        <f t="shared" si="3"/>
        <v>212900.45600000003</v>
      </c>
      <c r="AI16" s="129">
        <f t="shared" si="4"/>
        <v>59304.608000000007</v>
      </c>
      <c r="AJ16" s="129">
        <f t="shared" si="5"/>
        <v>8297.7040000000015</v>
      </c>
      <c r="AK16" s="129">
        <f t="shared" si="6"/>
        <v>137060.864</v>
      </c>
      <c r="AL16" s="129">
        <f t="shared" si="7"/>
        <v>8237.2800000000007</v>
      </c>
    </row>
    <row r="17" spans="1:38">
      <c r="A17" s="1" t="s">
        <v>131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0</v>
      </c>
      <c r="P17" s="15"/>
      <c r="R17" s="1" t="s">
        <v>131</v>
      </c>
      <c r="S17" s="35">
        <f t="shared" si="2"/>
        <v>264137.35200000001</v>
      </c>
      <c r="T17" s="35">
        <f t="shared" si="2"/>
        <v>67555.135999999999</v>
      </c>
      <c r="U17" s="35">
        <f t="shared" si="2"/>
        <v>36115.128000000004</v>
      </c>
      <c r="V17" s="35">
        <f t="shared" si="2"/>
        <v>15876.376000000002</v>
      </c>
      <c r="W17" s="35">
        <f t="shared" si="2"/>
        <v>298759.32799999998</v>
      </c>
      <c r="X17" s="35">
        <f t="shared" si="2"/>
        <v>3714.5920000000001</v>
      </c>
      <c r="Y17" s="35">
        <f t="shared" si="2"/>
        <v>16831.216</v>
      </c>
      <c r="Z17" s="35">
        <f t="shared" si="2"/>
        <v>0</v>
      </c>
      <c r="AA17" s="35">
        <f t="shared" si="2"/>
        <v>8713.5120000000006</v>
      </c>
      <c r="AB17" s="35">
        <f t="shared" si="2"/>
        <v>3183.9360000000001</v>
      </c>
      <c r="AC17" s="35">
        <f t="shared" si="2"/>
        <v>0</v>
      </c>
      <c r="AD17" s="35">
        <f t="shared" si="2"/>
        <v>0</v>
      </c>
      <c r="AE17" s="35">
        <f t="shared" si="2"/>
        <v>442.24</v>
      </c>
      <c r="AF17" s="35">
        <f t="shared" si="0"/>
        <v>0</v>
      </c>
      <c r="AG17" s="35">
        <f t="shared" si="0"/>
        <v>0</v>
      </c>
      <c r="AH17" s="4">
        <f t="shared" si="3"/>
        <v>715328.81599999999</v>
      </c>
      <c r="AI17" s="129">
        <f t="shared" si="4"/>
        <v>331692.48800000001</v>
      </c>
      <c r="AJ17" s="129">
        <f t="shared" si="5"/>
        <v>51991.504000000008</v>
      </c>
      <c r="AK17" s="129">
        <f t="shared" si="6"/>
        <v>298759.32799999998</v>
      </c>
      <c r="AL17" s="129">
        <f t="shared" si="7"/>
        <v>32885.495999999999</v>
      </c>
    </row>
    <row r="18" spans="1:38">
      <c r="A18" s="1" t="s">
        <v>132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P18" s="15"/>
      <c r="R18" s="1" t="s">
        <v>132</v>
      </c>
      <c r="S18" s="35">
        <f t="shared" si="2"/>
        <v>46411.888000000006</v>
      </c>
      <c r="T18" s="35">
        <f t="shared" si="2"/>
        <v>16672.056</v>
      </c>
      <c r="U18" s="35">
        <f t="shared" si="2"/>
        <v>4709.8720000000003</v>
      </c>
      <c r="V18" s="35">
        <f t="shared" si="2"/>
        <v>2494.768</v>
      </c>
      <c r="W18" s="35">
        <f t="shared" si="2"/>
        <v>45939.648000000001</v>
      </c>
      <c r="X18" s="35">
        <f t="shared" si="2"/>
        <v>1061.3120000000001</v>
      </c>
      <c r="Y18" s="35">
        <f t="shared" si="2"/>
        <v>3745.36</v>
      </c>
      <c r="Z18" s="35">
        <f t="shared" si="2"/>
        <v>0</v>
      </c>
      <c r="AA18" s="35">
        <f t="shared" si="2"/>
        <v>1588.3120000000001</v>
      </c>
      <c r="AB18" s="35">
        <f t="shared" si="2"/>
        <v>303.23200000000003</v>
      </c>
      <c r="AC18" s="35">
        <f t="shared" si="2"/>
        <v>0</v>
      </c>
      <c r="AD18" s="35">
        <f t="shared" si="2"/>
        <v>0</v>
      </c>
      <c r="AE18" s="35">
        <f t="shared" si="2"/>
        <v>88.448000000000008</v>
      </c>
      <c r="AF18" s="35">
        <f t="shared" si="0"/>
        <v>0</v>
      </c>
      <c r="AG18" s="35">
        <f t="shared" si="0"/>
        <v>0</v>
      </c>
      <c r="AH18" s="4">
        <f t="shared" si="3"/>
        <v>123014.89600000002</v>
      </c>
      <c r="AI18" s="129">
        <f t="shared" si="4"/>
        <v>63083.944000000003</v>
      </c>
      <c r="AJ18" s="129">
        <f t="shared" si="5"/>
        <v>7204.64</v>
      </c>
      <c r="AK18" s="129">
        <f t="shared" si="6"/>
        <v>45939.648000000001</v>
      </c>
      <c r="AL18" s="129">
        <f t="shared" si="7"/>
        <v>6786.6640000000007</v>
      </c>
    </row>
    <row r="19" spans="1:38" s="14" customFormat="1">
      <c r="A19" s="39" t="s">
        <v>133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0</v>
      </c>
      <c r="P19" s="15"/>
      <c r="Q19"/>
      <c r="R19" s="1" t="s">
        <v>133</v>
      </c>
      <c r="S19" s="35">
        <f t="shared" si="2"/>
        <v>44157.184000000008</v>
      </c>
      <c r="T19" s="35">
        <f t="shared" si="2"/>
        <v>11671.112000000001</v>
      </c>
      <c r="U19" s="35">
        <f t="shared" si="2"/>
        <v>5963.9360000000006</v>
      </c>
      <c r="V19" s="35">
        <f t="shared" si="2"/>
        <v>2040.1040000000003</v>
      </c>
      <c r="W19" s="35">
        <f t="shared" si="2"/>
        <v>51397.824000000001</v>
      </c>
      <c r="X19" s="35">
        <f t="shared" si="2"/>
        <v>1667.7759999999998</v>
      </c>
      <c r="Y19" s="35">
        <f t="shared" si="2"/>
        <v>2617.0320000000002</v>
      </c>
      <c r="Z19" s="35">
        <f t="shared" si="2"/>
        <v>0</v>
      </c>
      <c r="AA19" s="35">
        <f t="shared" si="2"/>
        <v>2288.248</v>
      </c>
      <c r="AB19" s="35">
        <f t="shared" si="2"/>
        <v>75.808000000000007</v>
      </c>
      <c r="AC19" s="35">
        <f t="shared" si="2"/>
        <v>0</v>
      </c>
      <c r="AD19" s="35">
        <f t="shared" si="2"/>
        <v>0</v>
      </c>
      <c r="AE19" s="35">
        <f t="shared" si="2"/>
        <v>176.89600000000002</v>
      </c>
      <c r="AF19" s="35">
        <f t="shared" si="0"/>
        <v>0</v>
      </c>
      <c r="AG19" s="35">
        <f t="shared" si="0"/>
        <v>0</v>
      </c>
      <c r="AH19" s="4">
        <f t="shared" si="3"/>
        <v>122055.92000000001</v>
      </c>
      <c r="AI19" s="129">
        <f t="shared" si="4"/>
        <v>55828.296000000009</v>
      </c>
      <c r="AJ19" s="129">
        <f t="shared" si="5"/>
        <v>8004.0400000000009</v>
      </c>
      <c r="AK19" s="129">
        <f t="shared" si="6"/>
        <v>51397.824000000001</v>
      </c>
      <c r="AL19" s="129">
        <f t="shared" si="7"/>
        <v>6825.76</v>
      </c>
    </row>
    <row r="20" spans="1:38">
      <c r="A20" s="18" t="s">
        <v>134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P20" s="15"/>
      <c r="R20" s="18" t="s">
        <v>134</v>
      </c>
      <c r="S20" s="35">
        <f t="shared" si="2"/>
        <v>249362.21600000001</v>
      </c>
      <c r="T20" s="35">
        <f t="shared" si="2"/>
        <v>45545.184000000008</v>
      </c>
      <c r="U20" s="35">
        <f t="shared" si="2"/>
        <v>45429.384000000005</v>
      </c>
      <c r="V20" s="35">
        <f t="shared" si="2"/>
        <v>10885.256000000001</v>
      </c>
      <c r="W20" s="35">
        <f t="shared" si="2"/>
        <v>454848</v>
      </c>
      <c r="X20" s="35">
        <f t="shared" si="2"/>
        <v>3032.32</v>
      </c>
      <c r="Y20" s="35">
        <f t="shared" si="2"/>
        <v>6910.9360000000006</v>
      </c>
      <c r="Z20" s="35">
        <f t="shared" si="2"/>
        <v>221.11199999999999</v>
      </c>
      <c r="AA20" s="35">
        <f t="shared" si="2"/>
        <v>8146.0880000000006</v>
      </c>
      <c r="AB20" s="35">
        <f t="shared" si="2"/>
        <v>1743.5840000000001</v>
      </c>
      <c r="AC20" s="35">
        <f t="shared" si="2"/>
        <v>0</v>
      </c>
      <c r="AD20" s="35">
        <f t="shared" si="2"/>
        <v>0</v>
      </c>
      <c r="AE20" s="35">
        <f t="shared" si="2"/>
        <v>420.12799999999999</v>
      </c>
      <c r="AF20" s="35">
        <f t="shared" si="0"/>
        <v>0</v>
      </c>
      <c r="AG20" s="35">
        <f t="shared" si="0"/>
        <v>0</v>
      </c>
      <c r="AH20" s="4">
        <f t="shared" si="3"/>
        <v>826544.20799999998</v>
      </c>
      <c r="AI20" s="129">
        <f t="shared" si="4"/>
        <v>294907.40000000002</v>
      </c>
      <c r="AJ20" s="129">
        <f t="shared" si="5"/>
        <v>56314.640000000007</v>
      </c>
      <c r="AK20" s="129">
        <f t="shared" si="6"/>
        <v>454848</v>
      </c>
      <c r="AL20" s="129">
        <f t="shared" si="7"/>
        <v>20474.168000000001</v>
      </c>
    </row>
    <row r="21" spans="1:38">
      <c r="A21" s="1" t="s">
        <v>135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P21" s="15"/>
      <c r="R21" s="1" t="s">
        <v>135</v>
      </c>
      <c r="S21" s="35">
        <f t="shared" si="2"/>
        <v>108839.31200000002</v>
      </c>
      <c r="T21" s="35">
        <f t="shared" si="2"/>
        <v>34601.216</v>
      </c>
      <c r="U21" s="35">
        <f t="shared" si="2"/>
        <v>12685.184000000001</v>
      </c>
      <c r="V21" s="35">
        <f t="shared" si="2"/>
        <v>1920.8560000000002</v>
      </c>
      <c r="W21" s="35">
        <f t="shared" si="2"/>
        <v>100521.408</v>
      </c>
      <c r="X21" s="35">
        <f t="shared" si="2"/>
        <v>1440.3520000000001</v>
      </c>
      <c r="Y21" s="35">
        <f t="shared" si="2"/>
        <v>4264.6639999999998</v>
      </c>
      <c r="Z21" s="35">
        <f t="shared" si="2"/>
        <v>412.79200000000003</v>
      </c>
      <c r="AA21" s="35">
        <f t="shared" si="2"/>
        <v>5989.1760000000004</v>
      </c>
      <c r="AB21" s="35">
        <f t="shared" si="2"/>
        <v>758.08</v>
      </c>
      <c r="AC21" s="35">
        <f t="shared" si="2"/>
        <v>0</v>
      </c>
      <c r="AD21" s="35">
        <f t="shared" si="2"/>
        <v>0</v>
      </c>
      <c r="AE21" s="35">
        <f t="shared" si="2"/>
        <v>154.78399999999999</v>
      </c>
      <c r="AF21" s="35">
        <f t="shared" si="2"/>
        <v>0</v>
      </c>
      <c r="AG21" s="35">
        <f t="shared" si="2"/>
        <v>0</v>
      </c>
      <c r="AH21" s="4">
        <f t="shared" si="3"/>
        <v>271587.82400000002</v>
      </c>
      <c r="AI21" s="129">
        <f t="shared" si="4"/>
        <v>143440.52800000002</v>
      </c>
      <c r="AJ21" s="129">
        <f t="shared" si="5"/>
        <v>14606.04</v>
      </c>
      <c r="AK21" s="129">
        <f t="shared" si="6"/>
        <v>100521.408</v>
      </c>
      <c r="AL21" s="129">
        <f t="shared" si="7"/>
        <v>13019.848</v>
      </c>
    </row>
    <row r="22" spans="1:38">
      <c r="A22" s="1" t="s">
        <v>136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P22" s="15"/>
      <c r="R22" s="1" t="s">
        <v>136</v>
      </c>
      <c r="S22" s="35">
        <f t="shared" ref="S22:AG31" si="8">S92*0.8</f>
        <v>20185.096000000001</v>
      </c>
      <c r="T22" s="35">
        <f t="shared" si="8"/>
        <v>3105.3440000000001</v>
      </c>
      <c r="U22" s="35">
        <f t="shared" si="8"/>
        <v>2565.7040000000002</v>
      </c>
      <c r="V22" s="35">
        <f t="shared" si="8"/>
        <v>184.72000000000003</v>
      </c>
      <c r="W22" s="35">
        <f t="shared" si="8"/>
        <v>27828.632000000001</v>
      </c>
      <c r="X22" s="35">
        <f t="shared" si="8"/>
        <v>1061.3120000000001</v>
      </c>
      <c r="Y22" s="35">
        <f t="shared" si="8"/>
        <v>365.14400000000001</v>
      </c>
      <c r="Z22" s="35">
        <f t="shared" si="8"/>
        <v>727.06400000000008</v>
      </c>
      <c r="AA22" s="35">
        <f t="shared" si="8"/>
        <v>380.31200000000001</v>
      </c>
      <c r="AB22" s="35">
        <f t="shared" si="8"/>
        <v>0</v>
      </c>
      <c r="AC22" s="35">
        <f t="shared" si="8"/>
        <v>0</v>
      </c>
      <c r="AD22" s="35">
        <f t="shared" si="8"/>
        <v>0</v>
      </c>
      <c r="AE22" s="35">
        <f t="shared" si="8"/>
        <v>44.224000000000004</v>
      </c>
      <c r="AF22" s="35">
        <f>AF92</f>
        <v>43.1</v>
      </c>
      <c r="AG22" s="35">
        <f>AG92</f>
        <v>430.95</v>
      </c>
      <c r="AH22" s="4">
        <f t="shared" si="3"/>
        <v>56921.601999999999</v>
      </c>
      <c r="AI22" s="129">
        <f t="shared" si="4"/>
        <v>23290.440000000002</v>
      </c>
      <c r="AJ22" s="129">
        <f t="shared" si="5"/>
        <v>2750.424</v>
      </c>
      <c r="AK22" s="129">
        <f t="shared" si="6"/>
        <v>27828.632000000001</v>
      </c>
      <c r="AL22" s="129">
        <f t="shared" si="7"/>
        <v>3052.1060000000002</v>
      </c>
    </row>
    <row r="23" spans="1:38">
      <c r="A23" s="1" t="s">
        <v>137</v>
      </c>
      <c r="B23" s="35">
        <v>0</v>
      </c>
      <c r="C23" s="35">
        <v>203.81</v>
      </c>
      <c r="D23" s="35">
        <v>0</v>
      </c>
      <c r="E23" s="35">
        <v>84.04</v>
      </c>
      <c r="F23" s="35">
        <v>0</v>
      </c>
      <c r="G23" s="35">
        <v>0</v>
      </c>
      <c r="H23" s="35">
        <v>118.69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406.54</v>
      </c>
      <c r="P23" s="15"/>
      <c r="R23" s="1" t="s">
        <v>137</v>
      </c>
      <c r="S23" s="35">
        <f t="shared" si="8"/>
        <v>309511.43199999997</v>
      </c>
      <c r="T23" s="35">
        <f t="shared" si="8"/>
        <v>62857.488000000005</v>
      </c>
      <c r="U23" s="35">
        <f t="shared" si="8"/>
        <v>45200.256000000001</v>
      </c>
      <c r="V23" s="35">
        <f t="shared" si="8"/>
        <v>8482.3520000000008</v>
      </c>
      <c r="W23" s="35">
        <f t="shared" si="8"/>
        <v>340756.96</v>
      </c>
      <c r="X23" s="35">
        <f t="shared" si="8"/>
        <v>16526.144</v>
      </c>
      <c r="Y23" s="35">
        <f t="shared" si="8"/>
        <v>11180.04</v>
      </c>
      <c r="Z23" s="35">
        <f t="shared" si="8"/>
        <v>1256.28</v>
      </c>
      <c r="AA23" s="35">
        <f t="shared" si="8"/>
        <v>10374.280000000001</v>
      </c>
      <c r="AB23" s="35">
        <f t="shared" si="8"/>
        <v>1212.9280000000001</v>
      </c>
      <c r="AC23" s="35">
        <f t="shared" si="8"/>
        <v>454.84799999999996</v>
      </c>
      <c r="AD23" s="35">
        <f t="shared" si="8"/>
        <v>0</v>
      </c>
      <c r="AE23" s="35">
        <f t="shared" si="8"/>
        <v>818.14400000000001</v>
      </c>
      <c r="AF23" s="35">
        <f t="shared" si="8"/>
        <v>0</v>
      </c>
      <c r="AG23" s="35">
        <f t="shared" si="8"/>
        <v>0</v>
      </c>
      <c r="AH23" s="4">
        <f t="shared" si="3"/>
        <v>808631.152</v>
      </c>
      <c r="AI23" s="129">
        <f t="shared" si="4"/>
        <v>372572.73</v>
      </c>
      <c r="AJ23" s="129">
        <f t="shared" si="5"/>
        <v>53766.648000000001</v>
      </c>
      <c r="AK23" s="129">
        <f t="shared" si="6"/>
        <v>340756.96</v>
      </c>
      <c r="AL23" s="129">
        <f t="shared" si="7"/>
        <v>41941.353999999999</v>
      </c>
    </row>
    <row r="24" spans="1:38">
      <c r="A24" s="1" t="s">
        <v>138</v>
      </c>
      <c r="B24" s="35">
        <v>0</v>
      </c>
      <c r="C24" s="35">
        <v>168.07</v>
      </c>
      <c r="D24" s="35">
        <v>0</v>
      </c>
      <c r="E24" s="35">
        <v>0</v>
      </c>
      <c r="F24" s="35">
        <v>0</v>
      </c>
      <c r="G24" s="35">
        <v>0</v>
      </c>
      <c r="H24" s="35">
        <v>67.62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235.69</v>
      </c>
      <c r="P24" s="15"/>
      <c r="R24" s="1" t="s">
        <v>138</v>
      </c>
      <c r="S24" s="35">
        <f t="shared" si="8"/>
        <v>46974.648000000001</v>
      </c>
      <c r="T24" s="35">
        <f t="shared" si="8"/>
        <v>11237.952000000001</v>
      </c>
      <c r="U24" s="35">
        <f t="shared" si="8"/>
        <v>4650.7760000000007</v>
      </c>
      <c r="V24" s="35">
        <f t="shared" si="8"/>
        <v>983.32000000000016</v>
      </c>
      <c r="W24" s="35">
        <f t="shared" si="8"/>
        <v>41770.208000000006</v>
      </c>
      <c r="X24" s="35">
        <f t="shared" si="8"/>
        <v>1667.7759999999998</v>
      </c>
      <c r="Y24" s="35">
        <f t="shared" si="8"/>
        <v>2377.192</v>
      </c>
      <c r="Z24" s="35">
        <f t="shared" si="8"/>
        <v>0</v>
      </c>
      <c r="AA24" s="35">
        <f t="shared" si="8"/>
        <v>1323.3920000000001</v>
      </c>
      <c r="AB24" s="35">
        <f t="shared" si="8"/>
        <v>0</v>
      </c>
      <c r="AC24" s="35">
        <f t="shared" si="8"/>
        <v>0</v>
      </c>
      <c r="AD24" s="35">
        <f t="shared" si="8"/>
        <v>0</v>
      </c>
      <c r="AE24" s="35">
        <f t="shared" si="8"/>
        <v>88.448000000000008</v>
      </c>
      <c r="AF24" s="35">
        <f t="shared" si="8"/>
        <v>0</v>
      </c>
      <c r="AG24" s="35">
        <f t="shared" si="8"/>
        <v>0</v>
      </c>
      <c r="AH24" s="4">
        <f t="shared" si="3"/>
        <v>111073.71200000001</v>
      </c>
      <c r="AI24" s="129">
        <f t="shared" si="4"/>
        <v>58380.67</v>
      </c>
      <c r="AJ24" s="129">
        <f t="shared" si="5"/>
        <v>5634.0960000000014</v>
      </c>
      <c r="AK24" s="129">
        <f t="shared" si="6"/>
        <v>41770.208000000006</v>
      </c>
      <c r="AL24" s="129">
        <f t="shared" si="7"/>
        <v>5524.4279999999999</v>
      </c>
    </row>
    <row r="25" spans="1:38">
      <c r="A25" s="1" t="s">
        <v>139</v>
      </c>
      <c r="B25" s="35">
        <v>0</v>
      </c>
      <c r="C25" s="35">
        <v>252.14</v>
      </c>
      <c r="D25" s="35">
        <v>0</v>
      </c>
      <c r="E25" s="35">
        <v>84.05</v>
      </c>
      <c r="F25" s="35">
        <v>0</v>
      </c>
      <c r="G25" s="35">
        <v>0</v>
      </c>
      <c r="H25" s="35">
        <v>138.30000000000001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 t="shared" si="1"/>
        <v>474.49</v>
      </c>
      <c r="P25" s="15"/>
      <c r="R25" s="1" t="s">
        <v>139</v>
      </c>
      <c r="S25" s="35">
        <f t="shared" si="8"/>
        <v>323545.58400000003</v>
      </c>
      <c r="T25" s="35">
        <f t="shared" si="8"/>
        <v>69255.256000000008</v>
      </c>
      <c r="U25" s="35">
        <f t="shared" si="8"/>
        <v>42727.040000000008</v>
      </c>
      <c r="V25" s="35">
        <f t="shared" si="8"/>
        <v>16207.752</v>
      </c>
      <c r="W25" s="35">
        <f t="shared" si="8"/>
        <v>593500.83200000005</v>
      </c>
      <c r="X25" s="35">
        <f t="shared" si="8"/>
        <v>4472.6720000000005</v>
      </c>
      <c r="Y25" s="35">
        <f t="shared" si="8"/>
        <v>15149.864000000001</v>
      </c>
      <c r="Z25" s="35">
        <f t="shared" si="8"/>
        <v>1014.816</v>
      </c>
      <c r="AA25" s="35">
        <f t="shared" si="8"/>
        <v>9121.1839999999993</v>
      </c>
      <c r="AB25" s="35">
        <f t="shared" si="8"/>
        <v>1212.9280000000001</v>
      </c>
      <c r="AC25" s="35">
        <f t="shared" si="8"/>
        <v>0</v>
      </c>
      <c r="AD25" s="35">
        <f t="shared" si="8"/>
        <v>0</v>
      </c>
      <c r="AE25" s="35">
        <f t="shared" si="8"/>
        <v>287.45600000000002</v>
      </c>
      <c r="AF25" s="35">
        <f t="shared" si="8"/>
        <v>0</v>
      </c>
      <c r="AG25" s="35">
        <f t="shared" si="8"/>
        <v>0</v>
      </c>
      <c r="AH25" s="4">
        <f t="shared" si="3"/>
        <v>1076495.3840000001</v>
      </c>
      <c r="AI25" s="129">
        <f t="shared" si="4"/>
        <v>393052.98000000004</v>
      </c>
      <c r="AJ25" s="129">
        <f t="shared" si="5"/>
        <v>59018.842000000011</v>
      </c>
      <c r="AK25" s="129">
        <f t="shared" si="6"/>
        <v>593500.83200000005</v>
      </c>
      <c r="AL25" s="129">
        <f t="shared" si="7"/>
        <v>31397.219999999998</v>
      </c>
    </row>
    <row r="26" spans="1:38">
      <c r="A26" s="1" t="s">
        <v>140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P26" s="15"/>
      <c r="R26" s="1" t="s">
        <v>140</v>
      </c>
      <c r="S26" s="35">
        <f t="shared" si="8"/>
        <v>20988.536</v>
      </c>
      <c r="T26" s="35">
        <f t="shared" si="8"/>
        <v>3217.3760000000002</v>
      </c>
      <c r="U26" s="35">
        <f t="shared" si="8"/>
        <v>2591.9279999999999</v>
      </c>
      <c r="V26" s="35">
        <f t="shared" si="8"/>
        <v>583.45600000000002</v>
      </c>
      <c r="W26" s="35">
        <f t="shared" si="8"/>
        <v>47076.768000000004</v>
      </c>
      <c r="X26" s="35">
        <f t="shared" si="8"/>
        <v>530.65600000000006</v>
      </c>
      <c r="Y26" s="35">
        <f t="shared" si="8"/>
        <v>369.03200000000004</v>
      </c>
      <c r="Z26" s="35">
        <f t="shared" si="8"/>
        <v>0</v>
      </c>
      <c r="AA26" s="35">
        <f t="shared" si="8"/>
        <v>629.34400000000005</v>
      </c>
      <c r="AB26" s="35">
        <f t="shared" si="8"/>
        <v>303.23200000000003</v>
      </c>
      <c r="AC26" s="35">
        <f t="shared" si="8"/>
        <v>0</v>
      </c>
      <c r="AD26" s="35">
        <f t="shared" si="8"/>
        <v>0</v>
      </c>
      <c r="AE26" s="35">
        <f t="shared" si="8"/>
        <v>0</v>
      </c>
      <c r="AF26" s="35">
        <f t="shared" si="8"/>
        <v>0</v>
      </c>
      <c r="AG26" s="35">
        <f t="shared" si="8"/>
        <v>0</v>
      </c>
      <c r="AH26" s="4">
        <f t="shared" si="3"/>
        <v>76290.328000000009</v>
      </c>
      <c r="AI26" s="129">
        <f t="shared" si="4"/>
        <v>24205.912</v>
      </c>
      <c r="AJ26" s="129">
        <f t="shared" si="5"/>
        <v>3175.384</v>
      </c>
      <c r="AK26" s="129">
        <f t="shared" si="6"/>
        <v>47076.768000000004</v>
      </c>
      <c r="AL26" s="129">
        <f t="shared" si="7"/>
        <v>1832.2640000000001</v>
      </c>
    </row>
    <row r="27" spans="1:38">
      <c r="A27" s="2" t="s">
        <v>141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P27" s="15"/>
      <c r="R27" s="2" t="s">
        <v>141</v>
      </c>
      <c r="S27" s="35">
        <f t="shared" si="8"/>
        <v>2350.2959999999998</v>
      </c>
      <c r="T27" s="35">
        <f t="shared" si="8"/>
        <v>409.20000000000005</v>
      </c>
      <c r="U27" s="35">
        <f t="shared" si="8"/>
        <v>434.86400000000003</v>
      </c>
      <c r="V27" s="35">
        <f t="shared" si="8"/>
        <v>0</v>
      </c>
      <c r="W27" s="35">
        <f t="shared" si="8"/>
        <v>7808.2240000000011</v>
      </c>
      <c r="X27" s="35">
        <f t="shared" si="8"/>
        <v>0</v>
      </c>
      <c r="Y27" s="35">
        <f t="shared" si="8"/>
        <v>28.872000000000003</v>
      </c>
      <c r="Z27" s="35">
        <f t="shared" si="8"/>
        <v>0</v>
      </c>
      <c r="AA27" s="35">
        <f t="shared" si="8"/>
        <v>54.216000000000001</v>
      </c>
      <c r="AB27" s="35">
        <f t="shared" si="8"/>
        <v>0</v>
      </c>
      <c r="AC27" s="35">
        <f t="shared" si="8"/>
        <v>0</v>
      </c>
      <c r="AD27" s="35">
        <f t="shared" si="8"/>
        <v>0</v>
      </c>
      <c r="AE27" s="35">
        <f t="shared" si="8"/>
        <v>0</v>
      </c>
      <c r="AF27" s="35">
        <f t="shared" si="8"/>
        <v>0</v>
      </c>
      <c r="AG27" s="35">
        <f t="shared" si="8"/>
        <v>0</v>
      </c>
      <c r="AH27" s="4">
        <f t="shared" si="3"/>
        <v>11085.672</v>
      </c>
      <c r="AI27" s="129">
        <f t="shared" si="4"/>
        <v>2759.4960000000001</v>
      </c>
      <c r="AJ27" s="129">
        <f t="shared" si="5"/>
        <v>434.86400000000003</v>
      </c>
      <c r="AK27" s="129">
        <f t="shared" si="6"/>
        <v>7808.2240000000011</v>
      </c>
      <c r="AL27" s="129">
        <f t="shared" si="7"/>
        <v>83.088000000000008</v>
      </c>
    </row>
    <row r="28" spans="1:38">
      <c r="A28" s="1" t="s">
        <v>142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P28" s="15"/>
      <c r="R28" s="1" t="s">
        <v>142</v>
      </c>
      <c r="S28" s="35">
        <f t="shared" si="8"/>
        <v>235817.56000000003</v>
      </c>
      <c r="T28" s="35">
        <f t="shared" si="8"/>
        <v>36479.871999999996</v>
      </c>
      <c r="U28" s="35">
        <f t="shared" si="8"/>
        <v>31200.976000000002</v>
      </c>
      <c r="V28" s="35">
        <f t="shared" si="8"/>
        <v>8549.4800000000014</v>
      </c>
      <c r="W28" s="35">
        <f t="shared" si="8"/>
        <v>369488.19200000004</v>
      </c>
      <c r="X28" s="35">
        <f t="shared" si="8"/>
        <v>2577.4720000000002</v>
      </c>
      <c r="Y28" s="35">
        <f t="shared" si="8"/>
        <v>6868.0560000000005</v>
      </c>
      <c r="Z28" s="35">
        <f t="shared" si="8"/>
        <v>0</v>
      </c>
      <c r="AA28" s="35">
        <f t="shared" si="8"/>
        <v>5519.3600000000006</v>
      </c>
      <c r="AB28" s="35">
        <f t="shared" si="8"/>
        <v>379.04</v>
      </c>
      <c r="AC28" s="35">
        <f t="shared" si="8"/>
        <v>0</v>
      </c>
      <c r="AD28" s="35">
        <f t="shared" si="8"/>
        <v>0</v>
      </c>
      <c r="AE28" s="35">
        <f t="shared" si="8"/>
        <v>265.34399999999999</v>
      </c>
      <c r="AF28" s="35">
        <f t="shared" si="8"/>
        <v>0</v>
      </c>
      <c r="AG28" s="35">
        <f t="shared" si="8"/>
        <v>0</v>
      </c>
      <c r="AH28" s="4">
        <f t="shared" si="3"/>
        <v>697145.35200000007</v>
      </c>
      <c r="AI28" s="129">
        <f t="shared" si="4"/>
        <v>272297.43200000003</v>
      </c>
      <c r="AJ28" s="129">
        <f t="shared" si="5"/>
        <v>39750.456000000006</v>
      </c>
      <c r="AK28" s="129">
        <f t="shared" si="6"/>
        <v>369488.19200000004</v>
      </c>
      <c r="AL28" s="129">
        <f t="shared" si="7"/>
        <v>15609.272000000001</v>
      </c>
    </row>
    <row r="29" spans="1:38">
      <c r="A29" s="1" t="s">
        <v>143</v>
      </c>
      <c r="B29" s="35">
        <v>0</v>
      </c>
      <c r="C29" s="35">
        <v>838.24</v>
      </c>
      <c r="D29" s="35">
        <v>0</v>
      </c>
      <c r="E29" s="35">
        <v>0</v>
      </c>
      <c r="F29" s="35">
        <v>0</v>
      </c>
      <c r="G29" s="35">
        <v>0</v>
      </c>
      <c r="H29" s="35">
        <v>352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 t="shared" si="1"/>
        <v>1190.24</v>
      </c>
      <c r="P29" s="15"/>
      <c r="R29" s="1" t="s">
        <v>143</v>
      </c>
      <c r="S29" s="35">
        <f t="shared" si="8"/>
        <v>1167254.7920000001</v>
      </c>
      <c r="T29" s="35">
        <f t="shared" si="8"/>
        <v>225752.18400000001</v>
      </c>
      <c r="U29" s="35">
        <f t="shared" si="8"/>
        <v>145202.07200000001</v>
      </c>
      <c r="V29" s="35">
        <f t="shared" si="8"/>
        <v>29951.896000000004</v>
      </c>
      <c r="W29" s="35">
        <f t="shared" si="8"/>
        <v>1963954.64</v>
      </c>
      <c r="X29" s="35">
        <f t="shared" si="8"/>
        <v>15768.064000000002</v>
      </c>
      <c r="Y29" s="35">
        <f t="shared" si="8"/>
        <v>46890.232000000004</v>
      </c>
      <c r="Z29" s="35">
        <f t="shared" si="8"/>
        <v>3919.2160000000003</v>
      </c>
      <c r="AA29" s="35">
        <f t="shared" si="8"/>
        <v>30578.536</v>
      </c>
      <c r="AB29" s="35">
        <f t="shared" si="8"/>
        <v>3638.7839999999997</v>
      </c>
      <c r="AC29" s="35">
        <f t="shared" si="8"/>
        <v>454.84799999999996</v>
      </c>
      <c r="AD29" s="35">
        <f t="shared" si="8"/>
        <v>0</v>
      </c>
      <c r="AE29" s="35">
        <f t="shared" si="8"/>
        <v>2078.5279999999998</v>
      </c>
      <c r="AF29" s="35">
        <f>AF99</f>
        <v>312.01</v>
      </c>
      <c r="AG29" s="35">
        <f>AG99</f>
        <v>3259.71</v>
      </c>
      <c r="AH29" s="4">
        <f t="shared" si="3"/>
        <v>3639015.5119999992</v>
      </c>
      <c r="AI29" s="129">
        <f t="shared" si="4"/>
        <v>1393845.216</v>
      </c>
      <c r="AJ29" s="129">
        <f t="shared" si="5"/>
        <v>175153.96800000002</v>
      </c>
      <c r="AK29" s="129">
        <f t="shared" si="6"/>
        <v>1963954.64</v>
      </c>
      <c r="AL29" s="129">
        <f t="shared" si="7"/>
        <v>107251.92800000001</v>
      </c>
    </row>
    <row r="30" spans="1:38">
      <c r="A30" s="1" t="s">
        <v>144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15"/>
      <c r="R30" s="1" t="s">
        <v>144</v>
      </c>
      <c r="S30" s="35">
        <f t="shared" si="8"/>
        <v>27533.759999999998</v>
      </c>
      <c r="T30" s="35">
        <f t="shared" si="8"/>
        <v>11225.888000000001</v>
      </c>
      <c r="U30" s="35">
        <f t="shared" si="8"/>
        <v>2075.4160000000002</v>
      </c>
      <c r="V30" s="35">
        <f t="shared" si="8"/>
        <v>144.048</v>
      </c>
      <c r="W30" s="35">
        <f t="shared" si="8"/>
        <v>35553.952000000005</v>
      </c>
      <c r="X30" s="35">
        <f t="shared" si="8"/>
        <v>1137.1200000000001</v>
      </c>
      <c r="Y30" s="35">
        <f t="shared" si="8"/>
        <v>1163.2160000000001</v>
      </c>
      <c r="Z30" s="35">
        <f t="shared" si="8"/>
        <v>0</v>
      </c>
      <c r="AA30" s="35">
        <f t="shared" si="8"/>
        <v>1476.6480000000001</v>
      </c>
      <c r="AB30" s="35">
        <f t="shared" si="8"/>
        <v>454.84799999999996</v>
      </c>
      <c r="AC30" s="35">
        <f t="shared" si="8"/>
        <v>0</v>
      </c>
      <c r="AD30" s="35">
        <f t="shared" si="8"/>
        <v>0</v>
      </c>
      <c r="AE30" s="35">
        <f t="shared" si="8"/>
        <v>44.224000000000004</v>
      </c>
      <c r="AF30" s="35">
        <f t="shared" si="8"/>
        <v>0</v>
      </c>
      <c r="AG30" s="35">
        <f t="shared" si="8"/>
        <v>0</v>
      </c>
      <c r="AH30" s="4">
        <f t="shared" si="3"/>
        <v>80809.12000000001</v>
      </c>
      <c r="AI30" s="129">
        <f t="shared" si="4"/>
        <v>38759.648000000001</v>
      </c>
      <c r="AJ30" s="129">
        <f t="shared" si="5"/>
        <v>2219.4639999999999</v>
      </c>
      <c r="AK30" s="129">
        <f t="shared" si="6"/>
        <v>35553.952000000005</v>
      </c>
      <c r="AL30" s="129">
        <f t="shared" si="7"/>
        <v>4276.0560000000005</v>
      </c>
    </row>
    <row r="31" spans="1:38">
      <c r="A31" s="1" t="s">
        <v>145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P31" s="15"/>
      <c r="R31" s="1" t="s">
        <v>145</v>
      </c>
      <c r="S31" s="35">
        <f t="shared" si="8"/>
        <v>15811.872000000001</v>
      </c>
      <c r="T31" s="35">
        <f t="shared" si="8"/>
        <v>2943.3680000000004</v>
      </c>
      <c r="U31" s="35">
        <f t="shared" si="8"/>
        <v>1910.7919999999999</v>
      </c>
      <c r="V31" s="35">
        <f t="shared" si="8"/>
        <v>2823.4240000000004</v>
      </c>
      <c r="W31" s="35">
        <f t="shared" si="8"/>
        <v>28048.959999999999</v>
      </c>
      <c r="X31" s="35">
        <f t="shared" si="8"/>
        <v>227.42399999999998</v>
      </c>
      <c r="Y31" s="35">
        <f t="shared" si="8"/>
        <v>1551.192</v>
      </c>
      <c r="Z31" s="35">
        <f t="shared" si="8"/>
        <v>442.22399999999999</v>
      </c>
      <c r="AA31" s="35">
        <f t="shared" si="8"/>
        <v>286.70400000000001</v>
      </c>
      <c r="AB31" s="35">
        <f t="shared" si="8"/>
        <v>0</v>
      </c>
      <c r="AC31" s="35">
        <f t="shared" si="8"/>
        <v>0</v>
      </c>
      <c r="AD31" s="35">
        <f t="shared" si="8"/>
        <v>0</v>
      </c>
      <c r="AE31" s="35">
        <f t="shared" si="8"/>
        <v>0</v>
      </c>
      <c r="AF31" s="35">
        <f t="shared" si="8"/>
        <v>0</v>
      </c>
      <c r="AG31" s="35">
        <f t="shared" si="8"/>
        <v>248.01599999999999</v>
      </c>
      <c r="AH31" s="4">
        <f t="shared" si="3"/>
        <v>54293.976000000002</v>
      </c>
      <c r="AI31" s="129">
        <f t="shared" si="4"/>
        <v>18755.240000000002</v>
      </c>
      <c r="AJ31" s="129">
        <f t="shared" si="5"/>
        <v>4734.2160000000003</v>
      </c>
      <c r="AK31" s="129">
        <f t="shared" si="6"/>
        <v>28048.959999999999</v>
      </c>
      <c r="AL31" s="129">
        <f t="shared" si="7"/>
        <v>2755.5600000000004</v>
      </c>
    </row>
    <row r="32" spans="1:38">
      <c r="A32" s="6" t="s">
        <v>37</v>
      </c>
      <c r="B32" s="7">
        <f>SUM(B5:B31)</f>
        <v>0</v>
      </c>
      <c r="C32" s="7">
        <f>SUM(C5:C31)</f>
        <v>1672.3400000000001</v>
      </c>
      <c r="D32" s="7">
        <f>SUM(D5:D31)</f>
        <v>0</v>
      </c>
      <c r="E32" s="7">
        <f>SUM(E5:E31)</f>
        <v>168.09</v>
      </c>
      <c r="F32" s="7">
        <f t="shared" ref="F32:N32" si="9">SUM(F5:F31)</f>
        <v>0</v>
      </c>
      <c r="G32" s="7">
        <f t="shared" si="9"/>
        <v>0</v>
      </c>
      <c r="H32" s="7">
        <f t="shared" si="9"/>
        <v>759.71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>SUM(O5:O31)</f>
        <v>2600.1400000000003</v>
      </c>
      <c r="R32" s="6" t="s">
        <v>37</v>
      </c>
      <c r="S32" s="7">
        <f>SUM(S5:S31)</f>
        <v>3592271.8479999998</v>
      </c>
      <c r="T32" s="7">
        <f>SUM(T5:T31)</f>
        <v>771208.50400000007</v>
      </c>
      <c r="U32" s="7">
        <f>SUM(U5:U31)</f>
        <v>462597.94400000019</v>
      </c>
      <c r="V32" s="7">
        <f>SUM(V5:V31)</f>
        <v>126216.32800000001</v>
      </c>
      <c r="W32" s="7">
        <f t="shared" ref="W32:AG32" si="10">SUM(W5:W31)</f>
        <v>5309065.5439999998</v>
      </c>
      <c r="X32" s="7">
        <f t="shared" si="10"/>
        <v>82706.527999999991</v>
      </c>
      <c r="Y32" s="7">
        <f t="shared" si="10"/>
        <v>150535.88</v>
      </c>
      <c r="Z32" s="7">
        <f t="shared" si="10"/>
        <v>15410.784000000003</v>
      </c>
      <c r="AA32" s="7">
        <f t="shared" si="10"/>
        <v>111903.352</v>
      </c>
      <c r="AB32" s="7">
        <f t="shared" si="10"/>
        <v>16677.760000000002</v>
      </c>
      <c r="AC32" s="7">
        <f t="shared" si="10"/>
        <v>1061.3119999999999</v>
      </c>
      <c r="AD32" s="7">
        <f t="shared" si="10"/>
        <v>0</v>
      </c>
      <c r="AE32" s="7">
        <f t="shared" si="10"/>
        <v>6058.6880000000001</v>
      </c>
      <c r="AF32" s="7">
        <f t="shared" si="10"/>
        <v>355.11</v>
      </c>
      <c r="AG32" s="7">
        <f t="shared" si="10"/>
        <v>4213.3760000000002</v>
      </c>
      <c r="AH32" s="7">
        <f>SUM(AH5:AH31)</f>
        <v>10650282.957999999</v>
      </c>
      <c r="AI32" s="129">
        <f t="shared" si="4"/>
        <v>4365152.6919999998</v>
      </c>
      <c r="AJ32" s="129">
        <f t="shared" si="5"/>
        <v>588982.3620000002</v>
      </c>
      <c r="AK32" s="129">
        <f t="shared" si="6"/>
        <v>5309065.5439999998</v>
      </c>
      <c r="AL32" s="129">
        <f t="shared" si="7"/>
        <v>389682.5</v>
      </c>
    </row>
    <row r="33" spans="1:38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2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  <c r="AI33" s="129"/>
      <c r="AJ33" s="129"/>
      <c r="AK33" s="129"/>
      <c r="AL33" s="129"/>
    </row>
    <row r="34" spans="1:38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129"/>
      <c r="AJ34" s="129"/>
      <c r="AK34" s="129"/>
      <c r="AL34" s="129"/>
    </row>
    <row r="35" spans="1:38">
      <c r="A35" s="42" t="s">
        <v>14</v>
      </c>
      <c r="B35" s="295" t="s">
        <v>46</v>
      </c>
      <c r="C35" s="295"/>
      <c r="D35" s="295"/>
      <c r="E35" s="295"/>
      <c r="F35" s="295"/>
      <c r="G35" s="295"/>
      <c r="H35" s="295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  <c r="AI35" s="129"/>
      <c r="AJ35" s="129"/>
      <c r="AK35" s="129"/>
      <c r="AL35" s="129"/>
    </row>
    <row r="36" spans="1:38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  <c r="AI36" s="129"/>
      <c r="AJ36" s="129"/>
      <c r="AK36" s="129"/>
      <c r="AL36" s="129"/>
    </row>
    <row r="37" spans="1:38" ht="46.5">
      <c r="A37" s="292" t="s">
        <v>66</v>
      </c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4"/>
      <c r="R37" s="292" t="s">
        <v>68</v>
      </c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4"/>
      <c r="AI37" s="129"/>
      <c r="AJ37" s="129"/>
      <c r="AK37" s="129"/>
      <c r="AL37" s="129"/>
    </row>
    <row r="38" spans="1:38" ht="21.75" customHeight="1">
      <c r="A38" s="290" t="s">
        <v>33</v>
      </c>
      <c r="B38" s="287" t="s">
        <v>27</v>
      </c>
      <c r="C38" s="288"/>
      <c r="D38" s="287" t="s">
        <v>29</v>
      </c>
      <c r="E38" s="288"/>
      <c r="F38" s="285" t="s">
        <v>28</v>
      </c>
      <c r="G38" s="285" t="s">
        <v>36</v>
      </c>
      <c r="H38" s="285" t="s">
        <v>30</v>
      </c>
      <c r="I38" s="285" t="s">
        <v>31</v>
      </c>
      <c r="J38" s="285" t="s">
        <v>41</v>
      </c>
      <c r="K38" s="285" t="s">
        <v>35</v>
      </c>
      <c r="L38" s="285" t="s">
        <v>40</v>
      </c>
      <c r="M38" s="285" t="s">
        <v>42</v>
      </c>
      <c r="N38" s="285" t="s">
        <v>45</v>
      </c>
      <c r="O38" s="285" t="s">
        <v>34</v>
      </c>
      <c r="R38" s="290" t="s">
        <v>33</v>
      </c>
      <c r="S38" s="287" t="s">
        <v>27</v>
      </c>
      <c r="T38" s="288"/>
      <c r="U38" s="287" t="s">
        <v>29</v>
      </c>
      <c r="V38" s="288"/>
      <c r="W38" s="285" t="s">
        <v>28</v>
      </c>
      <c r="X38" s="285" t="s">
        <v>36</v>
      </c>
      <c r="Y38" s="285" t="s">
        <v>30</v>
      </c>
      <c r="Z38" s="285" t="s">
        <v>31</v>
      </c>
      <c r="AA38" s="285" t="s">
        <v>41</v>
      </c>
      <c r="AB38" s="285" t="s">
        <v>35</v>
      </c>
      <c r="AC38" s="285" t="s">
        <v>40</v>
      </c>
      <c r="AD38" s="285" t="s">
        <v>42</v>
      </c>
      <c r="AE38" s="285" t="s">
        <v>45</v>
      </c>
      <c r="AF38" s="287" t="s">
        <v>52</v>
      </c>
      <c r="AG38" s="288"/>
      <c r="AH38" s="285" t="s">
        <v>34</v>
      </c>
      <c r="AI38" s="129"/>
      <c r="AJ38" s="129"/>
      <c r="AK38" s="129"/>
      <c r="AL38" s="129"/>
    </row>
    <row r="39" spans="1:38" ht="30">
      <c r="A39" s="291"/>
      <c r="B39" s="56" t="s">
        <v>43</v>
      </c>
      <c r="C39" s="56" t="s">
        <v>44</v>
      </c>
      <c r="D39" s="56" t="s">
        <v>43</v>
      </c>
      <c r="E39" s="56" t="s">
        <v>44</v>
      </c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R39" s="291"/>
      <c r="S39" s="56" t="s">
        <v>43</v>
      </c>
      <c r="T39" s="56" t="s">
        <v>44</v>
      </c>
      <c r="U39" s="56" t="s">
        <v>43</v>
      </c>
      <c r="V39" s="56" t="s">
        <v>44</v>
      </c>
      <c r="W39" s="286"/>
      <c r="X39" s="286"/>
      <c r="Y39" s="286"/>
      <c r="Z39" s="286"/>
      <c r="AA39" s="286"/>
      <c r="AB39" s="286"/>
      <c r="AC39" s="286"/>
      <c r="AD39" s="286"/>
      <c r="AE39" s="286"/>
      <c r="AF39" s="55" t="s">
        <v>53</v>
      </c>
      <c r="AG39" s="55" t="s">
        <v>54</v>
      </c>
      <c r="AH39" s="286"/>
      <c r="AI39" s="129" t="s">
        <v>230</v>
      </c>
      <c r="AJ39" s="129" t="s">
        <v>231</v>
      </c>
      <c r="AK39" s="129" t="s">
        <v>28</v>
      </c>
      <c r="AL39" s="129" t="s">
        <v>233</v>
      </c>
    </row>
    <row r="40" spans="1:38">
      <c r="A40" s="1" t="s">
        <v>119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119</v>
      </c>
      <c r="S40" s="35">
        <f>S75*0.2</f>
        <v>2822.2840000000001</v>
      </c>
      <c r="T40" s="35">
        <f t="shared" ref="T40:AG55" si="11">T75*0.2</f>
        <v>148.96800000000002</v>
      </c>
      <c r="U40" s="35">
        <f t="shared" si="11"/>
        <v>428.71600000000001</v>
      </c>
      <c r="V40" s="35">
        <f t="shared" si="11"/>
        <v>80.994000000000014</v>
      </c>
      <c r="W40" s="35">
        <f t="shared" si="11"/>
        <v>2710.1360000000004</v>
      </c>
      <c r="X40" s="35">
        <f t="shared" si="11"/>
        <v>322.18400000000003</v>
      </c>
      <c r="Y40" s="35">
        <f t="shared" si="11"/>
        <v>39.486000000000004</v>
      </c>
      <c r="Z40" s="35">
        <f t="shared" si="11"/>
        <v>0</v>
      </c>
      <c r="AA40" s="35">
        <f t="shared" si="11"/>
        <v>35.125999999999998</v>
      </c>
      <c r="AB40" s="35">
        <f t="shared" si="11"/>
        <v>18.952000000000002</v>
      </c>
      <c r="AC40" s="35">
        <f t="shared" si="11"/>
        <v>0</v>
      </c>
      <c r="AD40" s="35">
        <f t="shared" si="11"/>
        <v>0</v>
      </c>
      <c r="AE40" s="35">
        <f t="shared" si="11"/>
        <v>0</v>
      </c>
      <c r="AF40" s="35">
        <f t="shared" si="11"/>
        <v>0</v>
      </c>
      <c r="AG40" s="35">
        <f t="shared" si="11"/>
        <v>0</v>
      </c>
      <c r="AH40" s="4">
        <f>SUM(S40:AG40)</f>
        <v>6606.8460000000005</v>
      </c>
      <c r="AI40" s="129">
        <f>B40+C40+S40+T40</f>
        <v>2971.252</v>
      </c>
      <c r="AJ40" s="129">
        <f>D40+E40+U40+V40</f>
        <v>509.71000000000004</v>
      </c>
      <c r="AK40" s="129">
        <f>F40+W40</f>
        <v>2710.1360000000004</v>
      </c>
      <c r="AL40" s="129">
        <f>SUM(G40:N40)+SUM(X40:AG40)</f>
        <v>415.74799999999999</v>
      </c>
    </row>
    <row r="41" spans="1:38">
      <c r="A41" s="1" t="s">
        <v>120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12">SUM(B41:N41)</f>
        <v>0</v>
      </c>
      <c r="R41" s="1" t="s">
        <v>120</v>
      </c>
      <c r="S41" s="35">
        <f t="shared" ref="S41:U41" si="13">S76*0.2</f>
        <v>8223.3240000000005</v>
      </c>
      <c r="T41" s="35">
        <f t="shared" si="13"/>
        <v>2085.5300000000002</v>
      </c>
      <c r="U41" s="35">
        <f t="shared" si="13"/>
        <v>277.77600000000001</v>
      </c>
      <c r="V41" s="35">
        <f t="shared" ref="V41:AG56" si="14">V76*0.2</f>
        <v>0</v>
      </c>
      <c r="W41" s="35">
        <f t="shared" si="14"/>
        <v>8717.92</v>
      </c>
      <c r="X41" s="35">
        <f t="shared" si="14"/>
        <v>265.32800000000003</v>
      </c>
      <c r="Y41" s="35">
        <f t="shared" si="14"/>
        <v>341.11400000000003</v>
      </c>
      <c r="Z41" s="35">
        <f t="shared" si="14"/>
        <v>0</v>
      </c>
      <c r="AA41" s="35">
        <f t="shared" si="14"/>
        <v>200.72400000000002</v>
      </c>
      <c r="AB41" s="35">
        <f t="shared" si="14"/>
        <v>0</v>
      </c>
      <c r="AC41" s="35">
        <f t="shared" si="14"/>
        <v>0</v>
      </c>
      <c r="AD41" s="35">
        <f t="shared" si="14"/>
        <v>0</v>
      </c>
      <c r="AE41" s="35">
        <f t="shared" si="14"/>
        <v>0</v>
      </c>
      <c r="AF41" s="35">
        <f t="shared" si="11"/>
        <v>0</v>
      </c>
      <c r="AG41" s="35">
        <f t="shared" si="11"/>
        <v>0</v>
      </c>
      <c r="AH41" s="4">
        <f t="shared" ref="AH41:AH66" si="15">SUM(S41:AG41)</f>
        <v>20111.716000000004</v>
      </c>
      <c r="AI41" s="129">
        <f t="shared" ref="AI41:AI67" si="16">B41+C41+S41+T41</f>
        <v>10308.854000000001</v>
      </c>
      <c r="AJ41" s="129">
        <f t="shared" ref="AJ41:AJ67" si="17">D41+E41+U41+V41</f>
        <v>277.77600000000001</v>
      </c>
      <c r="AK41" s="129">
        <f t="shared" ref="AK41:AK67" si="18">F41+W41</f>
        <v>8717.92</v>
      </c>
      <c r="AL41" s="129">
        <f t="shared" ref="AL41:AL67" si="19">SUM(G41:N41)+SUM(X41:AG41)</f>
        <v>807.16600000000005</v>
      </c>
    </row>
    <row r="42" spans="1:38">
      <c r="A42" s="18" t="s">
        <v>121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12"/>
        <v>0</v>
      </c>
      <c r="R42" s="18" t="s">
        <v>121</v>
      </c>
      <c r="S42" s="35">
        <f t="shared" ref="S42:U42" si="20">S77*0.2</f>
        <v>3048.8980000000001</v>
      </c>
      <c r="T42" s="35">
        <f t="shared" si="20"/>
        <v>1154.056</v>
      </c>
      <c r="U42" s="35">
        <f t="shared" si="20"/>
        <v>398.00600000000003</v>
      </c>
      <c r="V42" s="35">
        <f t="shared" si="14"/>
        <v>241.53400000000002</v>
      </c>
      <c r="W42" s="35">
        <f t="shared" si="14"/>
        <v>4396.8640000000005</v>
      </c>
      <c r="X42" s="35">
        <f t="shared" si="14"/>
        <v>227.42399999999998</v>
      </c>
      <c r="Y42" s="35">
        <f t="shared" si="14"/>
        <v>157.34000000000003</v>
      </c>
      <c r="Z42" s="35">
        <f t="shared" si="14"/>
        <v>54.900000000000006</v>
      </c>
      <c r="AA42" s="35">
        <f t="shared" si="14"/>
        <v>234.74400000000003</v>
      </c>
      <c r="AB42" s="35">
        <f t="shared" si="14"/>
        <v>56.855999999999995</v>
      </c>
      <c r="AC42" s="35">
        <f t="shared" si="14"/>
        <v>0</v>
      </c>
      <c r="AD42" s="35">
        <f t="shared" si="14"/>
        <v>0</v>
      </c>
      <c r="AE42" s="35">
        <f t="shared" si="14"/>
        <v>0</v>
      </c>
      <c r="AF42" s="35">
        <f t="shared" si="11"/>
        <v>0</v>
      </c>
      <c r="AG42" s="35">
        <f t="shared" si="11"/>
        <v>0</v>
      </c>
      <c r="AH42" s="4">
        <f t="shared" si="15"/>
        <v>9970.6219999999994</v>
      </c>
      <c r="AI42" s="129">
        <f t="shared" si="16"/>
        <v>4202.9539999999997</v>
      </c>
      <c r="AJ42" s="129">
        <f t="shared" si="17"/>
        <v>639.54000000000008</v>
      </c>
      <c r="AK42" s="129">
        <f t="shared" si="18"/>
        <v>4396.8640000000005</v>
      </c>
      <c r="AL42" s="129">
        <f t="shared" si="19"/>
        <v>731.26400000000001</v>
      </c>
    </row>
    <row r="43" spans="1:38">
      <c r="A43" s="2" t="s">
        <v>122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12"/>
        <v>0</v>
      </c>
      <c r="R43" s="2" t="s">
        <v>122</v>
      </c>
      <c r="S43" s="35">
        <f t="shared" ref="S43:U43" si="21">S78*0.2</f>
        <v>10629.508000000002</v>
      </c>
      <c r="T43" s="35">
        <f t="shared" si="21"/>
        <v>4769.22</v>
      </c>
      <c r="U43" s="35">
        <f t="shared" si="21"/>
        <v>1251.6280000000002</v>
      </c>
      <c r="V43" s="35">
        <f t="shared" si="14"/>
        <v>320.61599999999999</v>
      </c>
      <c r="W43" s="35">
        <f t="shared" si="14"/>
        <v>8698.9679999999989</v>
      </c>
      <c r="X43" s="35">
        <f t="shared" si="14"/>
        <v>56.855999999999995</v>
      </c>
      <c r="Y43" s="35">
        <f t="shared" si="14"/>
        <v>648.25800000000004</v>
      </c>
      <c r="Z43" s="35">
        <f t="shared" si="14"/>
        <v>0</v>
      </c>
      <c r="AA43" s="35">
        <f t="shared" si="14"/>
        <v>562.83400000000006</v>
      </c>
      <c r="AB43" s="35">
        <f t="shared" si="14"/>
        <v>37.904000000000003</v>
      </c>
      <c r="AC43" s="35">
        <f t="shared" si="14"/>
        <v>0</v>
      </c>
      <c r="AD43" s="35">
        <f t="shared" si="14"/>
        <v>0</v>
      </c>
      <c r="AE43" s="35">
        <f t="shared" si="14"/>
        <v>0</v>
      </c>
      <c r="AF43" s="35">
        <v>0</v>
      </c>
      <c r="AG43" s="35">
        <v>0</v>
      </c>
      <c r="AH43" s="4">
        <f t="shared" si="15"/>
        <v>26975.792000000001</v>
      </c>
      <c r="AI43" s="129">
        <f t="shared" si="16"/>
        <v>15398.728000000003</v>
      </c>
      <c r="AJ43" s="129">
        <f t="shared" si="17"/>
        <v>1572.2440000000001</v>
      </c>
      <c r="AK43" s="129">
        <f t="shared" si="18"/>
        <v>8698.9679999999989</v>
      </c>
      <c r="AL43" s="129">
        <f t="shared" si="19"/>
        <v>1305.8520000000001</v>
      </c>
    </row>
    <row r="44" spans="1:38">
      <c r="A44" s="1" t="s">
        <v>123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12"/>
        <v>0</v>
      </c>
      <c r="R44" s="1" t="s">
        <v>123</v>
      </c>
      <c r="S44" s="35">
        <f t="shared" ref="S44:U44" si="22">S79*0.2</f>
        <v>25124.278000000002</v>
      </c>
      <c r="T44" s="35">
        <f t="shared" si="22"/>
        <v>4678.6639999999998</v>
      </c>
      <c r="U44" s="35">
        <f t="shared" si="22"/>
        <v>3693.3800000000006</v>
      </c>
      <c r="V44" s="35">
        <f t="shared" si="14"/>
        <v>1555.8920000000001</v>
      </c>
      <c r="W44" s="35">
        <f t="shared" si="14"/>
        <v>25717.864000000001</v>
      </c>
      <c r="X44" s="35">
        <f t="shared" si="14"/>
        <v>663.32</v>
      </c>
      <c r="Y44" s="35">
        <f t="shared" si="14"/>
        <v>1120.0820000000001</v>
      </c>
      <c r="Z44" s="35">
        <f t="shared" si="14"/>
        <v>0</v>
      </c>
      <c r="AA44" s="35">
        <f t="shared" si="14"/>
        <v>898.64800000000002</v>
      </c>
      <c r="AB44" s="35">
        <f t="shared" si="14"/>
        <v>170.56800000000001</v>
      </c>
      <c r="AC44" s="35">
        <f t="shared" si="14"/>
        <v>0</v>
      </c>
      <c r="AD44" s="35">
        <f t="shared" si="14"/>
        <v>0</v>
      </c>
      <c r="AE44" s="35">
        <f t="shared" si="14"/>
        <v>93.975999999999999</v>
      </c>
      <c r="AF44" s="35">
        <f t="shared" si="11"/>
        <v>0</v>
      </c>
      <c r="AG44" s="35">
        <f t="shared" si="11"/>
        <v>0</v>
      </c>
      <c r="AH44" s="4">
        <f t="shared" si="15"/>
        <v>63716.672000000006</v>
      </c>
      <c r="AI44" s="129">
        <f t="shared" si="16"/>
        <v>29802.942000000003</v>
      </c>
      <c r="AJ44" s="129">
        <f t="shared" si="17"/>
        <v>5249.2720000000008</v>
      </c>
      <c r="AK44" s="129">
        <f t="shared" si="18"/>
        <v>25717.864000000001</v>
      </c>
      <c r="AL44" s="129">
        <f t="shared" si="19"/>
        <v>2946.5940000000005</v>
      </c>
    </row>
    <row r="45" spans="1:38">
      <c r="A45" s="1" t="s">
        <v>124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12"/>
        <v>0</v>
      </c>
      <c r="R45" s="1" t="s">
        <v>124</v>
      </c>
      <c r="S45" s="35">
        <f t="shared" ref="S45:U45" si="23">S80*0.2</f>
        <v>15234.416000000001</v>
      </c>
      <c r="T45" s="35">
        <f t="shared" si="23"/>
        <v>3386.1980000000003</v>
      </c>
      <c r="U45" s="35">
        <f t="shared" si="23"/>
        <v>1370.924</v>
      </c>
      <c r="V45" s="35">
        <f t="shared" si="14"/>
        <v>270.36599999999999</v>
      </c>
      <c r="W45" s="35">
        <f t="shared" si="14"/>
        <v>12603.080000000002</v>
      </c>
      <c r="X45" s="35">
        <f t="shared" si="14"/>
        <v>56.855999999999995</v>
      </c>
      <c r="Y45" s="35">
        <f t="shared" si="14"/>
        <v>467.36000000000007</v>
      </c>
      <c r="Z45" s="35">
        <f t="shared" si="14"/>
        <v>50.148000000000003</v>
      </c>
      <c r="AA45" s="35">
        <f t="shared" si="14"/>
        <v>472.5</v>
      </c>
      <c r="AB45" s="35">
        <f t="shared" si="14"/>
        <v>0</v>
      </c>
      <c r="AC45" s="35">
        <f t="shared" si="14"/>
        <v>0</v>
      </c>
      <c r="AD45" s="35">
        <f t="shared" si="14"/>
        <v>0</v>
      </c>
      <c r="AE45" s="35">
        <f t="shared" si="14"/>
        <v>16.584</v>
      </c>
      <c r="AF45" s="35">
        <f t="shared" si="11"/>
        <v>0</v>
      </c>
      <c r="AG45" s="35">
        <f t="shared" si="11"/>
        <v>0</v>
      </c>
      <c r="AH45" s="4">
        <f t="shared" si="15"/>
        <v>33928.432000000008</v>
      </c>
      <c r="AI45" s="129">
        <f t="shared" si="16"/>
        <v>18620.614000000001</v>
      </c>
      <c r="AJ45" s="129">
        <f t="shared" si="17"/>
        <v>1641.29</v>
      </c>
      <c r="AK45" s="129">
        <f t="shared" si="18"/>
        <v>12603.080000000002</v>
      </c>
      <c r="AL45" s="129">
        <f t="shared" si="19"/>
        <v>1063.4480000000001</v>
      </c>
    </row>
    <row r="46" spans="1:38">
      <c r="A46" s="1" t="s">
        <v>125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12"/>
        <v>0</v>
      </c>
      <c r="R46" s="1" t="s">
        <v>125</v>
      </c>
      <c r="S46" s="35">
        <f t="shared" ref="S46:U46" si="24">S81*0.2</f>
        <v>31212.108000000004</v>
      </c>
      <c r="T46" s="35">
        <f t="shared" si="24"/>
        <v>6114.9260000000004</v>
      </c>
      <c r="U46" s="35">
        <f t="shared" si="24"/>
        <v>2954.01</v>
      </c>
      <c r="V46" s="35">
        <f t="shared" si="14"/>
        <v>1739.4960000000001</v>
      </c>
      <c r="W46" s="35">
        <f t="shared" si="14"/>
        <v>21396.808000000001</v>
      </c>
      <c r="X46" s="35">
        <f t="shared" si="14"/>
        <v>492.75200000000007</v>
      </c>
      <c r="Y46" s="35">
        <f t="shared" si="14"/>
        <v>1181.9780000000001</v>
      </c>
      <c r="Z46" s="35">
        <f t="shared" si="14"/>
        <v>0</v>
      </c>
      <c r="AA46" s="35">
        <f t="shared" si="14"/>
        <v>927.47000000000014</v>
      </c>
      <c r="AB46" s="35">
        <f t="shared" si="14"/>
        <v>113.71199999999999</v>
      </c>
      <c r="AC46" s="35">
        <f t="shared" si="14"/>
        <v>37.904000000000003</v>
      </c>
      <c r="AD46" s="35">
        <f t="shared" si="14"/>
        <v>0</v>
      </c>
      <c r="AE46" s="35">
        <f t="shared" si="14"/>
        <v>88.448000000000008</v>
      </c>
      <c r="AF46" s="35">
        <f t="shared" si="11"/>
        <v>0</v>
      </c>
      <c r="AG46" s="35">
        <f t="shared" si="11"/>
        <v>0</v>
      </c>
      <c r="AH46" s="4">
        <f t="shared" si="15"/>
        <v>66259.612000000008</v>
      </c>
      <c r="AI46" s="129">
        <f t="shared" si="16"/>
        <v>37327.034000000007</v>
      </c>
      <c r="AJ46" s="129">
        <f t="shared" si="17"/>
        <v>4693.5060000000003</v>
      </c>
      <c r="AK46" s="129">
        <f t="shared" si="18"/>
        <v>21396.808000000001</v>
      </c>
      <c r="AL46" s="129">
        <f t="shared" si="19"/>
        <v>2842.2640000000001</v>
      </c>
    </row>
    <row r="47" spans="1:38">
      <c r="A47" s="1" t="s">
        <v>126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12"/>
        <v>0</v>
      </c>
      <c r="R47" s="1" t="s">
        <v>126</v>
      </c>
      <c r="S47" s="35">
        <f t="shared" ref="S47:U47" si="25">S82*0.2</f>
        <v>22316.962</v>
      </c>
      <c r="T47" s="35">
        <f t="shared" si="25"/>
        <v>4784.0720000000001</v>
      </c>
      <c r="U47" s="35">
        <f t="shared" si="25"/>
        <v>2630.982</v>
      </c>
      <c r="V47" s="35">
        <f t="shared" si="14"/>
        <v>635.46600000000001</v>
      </c>
      <c r="W47" s="35">
        <f t="shared" si="14"/>
        <v>17739.072</v>
      </c>
      <c r="X47" s="35">
        <f t="shared" si="14"/>
        <v>587.51200000000006</v>
      </c>
      <c r="Y47" s="35">
        <f t="shared" si="14"/>
        <v>896.18799999999999</v>
      </c>
      <c r="Z47" s="35">
        <f t="shared" si="14"/>
        <v>209.68800000000002</v>
      </c>
      <c r="AA47" s="35">
        <f t="shared" si="14"/>
        <v>690.01400000000012</v>
      </c>
      <c r="AB47" s="35">
        <f t="shared" si="14"/>
        <v>37.904000000000003</v>
      </c>
      <c r="AC47" s="35">
        <f t="shared" si="14"/>
        <v>0</v>
      </c>
      <c r="AD47" s="35">
        <f t="shared" si="14"/>
        <v>0</v>
      </c>
      <c r="AE47" s="35">
        <f t="shared" si="14"/>
        <v>16.584</v>
      </c>
      <c r="AF47" s="35">
        <f t="shared" si="11"/>
        <v>0</v>
      </c>
      <c r="AG47" s="35">
        <f t="shared" si="11"/>
        <v>0</v>
      </c>
      <c r="AH47" s="4">
        <f t="shared" si="15"/>
        <v>50544.444000000018</v>
      </c>
      <c r="AI47" s="129">
        <f t="shared" si="16"/>
        <v>27101.034</v>
      </c>
      <c r="AJ47" s="129">
        <f t="shared" si="17"/>
        <v>3266.4479999999999</v>
      </c>
      <c r="AK47" s="129">
        <f t="shared" si="18"/>
        <v>17739.072</v>
      </c>
      <c r="AL47" s="129">
        <f t="shared" si="19"/>
        <v>2437.89</v>
      </c>
    </row>
    <row r="48" spans="1:38">
      <c r="A48" s="1" t="s">
        <v>127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12"/>
        <v>0</v>
      </c>
      <c r="R48" s="1" t="s">
        <v>127</v>
      </c>
      <c r="S48" s="35">
        <f t="shared" ref="S48:U48" si="26">S83*0.2</f>
        <v>22487.536</v>
      </c>
      <c r="T48" s="35">
        <f t="shared" si="26"/>
        <v>5369.7960000000003</v>
      </c>
      <c r="U48" s="35">
        <f t="shared" si="26"/>
        <v>2488.3020000000001</v>
      </c>
      <c r="V48" s="35">
        <f t="shared" si="14"/>
        <v>391.54200000000003</v>
      </c>
      <c r="W48" s="35">
        <f t="shared" si="14"/>
        <v>41258.504000000001</v>
      </c>
      <c r="X48" s="35">
        <f t="shared" si="14"/>
        <v>2918.6080000000002</v>
      </c>
      <c r="Y48" s="35">
        <f t="shared" si="14"/>
        <v>1125.424</v>
      </c>
      <c r="Z48" s="35">
        <f t="shared" si="14"/>
        <v>706.03800000000001</v>
      </c>
      <c r="AA48" s="35">
        <f t="shared" si="14"/>
        <v>979.42200000000003</v>
      </c>
      <c r="AB48" s="35">
        <f t="shared" si="14"/>
        <v>56.855999999999995</v>
      </c>
      <c r="AC48" s="35">
        <f t="shared" si="14"/>
        <v>0</v>
      </c>
      <c r="AD48" s="35">
        <f t="shared" si="14"/>
        <v>0</v>
      </c>
      <c r="AE48" s="35">
        <f t="shared" si="14"/>
        <v>33.167999999999999</v>
      </c>
      <c r="AF48" s="35">
        <f t="shared" si="11"/>
        <v>0</v>
      </c>
      <c r="AG48" s="35">
        <f t="shared" si="11"/>
        <v>0</v>
      </c>
      <c r="AH48" s="4">
        <f t="shared" si="15"/>
        <v>77815.196000000011</v>
      </c>
      <c r="AI48" s="129">
        <f t="shared" si="16"/>
        <v>27857.332000000002</v>
      </c>
      <c r="AJ48" s="129">
        <f t="shared" si="17"/>
        <v>2879.8440000000001</v>
      </c>
      <c r="AK48" s="129">
        <f t="shared" si="18"/>
        <v>41258.504000000001</v>
      </c>
      <c r="AL48" s="129">
        <f t="shared" si="19"/>
        <v>5819.5159999999996</v>
      </c>
    </row>
    <row r="49" spans="1:38">
      <c r="A49" s="2" t="s">
        <v>128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12"/>
        <v>0</v>
      </c>
      <c r="R49" s="2" t="s">
        <v>128</v>
      </c>
      <c r="S49" s="35">
        <f t="shared" ref="S49:U49" si="27">S84*0.2</f>
        <v>7189.7220000000007</v>
      </c>
      <c r="T49" s="35">
        <f t="shared" si="27"/>
        <v>2759.0020000000004</v>
      </c>
      <c r="U49" s="35">
        <f t="shared" si="27"/>
        <v>784.96</v>
      </c>
      <c r="V49" s="35">
        <f t="shared" si="14"/>
        <v>555.048</v>
      </c>
      <c r="W49" s="35">
        <f t="shared" si="14"/>
        <v>6064.64</v>
      </c>
      <c r="X49" s="35">
        <f t="shared" si="14"/>
        <v>265.32800000000003</v>
      </c>
      <c r="Y49" s="35">
        <f t="shared" si="14"/>
        <v>535.678</v>
      </c>
      <c r="Z49" s="35">
        <f t="shared" si="14"/>
        <v>552.78000000000009</v>
      </c>
      <c r="AA49" s="35">
        <f t="shared" si="14"/>
        <v>373.24</v>
      </c>
      <c r="AB49" s="35">
        <f t="shared" si="14"/>
        <v>75.808000000000007</v>
      </c>
      <c r="AC49" s="35">
        <f t="shared" si="14"/>
        <v>0</v>
      </c>
      <c r="AD49" s="35">
        <f t="shared" si="14"/>
        <v>0</v>
      </c>
      <c r="AE49" s="35">
        <f t="shared" si="14"/>
        <v>5.5280000000000005</v>
      </c>
      <c r="AF49" s="35">
        <f t="shared" si="11"/>
        <v>0</v>
      </c>
      <c r="AG49" s="35">
        <f t="shared" si="11"/>
        <v>0</v>
      </c>
      <c r="AH49" s="4">
        <f t="shared" si="15"/>
        <v>19161.734000000004</v>
      </c>
      <c r="AI49" s="129">
        <f t="shared" si="16"/>
        <v>9948.724000000002</v>
      </c>
      <c r="AJ49" s="129">
        <f t="shared" si="17"/>
        <v>1340.008</v>
      </c>
      <c r="AK49" s="129">
        <f t="shared" si="18"/>
        <v>6064.64</v>
      </c>
      <c r="AL49" s="129">
        <f t="shared" si="19"/>
        <v>1808.3620000000001</v>
      </c>
    </row>
    <row r="50" spans="1:38">
      <c r="A50" s="18" t="s">
        <v>129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12"/>
        <v>0</v>
      </c>
      <c r="R50" s="18" t="s">
        <v>129</v>
      </c>
      <c r="S50" s="35">
        <f t="shared" ref="S50:U50" si="28">S85*0.2</f>
        <v>17166.536</v>
      </c>
      <c r="T50" s="35">
        <f t="shared" si="28"/>
        <v>3985.3919999999998</v>
      </c>
      <c r="U50" s="35">
        <f t="shared" si="28"/>
        <v>1863.8820000000001</v>
      </c>
      <c r="V50" s="35">
        <f t="shared" si="14"/>
        <v>47.838000000000001</v>
      </c>
      <c r="W50" s="35">
        <f t="shared" si="14"/>
        <v>41883.920000000006</v>
      </c>
      <c r="X50" s="35">
        <f t="shared" si="14"/>
        <v>568.56000000000006</v>
      </c>
      <c r="Y50" s="35">
        <f t="shared" si="14"/>
        <v>439.28199999999998</v>
      </c>
      <c r="Z50" s="35">
        <f t="shared" si="14"/>
        <v>0</v>
      </c>
      <c r="AA50" s="35">
        <f t="shared" si="14"/>
        <v>532.33800000000008</v>
      </c>
      <c r="AB50" s="35">
        <f t="shared" si="14"/>
        <v>113.71199999999999</v>
      </c>
      <c r="AC50" s="35">
        <f t="shared" si="14"/>
        <v>0</v>
      </c>
      <c r="AD50" s="35">
        <f t="shared" si="14"/>
        <v>0</v>
      </c>
      <c r="AE50" s="35">
        <f t="shared" si="14"/>
        <v>11.056000000000001</v>
      </c>
      <c r="AF50" s="35">
        <f t="shared" si="11"/>
        <v>0</v>
      </c>
      <c r="AG50" s="35">
        <f t="shared" si="11"/>
        <v>0</v>
      </c>
      <c r="AH50" s="4">
        <f t="shared" si="15"/>
        <v>66612.516000000003</v>
      </c>
      <c r="AI50" s="129">
        <f t="shared" si="16"/>
        <v>21151.928</v>
      </c>
      <c r="AJ50" s="129">
        <f t="shared" si="17"/>
        <v>1911.72</v>
      </c>
      <c r="AK50" s="129">
        <f t="shared" si="18"/>
        <v>41883.920000000006</v>
      </c>
      <c r="AL50" s="129">
        <f t="shared" si="19"/>
        <v>1664.9480000000003</v>
      </c>
    </row>
    <row r="51" spans="1:38">
      <c r="A51" s="1" t="s">
        <v>130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12"/>
        <v>0</v>
      </c>
      <c r="R51" s="1" t="s">
        <v>130</v>
      </c>
      <c r="S51" s="35">
        <f t="shared" ref="S51:U51" si="29">S86*0.2</f>
        <v>11892.008000000002</v>
      </c>
      <c r="T51" s="35">
        <f t="shared" si="29"/>
        <v>2934.1440000000002</v>
      </c>
      <c r="U51" s="35">
        <f t="shared" si="29"/>
        <v>1641.0880000000002</v>
      </c>
      <c r="V51" s="35">
        <f t="shared" si="14"/>
        <v>433.33800000000002</v>
      </c>
      <c r="W51" s="35">
        <f t="shared" si="14"/>
        <v>34265.216</v>
      </c>
      <c r="X51" s="35">
        <f t="shared" si="14"/>
        <v>530.65600000000006</v>
      </c>
      <c r="Y51" s="35">
        <f t="shared" si="14"/>
        <v>603.76800000000003</v>
      </c>
      <c r="Z51" s="35">
        <f t="shared" si="14"/>
        <v>280.76600000000002</v>
      </c>
      <c r="AA51" s="35">
        <f t="shared" si="14"/>
        <v>451.45000000000005</v>
      </c>
      <c r="AB51" s="35">
        <f t="shared" si="14"/>
        <v>170.56800000000001</v>
      </c>
      <c r="AC51" s="35">
        <f t="shared" si="14"/>
        <v>0</v>
      </c>
      <c r="AD51" s="35">
        <f t="shared" si="14"/>
        <v>0</v>
      </c>
      <c r="AE51" s="35">
        <f t="shared" si="14"/>
        <v>22.112000000000002</v>
      </c>
      <c r="AF51" s="35">
        <f t="shared" si="11"/>
        <v>0</v>
      </c>
      <c r="AG51" s="35">
        <f t="shared" si="11"/>
        <v>0</v>
      </c>
      <c r="AH51" s="4">
        <f t="shared" si="15"/>
        <v>53225.114000000009</v>
      </c>
      <c r="AI51" s="129">
        <f t="shared" si="16"/>
        <v>14826.152000000002</v>
      </c>
      <c r="AJ51" s="129">
        <f t="shared" si="17"/>
        <v>2074.4260000000004</v>
      </c>
      <c r="AK51" s="129">
        <f t="shared" si="18"/>
        <v>34265.216</v>
      </c>
      <c r="AL51" s="129">
        <f t="shared" si="19"/>
        <v>2059.3200000000002</v>
      </c>
    </row>
    <row r="52" spans="1:38">
      <c r="A52" s="1" t="s">
        <v>131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12"/>
        <v>0</v>
      </c>
      <c r="R52" s="1" t="s">
        <v>131</v>
      </c>
      <c r="S52" s="35">
        <f t="shared" ref="S52:U52" si="30">S87*0.2</f>
        <v>66034.338000000003</v>
      </c>
      <c r="T52" s="35">
        <f t="shared" si="30"/>
        <v>16888.784</v>
      </c>
      <c r="U52" s="35">
        <f t="shared" si="30"/>
        <v>9028.7820000000011</v>
      </c>
      <c r="V52" s="35">
        <f t="shared" si="14"/>
        <v>3969.0940000000005</v>
      </c>
      <c r="W52" s="35">
        <f t="shared" si="14"/>
        <v>74689.831999999995</v>
      </c>
      <c r="X52" s="35">
        <f t="shared" si="14"/>
        <v>928.64800000000002</v>
      </c>
      <c r="Y52" s="35">
        <f t="shared" si="14"/>
        <v>4207.8040000000001</v>
      </c>
      <c r="Z52" s="35">
        <f t="shared" si="14"/>
        <v>0</v>
      </c>
      <c r="AA52" s="35">
        <f t="shared" si="14"/>
        <v>2178.3780000000002</v>
      </c>
      <c r="AB52" s="35">
        <f t="shared" si="14"/>
        <v>795.98400000000004</v>
      </c>
      <c r="AC52" s="35">
        <f t="shared" si="14"/>
        <v>0</v>
      </c>
      <c r="AD52" s="35">
        <f t="shared" si="14"/>
        <v>0</v>
      </c>
      <c r="AE52" s="35">
        <f t="shared" si="14"/>
        <v>110.56</v>
      </c>
      <c r="AF52" s="35">
        <f t="shared" si="11"/>
        <v>0</v>
      </c>
      <c r="AG52" s="35">
        <f t="shared" si="11"/>
        <v>0</v>
      </c>
      <c r="AH52" s="4">
        <f t="shared" si="15"/>
        <v>178832.204</v>
      </c>
      <c r="AI52" s="129">
        <f t="shared" si="16"/>
        <v>82923.122000000003</v>
      </c>
      <c r="AJ52" s="129">
        <f t="shared" si="17"/>
        <v>12997.876000000002</v>
      </c>
      <c r="AK52" s="129">
        <f t="shared" si="18"/>
        <v>74689.831999999995</v>
      </c>
      <c r="AL52" s="129">
        <f t="shared" si="19"/>
        <v>8221.3739999999998</v>
      </c>
    </row>
    <row r="53" spans="1:38">
      <c r="A53" s="1" t="s">
        <v>132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12"/>
        <v>0</v>
      </c>
      <c r="R53" s="1" t="s">
        <v>132</v>
      </c>
      <c r="S53" s="35">
        <f t="shared" ref="S53:U53" si="31">S88*0.2</f>
        <v>11602.972000000002</v>
      </c>
      <c r="T53" s="35">
        <f t="shared" si="31"/>
        <v>4168.0140000000001</v>
      </c>
      <c r="U53" s="35">
        <f t="shared" si="31"/>
        <v>1177.4680000000001</v>
      </c>
      <c r="V53" s="35">
        <f t="shared" si="14"/>
        <v>623.69200000000001</v>
      </c>
      <c r="W53" s="35">
        <f t="shared" si="14"/>
        <v>11484.912</v>
      </c>
      <c r="X53" s="35">
        <f t="shared" si="14"/>
        <v>265.32800000000003</v>
      </c>
      <c r="Y53" s="35">
        <f t="shared" si="14"/>
        <v>936.34</v>
      </c>
      <c r="Z53" s="35">
        <f t="shared" si="14"/>
        <v>0</v>
      </c>
      <c r="AA53" s="35">
        <f t="shared" si="14"/>
        <v>397.07800000000003</v>
      </c>
      <c r="AB53" s="35">
        <f t="shared" si="14"/>
        <v>75.808000000000007</v>
      </c>
      <c r="AC53" s="35">
        <f t="shared" si="14"/>
        <v>0</v>
      </c>
      <c r="AD53" s="35">
        <f t="shared" si="14"/>
        <v>0</v>
      </c>
      <c r="AE53" s="35">
        <f t="shared" si="14"/>
        <v>22.112000000000002</v>
      </c>
      <c r="AF53" s="35">
        <f t="shared" si="11"/>
        <v>0</v>
      </c>
      <c r="AG53" s="35">
        <f t="shared" si="11"/>
        <v>0</v>
      </c>
      <c r="AH53" s="4">
        <f t="shared" si="15"/>
        <v>30753.724000000006</v>
      </c>
      <c r="AI53" s="129">
        <f t="shared" si="16"/>
        <v>15770.986000000001</v>
      </c>
      <c r="AJ53" s="129">
        <f t="shared" si="17"/>
        <v>1801.16</v>
      </c>
      <c r="AK53" s="129">
        <f t="shared" si="18"/>
        <v>11484.912</v>
      </c>
      <c r="AL53" s="129">
        <f t="shared" si="19"/>
        <v>1696.6660000000002</v>
      </c>
    </row>
    <row r="54" spans="1:38" s="14" customFormat="1">
      <c r="A54" s="39" t="s">
        <v>133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12"/>
        <v>0</v>
      </c>
      <c r="P54"/>
      <c r="Q54"/>
      <c r="R54" s="1" t="s">
        <v>133</v>
      </c>
      <c r="S54" s="35">
        <f t="shared" ref="S54:U54" si="32">S89*0.2</f>
        <v>11039.296000000002</v>
      </c>
      <c r="T54" s="35">
        <f t="shared" si="32"/>
        <v>2917.7780000000002</v>
      </c>
      <c r="U54" s="35">
        <f t="shared" si="32"/>
        <v>1490.9840000000002</v>
      </c>
      <c r="V54" s="35">
        <f t="shared" si="14"/>
        <v>510.02600000000007</v>
      </c>
      <c r="W54" s="35">
        <f t="shared" si="14"/>
        <v>12849.456</v>
      </c>
      <c r="X54" s="35">
        <f t="shared" si="14"/>
        <v>416.94399999999996</v>
      </c>
      <c r="Y54" s="35">
        <f t="shared" si="14"/>
        <v>654.25800000000004</v>
      </c>
      <c r="Z54" s="35">
        <f t="shared" si="14"/>
        <v>0</v>
      </c>
      <c r="AA54" s="35">
        <f t="shared" si="14"/>
        <v>572.06200000000001</v>
      </c>
      <c r="AB54" s="35">
        <f t="shared" si="14"/>
        <v>18.952000000000002</v>
      </c>
      <c r="AC54" s="35">
        <f t="shared" si="14"/>
        <v>0</v>
      </c>
      <c r="AD54" s="35">
        <f t="shared" si="14"/>
        <v>0</v>
      </c>
      <c r="AE54" s="35">
        <f t="shared" si="14"/>
        <v>44.224000000000004</v>
      </c>
      <c r="AF54" s="35">
        <f t="shared" si="11"/>
        <v>0</v>
      </c>
      <c r="AG54" s="35">
        <f t="shared" si="11"/>
        <v>0</v>
      </c>
      <c r="AH54" s="4">
        <f t="shared" si="15"/>
        <v>30513.980000000003</v>
      </c>
      <c r="AI54" s="129">
        <f t="shared" si="16"/>
        <v>13957.074000000002</v>
      </c>
      <c r="AJ54" s="129">
        <f t="shared" si="17"/>
        <v>2001.0100000000002</v>
      </c>
      <c r="AK54" s="129">
        <f t="shared" si="18"/>
        <v>12849.456</v>
      </c>
      <c r="AL54" s="129">
        <f t="shared" si="19"/>
        <v>1706.44</v>
      </c>
    </row>
    <row r="55" spans="1:38">
      <c r="A55" s="18" t="s">
        <v>134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12"/>
        <v>0</v>
      </c>
      <c r="R55" s="18" t="s">
        <v>134</v>
      </c>
      <c r="S55" s="35">
        <f t="shared" ref="S55:U55" si="33">S90*0.2</f>
        <v>62340.554000000004</v>
      </c>
      <c r="T55" s="35">
        <f t="shared" si="33"/>
        <v>11386.296000000002</v>
      </c>
      <c r="U55" s="35">
        <f t="shared" si="33"/>
        <v>11357.346000000001</v>
      </c>
      <c r="V55" s="35">
        <f t="shared" si="14"/>
        <v>2721.3140000000003</v>
      </c>
      <c r="W55" s="35">
        <f t="shared" si="14"/>
        <v>113712</v>
      </c>
      <c r="X55" s="35">
        <f t="shared" si="14"/>
        <v>758.08</v>
      </c>
      <c r="Y55" s="35">
        <f t="shared" si="14"/>
        <v>1727.7340000000002</v>
      </c>
      <c r="Z55" s="35">
        <f t="shared" si="14"/>
        <v>55.277999999999999</v>
      </c>
      <c r="AA55" s="35">
        <f t="shared" si="14"/>
        <v>2036.5220000000002</v>
      </c>
      <c r="AB55" s="35">
        <f t="shared" si="14"/>
        <v>435.89600000000002</v>
      </c>
      <c r="AC55" s="35">
        <f t="shared" si="14"/>
        <v>0</v>
      </c>
      <c r="AD55" s="35">
        <f t="shared" si="14"/>
        <v>0</v>
      </c>
      <c r="AE55" s="35">
        <f t="shared" si="14"/>
        <v>105.032</v>
      </c>
      <c r="AF55" s="35">
        <f t="shared" si="11"/>
        <v>0</v>
      </c>
      <c r="AG55" s="35">
        <f t="shared" si="11"/>
        <v>0</v>
      </c>
      <c r="AH55" s="4">
        <f t="shared" si="15"/>
        <v>206636.052</v>
      </c>
      <c r="AI55" s="129">
        <f t="shared" si="16"/>
        <v>73726.850000000006</v>
      </c>
      <c r="AJ55" s="129">
        <f t="shared" si="17"/>
        <v>14078.660000000002</v>
      </c>
      <c r="AK55" s="129">
        <f t="shared" si="18"/>
        <v>113712</v>
      </c>
      <c r="AL55" s="129">
        <f t="shared" si="19"/>
        <v>5118.5420000000004</v>
      </c>
    </row>
    <row r="56" spans="1:38">
      <c r="A56" s="1" t="s">
        <v>135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12"/>
        <v>0</v>
      </c>
      <c r="R56" s="1" t="s">
        <v>135</v>
      </c>
      <c r="S56" s="35">
        <f t="shared" ref="S56:U56" si="34">S91*0.2</f>
        <v>27209.828000000005</v>
      </c>
      <c r="T56" s="35">
        <f t="shared" si="34"/>
        <v>8650.3040000000001</v>
      </c>
      <c r="U56" s="35">
        <f t="shared" si="34"/>
        <v>3171.2960000000003</v>
      </c>
      <c r="V56" s="35">
        <f t="shared" si="14"/>
        <v>480.21400000000006</v>
      </c>
      <c r="W56" s="35">
        <f t="shared" si="14"/>
        <v>25130.351999999999</v>
      </c>
      <c r="X56" s="35">
        <f t="shared" si="14"/>
        <v>360.08800000000002</v>
      </c>
      <c r="Y56" s="35">
        <f t="shared" si="14"/>
        <v>1066.1659999999999</v>
      </c>
      <c r="Z56" s="35">
        <f t="shared" si="14"/>
        <v>103.19800000000001</v>
      </c>
      <c r="AA56" s="35">
        <f t="shared" si="14"/>
        <v>1497.2940000000001</v>
      </c>
      <c r="AB56" s="35">
        <f t="shared" si="14"/>
        <v>189.52</v>
      </c>
      <c r="AC56" s="35">
        <f t="shared" si="14"/>
        <v>0</v>
      </c>
      <c r="AD56" s="35">
        <f t="shared" si="14"/>
        <v>0</v>
      </c>
      <c r="AE56" s="35">
        <f t="shared" si="14"/>
        <v>38.695999999999998</v>
      </c>
      <c r="AF56" s="35">
        <f t="shared" si="14"/>
        <v>0</v>
      </c>
      <c r="AG56" s="35">
        <f t="shared" si="14"/>
        <v>0</v>
      </c>
      <c r="AH56" s="4">
        <f t="shared" si="15"/>
        <v>67896.956000000006</v>
      </c>
      <c r="AI56" s="129">
        <f t="shared" si="16"/>
        <v>35860.132000000005</v>
      </c>
      <c r="AJ56" s="129">
        <f t="shared" si="17"/>
        <v>3651.51</v>
      </c>
      <c r="AK56" s="129">
        <f t="shared" si="18"/>
        <v>25130.351999999999</v>
      </c>
      <c r="AL56" s="129">
        <f t="shared" si="19"/>
        <v>3254.962</v>
      </c>
    </row>
    <row r="57" spans="1:38">
      <c r="A57" s="1" t="s">
        <v>136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12"/>
        <v>0</v>
      </c>
      <c r="R57" s="1" t="s">
        <v>136</v>
      </c>
      <c r="S57" s="35">
        <f t="shared" ref="S57:AG66" si="35">S92*0.2</f>
        <v>5046.2740000000003</v>
      </c>
      <c r="T57" s="35">
        <f t="shared" si="35"/>
        <v>776.33600000000001</v>
      </c>
      <c r="U57" s="35">
        <f>U92*0.2</f>
        <v>641.42600000000004</v>
      </c>
      <c r="V57" s="35">
        <f t="shared" si="35"/>
        <v>46.180000000000007</v>
      </c>
      <c r="W57" s="35">
        <f t="shared" si="35"/>
        <v>6957.1580000000004</v>
      </c>
      <c r="X57" s="35">
        <f t="shared" si="35"/>
        <v>265.32800000000003</v>
      </c>
      <c r="Y57" s="35">
        <f t="shared" si="35"/>
        <v>91.286000000000001</v>
      </c>
      <c r="Z57" s="35">
        <f t="shared" si="35"/>
        <v>181.76600000000002</v>
      </c>
      <c r="AA57" s="35">
        <f t="shared" si="35"/>
        <v>95.078000000000003</v>
      </c>
      <c r="AB57" s="35">
        <f t="shared" si="35"/>
        <v>0</v>
      </c>
      <c r="AC57" s="35">
        <f t="shared" si="35"/>
        <v>0</v>
      </c>
      <c r="AD57" s="35">
        <f t="shared" si="35"/>
        <v>0</v>
      </c>
      <c r="AE57" s="35">
        <f t="shared" si="35"/>
        <v>11.056000000000001</v>
      </c>
      <c r="AF57" s="35">
        <v>0</v>
      </c>
      <c r="AG57" s="35">
        <v>0</v>
      </c>
      <c r="AH57" s="4">
        <f t="shared" si="15"/>
        <v>14111.888000000001</v>
      </c>
      <c r="AI57" s="129">
        <f t="shared" si="16"/>
        <v>5822.6100000000006</v>
      </c>
      <c r="AJ57" s="129">
        <f t="shared" si="17"/>
        <v>687.60599999999999</v>
      </c>
      <c r="AK57" s="129">
        <f t="shared" si="18"/>
        <v>6957.1580000000004</v>
      </c>
      <c r="AL57" s="129">
        <f t="shared" si="19"/>
        <v>644.51400000000012</v>
      </c>
    </row>
    <row r="58" spans="1:38">
      <c r="A58" s="1" t="s">
        <v>137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12"/>
        <v>0</v>
      </c>
      <c r="R58" s="1" t="s">
        <v>137</v>
      </c>
      <c r="S58" s="35">
        <f t="shared" si="35"/>
        <v>77377.857999999993</v>
      </c>
      <c r="T58" s="35">
        <f t="shared" si="35"/>
        <v>15714.372000000001</v>
      </c>
      <c r="U58" s="35">
        <f t="shared" si="35"/>
        <v>11300.064</v>
      </c>
      <c r="V58" s="35">
        <f t="shared" si="35"/>
        <v>2120.5880000000002</v>
      </c>
      <c r="W58" s="35">
        <f t="shared" si="35"/>
        <v>85189.24</v>
      </c>
      <c r="X58" s="35">
        <f t="shared" si="35"/>
        <v>4131.5360000000001</v>
      </c>
      <c r="Y58" s="35">
        <f t="shared" si="35"/>
        <v>2795.01</v>
      </c>
      <c r="Z58" s="35">
        <f t="shared" si="35"/>
        <v>314.07</v>
      </c>
      <c r="AA58" s="35">
        <f t="shared" si="35"/>
        <v>2593.5700000000002</v>
      </c>
      <c r="AB58" s="35">
        <f t="shared" si="35"/>
        <v>303.23200000000003</v>
      </c>
      <c r="AC58" s="35">
        <f t="shared" si="35"/>
        <v>113.71199999999999</v>
      </c>
      <c r="AD58" s="35">
        <f t="shared" si="35"/>
        <v>0</v>
      </c>
      <c r="AE58" s="35">
        <f t="shared" si="35"/>
        <v>204.536</v>
      </c>
      <c r="AF58" s="35">
        <f t="shared" si="35"/>
        <v>0</v>
      </c>
      <c r="AG58" s="35">
        <f t="shared" si="35"/>
        <v>0</v>
      </c>
      <c r="AH58" s="4">
        <f t="shared" si="15"/>
        <v>202157.788</v>
      </c>
      <c r="AI58" s="129">
        <f t="shared" si="16"/>
        <v>93092.23</v>
      </c>
      <c r="AJ58" s="129">
        <f t="shared" si="17"/>
        <v>13420.652</v>
      </c>
      <c r="AK58" s="129">
        <f t="shared" si="18"/>
        <v>85189.24</v>
      </c>
      <c r="AL58" s="129">
        <f t="shared" si="19"/>
        <v>10455.665999999999</v>
      </c>
    </row>
    <row r="59" spans="1:38">
      <c r="A59" s="1" t="s">
        <v>138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12"/>
        <v>0</v>
      </c>
      <c r="R59" s="1" t="s">
        <v>138</v>
      </c>
      <c r="S59" s="35">
        <f t="shared" si="35"/>
        <v>11743.662</v>
      </c>
      <c r="T59" s="35">
        <f t="shared" si="35"/>
        <v>2809.4880000000003</v>
      </c>
      <c r="U59" s="35">
        <f t="shared" si="35"/>
        <v>1162.6940000000002</v>
      </c>
      <c r="V59" s="35">
        <f t="shared" si="35"/>
        <v>245.83000000000004</v>
      </c>
      <c r="W59" s="35">
        <f t="shared" si="35"/>
        <v>10442.552000000001</v>
      </c>
      <c r="X59" s="35">
        <f t="shared" si="35"/>
        <v>416.94399999999996</v>
      </c>
      <c r="Y59" s="35">
        <f t="shared" si="35"/>
        <v>594.298</v>
      </c>
      <c r="Z59" s="35">
        <f t="shared" si="35"/>
        <v>0</v>
      </c>
      <c r="AA59" s="35">
        <f t="shared" si="35"/>
        <v>330.84800000000001</v>
      </c>
      <c r="AB59" s="35">
        <f t="shared" si="35"/>
        <v>0</v>
      </c>
      <c r="AC59" s="35">
        <f t="shared" si="35"/>
        <v>0</v>
      </c>
      <c r="AD59" s="35">
        <f t="shared" si="35"/>
        <v>0</v>
      </c>
      <c r="AE59" s="35">
        <f t="shared" si="35"/>
        <v>22.112000000000002</v>
      </c>
      <c r="AF59" s="35">
        <f t="shared" si="35"/>
        <v>0</v>
      </c>
      <c r="AG59" s="35">
        <f t="shared" si="35"/>
        <v>0</v>
      </c>
      <c r="AH59" s="4">
        <f t="shared" si="15"/>
        <v>27768.428000000004</v>
      </c>
      <c r="AI59" s="129">
        <f t="shared" si="16"/>
        <v>14553.150000000001</v>
      </c>
      <c r="AJ59" s="129">
        <f t="shared" si="17"/>
        <v>1408.5240000000003</v>
      </c>
      <c r="AK59" s="129">
        <f t="shared" si="18"/>
        <v>10442.552000000001</v>
      </c>
      <c r="AL59" s="129">
        <f t="shared" si="19"/>
        <v>1364.202</v>
      </c>
    </row>
    <row r="60" spans="1:38">
      <c r="A60" s="1" t="s">
        <v>139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12"/>
        <v>0</v>
      </c>
      <c r="R60" s="1" t="s">
        <v>139</v>
      </c>
      <c r="S60" s="35">
        <f t="shared" si="35"/>
        <v>80886.396000000008</v>
      </c>
      <c r="T60" s="35">
        <f t="shared" si="35"/>
        <v>17313.814000000002</v>
      </c>
      <c r="U60" s="35">
        <f t="shared" si="35"/>
        <v>10681.760000000002</v>
      </c>
      <c r="V60" s="35">
        <f t="shared" si="35"/>
        <v>4051.9380000000001</v>
      </c>
      <c r="W60" s="35">
        <f t="shared" si="35"/>
        <v>148375.20800000001</v>
      </c>
      <c r="X60" s="35">
        <f t="shared" si="35"/>
        <v>1118.1680000000001</v>
      </c>
      <c r="Y60" s="35">
        <f t="shared" si="35"/>
        <v>3787.4660000000003</v>
      </c>
      <c r="Z60" s="35">
        <f t="shared" si="35"/>
        <v>253.70400000000001</v>
      </c>
      <c r="AA60" s="35">
        <f t="shared" si="35"/>
        <v>2280.2959999999998</v>
      </c>
      <c r="AB60" s="35">
        <f t="shared" si="35"/>
        <v>303.23200000000003</v>
      </c>
      <c r="AC60" s="35">
        <f t="shared" si="35"/>
        <v>0</v>
      </c>
      <c r="AD60" s="35">
        <f t="shared" si="35"/>
        <v>0</v>
      </c>
      <c r="AE60" s="35">
        <f t="shared" si="35"/>
        <v>71.864000000000004</v>
      </c>
      <c r="AF60" s="35">
        <f t="shared" si="35"/>
        <v>0</v>
      </c>
      <c r="AG60" s="35">
        <f t="shared" si="35"/>
        <v>0</v>
      </c>
      <c r="AH60" s="4">
        <f t="shared" si="15"/>
        <v>269123.84600000002</v>
      </c>
      <c r="AI60" s="129">
        <f t="shared" si="16"/>
        <v>98200.21</v>
      </c>
      <c r="AJ60" s="129">
        <f t="shared" si="17"/>
        <v>14733.698000000002</v>
      </c>
      <c r="AK60" s="129">
        <f t="shared" si="18"/>
        <v>148375.20800000001</v>
      </c>
      <c r="AL60" s="129">
        <f t="shared" si="19"/>
        <v>7814.73</v>
      </c>
    </row>
    <row r="61" spans="1:38">
      <c r="A61" s="18" t="s">
        <v>140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12"/>
        <v>0</v>
      </c>
      <c r="R61" s="18" t="s">
        <v>140</v>
      </c>
      <c r="S61" s="35">
        <f t="shared" si="35"/>
        <v>5247.134</v>
      </c>
      <c r="T61" s="35">
        <f t="shared" si="35"/>
        <v>804.34400000000005</v>
      </c>
      <c r="U61" s="35">
        <f t="shared" si="35"/>
        <v>647.98199999999997</v>
      </c>
      <c r="V61" s="35">
        <f t="shared" si="35"/>
        <v>145.864</v>
      </c>
      <c r="W61" s="35">
        <f t="shared" si="35"/>
        <v>11769.192000000001</v>
      </c>
      <c r="X61" s="35">
        <f t="shared" si="35"/>
        <v>132.66400000000002</v>
      </c>
      <c r="Y61" s="35">
        <f t="shared" si="35"/>
        <v>92.25800000000001</v>
      </c>
      <c r="Z61" s="35">
        <f t="shared" si="35"/>
        <v>0</v>
      </c>
      <c r="AA61" s="35">
        <f t="shared" si="35"/>
        <v>157.33600000000001</v>
      </c>
      <c r="AB61" s="35">
        <f t="shared" si="35"/>
        <v>75.808000000000007</v>
      </c>
      <c r="AC61" s="35">
        <f t="shared" si="35"/>
        <v>0</v>
      </c>
      <c r="AD61" s="35">
        <f t="shared" si="35"/>
        <v>0</v>
      </c>
      <c r="AE61" s="35">
        <f t="shared" si="35"/>
        <v>0</v>
      </c>
      <c r="AF61" s="35">
        <f t="shared" si="35"/>
        <v>0</v>
      </c>
      <c r="AG61" s="35">
        <f t="shared" si="35"/>
        <v>0</v>
      </c>
      <c r="AH61" s="4">
        <f t="shared" si="15"/>
        <v>19072.582000000002</v>
      </c>
      <c r="AI61" s="129">
        <f t="shared" si="16"/>
        <v>6051.4780000000001</v>
      </c>
      <c r="AJ61" s="129">
        <f t="shared" si="17"/>
        <v>793.846</v>
      </c>
      <c r="AK61" s="129">
        <f t="shared" si="18"/>
        <v>11769.192000000001</v>
      </c>
      <c r="AL61" s="129">
        <f t="shared" si="19"/>
        <v>458.06600000000003</v>
      </c>
    </row>
    <row r="62" spans="1:38">
      <c r="A62" s="2" t="s">
        <v>141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12"/>
        <v>0</v>
      </c>
      <c r="R62" s="2" t="s">
        <v>141</v>
      </c>
      <c r="S62" s="35">
        <f t="shared" si="35"/>
        <v>587.57399999999996</v>
      </c>
      <c r="T62" s="35">
        <f t="shared" si="35"/>
        <v>102.30000000000001</v>
      </c>
      <c r="U62" s="35">
        <f t="shared" si="35"/>
        <v>108.71600000000001</v>
      </c>
      <c r="V62" s="35">
        <f t="shared" si="35"/>
        <v>0</v>
      </c>
      <c r="W62" s="35">
        <f t="shared" si="35"/>
        <v>1952.0560000000003</v>
      </c>
      <c r="X62" s="35">
        <f t="shared" si="35"/>
        <v>0</v>
      </c>
      <c r="Y62" s="35">
        <f t="shared" si="35"/>
        <v>7.2180000000000009</v>
      </c>
      <c r="Z62" s="35">
        <f t="shared" si="35"/>
        <v>0</v>
      </c>
      <c r="AA62" s="35">
        <f t="shared" si="35"/>
        <v>13.554</v>
      </c>
      <c r="AB62" s="35">
        <f t="shared" si="35"/>
        <v>0</v>
      </c>
      <c r="AC62" s="35">
        <f t="shared" si="35"/>
        <v>0</v>
      </c>
      <c r="AD62" s="35">
        <f t="shared" si="35"/>
        <v>0</v>
      </c>
      <c r="AE62" s="35">
        <f t="shared" si="35"/>
        <v>0</v>
      </c>
      <c r="AF62" s="35">
        <f t="shared" si="35"/>
        <v>0</v>
      </c>
      <c r="AG62" s="35">
        <f t="shared" si="35"/>
        <v>0</v>
      </c>
      <c r="AH62" s="4">
        <f t="shared" si="15"/>
        <v>2771.4180000000001</v>
      </c>
      <c r="AI62" s="129">
        <f t="shared" si="16"/>
        <v>689.87400000000002</v>
      </c>
      <c r="AJ62" s="129">
        <f t="shared" si="17"/>
        <v>108.71600000000001</v>
      </c>
      <c r="AK62" s="129">
        <f t="shared" si="18"/>
        <v>1952.0560000000003</v>
      </c>
      <c r="AL62" s="129">
        <f t="shared" si="19"/>
        <v>20.772000000000002</v>
      </c>
    </row>
    <row r="63" spans="1:38">
      <c r="A63" s="1" t="s">
        <v>142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12"/>
        <v>0</v>
      </c>
      <c r="R63" s="1" t="s">
        <v>142</v>
      </c>
      <c r="S63" s="35">
        <f t="shared" si="35"/>
        <v>58954.390000000007</v>
      </c>
      <c r="T63" s="35">
        <f t="shared" si="35"/>
        <v>9119.9679999999989</v>
      </c>
      <c r="U63" s="35">
        <f t="shared" si="35"/>
        <v>7800.2440000000006</v>
      </c>
      <c r="V63" s="35">
        <f t="shared" si="35"/>
        <v>2137.3700000000003</v>
      </c>
      <c r="W63" s="35">
        <f t="shared" si="35"/>
        <v>92372.04800000001</v>
      </c>
      <c r="X63" s="35">
        <f t="shared" si="35"/>
        <v>644.36800000000005</v>
      </c>
      <c r="Y63" s="35">
        <f t="shared" si="35"/>
        <v>1717.0140000000001</v>
      </c>
      <c r="Z63" s="35">
        <f t="shared" si="35"/>
        <v>0</v>
      </c>
      <c r="AA63" s="35">
        <f t="shared" si="35"/>
        <v>1379.8400000000001</v>
      </c>
      <c r="AB63" s="35">
        <f t="shared" si="35"/>
        <v>94.76</v>
      </c>
      <c r="AC63" s="35">
        <f t="shared" si="35"/>
        <v>0</v>
      </c>
      <c r="AD63" s="35">
        <f t="shared" si="35"/>
        <v>0</v>
      </c>
      <c r="AE63" s="35">
        <f t="shared" si="35"/>
        <v>66.335999999999999</v>
      </c>
      <c r="AF63" s="35">
        <f t="shared" si="35"/>
        <v>0</v>
      </c>
      <c r="AG63" s="35">
        <f t="shared" si="35"/>
        <v>0</v>
      </c>
      <c r="AH63" s="4">
        <f t="shared" si="15"/>
        <v>174286.33800000002</v>
      </c>
      <c r="AI63" s="129">
        <f t="shared" si="16"/>
        <v>68074.358000000007</v>
      </c>
      <c r="AJ63" s="129">
        <f t="shared" si="17"/>
        <v>9937.6140000000014</v>
      </c>
      <c r="AK63" s="129">
        <f t="shared" si="18"/>
        <v>92372.04800000001</v>
      </c>
      <c r="AL63" s="129">
        <f t="shared" si="19"/>
        <v>3902.3180000000002</v>
      </c>
    </row>
    <row r="64" spans="1:38">
      <c r="A64" s="1" t="s">
        <v>143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12"/>
        <v>0</v>
      </c>
      <c r="R64" s="1" t="s">
        <v>143</v>
      </c>
      <c r="S64" s="35">
        <f t="shared" si="35"/>
        <v>291813.69800000003</v>
      </c>
      <c r="T64" s="35">
        <f t="shared" si="35"/>
        <v>56438.046000000002</v>
      </c>
      <c r="U64" s="35">
        <f t="shared" si="35"/>
        <v>36300.518000000004</v>
      </c>
      <c r="V64" s="35">
        <f t="shared" si="35"/>
        <v>7487.9740000000011</v>
      </c>
      <c r="W64" s="35">
        <f t="shared" si="35"/>
        <v>490988.66</v>
      </c>
      <c r="X64" s="35">
        <f t="shared" si="35"/>
        <v>3942.0160000000005</v>
      </c>
      <c r="Y64" s="35">
        <f t="shared" si="35"/>
        <v>11722.558000000001</v>
      </c>
      <c r="Z64" s="35">
        <f t="shared" si="35"/>
        <v>979.80400000000009</v>
      </c>
      <c r="AA64" s="35">
        <f t="shared" si="35"/>
        <v>7644.634</v>
      </c>
      <c r="AB64" s="35">
        <f t="shared" si="35"/>
        <v>909.69599999999991</v>
      </c>
      <c r="AC64" s="35">
        <f t="shared" si="35"/>
        <v>113.71199999999999</v>
      </c>
      <c r="AD64" s="35">
        <f t="shared" si="35"/>
        <v>0</v>
      </c>
      <c r="AE64" s="35">
        <f t="shared" si="35"/>
        <v>519.63199999999995</v>
      </c>
      <c r="AF64" s="35">
        <v>0</v>
      </c>
      <c r="AG64" s="35">
        <v>0</v>
      </c>
      <c r="AH64" s="4">
        <f t="shared" si="15"/>
        <v>908860.94799999986</v>
      </c>
      <c r="AI64" s="129">
        <f t="shared" si="16"/>
        <v>348251.74400000006</v>
      </c>
      <c r="AJ64" s="129">
        <f t="shared" si="17"/>
        <v>43788.492000000006</v>
      </c>
      <c r="AK64" s="129">
        <f t="shared" si="18"/>
        <v>490988.66</v>
      </c>
      <c r="AL64" s="129">
        <f t="shared" si="19"/>
        <v>25832.052000000003</v>
      </c>
    </row>
    <row r="65" spans="1:38">
      <c r="A65" s="1" t="s">
        <v>144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12"/>
        <v>0</v>
      </c>
      <c r="R65" s="1" t="s">
        <v>144</v>
      </c>
      <c r="S65" s="35">
        <f t="shared" si="35"/>
        <v>6883.44</v>
      </c>
      <c r="T65" s="35">
        <f t="shared" si="35"/>
        <v>2806.4720000000002</v>
      </c>
      <c r="U65" s="35">
        <f t="shared" si="35"/>
        <v>518.85400000000004</v>
      </c>
      <c r="V65" s="35">
        <f t="shared" si="35"/>
        <v>36.012</v>
      </c>
      <c r="W65" s="35">
        <f t="shared" si="35"/>
        <v>8888.4880000000012</v>
      </c>
      <c r="X65" s="35">
        <f t="shared" si="35"/>
        <v>284.28000000000003</v>
      </c>
      <c r="Y65" s="35">
        <f t="shared" si="35"/>
        <v>290.80400000000003</v>
      </c>
      <c r="Z65" s="35">
        <f t="shared" si="35"/>
        <v>0</v>
      </c>
      <c r="AA65" s="35">
        <f t="shared" si="35"/>
        <v>369.16200000000003</v>
      </c>
      <c r="AB65" s="35">
        <f t="shared" si="35"/>
        <v>113.71199999999999</v>
      </c>
      <c r="AC65" s="35">
        <f t="shared" si="35"/>
        <v>0</v>
      </c>
      <c r="AD65" s="35">
        <f t="shared" si="35"/>
        <v>0</v>
      </c>
      <c r="AE65" s="35">
        <f t="shared" si="35"/>
        <v>11.056000000000001</v>
      </c>
      <c r="AF65" s="35">
        <f t="shared" si="35"/>
        <v>0</v>
      </c>
      <c r="AG65" s="35">
        <f t="shared" si="35"/>
        <v>0</v>
      </c>
      <c r="AH65" s="4">
        <f t="shared" si="15"/>
        <v>20202.280000000002</v>
      </c>
      <c r="AI65" s="129">
        <f t="shared" si="16"/>
        <v>9689.9120000000003</v>
      </c>
      <c r="AJ65" s="129">
        <f t="shared" si="17"/>
        <v>554.86599999999999</v>
      </c>
      <c r="AK65" s="129">
        <f t="shared" si="18"/>
        <v>8888.4880000000012</v>
      </c>
      <c r="AL65" s="129">
        <f t="shared" si="19"/>
        <v>1069.0140000000001</v>
      </c>
    </row>
    <row r="66" spans="1:38">
      <c r="A66" s="1" t="s">
        <v>145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12"/>
        <v>0</v>
      </c>
      <c r="R66" s="1" t="s">
        <v>145</v>
      </c>
      <c r="S66" s="35">
        <f t="shared" si="35"/>
        <v>3952.9680000000003</v>
      </c>
      <c r="T66" s="35">
        <f t="shared" si="35"/>
        <v>735.8420000000001</v>
      </c>
      <c r="U66" s="35">
        <f t="shared" si="35"/>
        <v>477.69799999999998</v>
      </c>
      <c r="V66" s="35">
        <f t="shared" si="35"/>
        <v>705.85600000000011</v>
      </c>
      <c r="W66" s="35">
        <f t="shared" si="35"/>
        <v>7012.24</v>
      </c>
      <c r="X66" s="35">
        <f t="shared" si="35"/>
        <v>56.855999999999995</v>
      </c>
      <c r="Y66" s="35">
        <f t="shared" si="35"/>
        <v>387.798</v>
      </c>
      <c r="Z66" s="35">
        <f t="shared" si="35"/>
        <v>110.556</v>
      </c>
      <c r="AA66" s="35">
        <f t="shared" si="35"/>
        <v>71.676000000000002</v>
      </c>
      <c r="AB66" s="35">
        <f t="shared" si="35"/>
        <v>0</v>
      </c>
      <c r="AC66" s="35">
        <f t="shared" si="35"/>
        <v>0</v>
      </c>
      <c r="AD66" s="35">
        <f t="shared" si="35"/>
        <v>0</v>
      </c>
      <c r="AE66" s="35">
        <f t="shared" si="35"/>
        <v>0</v>
      </c>
      <c r="AF66" s="35">
        <f t="shared" si="35"/>
        <v>0</v>
      </c>
      <c r="AG66" s="35">
        <f t="shared" si="35"/>
        <v>62.003999999999998</v>
      </c>
      <c r="AH66" s="4">
        <f t="shared" si="15"/>
        <v>13573.494000000001</v>
      </c>
      <c r="AI66" s="129">
        <f t="shared" si="16"/>
        <v>4688.8100000000004</v>
      </c>
      <c r="AJ66" s="129">
        <f t="shared" si="17"/>
        <v>1183.5540000000001</v>
      </c>
      <c r="AK66" s="129">
        <f t="shared" si="18"/>
        <v>7012.24</v>
      </c>
      <c r="AL66" s="129">
        <f t="shared" si="19"/>
        <v>688.8900000000001</v>
      </c>
    </row>
    <row r="67" spans="1:38">
      <c r="A67" s="8" t="s">
        <v>37</v>
      </c>
      <c r="B67" s="9">
        <f>SUM(B40:B66)</f>
        <v>0</v>
      </c>
      <c r="C67" s="9">
        <f t="shared" ref="C67:N67" si="36">SUM(C40:C66)</f>
        <v>0</v>
      </c>
      <c r="D67" s="9">
        <f t="shared" si="36"/>
        <v>0</v>
      </c>
      <c r="E67" s="9">
        <f t="shared" si="36"/>
        <v>0</v>
      </c>
      <c r="F67" s="9">
        <f t="shared" si="36"/>
        <v>0</v>
      </c>
      <c r="G67" s="9">
        <f t="shared" si="36"/>
        <v>0</v>
      </c>
      <c r="H67" s="9">
        <f t="shared" si="36"/>
        <v>0</v>
      </c>
      <c r="I67" s="9">
        <f t="shared" si="36"/>
        <v>0</v>
      </c>
      <c r="J67" s="9">
        <f t="shared" si="36"/>
        <v>0</v>
      </c>
      <c r="K67" s="9">
        <f t="shared" si="36"/>
        <v>0</v>
      </c>
      <c r="L67" s="9">
        <f t="shared" si="36"/>
        <v>0</v>
      </c>
      <c r="M67" s="9">
        <f t="shared" si="36"/>
        <v>0</v>
      </c>
      <c r="N67" s="9">
        <f t="shared" si="36"/>
        <v>0</v>
      </c>
      <c r="O67" s="13">
        <f>SUM(O40:O66)</f>
        <v>0</v>
      </c>
      <c r="R67" s="8" t="s">
        <v>37</v>
      </c>
      <c r="S67" s="9">
        <f>SUM(S40:S66)</f>
        <v>898067.96199999994</v>
      </c>
      <c r="T67" s="9">
        <f t="shared" ref="T67:AG67" si="37">SUM(T40:T66)</f>
        <v>192802.12600000002</v>
      </c>
      <c r="U67" s="9">
        <f t="shared" si="37"/>
        <v>115649.48600000005</v>
      </c>
      <c r="V67" s="9">
        <f t="shared" si="37"/>
        <v>31554.082000000002</v>
      </c>
      <c r="W67" s="9">
        <f t="shared" si="37"/>
        <v>1327266.3859999999</v>
      </c>
      <c r="X67" s="9">
        <f t="shared" si="37"/>
        <v>20676.631999999998</v>
      </c>
      <c r="Y67" s="9">
        <f t="shared" si="37"/>
        <v>37633.97</v>
      </c>
      <c r="Z67" s="9">
        <f t="shared" si="37"/>
        <v>3852.6960000000008</v>
      </c>
      <c r="AA67" s="9">
        <f t="shared" si="37"/>
        <v>27975.838</v>
      </c>
      <c r="AB67" s="9">
        <f t="shared" si="37"/>
        <v>4169.4400000000005</v>
      </c>
      <c r="AC67" s="9">
        <f t="shared" si="37"/>
        <v>265.32799999999997</v>
      </c>
      <c r="AD67" s="9">
        <f t="shared" si="37"/>
        <v>0</v>
      </c>
      <c r="AE67" s="9">
        <f t="shared" si="37"/>
        <v>1514.672</v>
      </c>
      <c r="AF67" s="9">
        <f t="shared" si="37"/>
        <v>0</v>
      </c>
      <c r="AG67" s="9">
        <f t="shared" si="37"/>
        <v>62.003999999999998</v>
      </c>
      <c r="AH67" s="13">
        <f>SUM(AH40:AH66)</f>
        <v>2661490.622</v>
      </c>
      <c r="AI67" s="129">
        <f t="shared" si="16"/>
        <v>1090870.088</v>
      </c>
      <c r="AJ67" s="129">
        <f t="shared" si="17"/>
        <v>147203.56800000006</v>
      </c>
      <c r="AK67" s="129">
        <f t="shared" si="18"/>
        <v>1327266.3859999999</v>
      </c>
      <c r="AL67" s="129">
        <f t="shared" si="19"/>
        <v>96150.58</v>
      </c>
    </row>
    <row r="68" spans="1:38" ht="18.75">
      <c r="O68" s="3"/>
      <c r="R68" s="44" t="s">
        <v>50</v>
      </c>
      <c r="AH68" s="3"/>
      <c r="AI68" s="129"/>
      <c r="AJ68" s="129"/>
      <c r="AK68" s="129"/>
      <c r="AL68" s="129"/>
    </row>
    <row r="69" spans="1:38" s="34" customFormat="1">
      <c r="A69" s="39" t="s">
        <v>14</v>
      </c>
      <c r="B69" s="35">
        <f>C19*0.2</f>
        <v>0</v>
      </c>
      <c r="C69" s="35">
        <f t="shared" ref="C69:E69" si="38">D19*0.2</f>
        <v>0</v>
      </c>
      <c r="D69" s="35">
        <f t="shared" si="38"/>
        <v>0</v>
      </c>
      <c r="E69" s="35">
        <f t="shared" si="38"/>
        <v>0</v>
      </c>
      <c r="F69" s="35">
        <f t="shared" ref="F69:N69" si="39">F19*0.2</f>
        <v>0</v>
      </c>
      <c r="G69" s="35">
        <f t="shared" si="39"/>
        <v>0</v>
      </c>
      <c r="H69" s="35">
        <f t="shared" si="39"/>
        <v>0</v>
      </c>
      <c r="I69" s="35">
        <f t="shared" si="39"/>
        <v>0</v>
      </c>
      <c r="J69" s="35">
        <f t="shared" si="39"/>
        <v>0</v>
      </c>
      <c r="K69" s="35">
        <f t="shared" si="39"/>
        <v>0</v>
      </c>
      <c r="L69" s="35">
        <f t="shared" si="39"/>
        <v>0</v>
      </c>
      <c r="M69" s="35">
        <f t="shared" si="39"/>
        <v>0</v>
      </c>
      <c r="N69" s="35">
        <f t="shared" si="39"/>
        <v>0</v>
      </c>
      <c r="O69" s="4">
        <f>SUM(B69:N69)</f>
        <v>0</v>
      </c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  <c r="AI69" s="130"/>
      <c r="AJ69" s="130"/>
      <c r="AK69" s="130"/>
      <c r="AL69" s="130"/>
    </row>
    <row r="70" spans="1:38" s="34" customFormat="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 s="129"/>
      <c r="AJ70" s="129"/>
      <c r="AK70" s="129"/>
      <c r="AL70" s="129"/>
    </row>
    <row r="71" spans="1:38">
      <c r="R71"/>
      <c r="AI71" s="129"/>
      <c r="AJ71" s="129"/>
      <c r="AK71" s="129"/>
      <c r="AL71" s="129"/>
    </row>
    <row r="72" spans="1:38" ht="46.5">
      <c r="A72" s="292" t="s">
        <v>38</v>
      </c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  <c r="R72" s="292" t="s">
        <v>48</v>
      </c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4"/>
      <c r="AI72" s="129"/>
      <c r="AJ72" s="129"/>
      <c r="AK72" s="129"/>
      <c r="AL72" s="129"/>
    </row>
    <row r="73" spans="1:38">
      <c r="A73" s="290" t="s">
        <v>33</v>
      </c>
      <c r="B73" s="287" t="s">
        <v>27</v>
      </c>
      <c r="C73" s="288"/>
      <c r="D73" s="287" t="s">
        <v>29</v>
      </c>
      <c r="E73" s="288"/>
      <c r="F73" s="285" t="s">
        <v>28</v>
      </c>
      <c r="G73" s="285" t="s">
        <v>36</v>
      </c>
      <c r="H73" s="285" t="s">
        <v>30</v>
      </c>
      <c r="I73" s="285" t="s">
        <v>31</v>
      </c>
      <c r="J73" s="285" t="s">
        <v>41</v>
      </c>
      <c r="K73" s="285" t="s">
        <v>35</v>
      </c>
      <c r="L73" s="285" t="s">
        <v>40</v>
      </c>
      <c r="M73" s="285" t="s">
        <v>42</v>
      </c>
      <c r="N73" s="285" t="s">
        <v>45</v>
      </c>
      <c r="O73" s="285" t="s">
        <v>34</v>
      </c>
      <c r="R73" s="290" t="s">
        <v>33</v>
      </c>
      <c r="S73" s="287" t="s">
        <v>27</v>
      </c>
      <c r="T73" s="288"/>
      <c r="U73" s="287" t="s">
        <v>29</v>
      </c>
      <c r="V73" s="288"/>
      <c r="W73" s="285" t="s">
        <v>28</v>
      </c>
      <c r="X73" s="285" t="s">
        <v>36</v>
      </c>
      <c r="Y73" s="285" t="s">
        <v>30</v>
      </c>
      <c r="Z73" s="285" t="s">
        <v>31</v>
      </c>
      <c r="AA73" s="285" t="s">
        <v>41</v>
      </c>
      <c r="AB73" s="285" t="s">
        <v>35</v>
      </c>
      <c r="AC73" s="285" t="s">
        <v>40</v>
      </c>
      <c r="AD73" s="285" t="s">
        <v>42</v>
      </c>
      <c r="AE73" s="285" t="s">
        <v>45</v>
      </c>
      <c r="AF73" s="287" t="s">
        <v>52</v>
      </c>
      <c r="AG73" s="288"/>
      <c r="AH73" s="285" t="s">
        <v>34</v>
      </c>
      <c r="AI73" s="129"/>
      <c r="AJ73" s="129"/>
      <c r="AK73" s="129"/>
      <c r="AL73" s="129"/>
    </row>
    <row r="74" spans="1:38" ht="50.25" customHeight="1">
      <c r="A74" s="291"/>
      <c r="B74" s="56" t="s">
        <v>43</v>
      </c>
      <c r="C74" s="56" t="s">
        <v>44</v>
      </c>
      <c r="D74" s="56" t="s">
        <v>43</v>
      </c>
      <c r="E74" s="56" t="s">
        <v>44</v>
      </c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R74" s="291"/>
      <c r="S74" s="56" t="s">
        <v>43</v>
      </c>
      <c r="T74" s="56" t="s">
        <v>44</v>
      </c>
      <c r="U74" s="56" t="s">
        <v>43</v>
      </c>
      <c r="V74" s="56" t="s">
        <v>44</v>
      </c>
      <c r="W74" s="286"/>
      <c r="X74" s="286"/>
      <c r="Y74" s="286"/>
      <c r="Z74" s="286"/>
      <c r="AA74" s="286"/>
      <c r="AB74" s="286"/>
      <c r="AC74" s="286"/>
      <c r="AD74" s="286"/>
      <c r="AE74" s="286"/>
      <c r="AF74" s="55" t="s">
        <v>53</v>
      </c>
      <c r="AG74" s="55" t="s">
        <v>54</v>
      </c>
      <c r="AH74" s="286"/>
      <c r="AI74" s="129" t="s">
        <v>230</v>
      </c>
      <c r="AJ74" s="129" t="s">
        <v>231</v>
      </c>
      <c r="AK74" s="129" t="s">
        <v>28</v>
      </c>
      <c r="AL74" s="129" t="s">
        <v>233</v>
      </c>
    </row>
    <row r="75" spans="1:38">
      <c r="A75" s="1" t="s">
        <v>119</v>
      </c>
      <c r="B75" s="22">
        <f>B5+B40</f>
        <v>0</v>
      </c>
      <c r="C75" s="22">
        <f t="shared" ref="C75:N75" si="40">C5+C40</f>
        <v>0</v>
      </c>
      <c r="D75" s="22">
        <f t="shared" si="40"/>
        <v>0</v>
      </c>
      <c r="E75" s="22">
        <f t="shared" si="40"/>
        <v>0</v>
      </c>
      <c r="F75" s="22">
        <f t="shared" si="40"/>
        <v>0</v>
      </c>
      <c r="G75" s="22">
        <f t="shared" si="40"/>
        <v>0</v>
      </c>
      <c r="H75" s="22">
        <f t="shared" si="40"/>
        <v>0</v>
      </c>
      <c r="I75" s="22">
        <f t="shared" si="40"/>
        <v>0</v>
      </c>
      <c r="J75" s="22">
        <f t="shared" si="40"/>
        <v>0</v>
      </c>
      <c r="K75" s="22">
        <f t="shared" si="40"/>
        <v>0</v>
      </c>
      <c r="L75" s="22">
        <f t="shared" si="40"/>
        <v>0</v>
      </c>
      <c r="M75" s="22">
        <f t="shared" si="40"/>
        <v>0</v>
      </c>
      <c r="N75" s="22">
        <f t="shared" si="40"/>
        <v>0</v>
      </c>
      <c r="O75" s="12">
        <f>SUM(B75:N75)</f>
        <v>0</v>
      </c>
      <c r="R75" s="2" t="s">
        <v>119</v>
      </c>
      <c r="S75" s="22">
        <v>14111.42</v>
      </c>
      <c r="T75" s="22">
        <v>744.84</v>
      </c>
      <c r="U75" s="22">
        <v>2143.58</v>
      </c>
      <c r="V75" s="22">
        <v>404.97</v>
      </c>
      <c r="W75" s="22">
        <v>13550.68</v>
      </c>
      <c r="X75" s="22">
        <v>1610.92</v>
      </c>
      <c r="Y75" s="22">
        <v>197.43</v>
      </c>
      <c r="Z75" s="22">
        <v>0</v>
      </c>
      <c r="AA75" s="22">
        <v>175.63</v>
      </c>
      <c r="AB75" s="22">
        <v>94.76</v>
      </c>
      <c r="AC75" s="22">
        <v>0</v>
      </c>
      <c r="AD75" s="22">
        <v>0</v>
      </c>
      <c r="AE75" s="22"/>
      <c r="AF75" s="22">
        <v>0</v>
      </c>
      <c r="AG75" s="22">
        <v>0</v>
      </c>
      <c r="AH75" s="12">
        <f>SUM(S75:AG75)</f>
        <v>33034.230000000003</v>
      </c>
      <c r="AI75" s="129">
        <f>B75+C75+S75+T75</f>
        <v>14856.26</v>
      </c>
      <c r="AJ75" s="129">
        <f>D75+E75+U75+V75</f>
        <v>2548.5500000000002</v>
      </c>
      <c r="AK75" s="129">
        <f>F75+W75</f>
        <v>13550.68</v>
      </c>
      <c r="AL75" s="129">
        <f>SUM(G75:N75)+SUM(X75:AG75)</f>
        <v>2078.7400000000002</v>
      </c>
    </row>
    <row r="76" spans="1:38">
      <c r="A76" s="1" t="s">
        <v>120</v>
      </c>
      <c r="B76" s="22">
        <f t="shared" ref="B76:B101" si="41">B6+B41</f>
        <v>0</v>
      </c>
      <c r="C76" s="22">
        <f t="shared" ref="C76:N91" si="42">C6+C41</f>
        <v>0</v>
      </c>
      <c r="D76" s="22">
        <f t="shared" si="42"/>
        <v>0</v>
      </c>
      <c r="E76" s="22">
        <f t="shared" si="42"/>
        <v>0</v>
      </c>
      <c r="F76" s="22">
        <f t="shared" si="42"/>
        <v>0</v>
      </c>
      <c r="G76" s="22">
        <f t="shared" si="42"/>
        <v>0</v>
      </c>
      <c r="H76" s="22">
        <f t="shared" si="42"/>
        <v>0</v>
      </c>
      <c r="I76" s="22">
        <f t="shared" si="42"/>
        <v>0</v>
      </c>
      <c r="J76" s="22">
        <f t="shared" si="42"/>
        <v>0</v>
      </c>
      <c r="K76" s="22">
        <f t="shared" si="42"/>
        <v>0</v>
      </c>
      <c r="L76" s="22">
        <f t="shared" si="42"/>
        <v>0</v>
      </c>
      <c r="M76" s="22">
        <f t="shared" si="42"/>
        <v>0</v>
      </c>
      <c r="N76" s="22">
        <f t="shared" si="42"/>
        <v>0</v>
      </c>
      <c r="O76" s="12">
        <f t="shared" ref="O76:O101" si="43">SUM(B76:N76)</f>
        <v>0</v>
      </c>
      <c r="R76" s="2" t="s">
        <v>120</v>
      </c>
      <c r="S76" s="22">
        <v>41116.620000000003</v>
      </c>
      <c r="T76" s="22">
        <v>10427.65</v>
      </c>
      <c r="U76" s="22">
        <v>1388.88</v>
      </c>
      <c r="V76" s="22">
        <v>0</v>
      </c>
      <c r="W76" s="22">
        <v>43589.599999999999</v>
      </c>
      <c r="X76" s="22">
        <v>1326.64</v>
      </c>
      <c r="Y76" s="22">
        <v>1705.57</v>
      </c>
      <c r="Z76" s="22">
        <v>0</v>
      </c>
      <c r="AA76" s="22">
        <v>1003.62</v>
      </c>
      <c r="AB76" s="22"/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12">
        <f t="shared" ref="AH76:AH101" si="44">SUM(S76:AG76)</f>
        <v>100558.58</v>
      </c>
      <c r="AI76" s="129">
        <f t="shared" ref="AI76:AI101" si="45">B76+C76+S76+T76</f>
        <v>51544.270000000004</v>
      </c>
      <c r="AJ76" s="129">
        <f t="shared" ref="AJ76:AJ102" si="46">D76+E76+U76+V76</f>
        <v>1388.88</v>
      </c>
      <c r="AK76" s="129">
        <f t="shared" ref="AK76:AK102" si="47">F76+W76</f>
        <v>43589.599999999999</v>
      </c>
      <c r="AL76" s="129">
        <f t="shared" ref="AL76:AL102" si="48">SUM(G76:N76)+SUM(X76:AG76)</f>
        <v>4035.83</v>
      </c>
    </row>
    <row r="77" spans="1:38">
      <c r="A77" s="18" t="s">
        <v>121</v>
      </c>
      <c r="B77" s="22">
        <f t="shared" si="41"/>
        <v>0</v>
      </c>
      <c r="C77" s="22">
        <f t="shared" si="42"/>
        <v>0</v>
      </c>
      <c r="D77" s="22">
        <f t="shared" si="42"/>
        <v>0</v>
      </c>
      <c r="E77" s="22">
        <f t="shared" si="42"/>
        <v>0</v>
      </c>
      <c r="F77" s="22">
        <f t="shared" si="42"/>
        <v>0</v>
      </c>
      <c r="G77" s="22">
        <f t="shared" si="42"/>
        <v>0</v>
      </c>
      <c r="H77" s="22">
        <f t="shared" si="42"/>
        <v>0</v>
      </c>
      <c r="I77" s="22">
        <f t="shared" si="42"/>
        <v>0</v>
      </c>
      <c r="J77" s="22">
        <f t="shared" si="42"/>
        <v>0</v>
      </c>
      <c r="K77" s="22">
        <f t="shared" si="42"/>
        <v>0</v>
      </c>
      <c r="L77" s="22">
        <f t="shared" si="42"/>
        <v>0</v>
      </c>
      <c r="M77" s="22">
        <f t="shared" si="42"/>
        <v>0</v>
      </c>
      <c r="N77" s="22">
        <f t="shared" si="42"/>
        <v>0</v>
      </c>
      <c r="O77" s="12">
        <f t="shared" si="43"/>
        <v>0</v>
      </c>
      <c r="R77" s="2" t="s">
        <v>121</v>
      </c>
      <c r="S77" s="22">
        <v>15244.49</v>
      </c>
      <c r="T77" s="22">
        <v>5770.28</v>
      </c>
      <c r="U77" s="22">
        <v>1990.03</v>
      </c>
      <c r="V77" s="22">
        <v>1207.67</v>
      </c>
      <c r="W77" s="22">
        <v>21984.32</v>
      </c>
      <c r="X77" s="22">
        <v>1137.1199999999999</v>
      </c>
      <c r="Y77" s="22">
        <v>786.7</v>
      </c>
      <c r="Z77" s="22">
        <v>274.5</v>
      </c>
      <c r="AA77" s="22">
        <v>1173.72</v>
      </c>
      <c r="AB77" s="22">
        <v>284.27999999999997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12">
        <f t="shared" si="44"/>
        <v>49853.11</v>
      </c>
      <c r="AI77" s="129">
        <f t="shared" si="45"/>
        <v>21014.77</v>
      </c>
      <c r="AJ77" s="129">
        <f t="shared" si="46"/>
        <v>3197.7</v>
      </c>
      <c r="AK77" s="129">
        <f t="shared" si="47"/>
        <v>21984.32</v>
      </c>
      <c r="AL77" s="129">
        <f t="shared" si="48"/>
        <v>3656.3199999999997</v>
      </c>
    </row>
    <row r="78" spans="1:38">
      <c r="A78" s="2" t="s">
        <v>122</v>
      </c>
      <c r="B78" s="22">
        <f t="shared" si="41"/>
        <v>0</v>
      </c>
      <c r="C78" s="22">
        <f t="shared" si="42"/>
        <v>0</v>
      </c>
      <c r="D78" s="22">
        <f t="shared" si="42"/>
        <v>0</v>
      </c>
      <c r="E78" s="22">
        <f t="shared" si="42"/>
        <v>0</v>
      </c>
      <c r="F78" s="22">
        <f t="shared" si="42"/>
        <v>0</v>
      </c>
      <c r="G78" s="22">
        <f t="shared" si="42"/>
        <v>0</v>
      </c>
      <c r="H78" s="22">
        <f t="shared" si="42"/>
        <v>0</v>
      </c>
      <c r="I78" s="22">
        <f t="shared" si="42"/>
        <v>0</v>
      </c>
      <c r="J78" s="22">
        <f t="shared" si="42"/>
        <v>0</v>
      </c>
      <c r="K78" s="22">
        <f t="shared" si="42"/>
        <v>0</v>
      </c>
      <c r="L78" s="22">
        <f t="shared" si="42"/>
        <v>0</v>
      </c>
      <c r="M78" s="22">
        <f t="shared" si="42"/>
        <v>0</v>
      </c>
      <c r="N78" s="22">
        <f t="shared" si="42"/>
        <v>0</v>
      </c>
      <c r="O78" s="12">
        <f t="shared" si="43"/>
        <v>0</v>
      </c>
      <c r="R78" s="2" t="s">
        <v>122</v>
      </c>
      <c r="S78" s="22">
        <v>53147.54</v>
      </c>
      <c r="T78" s="22">
        <v>23846.1</v>
      </c>
      <c r="U78" s="22">
        <v>6258.14</v>
      </c>
      <c r="V78" s="22">
        <v>1603.08</v>
      </c>
      <c r="W78" s="22">
        <v>43494.84</v>
      </c>
      <c r="X78" s="22">
        <v>284.27999999999997</v>
      </c>
      <c r="Y78" s="22">
        <v>3241.29</v>
      </c>
      <c r="Z78" s="22">
        <v>0</v>
      </c>
      <c r="AA78" s="22">
        <v>2814.17</v>
      </c>
      <c r="AB78" s="22">
        <v>189.52</v>
      </c>
      <c r="AC78" s="22">
        <v>0</v>
      </c>
      <c r="AD78" s="22">
        <v>0</v>
      </c>
      <c r="AE78" s="22">
        <v>0</v>
      </c>
      <c r="AF78" s="22">
        <v>0</v>
      </c>
      <c r="AG78" s="22">
        <v>274.7</v>
      </c>
      <c r="AH78" s="12">
        <f t="shared" si="44"/>
        <v>135153.66</v>
      </c>
      <c r="AI78" s="129">
        <f t="shared" si="45"/>
        <v>76993.64</v>
      </c>
      <c r="AJ78" s="129">
        <f t="shared" si="46"/>
        <v>7861.22</v>
      </c>
      <c r="AK78" s="129">
        <f t="shared" si="47"/>
        <v>43494.84</v>
      </c>
      <c r="AL78" s="129">
        <f t="shared" si="48"/>
        <v>6803.96</v>
      </c>
    </row>
    <row r="79" spans="1:38">
      <c r="A79" s="1" t="s">
        <v>123</v>
      </c>
      <c r="B79" s="22">
        <f t="shared" si="41"/>
        <v>0</v>
      </c>
      <c r="C79" s="22">
        <f t="shared" ref="C79:D79" si="49">C9+C44</f>
        <v>0</v>
      </c>
      <c r="D79" s="22">
        <f t="shared" si="49"/>
        <v>0</v>
      </c>
      <c r="E79" s="22">
        <f t="shared" ref="E79" si="50">E9+E44</f>
        <v>0</v>
      </c>
      <c r="F79" s="22">
        <f t="shared" si="42"/>
        <v>0</v>
      </c>
      <c r="G79" s="22">
        <f t="shared" si="42"/>
        <v>0</v>
      </c>
      <c r="H79" s="22">
        <f t="shared" si="42"/>
        <v>0</v>
      </c>
      <c r="I79" s="22">
        <f t="shared" si="42"/>
        <v>0</v>
      </c>
      <c r="J79" s="22">
        <f t="shared" si="42"/>
        <v>0</v>
      </c>
      <c r="K79" s="22">
        <f t="shared" si="42"/>
        <v>0</v>
      </c>
      <c r="L79" s="22">
        <f t="shared" si="42"/>
        <v>0</v>
      </c>
      <c r="M79" s="22">
        <f t="shared" si="42"/>
        <v>0</v>
      </c>
      <c r="N79" s="22">
        <f t="shared" si="42"/>
        <v>0</v>
      </c>
      <c r="O79" s="12">
        <f t="shared" si="43"/>
        <v>0</v>
      </c>
      <c r="R79" s="2" t="s">
        <v>123</v>
      </c>
      <c r="S79" s="22">
        <v>125621.39</v>
      </c>
      <c r="T79" s="22">
        <v>23393.32</v>
      </c>
      <c r="U79" s="22">
        <v>18466.900000000001</v>
      </c>
      <c r="V79" s="22">
        <v>7779.46</v>
      </c>
      <c r="W79" s="22">
        <v>128589.32</v>
      </c>
      <c r="X79" s="22">
        <v>3316.6</v>
      </c>
      <c r="Y79" s="22">
        <v>5600.41</v>
      </c>
      <c r="Z79" s="22">
        <v>0</v>
      </c>
      <c r="AA79" s="22">
        <v>4493.24</v>
      </c>
      <c r="AB79" s="22">
        <v>852.84</v>
      </c>
      <c r="AC79" s="22">
        <v>0</v>
      </c>
      <c r="AD79" s="22">
        <v>0</v>
      </c>
      <c r="AE79" s="22">
        <v>469.88</v>
      </c>
      <c r="AF79" s="22">
        <v>0</v>
      </c>
      <c r="AG79" s="22">
        <v>0</v>
      </c>
      <c r="AH79" s="12">
        <f t="shared" si="44"/>
        <v>318583.36</v>
      </c>
      <c r="AI79" s="129">
        <f t="shared" si="45"/>
        <v>149014.71</v>
      </c>
      <c r="AJ79" s="129">
        <f t="shared" si="46"/>
        <v>26246.36</v>
      </c>
      <c r="AK79" s="129">
        <f t="shared" si="47"/>
        <v>128589.32</v>
      </c>
      <c r="AL79" s="129">
        <f t="shared" si="48"/>
        <v>14732.97</v>
      </c>
    </row>
    <row r="80" spans="1:38">
      <c r="A80" s="1" t="s">
        <v>124</v>
      </c>
      <c r="B80" s="22">
        <f t="shared" si="41"/>
        <v>0</v>
      </c>
      <c r="C80" s="22">
        <f t="shared" ref="C80:D80" si="51">C10+C45</f>
        <v>0</v>
      </c>
      <c r="D80" s="22">
        <f t="shared" si="51"/>
        <v>0</v>
      </c>
      <c r="E80" s="22">
        <f t="shared" ref="E80" si="52">E10+E45</f>
        <v>0</v>
      </c>
      <c r="F80" s="22">
        <f t="shared" si="42"/>
        <v>0</v>
      </c>
      <c r="G80" s="22">
        <f t="shared" si="42"/>
        <v>0</v>
      </c>
      <c r="H80" s="22">
        <f t="shared" si="42"/>
        <v>0</v>
      </c>
      <c r="I80" s="22">
        <f t="shared" si="42"/>
        <v>0</v>
      </c>
      <c r="J80" s="22">
        <f t="shared" si="42"/>
        <v>0</v>
      </c>
      <c r="K80" s="22">
        <f t="shared" si="42"/>
        <v>0</v>
      </c>
      <c r="L80" s="22">
        <f t="shared" si="42"/>
        <v>0</v>
      </c>
      <c r="M80" s="22">
        <f t="shared" si="42"/>
        <v>0</v>
      </c>
      <c r="N80" s="22">
        <f t="shared" si="42"/>
        <v>0</v>
      </c>
      <c r="O80" s="12">
        <f t="shared" si="43"/>
        <v>0</v>
      </c>
      <c r="R80" s="2" t="s">
        <v>124</v>
      </c>
      <c r="S80" s="22">
        <v>76172.08</v>
      </c>
      <c r="T80" s="22">
        <v>16930.990000000002</v>
      </c>
      <c r="U80" s="22">
        <v>6854.62</v>
      </c>
      <c r="V80" s="22">
        <v>1351.83</v>
      </c>
      <c r="W80" s="22">
        <v>63015.4</v>
      </c>
      <c r="X80" s="22">
        <v>284.27999999999997</v>
      </c>
      <c r="Y80" s="22">
        <v>2336.8000000000002</v>
      </c>
      <c r="Z80" s="22">
        <v>250.74</v>
      </c>
      <c r="AA80" s="22">
        <v>2362.5</v>
      </c>
      <c r="AB80" s="22">
        <v>0</v>
      </c>
      <c r="AC80" s="22">
        <v>0</v>
      </c>
      <c r="AD80" s="22">
        <v>0</v>
      </c>
      <c r="AE80" s="22">
        <v>82.92</v>
      </c>
      <c r="AF80" s="22">
        <v>0</v>
      </c>
      <c r="AG80" s="22">
        <v>0</v>
      </c>
      <c r="AH80" s="12">
        <f t="shared" si="44"/>
        <v>169642.16</v>
      </c>
      <c r="AI80" s="129">
        <f t="shared" si="45"/>
        <v>93103.07</v>
      </c>
      <c r="AJ80" s="129">
        <f t="shared" si="46"/>
        <v>8206.4500000000007</v>
      </c>
      <c r="AK80" s="129">
        <f t="shared" si="47"/>
        <v>63015.4</v>
      </c>
      <c r="AL80" s="129">
        <f t="shared" si="48"/>
        <v>5317.24</v>
      </c>
    </row>
    <row r="81" spans="1:38">
      <c r="A81" s="1" t="s">
        <v>125</v>
      </c>
      <c r="B81" s="22">
        <f t="shared" si="41"/>
        <v>0</v>
      </c>
      <c r="C81" s="22">
        <f t="shared" ref="C81:D81" si="53">C11+C46</f>
        <v>84.03</v>
      </c>
      <c r="D81" s="22">
        <f t="shared" si="53"/>
        <v>0</v>
      </c>
      <c r="E81" s="22">
        <f t="shared" ref="E81" si="54">E11+E46</f>
        <v>0</v>
      </c>
      <c r="F81" s="22">
        <f t="shared" si="42"/>
        <v>0</v>
      </c>
      <c r="G81" s="22">
        <f t="shared" si="42"/>
        <v>0</v>
      </c>
      <c r="H81" s="22">
        <f t="shared" si="42"/>
        <v>33.24</v>
      </c>
      <c r="I81" s="22">
        <f t="shared" si="42"/>
        <v>0</v>
      </c>
      <c r="J81" s="22">
        <f t="shared" si="42"/>
        <v>0</v>
      </c>
      <c r="K81" s="22">
        <f t="shared" si="42"/>
        <v>0</v>
      </c>
      <c r="L81" s="22">
        <f t="shared" si="42"/>
        <v>0</v>
      </c>
      <c r="M81" s="22">
        <f t="shared" si="42"/>
        <v>0</v>
      </c>
      <c r="N81" s="22">
        <f t="shared" si="42"/>
        <v>0</v>
      </c>
      <c r="O81" s="12">
        <f t="shared" si="43"/>
        <v>117.27000000000001</v>
      </c>
      <c r="R81" s="2" t="s">
        <v>125</v>
      </c>
      <c r="S81" s="22">
        <v>156060.54</v>
      </c>
      <c r="T81" s="22">
        <v>30574.63</v>
      </c>
      <c r="U81" s="22">
        <v>14770.05</v>
      </c>
      <c r="V81" s="22">
        <v>8697.48</v>
      </c>
      <c r="W81" s="22">
        <v>106984.04</v>
      </c>
      <c r="X81" s="22">
        <v>2463.7600000000002</v>
      </c>
      <c r="Y81" s="22">
        <v>5909.89</v>
      </c>
      <c r="Z81" s="22">
        <v>0</v>
      </c>
      <c r="AA81" s="22">
        <v>4637.3500000000004</v>
      </c>
      <c r="AB81" s="22">
        <v>568.55999999999995</v>
      </c>
      <c r="AC81" s="22">
        <v>189.52</v>
      </c>
      <c r="AD81" s="22">
        <v>0</v>
      </c>
      <c r="AE81" s="22">
        <v>442.24</v>
      </c>
      <c r="AF81" s="22">
        <v>0</v>
      </c>
      <c r="AG81" s="22">
        <v>0</v>
      </c>
      <c r="AH81" s="12">
        <f t="shared" si="44"/>
        <v>331298.06</v>
      </c>
      <c r="AI81" s="129">
        <f t="shared" si="45"/>
        <v>186719.2</v>
      </c>
      <c r="AJ81" s="129">
        <f t="shared" si="46"/>
        <v>23467.53</v>
      </c>
      <c r="AK81" s="129">
        <f t="shared" si="47"/>
        <v>106984.04</v>
      </c>
      <c r="AL81" s="129">
        <f t="shared" si="48"/>
        <v>14244.560000000001</v>
      </c>
    </row>
    <row r="82" spans="1:38">
      <c r="A82" s="1" t="s">
        <v>126</v>
      </c>
      <c r="B82" s="22">
        <f t="shared" si="41"/>
        <v>0</v>
      </c>
      <c r="C82" s="22">
        <f t="shared" ref="C82:D82" si="55">C12+C47</f>
        <v>0</v>
      </c>
      <c r="D82" s="22">
        <f t="shared" si="55"/>
        <v>0</v>
      </c>
      <c r="E82" s="22">
        <f t="shared" ref="E82" si="56">E12+E47</f>
        <v>0</v>
      </c>
      <c r="F82" s="22">
        <f t="shared" si="42"/>
        <v>0</v>
      </c>
      <c r="G82" s="22">
        <f t="shared" si="42"/>
        <v>0</v>
      </c>
      <c r="H82" s="22">
        <f t="shared" si="42"/>
        <v>0</v>
      </c>
      <c r="I82" s="22">
        <f t="shared" si="42"/>
        <v>0</v>
      </c>
      <c r="J82" s="22">
        <f>J12+J47</f>
        <v>0</v>
      </c>
      <c r="K82" s="22">
        <f t="shared" si="42"/>
        <v>0</v>
      </c>
      <c r="L82" s="22">
        <f t="shared" si="42"/>
        <v>0</v>
      </c>
      <c r="M82" s="22">
        <f t="shared" si="42"/>
        <v>0</v>
      </c>
      <c r="N82" s="22">
        <f t="shared" si="42"/>
        <v>0</v>
      </c>
      <c r="O82" s="12">
        <f t="shared" si="43"/>
        <v>0</v>
      </c>
      <c r="R82" s="2" t="s">
        <v>126</v>
      </c>
      <c r="S82" s="22">
        <v>111584.81</v>
      </c>
      <c r="T82" s="22">
        <v>23920.36</v>
      </c>
      <c r="U82" s="22">
        <v>13154.91</v>
      </c>
      <c r="V82" s="22">
        <v>3177.33</v>
      </c>
      <c r="W82" s="22">
        <v>88695.360000000001</v>
      </c>
      <c r="X82" s="22">
        <v>2937.56</v>
      </c>
      <c r="Y82" s="22">
        <v>4480.9399999999996</v>
      </c>
      <c r="Z82" s="22">
        <v>1048.44</v>
      </c>
      <c r="AA82" s="22">
        <v>3450.07</v>
      </c>
      <c r="AB82" s="22">
        <v>189.52</v>
      </c>
      <c r="AC82" s="22">
        <v>0</v>
      </c>
      <c r="AD82" s="22">
        <v>0</v>
      </c>
      <c r="AE82" s="22">
        <v>82.92</v>
      </c>
      <c r="AF82" s="22">
        <v>0</v>
      </c>
      <c r="AG82" s="22">
        <v>0</v>
      </c>
      <c r="AH82" s="12">
        <f t="shared" si="44"/>
        <v>252722.21999999997</v>
      </c>
      <c r="AI82" s="129">
        <f t="shared" si="45"/>
        <v>135505.16999999998</v>
      </c>
      <c r="AJ82" s="129">
        <f t="shared" si="46"/>
        <v>16332.24</v>
      </c>
      <c r="AK82" s="129">
        <f t="shared" si="47"/>
        <v>88695.360000000001</v>
      </c>
      <c r="AL82" s="129">
        <f t="shared" si="48"/>
        <v>12189.45</v>
      </c>
    </row>
    <row r="83" spans="1:38">
      <c r="A83" s="1" t="s">
        <v>127</v>
      </c>
      <c r="B83" s="22">
        <f t="shared" si="41"/>
        <v>0</v>
      </c>
      <c r="C83" s="22">
        <f t="shared" ref="C83:D83" si="57">C13+C48</f>
        <v>0</v>
      </c>
      <c r="D83" s="22">
        <f t="shared" si="57"/>
        <v>0</v>
      </c>
      <c r="E83" s="22">
        <f t="shared" ref="E83" si="58">E13+E48</f>
        <v>0</v>
      </c>
      <c r="F83" s="22">
        <f t="shared" si="42"/>
        <v>0</v>
      </c>
      <c r="G83" s="22">
        <f t="shared" si="42"/>
        <v>0</v>
      </c>
      <c r="H83" s="22">
        <f t="shared" si="42"/>
        <v>0</v>
      </c>
      <c r="I83" s="22">
        <f t="shared" si="42"/>
        <v>0</v>
      </c>
      <c r="J83" s="22">
        <f t="shared" si="42"/>
        <v>0</v>
      </c>
      <c r="K83" s="22">
        <f t="shared" si="42"/>
        <v>0</v>
      </c>
      <c r="L83" s="22">
        <f t="shared" si="42"/>
        <v>0</v>
      </c>
      <c r="M83" s="22">
        <f t="shared" si="42"/>
        <v>0</v>
      </c>
      <c r="N83" s="22">
        <f t="shared" si="42"/>
        <v>0</v>
      </c>
      <c r="O83" s="12">
        <f t="shared" si="43"/>
        <v>0</v>
      </c>
      <c r="R83" s="2" t="s">
        <v>127</v>
      </c>
      <c r="S83" s="22">
        <v>112437.68</v>
      </c>
      <c r="T83" s="22">
        <v>26848.98</v>
      </c>
      <c r="U83" s="22">
        <v>12441.51</v>
      </c>
      <c r="V83" s="22">
        <v>1957.71</v>
      </c>
      <c r="W83" s="22">
        <v>206292.52</v>
      </c>
      <c r="X83" s="22">
        <v>14593.04</v>
      </c>
      <c r="Y83" s="22">
        <v>5627.12</v>
      </c>
      <c r="Z83" s="22">
        <v>3530.19</v>
      </c>
      <c r="AA83" s="22">
        <v>4897.1099999999997</v>
      </c>
      <c r="AB83" s="22">
        <v>284.27999999999997</v>
      </c>
      <c r="AC83" s="22">
        <v>0</v>
      </c>
      <c r="AD83" s="22">
        <v>0</v>
      </c>
      <c r="AE83" s="22">
        <v>165.84</v>
      </c>
      <c r="AF83" s="22">
        <v>0</v>
      </c>
      <c r="AG83" s="22">
        <v>0</v>
      </c>
      <c r="AH83" s="12">
        <f t="shared" si="44"/>
        <v>389075.98000000004</v>
      </c>
      <c r="AI83" s="129">
        <f t="shared" si="45"/>
        <v>139286.66</v>
      </c>
      <c r="AJ83" s="129">
        <f t="shared" si="46"/>
        <v>14399.220000000001</v>
      </c>
      <c r="AK83" s="129">
        <f t="shared" si="47"/>
        <v>206292.52</v>
      </c>
      <c r="AL83" s="129">
        <f t="shared" si="48"/>
        <v>29097.579999999998</v>
      </c>
    </row>
    <row r="84" spans="1:38">
      <c r="A84" s="2" t="s">
        <v>128</v>
      </c>
      <c r="B84" s="22">
        <f t="shared" si="41"/>
        <v>0</v>
      </c>
      <c r="C84" s="22">
        <f t="shared" ref="C84:D84" si="59">C14+C49</f>
        <v>0</v>
      </c>
      <c r="D84" s="22">
        <f t="shared" si="59"/>
        <v>0</v>
      </c>
      <c r="E84" s="22">
        <f t="shared" ref="E84" si="60">E14+E49</f>
        <v>0</v>
      </c>
      <c r="F84" s="22">
        <f t="shared" si="42"/>
        <v>0</v>
      </c>
      <c r="G84" s="22">
        <f t="shared" si="42"/>
        <v>0</v>
      </c>
      <c r="H84" s="22">
        <f t="shared" si="42"/>
        <v>0</v>
      </c>
      <c r="I84" s="22">
        <f t="shared" si="42"/>
        <v>0</v>
      </c>
      <c r="J84" s="22">
        <f t="shared" si="42"/>
        <v>0</v>
      </c>
      <c r="K84" s="22">
        <f t="shared" si="42"/>
        <v>0</v>
      </c>
      <c r="L84" s="22">
        <f t="shared" si="42"/>
        <v>0</v>
      </c>
      <c r="M84" s="22">
        <f t="shared" si="42"/>
        <v>0</v>
      </c>
      <c r="N84" s="22">
        <f t="shared" si="42"/>
        <v>0</v>
      </c>
      <c r="O84" s="12">
        <f t="shared" si="43"/>
        <v>0</v>
      </c>
      <c r="R84" s="2" t="s">
        <v>128</v>
      </c>
      <c r="S84" s="22">
        <v>35948.61</v>
      </c>
      <c r="T84" s="22">
        <v>13795.01</v>
      </c>
      <c r="U84" s="22">
        <v>3924.8</v>
      </c>
      <c r="V84" s="22">
        <v>2775.24</v>
      </c>
      <c r="W84" s="22">
        <v>30323.200000000001</v>
      </c>
      <c r="X84" s="22">
        <v>1326.64</v>
      </c>
      <c r="Y84" s="22">
        <v>2678.39</v>
      </c>
      <c r="Z84" s="22">
        <v>2763.9</v>
      </c>
      <c r="AA84" s="22">
        <v>1866.2</v>
      </c>
      <c r="AB84" s="22">
        <v>379.04</v>
      </c>
      <c r="AC84" s="22">
        <v>0</v>
      </c>
      <c r="AD84" s="22">
        <v>0</v>
      </c>
      <c r="AE84" s="22">
        <v>27.64</v>
      </c>
      <c r="AF84" s="22">
        <v>0</v>
      </c>
      <c r="AG84" s="22">
        <v>0</v>
      </c>
      <c r="AH84" s="12">
        <f t="shared" si="44"/>
        <v>95808.669999999984</v>
      </c>
      <c r="AI84" s="129">
        <f t="shared" si="45"/>
        <v>49743.62</v>
      </c>
      <c r="AJ84" s="129">
        <f t="shared" si="46"/>
        <v>6700.04</v>
      </c>
      <c r="AK84" s="129">
        <f t="shared" si="47"/>
        <v>30323.200000000001</v>
      </c>
      <c r="AL84" s="129">
        <f t="shared" si="48"/>
        <v>9041.8100000000013</v>
      </c>
    </row>
    <row r="85" spans="1:38">
      <c r="A85" s="18" t="s">
        <v>129</v>
      </c>
      <c r="B85" s="22">
        <f t="shared" si="41"/>
        <v>0</v>
      </c>
      <c r="C85" s="22">
        <f t="shared" ref="C85:D85" si="61">C15+C50</f>
        <v>126.05</v>
      </c>
      <c r="D85" s="22">
        <f t="shared" si="61"/>
        <v>0</v>
      </c>
      <c r="E85" s="22">
        <f t="shared" ref="E85" si="62">E15+E50</f>
        <v>0</v>
      </c>
      <c r="F85" s="22">
        <f t="shared" si="42"/>
        <v>0</v>
      </c>
      <c r="G85" s="22">
        <f t="shared" si="42"/>
        <v>0</v>
      </c>
      <c r="H85" s="22">
        <f t="shared" si="42"/>
        <v>49.86</v>
      </c>
      <c r="I85" s="22">
        <f t="shared" si="42"/>
        <v>0</v>
      </c>
      <c r="J85" s="22">
        <f t="shared" si="42"/>
        <v>0</v>
      </c>
      <c r="K85" s="22">
        <f t="shared" si="42"/>
        <v>0</v>
      </c>
      <c r="L85" s="22">
        <f t="shared" si="42"/>
        <v>0</v>
      </c>
      <c r="M85" s="22">
        <f t="shared" si="42"/>
        <v>0</v>
      </c>
      <c r="N85" s="22">
        <f t="shared" si="42"/>
        <v>0</v>
      </c>
      <c r="O85" s="12">
        <f t="shared" si="43"/>
        <v>175.91</v>
      </c>
      <c r="R85" s="2" t="s">
        <v>129</v>
      </c>
      <c r="S85" s="22">
        <v>85832.68</v>
      </c>
      <c r="T85" s="22">
        <v>19926.96</v>
      </c>
      <c r="U85" s="22">
        <v>9319.41</v>
      </c>
      <c r="V85" s="22">
        <v>239.19</v>
      </c>
      <c r="W85" s="22">
        <v>209419.6</v>
      </c>
      <c r="X85" s="22">
        <v>2842.8</v>
      </c>
      <c r="Y85" s="22">
        <v>2196.41</v>
      </c>
      <c r="Z85" s="22">
        <v>0</v>
      </c>
      <c r="AA85" s="22">
        <v>2661.69</v>
      </c>
      <c r="AB85" s="22">
        <v>568.55999999999995</v>
      </c>
      <c r="AC85" s="22">
        <v>0</v>
      </c>
      <c r="AD85" s="22">
        <v>0</v>
      </c>
      <c r="AE85" s="22">
        <v>55.28</v>
      </c>
      <c r="AF85" s="22">
        <v>0</v>
      </c>
      <c r="AG85" s="22">
        <v>0</v>
      </c>
      <c r="AH85" s="12">
        <f t="shared" si="44"/>
        <v>333062.57999999996</v>
      </c>
      <c r="AI85" s="129">
        <f t="shared" si="45"/>
        <v>105885.69</v>
      </c>
      <c r="AJ85" s="129">
        <f t="shared" si="46"/>
        <v>9558.6</v>
      </c>
      <c r="AK85" s="129">
        <f t="shared" si="47"/>
        <v>209419.6</v>
      </c>
      <c r="AL85" s="129">
        <f t="shared" si="48"/>
        <v>8374.6</v>
      </c>
    </row>
    <row r="86" spans="1:38">
      <c r="A86" s="1" t="s">
        <v>130</v>
      </c>
      <c r="B86" s="22">
        <f t="shared" si="41"/>
        <v>0</v>
      </c>
      <c r="C86" s="22">
        <f t="shared" ref="C86:D86" si="63">C16+C51</f>
        <v>0</v>
      </c>
      <c r="D86" s="22">
        <f t="shared" si="63"/>
        <v>0</v>
      </c>
      <c r="E86" s="22">
        <f t="shared" ref="E86" si="64">E16+E51</f>
        <v>0</v>
      </c>
      <c r="F86" s="22">
        <f t="shared" si="42"/>
        <v>0</v>
      </c>
      <c r="G86" s="22">
        <f t="shared" si="42"/>
        <v>0</v>
      </c>
      <c r="H86" s="22">
        <f t="shared" si="42"/>
        <v>0</v>
      </c>
      <c r="I86" s="22">
        <f t="shared" si="42"/>
        <v>0</v>
      </c>
      <c r="J86" s="22">
        <f t="shared" si="42"/>
        <v>0</v>
      </c>
      <c r="K86" s="22">
        <f t="shared" si="42"/>
        <v>0</v>
      </c>
      <c r="L86" s="22">
        <f t="shared" si="42"/>
        <v>0</v>
      </c>
      <c r="M86" s="22">
        <f t="shared" si="42"/>
        <v>0</v>
      </c>
      <c r="N86" s="22">
        <f t="shared" si="42"/>
        <v>0</v>
      </c>
      <c r="O86" s="12">
        <f t="shared" si="43"/>
        <v>0</v>
      </c>
      <c r="R86" s="2" t="s">
        <v>130</v>
      </c>
      <c r="S86" s="22">
        <v>59460.04</v>
      </c>
      <c r="T86" s="22">
        <v>14670.72</v>
      </c>
      <c r="U86" s="22">
        <v>8205.44</v>
      </c>
      <c r="V86" s="22">
        <v>2166.69</v>
      </c>
      <c r="W86" s="22">
        <v>171326.07999999999</v>
      </c>
      <c r="X86" s="22">
        <v>2653.28</v>
      </c>
      <c r="Y86" s="22">
        <v>3018.84</v>
      </c>
      <c r="Z86" s="22">
        <v>1403.83</v>
      </c>
      <c r="AA86" s="22">
        <v>2257.25</v>
      </c>
      <c r="AB86" s="22">
        <v>852.84</v>
      </c>
      <c r="AC86" s="22">
        <v>0</v>
      </c>
      <c r="AD86" s="22">
        <v>0</v>
      </c>
      <c r="AE86" s="22">
        <v>110.56</v>
      </c>
      <c r="AF86" s="22">
        <v>0</v>
      </c>
      <c r="AG86" s="22">
        <v>0</v>
      </c>
      <c r="AH86" s="12">
        <f t="shared" si="44"/>
        <v>266125.57</v>
      </c>
      <c r="AI86" s="129">
        <f t="shared" si="45"/>
        <v>74130.759999999995</v>
      </c>
      <c r="AJ86" s="129">
        <f t="shared" si="46"/>
        <v>10372.130000000001</v>
      </c>
      <c r="AK86" s="129">
        <f t="shared" si="47"/>
        <v>171326.07999999999</v>
      </c>
      <c r="AL86" s="129">
        <f t="shared" si="48"/>
        <v>10296.6</v>
      </c>
    </row>
    <row r="87" spans="1:38">
      <c r="A87" s="1" t="s">
        <v>131</v>
      </c>
      <c r="B87" s="22">
        <f t="shared" si="41"/>
        <v>0</v>
      </c>
      <c r="C87" s="22">
        <f t="shared" ref="C87:D87" si="65">C17+C52</f>
        <v>0</v>
      </c>
      <c r="D87" s="22">
        <f t="shared" si="65"/>
        <v>0</v>
      </c>
      <c r="E87" s="22">
        <f t="shared" ref="E87" si="66">E17+E52</f>
        <v>0</v>
      </c>
      <c r="F87" s="22">
        <f t="shared" si="42"/>
        <v>0</v>
      </c>
      <c r="G87" s="22">
        <f t="shared" si="42"/>
        <v>0</v>
      </c>
      <c r="H87" s="22">
        <f t="shared" si="42"/>
        <v>0</v>
      </c>
      <c r="I87" s="22">
        <f t="shared" si="42"/>
        <v>0</v>
      </c>
      <c r="J87" s="22">
        <f t="shared" si="42"/>
        <v>0</v>
      </c>
      <c r="K87" s="22">
        <f t="shared" si="42"/>
        <v>0</v>
      </c>
      <c r="L87" s="22">
        <f t="shared" si="42"/>
        <v>0</v>
      </c>
      <c r="M87" s="22">
        <f t="shared" si="42"/>
        <v>0</v>
      </c>
      <c r="N87" s="22">
        <f t="shared" si="42"/>
        <v>0</v>
      </c>
      <c r="O87" s="12">
        <f t="shared" si="43"/>
        <v>0</v>
      </c>
      <c r="R87" s="2" t="s">
        <v>131</v>
      </c>
      <c r="S87" s="22">
        <v>330171.69</v>
      </c>
      <c r="T87" s="22">
        <v>84443.92</v>
      </c>
      <c r="U87" s="22">
        <v>45143.91</v>
      </c>
      <c r="V87" s="22">
        <v>19845.47</v>
      </c>
      <c r="W87" s="22">
        <v>373449.16</v>
      </c>
      <c r="X87" s="22">
        <v>4643.24</v>
      </c>
      <c r="Y87" s="22">
        <v>21039.02</v>
      </c>
      <c r="Z87" s="22">
        <v>0</v>
      </c>
      <c r="AA87" s="22">
        <v>10891.89</v>
      </c>
      <c r="AB87" s="22">
        <v>3979.92</v>
      </c>
      <c r="AC87" s="22">
        <v>0</v>
      </c>
      <c r="AD87" s="22">
        <v>0</v>
      </c>
      <c r="AE87" s="22">
        <v>552.79999999999995</v>
      </c>
      <c r="AF87" s="22">
        <v>0</v>
      </c>
      <c r="AG87" s="22">
        <v>0</v>
      </c>
      <c r="AH87" s="12">
        <f t="shared" si="44"/>
        <v>894161.02</v>
      </c>
      <c r="AI87" s="129">
        <f t="shared" si="45"/>
        <v>414615.61</v>
      </c>
      <c r="AJ87" s="129">
        <f t="shared" si="46"/>
        <v>64989.380000000005</v>
      </c>
      <c r="AK87" s="129">
        <f t="shared" si="47"/>
        <v>373449.16</v>
      </c>
      <c r="AL87" s="129">
        <f t="shared" si="48"/>
        <v>41106.870000000003</v>
      </c>
    </row>
    <row r="88" spans="1:38">
      <c r="A88" s="1" t="s">
        <v>132</v>
      </c>
      <c r="B88" s="22">
        <f t="shared" si="41"/>
        <v>0</v>
      </c>
      <c r="C88" s="22">
        <f t="shared" ref="C88:D88" si="67">C18+C53</f>
        <v>0</v>
      </c>
      <c r="D88" s="22">
        <f t="shared" si="67"/>
        <v>0</v>
      </c>
      <c r="E88" s="22">
        <f t="shared" ref="E88" si="68">E18+E53</f>
        <v>0</v>
      </c>
      <c r="F88" s="22">
        <f t="shared" si="42"/>
        <v>0</v>
      </c>
      <c r="G88" s="22">
        <f t="shared" si="42"/>
        <v>0</v>
      </c>
      <c r="H88" s="22">
        <f t="shared" si="42"/>
        <v>0</v>
      </c>
      <c r="I88" s="22">
        <f t="shared" si="42"/>
        <v>0</v>
      </c>
      <c r="J88" s="22">
        <f t="shared" si="42"/>
        <v>0</v>
      </c>
      <c r="K88" s="22">
        <f t="shared" si="42"/>
        <v>0</v>
      </c>
      <c r="L88" s="22">
        <f t="shared" si="42"/>
        <v>0</v>
      </c>
      <c r="M88" s="22">
        <f t="shared" si="42"/>
        <v>0</v>
      </c>
      <c r="N88" s="22">
        <f t="shared" si="42"/>
        <v>0</v>
      </c>
      <c r="O88" s="12">
        <f t="shared" si="43"/>
        <v>0</v>
      </c>
      <c r="R88" s="2" t="s">
        <v>132</v>
      </c>
      <c r="S88" s="22">
        <v>58014.86</v>
      </c>
      <c r="T88" s="22">
        <v>20840.07</v>
      </c>
      <c r="U88" s="22">
        <v>5887.34</v>
      </c>
      <c r="V88" s="22">
        <v>3118.46</v>
      </c>
      <c r="W88" s="22">
        <v>57424.56</v>
      </c>
      <c r="X88" s="22">
        <v>1326.64</v>
      </c>
      <c r="Y88" s="22">
        <v>4681.7</v>
      </c>
      <c r="Z88" s="22">
        <v>0</v>
      </c>
      <c r="AA88" s="22">
        <v>1985.39</v>
      </c>
      <c r="AB88" s="22">
        <v>379.04</v>
      </c>
      <c r="AC88" s="22">
        <v>0</v>
      </c>
      <c r="AD88" s="22">
        <v>0</v>
      </c>
      <c r="AE88" s="22">
        <v>110.56</v>
      </c>
      <c r="AF88" s="22">
        <v>0</v>
      </c>
      <c r="AG88" s="22">
        <v>0</v>
      </c>
      <c r="AH88" s="12">
        <f t="shared" si="44"/>
        <v>153768.62000000002</v>
      </c>
      <c r="AI88" s="129">
        <f t="shared" si="45"/>
        <v>78854.929999999993</v>
      </c>
      <c r="AJ88" s="129">
        <f t="shared" si="46"/>
        <v>9005.7999999999993</v>
      </c>
      <c r="AK88" s="129">
        <f t="shared" si="47"/>
        <v>57424.56</v>
      </c>
      <c r="AL88" s="129">
        <f t="shared" si="48"/>
        <v>8483.33</v>
      </c>
    </row>
    <row r="89" spans="1:38">
      <c r="A89" s="1" t="s">
        <v>133</v>
      </c>
      <c r="B89" s="22">
        <f t="shared" si="41"/>
        <v>0</v>
      </c>
      <c r="C89" s="22">
        <f t="shared" ref="C89:D89" si="69">C19+C54</f>
        <v>0</v>
      </c>
      <c r="D89" s="22">
        <f t="shared" si="69"/>
        <v>0</v>
      </c>
      <c r="E89" s="22">
        <f t="shared" ref="E89" si="70">E19+E54</f>
        <v>0</v>
      </c>
      <c r="F89" s="22">
        <f t="shared" si="42"/>
        <v>0</v>
      </c>
      <c r="G89" s="22">
        <f t="shared" si="42"/>
        <v>0</v>
      </c>
      <c r="H89" s="22">
        <f t="shared" si="42"/>
        <v>0</v>
      </c>
      <c r="I89" s="22">
        <f t="shared" si="42"/>
        <v>0</v>
      </c>
      <c r="J89" s="22">
        <f t="shared" si="42"/>
        <v>0</v>
      </c>
      <c r="K89" s="22">
        <f t="shared" si="42"/>
        <v>0</v>
      </c>
      <c r="L89" s="22">
        <f t="shared" si="42"/>
        <v>0</v>
      </c>
      <c r="M89" s="22">
        <f t="shared" si="42"/>
        <v>0</v>
      </c>
      <c r="N89" s="22">
        <f t="shared" si="42"/>
        <v>0</v>
      </c>
      <c r="O89" s="12">
        <f t="shared" si="43"/>
        <v>0</v>
      </c>
      <c r="R89" s="2" t="s">
        <v>133</v>
      </c>
      <c r="S89" s="22">
        <v>55196.480000000003</v>
      </c>
      <c r="T89" s="22">
        <v>14588.89</v>
      </c>
      <c r="U89" s="22">
        <v>7454.92</v>
      </c>
      <c r="V89" s="22">
        <v>2550.13</v>
      </c>
      <c r="W89" s="22">
        <v>64247.28</v>
      </c>
      <c r="X89" s="22">
        <v>2084.7199999999998</v>
      </c>
      <c r="Y89" s="22">
        <v>3271.29</v>
      </c>
      <c r="Z89" s="22">
        <v>0</v>
      </c>
      <c r="AA89" s="22">
        <v>2860.31</v>
      </c>
      <c r="AB89" s="22">
        <v>94.76</v>
      </c>
      <c r="AC89" s="22">
        <v>0</v>
      </c>
      <c r="AD89" s="22">
        <v>0</v>
      </c>
      <c r="AE89" s="22">
        <v>221.12</v>
      </c>
      <c r="AF89" s="22">
        <v>0</v>
      </c>
      <c r="AG89" s="22">
        <v>0</v>
      </c>
      <c r="AH89" s="12">
        <f t="shared" si="44"/>
        <v>152569.90000000002</v>
      </c>
      <c r="AI89" s="129">
        <f t="shared" si="45"/>
        <v>69785.37</v>
      </c>
      <c r="AJ89" s="129">
        <f t="shared" si="46"/>
        <v>10005.049999999999</v>
      </c>
      <c r="AK89" s="129">
        <f t="shared" si="47"/>
        <v>64247.28</v>
      </c>
      <c r="AL89" s="129">
        <f t="shared" si="48"/>
        <v>8532.2000000000007</v>
      </c>
    </row>
    <row r="90" spans="1:38">
      <c r="A90" s="18" t="s">
        <v>134</v>
      </c>
      <c r="B90" s="22">
        <f t="shared" si="41"/>
        <v>0</v>
      </c>
      <c r="C90" s="22">
        <f t="shared" ref="C90:D90" si="71">C20+C55</f>
        <v>0</v>
      </c>
      <c r="D90" s="22">
        <f t="shared" si="71"/>
        <v>0</v>
      </c>
      <c r="E90" s="22">
        <f t="shared" ref="E90" si="72">E20+E55</f>
        <v>0</v>
      </c>
      <c r="F90" s="22">
        <f t="shared" si="42"/>
        <v>0</v>
      </c>
      <c r="G90" s="22">
        <f t="shared" si="42"/>
        <v>0</v>
      </c>
      <c r="H90" s="22">
        <f t="shared" si="42"/>
        <v>0</v>
      </c>
      <c r="I90" s="22">
        <f t="shared" si="42"/>
        <v>0</v>
      </c>
      <c r="J90" s="22">
        <f t="shared" si="42"/>
        <v>0</v>
      </c>
      <c r="K90" s="22">
        <f t="shared" si="42"/>
        <v>0</v>
      </c>
      <c r="L90" s="22">
        <f t="shared" si="42"/>
        <v>0</v>
      </c>
      <c r="M90" s="22">
        <f t="shared" si="42"/>
        <v>0</v>
      </c>
      <c r="N90" s="22">
        <f t="shared" si="42"/>
        <v>0</v>
      </c>
      <c r="O90" s="12">
        <f t="shared" si="43"/>
        <v>0</v>
      </c>
      <c r="R90" s="2" t="s">
        <v>134</v>
      </c>
      <c r="S90" s="22">
        <v>311702.77</v>
      </c>
      <c r="T90" s="22">
        <v>56931.48</v>
      </c>
      <c r="U90" s="22">
        <v>56786.73</v>
      </c>
      <c r="V90" s="22">
        <v>13606.57</v>
      </c>
      <c r="W90" s="22">
        <v>568560</v>
      </c>
      <c r="X90" s="22">
        <v>3790.4</v>
      </c>
      <c r="Y90" s="22">
        <v>8638.67</v>
      </c>
      <c r="Z90" s="22">
        <v>276.39</v>
      </c>
      <c r="AA90" s="22">
        <v>10182.61</v>
      </c>
      <c r="AB90" s="22">
        <v>2179.48</v>
      </c>
      <c r="AC90" s="22">
        <v>0</v>
      </c>
      <c r="AD90" s="22">
        <v>0</v>
      </c>
      <c r="AE90" s="22">
        <v>525.16</v>
      </c>
      <c r="AF90" s="22">
        <v>0</v>
      </c>
      <c r="AG90" s="22">
        <v>0</v>
      </c>
      <c r="AH90" s="12">
        <f t="shared" si="44"/>
        <v>1033180.2600000001</v>
      </c>
      <c r="AI90" s="129">
        <f t="shared" si="45"/>
        <v>368634.25</v>
      </c>
      <c r="AJ90" s="129">
        <f t="shared" si="46"/>
        <v>70393.3</v>
      </c>
      <c r="AK90" s="129">
        <f t="shared" si="47"/>
        <v>568560</v>
      </c>
      <c r="AL90" s="129">
        <f t="shared" si="48"/>
        <v>25592.71</v>
      </c>
    </row>
    <row r="91" spans="1:38">
      <c r="A91" s="1" t="s">
        <v>135</v>
      </c>
      <c r="B91" s="22">
        <f t="shared" si="41"/>
        <v>0</v>
      </c>
      <c r="C91" s="22">
        <f t="shared" ref="C91:D91" si="73">C21+C56</f>
        <v>0</v>
      </c>
      <c r="D91" s="22">
        <f t="shared" si="73"/>
        <v>0</v>
      </c>
      <c r="E91" s="22">
        <f t="shared" ref="E91" si="74">E21+E56</f>
        <v>0</v>
      </c>
      <c r="F91" s="22">
        <f t="shared" si="42"/>
        <v>0</v>
      </c>
      <c r="G91" s="22">
        <f t="shared" si="42"/>
        <v>0</v>
      </c>
      <c r="H91" s="22">
        <f t="shared" si="42"/>
        <v>0</v>
      </c>
      <c r="I91" s="22">
        <f t="shared" si="42"/>
        <v>0</v>
      </c>
      <c r="J91" s="22">
        <f t="shared" si="42"/>
        <v>0</v>
      </c>
      <c r="K91" s="22">
        <f t="shared" si="42"/>
        <v>0</v>
      </c>
      <c r="L91" s="22">
        <f t="shared" si="42"/>
        <v>0</v>
      </c>
      <c r="M91" s="22">
        <f t="shared" si="42"/>
        <v>0</v>
      </c>
      <c r="N91" s="22">
        <f t="shared" si="42"/>
        <v>0</v>
      </c>
      <c r="O91" s="12">
        <f t="shared" si="43"/>
        <v>0</v>
      </c>
      <c r="R91" s="2" t="s">
        <v>135</v>
      </c>
      <c r="S91" s="22">
        <v>136049.14000000001</v>
      </c>
      <c r="T91" s="22">
        <v>43251.519999999997</v>
      </c>
      <c r="U91" s="22">
        <v>15856.48</v>
      </c>
      <c r="V91" s="22">
        <v>2401.0700000000002</v>
      </c>
      <c r="W91" s="22">
        <v>125651.76</v>
      </c>
      <c r="X91" s="22">
        <v>1800.44</v>
      </c>
      <c r="Y91" s="22">
        <v>5330.83</v>
      </c>
      <c r="Z91" s="22">
        <v>515.99</v>
      </c>
      <c r="AA91" s="22">
        <v>7486.47</v>
      </c>
      <c r="AB91" s="22">
        <v>947.6</v>
      </c>
      <c r="AC91" s="22">
        <v>0</v>
      </c>
      <c r="AD91" s="22">
        <v>0</v>
      </c>
      <c r="AE91" s="22">
        <v>193.48</v>
      </c>
      <c r="AF91" s="22">
        <v>0</v>
      </c>
      <c r="AG91" s="22">
        <v>0</v>
      </c>
      <c r="AH91" s="12">
        <f t="shared" si="44"/>
        <v>339484.77999999997</v>
      </c>
      <c r="AI91" s="129">
        <f t="shared" si="45"/>
        <v>179300.66</v>
      </c>
      <c r="AJ91" s="129">
        <f t="shared" si="46"/>
        <v>18257.55</v>
      </c>
      <c r="AK91" s="129">
        <f t="shared" si="47"/>
        <v>125651.76</v>
      </c>
      <c r="AL91" s="129">
        <f t="shared" si="48"/>
        <v>16274.81</v>
      </c>
    </row>
    <row r="92" spans="1:38">
      <c r="A92" s="1" t="s">
        <v>136</v>
      </c>
      <c r="B92" s="22">
        <f t="shared" si="41"/>
        <v>0</v>
      </c>
      <c r="C92" s="22">
        <f t="shared" ref="C92:D92" si="75">C22+C57</f>
        <v>0</v>
      </c>
      <c r="D92" s="22">
        <f t="shared" si="75"/>
        <v>0</v>
      </c>
      <c r="E92" s="22">
        <f t="shared" ref="E92" si="76">E22+E57</f>
        <v>0</v>
      </c>
      <c r="F92" s="22">
        <f t="shared" ref="F92:N101" si="77">F22+F57</f>
        <v>0</v>
      </c>
      <c r="G92" s="22">
        <f t="shared" si="77"/>
        <v>0</v>
      </c>
      <c r="H92" s="22">
        <f t="shared" si="77"/>
        <v>0</v>
      </c>
      <c r="I92" s="22">
        <f t="shared" si="77"/>
        <v>0</v>
      </c>
      <c r="J92" s="22">
        <f t="shared" si="77"/>
        <v>0</v>
      </c>
      <c r="K92" s="22">
        <f t="shared" si="77"/>
        <v>0</v>
      </c>
      <c r="L92" s="22">
        <f t="shared" si="77"/>
        <v>0</v>
      </c>
      <c r="M92" s="22">
        <f t="shared" si="77"/>
        <v>0</v>
      </c>
      <c r="N92" s="22">
        <f t="shared" si="77"/>
        <v>0</v>
      </c>
      <c r="O92" s="12">
        <f t="shared" si="43"/>
        <v>0</v>
      </c>
      <c r="R92" s="2" t="s">
        <v>136</v>
      </c>
      <c r="S92" s="22">
        <v>25231.37</v>
      </c>
      <c r="T92" s="22">
        <v>3881.68</v>
      </c>
      <c r="U92" s="22">
        <v>3207.13</v>
      </c>
      <c r="V92" s="22">
        <v>230.9</v>
      </c>
      <c r="W92" s="22">
        <v>34785.79</v>
      </c>
      <c r="X92" s="22">
        <v>1326.64</v>
      </c>
      <c r="Y92" s="22">
        <v>456.43</v>
      </c>
      <c r="Z92" s="22">
        <v>908.83</v>
      </c>
      <c r="AA92" s="22">
        <v>475.39</v>
      </c>
      <c r="AB92" s="22">
        <v>0</v>
      </c>
      <c r="AC92" s="22">
        <v>0</v>
      </c>
      <c r="AD92" s="22">
        <v>0</v>
      </c>
      <c r="AE92" s="22">
        <v>55.28</v>
      </c>
      <c r="AF92" s="22">
        <v>43.1</v>
      </c>
      <c r="AG92" s="22">
        <v>430.95</v>
      </c>
      <c r="AH92" s="12">
        <f t="shared" si="44"/>
        <v>71033.489999999991</v>
      </c>
      <c r="AI92" s="129">
        <f t="shared" si="45"/>
        <v>29113.05</v>
      </c>
      <c r="AJ92" s="129">
        <f t="shared" si="46"/>
        <v>3438.03</v>
      </c>
      <c r="AK92" s="129">
        <f t="shared" si="47"/>
        <v>34785.79</v>
      </c>
      <c r="AL92" s="129">
        <f t="shared" si="48"/>
        <v>3696.62</v>
      </c>
    </row>
    <row r="93" spans="1:38">
      <c r="A93" s="1" t="s">
        <v>137</v>
      </c>
      <c r="B93" s="22">
        <f t="shared" si="41"/>
        <v>0</v>
      </c>
      <c r="C93" s="22">
        <f t="shared" ref="C93:D93" si="78">C23+C58</f>
        <v>203.81</v>
      </c>
      <c r="D93" s="22">
        <f t="shared" si="78"/>
        <v>0</v>
      </c>
      <c r="E93" s="22">
        <f t="shared" ref="E93" si="79">E23+E58</f>
        <v>84.04</v>
      </c>
      <c r="F93" s="22">
        <f t="shared" si="77"/>
        <v>0</v>
      </c>
      <c r="G93" s="22">
        <f t="shared" si="77"/>
        <v>0</v>
      </c>
      <c r="H93" s="22">
        <f t="shared" si="77"/>
        <v>118.69</v>
      </c>
      <c r="I93" s="22">
        <f t="shared" si="77"/>
        <v>0</v>
      </c>
      <c r="J93" s="22">
        <f t="shared" si="77"/>
        <v>0</v>
      </c>
      <c r="K93" s="22">
        <f t="shared" si="77"/>
        <v>0</v>
      </c>
      <c r="L93" s="22">
        <f t="shared" si="77"/>
        <v>0</v>
      </c>
      <c r="M93" s="22">
        <f t="shared" si="77"/>
        <v>0</v>
      </c>
      <c r="N93" s="22">
        <f t="shared" si="77"/>
        <v>0</v>
      </c>
      <c r="O93" s="12">
        <f t="shared" si="43"/>
        <v>406.54</v>
      </c>
      <c r="R93" s="2" t="s">
        <v>137</v>
      </c>
      <c r="S93" s="22">
        <v>386889.29</v>
      </c>
      <c r="T93" s="22">
        <v>78571.86</v>
      </c>
      <c r="U93" s="22">
        <v>56500.32</v>
      </c>
      <c r="V93" s="22">
        <v>10602.94</v>
      </c>
      <c r="W93" s="22">
        <v>425946.2</v>
      </c>
      <c r="X93" s="22">
        <v>20657.68</v>
      </c>
      <c r="Y93" s="22">
        <v>13975.05</v>
      </c>
      <c r="Z93" s="22">
        <v>1570.35</v>
      </c>
      <c r="AA93" s="22">
        <v>12967.85</v>
      </c>
      <c r="AB93" s="22">
        <v>1516.16</v>
      </c>
      <c r="AC93" s="22">
        <v>568.55999999999995</v>
      </c>
      <c r="AD93" s="22">
        <v>0</v>
      </c>
      <c r="AE93" s="22">
        <v>1022.68</v>
      </c>
      <c r="AF93" s="22">
        <v>0</v>
      </c>
      <c r="AG93" s="22">
        <v>0</v>
      </c>
      <c r="AH93" s="12">
        <f t="shared" si="44"/>
        <v>1010788.9400000001</v>
      </c>
      <c r="AI93" s="129">
        <f t="shared" si="45"/>
        <v>465664.95999999996</v>
      </c>
      <c r="AJ93" s="129">
        <f t="shared" si="46"/>
        <v>67187.3</v>
      </c>
      <c r="AK93" s="129">
        <f t="shared" si="47"/>
        <v>425946.2</v>
      </c>
      <c r="AL93" s="129">
        <f t="shared" si="48"/>
        <v>52397.02</v>
      </c>
    </row>
    <row r="94" spans="1:38">
      <c r="A94" s="1" t="s">
        <v>138</v>
      </c>
      <c r="B94" s="22">
        <f t="shared" si="41"/>
        <v>0</v>
      </c>
      <c r="C94" s="22">
        <f t="shared" ref="C94:D94" si="80">C24+C59</f>
        <v>168.07</v>
      </c>
      <c r="D94" s="22">
        <f t="shared" si="80"/>
        <v>0</v>
      </c>
      <c r="E94" s="22">
        <f t="shared" ref="E94" si="81">E24+E59</f>
        <v>0</v>
      </c>
      <c r="F94" s="22">
        <f t="shared" si="77"/>
        <v>0</v>
      </c>
      <c r="G94" s="22">
        <f t="shared" si="77"/>
        <v>0</v>
      </c>
      <c r="H94" s="22">
        <f t="shared" si="77"/>
        <v>67.62</v>
      </c>
      <c r="I94" s="22">
        <f t="shared" si="77"/>
        <v>0</v>
      </c>
      <c r="J94" s="22">
        <f t="shared" si="77"/>
        <v>0</v>
      </c>
      <c r="K94" s="22">
        <f t="shared" si="77"/>
        <v>0</v>
      </c>
      <c r="L94" s="22">
        <f t="shared" si="77"/>
        <v>0</v>
      </c>
      <c r="M94" s="22">
        <f t="shared" si="77"/>
        <v>0</v>
      </c>
      <c r="N94" s="22">
        <f t="shared" si="77"/>
        <v>0</v>
      </c>
      <c r="O94" s="12">
        <f t="shared" si="43"/>
        <v>235.69</v>
      </c>
      <c r="R94" s="2" t="s">
        <v>138</v>
      </c>
      <c r="S94" s="22">
        <v>58718.31</v>
      </c>
      <c r="T94" s="22">
        <v>14047.44</v>
      </c>
      <c r="U94" s="22">
        <v>5813.47</v>
      </c>
      <c r="V94" s="22">
        <v>1229.1500000000001</v>
      </c>
      <c r="W94" s="22">
        <v>52212.76</v>
      </c>
      <c r="X94" s="22">
        <v>2084.7199999999998</v>
      </c>
      <c r="Y94" s="22">
        <v>2971.49</v>
      </c>
      <c r="Z94" s="22">
        <v>0</v>
      </c>
      <c r="AA94" s="22">
        <v>1654.24</v>
      </c>
      <c r="AB94" s="22">
        <v>0</v>
      </c>
      <c r="AC94" s="22">
        <v>0</v>
      </c>
      <c r="AD94" s="22">
        <v>0</v>
      </c>
      <c r="AE94" s="22">
        <v>110.56</v>
      </c>
      <c r="AF94" s="22">
        <v>0</v>
      </c>
      <c r="AG94" s="22">
        <v>0</v>
      </c>
      <c r="AH94" s="12">
        <f t="shared" si="44"/>
        <v>138842.13999999998</v>
      </c>
      <c r="AI94" s="129">
        <f t="shared" si="45"/>
        <v>72933.819999999992</v>
      </c>
      <c r="AJ94" s="129">
        <f t="shared" si="46"/>
        <v>7042.6200000000008</v>
      </c>
      <c r="AK94" s="129">
        <f t="shared" si="47"/>
        <v>52212.76</v>
      </c>
      <c r="AL94" s="129">
        <f t="shared" si="48"/>
        <v>6888.6299999999992</v>
      </c>
    </row>
    <row r="95" spans="1:38">
      <c r="A95" s="1" t="s">
        <v>139</v>
      </c>
      <c r="B95" s="22">
        <f t="shared" si="41"/>
        <v>0</v>
      </c>
      <c r="C95" s="22">
        <f t="shared" ref="C95:D95" si="82">C25+C60</f>
        <v>252.14</v>
      </c>
      <c r="D95" s="22">
        <f t="shared" si="82"/>
        <v>0</v>
      </c>
      <c r="E95" s="22">
        <f t="shared" ref="E95" si="83">E25+E60</f>
        <v>84.05</v>
      </c>
      <c r="F95" s="22">
        <f t="shared" si="77"/>
        <v>0</v>
      </c>
      <c r="G95" s="22">
        <f t="shared" si="77"/>
        <v>0</v>
      </c>
      <c r="H95" s="22">
        <f t="shared" si="77"/>
        <v>138.30000000000001</v>
      </c>
      <c r="I95" s="22">
        <f t="shared" si="77"/>
        <v>0</v>
      </c>
      <c r="J95" s="22">
        <f t="shared" si="77"/>
        <v>0</v>
      </c>
      <c r="K95" s="22">
        <f t="shared" si="77"/>
        <v>0</v>
      </c>
      <c r="L95" s="22">
        <f t="shared" si="77"/>
        <v>0</v>
      </c>
      <c r="M95" s="22">
        <f t="shared" si="77"/>
        <v>0</v>
      </c>
      <c r="N95" s="22">
        <f t="shared" si="77"/>
        <v>0</v>
      </c>
      <c r="O95" s="12">
        <f t="shared" si="43"/>
        <v>474.49</v>
      </c>
      <c r="R95" s="2" t="s">
        <v>139</v>
      </c>
      <c r="S95" s="22">
        <v>404431.98</v>
      </c>
      <c r="T95" s="22">
        <v>86569.07</v>
      </c>
      <c r="U95" s="22">
        <v>53408.800000000003</v>
      </c>
      <c r="V95" s="22">
        <v>20259.689999999999</v>
      </c>
      <c r="W95" s="22">
        <v>741876.04</v>
      </c>
      <c r="X95" s="22">
        <v>5590.84</v>
      </c>
      <c r="Y95" s="22">
        <v>18937.330000000002</v>
      </c>
      <c r="Z95" s="22">
        <v>1268.52</v>
      </c>
      <c r="AA95" s="22">
        <v>11401.48</v>
      </c>
      <c r="AB95" s="22">
        <v>1516.16</v>
      </c>
      <c r="AC95" s="22">
        <v>0</v>
      </c>
      <c r="AD95" s="22">
        <v>0</v>
      </c>
      <c r="AE95" s="22">
        <v>359.32</v>
      </c>
      <c r="AF95" s="22">
        <v>0</v>
      </c>
      <c r="AG95" s="22">
        <v>0</v>
      </c>
      <c r="AH95" s="12">
        <f t="shared" si="44"/>
        <v>1345619.2300000002</v>
      </c>
      <c r="AI95" s="129">
        <f t="shared" si="45"/>
        <v>491253.19</v>
      </c>
      <c r="AJ95" s="129">
        <f t="shared" si="46"/>
        <v>73752.540000000008</v>
      </c>
      <c r="AK95" s="129">
        <f t="shared" si="47"/>
        <v>741876.04</v>
      </c>
      <c r="AL95" s="129">
        <f t="shared" si="48"/>
        <v>39211.950000000004</v>
      </c>
    </row>
    <row r="96" spans="1:38">
      <c r="A96" s="18" t="s">
        <v>140</v>
      </c>
      <c r="B96" s="22">
        <f t="shared" si="41"/>
        <v>0</v>
      </c>
      <c r="C96" s="22">
        <f t="shared" ref="C96:D96" si="84">C26+C61</f>
        <v>0</v>
      </c>
      <c r="D96" s="22">
        <f t="shared" si="84"/>
        <v>0</v>
      </c>
      <c r="E96" s="22">
        <f t="shared" ref="E96" si="85">E26+E61</f>
        <v>0</v>
      </c>
      <c r="F96" s="22">
        <f t="shared" si="77"/>
        <v>0</v>
      </c>
      <c r="G96" s="22">
        <f t="shared" si="77"/>
        <v>0</v>
      </c>
      <c r="H96" s="22">
        <f t="shared" si="77"/>
        <v>0</v>
      </c>
      <c r="I96" s="22">
        <f t="shared" si="77"/>
        <v>0</v>
      </c>
      <c r="J96" s="22">
        <f t="shared" si="77"/>
        <v>0</v>
      </c>
      <c r="K96" s="22">
        <f t="shared" si="77"/>
        <v>0</v>
      </c>
      <c r="L96" s="22">
        <f t="shared" si="77"/>
        <v>0</v>
      </c>
      <c r="M96" s="22">
        <f t="shared" si="77"/>
        <v>0</v>
      </c>
      <c r="N96" s="22">
        <f t="shared" si="77"/>
        <v>0</v>
      </c>
      <c r="O96" s="12">
        <f t="shared" si="43"/>
        <v>0</v>
      </c>
      <c r="R96" s="2" t="s">
        <v>140</v>
      </c>
      <c r="S96" s="22">
        <v>26235.67</v>
      </c>
      <c r="T96" s="22">
        <v>4021.72</v>
      </c>
      <c r="U96" s="22">
        <v>3239.91</v>
      </c>
      <c r="V96" s="22">
        <v>729.32</v>
      </c>
      <c r="W96" s="22">
        <v>58845.96</v>
      </c>
      <c r="X96" s="22">
        <v>663.32</v>
      </c>
      <c r="Y96" s="22">
        <v>461.29</v>
      </c>
      <c r="Z96" s="22">
        <v>0</v>
      </c>
      <c r="AA96" s="22">
        <v>786.68</v>
      </c>
      <c r="AB96" s="22">
        <v>379.04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12">
        <f t="shared" si="44"/>
        <v>95362.909999999989</v>
      </c>
      <c r="AI96" s="129">
        <f t="shared" si="45"/>
        <v>30257.39</v>
      </c>
      <c r="AJ96" s="129">
        <f t="shared" si="46"/>
        <v>3969.23</v>
      </c>
      <c r="AK96" s="129">
        <f t="shared" si="47"/>
        <v>58845.96</v>
      </c>
      <c r="AL96" s="129">
        <f t="shared" si="48"/>
        <v>2290.33</v>
      </c>
    </row>
    <row r="97" spans="1:39">
      <c r="A97" s="2" t="s">
        <v>141</v>
      </c>
      <c r="B97" s="22">
        <f t="shared" si="41"/>
        <v>0</v>
      </c>
      <c r="C97" s="22">
        <f t="shared" ref="C97:D97" si="86">C27+C62</f>
        <v>0</v>
      </c>
      <c r="D97" s="22">
        <f t="shared" si="86"/>
        <v>0</v>
      </c>
      <c r="E97" s="22">
        <f t="shared" ref="E97" si="87">E27+E62</f>
        <v>0</v>
      </c>
      <c r="F97" s="22">
        <f t="shared" si="77"/>
        <v>0</v>
      </c>
      <c r="G97" s="22">
        <f t="shared" si="77"/>
        <v>0</v>
      </c>
      <c r="H97" s="22">
        <f t="shared" si="77"/>
        <v>0</v>
      </c>
      <c r="I97" s="22">
        <f t="shared" si="77"/>
        <v>0</v>
      </c>
      <c r="J97" s="22">
        <f t="shared" si="77"/>
        <v>0</v>
      </c>
      <c r="K97" s="22">
        <f t="shared" si="77"/>
        <v>0</v>
      </c>
      <c r="L97" s="22">
        <f t="shared" si="77"/>
        <v>0</v>
      </c>
      <c r="M97" s="22">
        <f t="shared" si="77"/>
        <v>0</v>
      </c>
      <c r="N97" s="22">
        <f t="shared" si="77"/>
        <v>0</v>
      </c>
      <c r="O97" s="12">
        <f t="shared" si="43"/>
        <v>0</v>
      </c>
      <c r="R97" s="2" t="s">
        <v>141</v>
      </c>
      <c r="S97" s="22">
        <v>2937.87</v>
      </c>
      <c r="T97" s="22">
        <v>511.5</v>
      </c>
      <c r="U97" s="22">
        <v>543.58000000000004</v>
      </c>
      <c r="V97" s="22">
        <v>0</v>
      </c>
      <c r="W97" s="22">
        <v>9760.2800000000007</v>
      </c>
      <c r="X97" s="22">
        <v>0</v>
      </c>
      <c r="Y97" s="22">
        <v>36.090000000000003</v>
      </c>
      <c r="Z97" s="22">
        <v>0</v>
      </c>
      <c r="AA97" s="22">
        <v>67.77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12">
        <f t="shared" si="44"/>
        <v>13857.09</v>
      </c>
      <c r="AI97" s="129">
        <f t="shared" si="45"/>
        <v>3449.37</v>
      </c>
      <c r="AJ97" s="129">
        <f t="shared" si="46"/>
        <v>543.58000000000004</v>
      </c>
      <c r="AK97" s="129">
        <f t="shared" si="47"/>
        <v>9760.2800000000007</v>
      </c>
      <c r="AL97" s="129">
        <f t="shared" si="48"/>
        <v>103.86</v>
      </c>
    </row>
    <row r="98" spans="1:39">
      <c r="A98" s="1" t="s">
        <v>142</v>
      </c>
      <c r="B98" s="22">
        <f t="shared" si="41"/>
        <v>0</v>
      </c>
      <c r="C98" s="22">
        <f t="shared" ref="C98:D98" si="88">C28+C63</f>
        <v>0</v>
      </c>
      <c r="D98" s="22">
        <f t="shared" si="88"/>
        <v>0</v>
      </c>
      <c r="E98" s="22">
        <f t="shared" ref="E98" si="89">E28+E63</f>
        <v>0</v>
      </c>
      <c r="F98" s="22">
        <f t="shared" si="77"/>
        <v>0</v>
      </c>
      <c r="G98" s="22">
        <f t="shared" si="77"/>
        <v>0</v>
      </c>
      <c r="H98" s="22">
        <f t="shared" si="77"/>
        <v>0</v>
      </c>
      <c r="I98" s="22">
        <f t="shared" si="77"/>
        <v>0</v>
      </c>
      <c r="J98" s="22">
        <f t="shared" si="77"/>
        <v>0</v>
      </c>
      <c r="K98" s="22">
        <f t="shared" si="77"/>
        <v>0</v>
      </c>
      <c r="L98" s="22">
        <f t="shared" si="77"/>
        <v>0</v>
      </c>
      <c r="M98" s="22">
        <f t="shared" si="77"/>
        <v>0</v>
      </c>
      <c r="N98" s="22">
        <f t="shared" si="77"/>
        <v>0</v>
      </c>
      <c r="O98" s="12">
        <f t="shared" si="43"/>
        <v>0</v>
      </c>
      <c r="R98" s="2" t="s">
        <v>142</v>
      </c>
      <c r="S98" s="22">
        <v>294771.95</v>
      </c>
      <c r="T98" s="22">
        <v>45599.839999999997</v>
      </c>
      <c r="U98" s="22">
        <v>39001.22</v>
      </c>
      <c r="V98" s="22">
        <v>10686.85</v>
      </c>
      <c r="W98" s="22">
        <v>461860.24</v>
      </c>
      <c r="X98" s="22">
        <v>3221.84</v>
      </c>
      <c r="Y98" s="22">
        <v>8585.07</v>
      </c>
      <c r="Z98" s="22">
        <v>0</v>
      </c>
      <c r="AA98" s="22">
        <v>6899.2</v>
      </c>
      <c r="AB98" s="22">
        <v>473.8</v>
      </c>
      <c r="AC98" s="22">
        <v>0</v>
      </c>
      <c r="AD98" s="22">
        <v>0</v>
      </c>
      <c r="AE98" s="22">
        <v>331.68</v>
      </c>
      <c r="AF98" s="22">
        <v>0</v>
      </c>
      <c r="AG98" s="22">
        <v>0</v>
      </c>
      <c r="AH98" s="12">
        <f t="shared" si="44"/>
        <v>871431.69</v>
      </c>
      <c r="AI98" s="129">
        <f t="shared" si="45"/>
        <v>340371.79000000004</v>
      </c>
      <c r="AJ98" s="129">
        <f t="shared" si="46"/>
        <v>49688.07</v>
      </c>
      <c r="AK98" s="129">
        <f t="shared" si="47"/>
        <v>461860.24</v>
      </c>
      <c r="AL98" s="129">
        <f t="shared" si="48"/>
        <v>19511.59</v>
      </c>
    </row>
    <row r="99" spans="1:39">
      <c r="A99" s="1" t="s">
        <v>143</v>
      </c>
      <c r="B99" s="22">
        <f t="shared" si="41"/>
        <v>0</v>
      </c>
      <c r="C99" s="22">
        <f t="shared" ref="C99:D99" si="90">C29+C64</f>
        <v>838.24</v>
      </c>
      <c r="D99" s="22">
        <f t="shared" si="90"/>
        <v>0</v>
      </c>
      <c r="E99" s="22">
        <f t="shared" ref="E99" si="91">E29+E64</f>
        <v>0</v>
      </c>
      <c r="F99" s="22">
        <f t="shared" si="77"/>
        <v>0</v>
      </c>
      <c r="G99" s="22">
        <f t="shared" si="77"/>
        <v>0</v>
      </c>
      <c r="H99" s="22">
        <f t="shared" si="77"/>
        <v>352</v>
      </c>
      <c r="I99" s="22">
        <f t="shared" si="77"/>
        <v>0</v>
      </c>
      <c r="J99" s="22">
        <f t="shared" si="77"/>
        <v>0</v>
      </c>
      <c r="K99" s="22">
        <f t="shared" si="77"/>
        <v>0</v>
      </c>
      <c r="L99" s="22">
        <f t="shared" si="77"/>
        <v>0</v>
      </c>
      <c r="M99" s="22">
        <f t="shared" si="77"/>
        <v>0</v>
      </c>
      <c r="N99" s="22">
        <f t="shared" si="77"/>
        <v>0</v>
      </c>
      <c r="O99" s="12">
        <f t="shared" si="43"/>
        <v>1190.24</v>
      </c>
      <c r="R99" s="2" t="s">
        <v>143</v>
      </c>
      <c r="S99" s="22">
        <v>1459068.49</v>
      </c>
      <c r="T99" s="22">
        <v>282190.23</v>
      </c>
      <c r="U99" s="22">
        <v>181502.59</v>
      </c>
      <c r="V99" s="22">
        <v>37439.870000000003</v>
      </c>
      <c r="W99" s="22">
        <v>2454943.2999999998</v>
      </c>
      <c r="X99" s="22">
        <v>19710.080000000002</v>
      </c>
      <c r="Y99" s="22">
        <v>58612.79</v>
      </c>
      <c r="Z99" s="22">
        <v>4899.0200000000004</v>
      </c>
      <c r="AA99" s="22">
        <v>38223.17</v>
      </c>
      <c r="AB99" s="22">
        <v>4548.4799999999996</v>
      </c>
      <c r="AC99" s="22">
        <v>568.55999999999995</v>
      </c>
      <c r="AD99" s="22">
        <v>0</v>
      </c>
      <c r="AE99" s="22">
        <v>2598.16</v>
      </c>
      <c r="AF99" s="22">
        <v>312.01</v>
      </c>
      <c r="AG99" s="22">
        <v>3259.71</v>
      </c>
      <c r="AH99" s="12">
        <f t="shared" si="44"/>
        <v>4547876.46</v>
      </c>
      <c r="AI99" s="129">
        <f t="shared" si="45"/>
        <v>1742096.96</v>
      </c>
      <c r="AJ99" s="129">
        <f t="shared" si="46"/>
        <v>218942.46</v>
      </c>
      <c r="AK99" s="129">
        <f t="shared" si="47"/>
        <v>2454943.2999999998</v>
      </c>
      <c r="AL99" s="129">
        <f t="shared" si="48"/>
        <v>133083.97999999998</v>
      </c>
    </row>
    <row r="100" spans="1:39">
      <c r="A100" s="1" t="s">
        <v>144</v>
      </c>
      <c r="B100" s="22">
        <f t="shared" si="41"/>
        <v>0</v>
      </c>
      <c r="C100" s="22">
        <f t="shared" ref="C100:D100" si="92">C30+C65</f>
        <v>0</v>
      </c>
      <c r="D100" s="22">
        <f t="shared" si="92"/>
        <v>0</v>
      </c>
      <c r="E100" s="22">
        <f t="shared" ref="E100:E101" si="93">E30+E65</f>
        <v>0</v>
      </c>
      <c r="F100" s="22">
        <f t="shared" si="77"/>
        <v>0</v>
      </c>
      <c r="G100" s="22">
        <f t="shared" si="77"/>
        <v>0</v>
      </c>
      <c r="H100" s="22">
        <f t="shared" si="77"/>
        <v>0</v>
      </c>
      <c r="I100" s="22">
        <f t="shared" si="77"/>
        <v>0</v>
      </c>
      <c r="J100" s="22">
        <f t="shared" si="77"/>
        <v>0</v>
      </c>
      <c r="K100" s="22">
        <f t="shared" si="77"/>
        <v>0</v>
      </c>
      <c r="L100" s="22">
        <f t="shared" si="77"/>
        <v>0</v>
      </c>
      <c r="M100" s="22">
        <f t="shared" si="77"/>
        <v>0</v>
      </c>
      <c r="N100" s="22">
        <f t="shared" si="77"/>
        <v>0</v>
      </c>
      <c r="O100" s="12">
        <f t="shared" si="43"/>
        <v>0</v>
      </c>
      <c r="R100" s="2" t="s">
        <v>144</v>
      </c>
      <c r="S100" s="22">
        <v>34417.199999999997</v>
      </c>
      <c r="T100" s="22">
        <v>14032.36</v>
      </c>
      <c r="U100" s="22">
        <v>2594.27</v>
      </c>
      <c r="V100" s="22">
        <v>180.06</v>
      </c>
      <c r="W100" s="22">
        <v>44442.44</v>
      </c>
      <c r="X100" s="22">
        <v>1421.4</v>
      </c>
      <c r="Y100" s="22">
        <v>1454.02</v>
      </c>
      <c r="Z100" s="22"/>
      <c r="AA100" s="22">
        <v>1845.81</v>
      </c>
      <c r="AB100" s="22">
        <v>568.55999999999995</v>
      </c>
      <c r="AC100" s="22">
        <v>0</v>
      </c>
      <c r="AD100" s="22">
        <v>0</v>
      </c>
      <c r="AE100" s="22">
        <v>55.28</v>
      </c>
      <c r="AF100" s="22">
        <v>0</v>
      </c>
      <c r="AG100" s="22">
        <v>0</v>
      </c>
      <c r="AH100" s="12">
        <f t="shared" si="44"/>
        <v>101011.39999999998</v>
      </c>
      <c r="AI100" s="129">
        <f t="shared" si="45"/>
        <v>48449.56</v>
      </c>
      <c r="AJ100" s="129">
        <f t="shared" si="46"/>
        <v>2774.33</v>
      </c>
      <c r="AK100" s="129">
        <f t="shared" si="47"/>
        <v>44442.44</v>
      </c>
      <c r="AL100" s="129">
        <f t="shared" si="48"/>
        <v>5345.0699999999988</v>
      </c>
    </row>
    <row r="101" spans="1:39">
      <c r="A101" s="1" t="s">
        <v>145</v>
      </c>
      <c r="B101" s="22">
        <f t="shared" si="41"/>
        <v>0</v>
      </c>
      <c r="C101" s="22">
        <f t="shared" ref="C101:D101" si="94">C31+C66</f>
        <v>0</v>
      </c>
      <c r="D101" s="22">
        <f t="shared" si="94"/>
        <v>0</v>
      </c>
      <c r="E101" s="22">
        <f t="shared" si="93"/>
        <v>0</v>
      </c>
      <c r="F101" s="22">
        <f t="shared" si="77"/>
        <v>0</v>
      </c>
      <c r="G101" s="22">
        <f t="shared" si="77"/>
        <v>0</v>
      </c>
      <c r="H101" s="22">
        <f t="shared" si="77"/>
        <v>0</v>
      </c>
      <c r="I101" s="22">
        <f t="shared" si="77"/>
        <v>0</v>
      </c>
      <c r="J101" s="22">
        <f t="shared" si="77"/>
        <v>0</v>
      </c>
      <c r="K101" s="22">
        <f t="shared" si="77"/>
        <v>0</v>
      </c>
      <c r="L101" s="22">
        <f t="shared" si="77"/>
        <v>0</v>
      </c>
      <c r="M101" s="22">
        <f t="shared" si="77"/>
        <v>0</v>
      </c>
      <c r="N101" s="22">
        <f t="shared" si="77"/>
        <v>0</v>
      </c>
      <c r="O101" s="12">
        <f t="shared" si="43"/>
        <v>0</v>
      </c>
      <c r="R101" s="2" t="s">
        <v>145</v>
      </c>
      <c r="S101" s="22">
        <v>19764.84</v>
      </c>
      <c r="T101" s="22">
        <v>3679.21</v>
      </c>
      <c r="U101" s="22">
        <v>2388.4899999999998</v>
      </c>
      <c r="V101" s="22">
        <v>3529.28</v>
      </c>
      <c r="W101" s="22">
        <v>35061.199999999997</v>
      </c>
      <c r="X101" s="22">
        <v>284.27999999999997</v>
      </c>
      <c r="Y101" s="22">
        <v>1938.99</v>
      </c>
      <c r="Z101" s="22">
        <v>552.78</v>
      </c>
      <c r="AA101" s="22">
        <v>358.38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310.02</v>
      </c>
      <c r="AH101" s="12">
        <f t="shared" si="44"/>
        <v>67867.47</v>
      </c>
      <c r="AI101" s="129">
        <f t="shared" si="45"/>
        <v>23444.05</v>
      </c>
      <c r="AJ101" s="129">
        <f t="shared" si="46"/>
        <v>5917.77</v>
      </c>
      <c r="AK101" s="129">
        <f t="shared" si="47"/>
        <v>35061.199999999997</v>
      </c>
      <c r="AL101" s="129">
        <f t="shared" si="48"/>
        <v>3444.4500000000003</v>
      </c>
    </row>
    <row r="102" spans="1:39">
      <c r="A102" s="8" t="s">
        <v>37</v>
      </c>
      <c r="B102" s="16">
        <f t="shared" ref="B102:O102" si="95">SUM(B75:B101)</f>
        <v>0</v>
      </c>
      <c r="C102" s="16">
        <f t="shared" si="95"/>
        <v>1672.3400000000001</v>
      </c>
      <c r="D102" s="16">
        <f t="shared" si="95"/>
        <v>0</v>
      </c>
      <c r="E102" s="16">
        <f t="shared" si="95"/>
        <v>168.09</v>
      </c>
      <c r="F102" s="16">
        <f t="shared" si="95"/>
        <v>0</v>
      </c>
      <c r="G102" s="16">
        <f t="shared" si="95"/>
        <v>0</v>
      </c>
      <c r="H102" s="16">
        <f t="shared" si="95"/>
        <v>759.71</v>
      </c>
      <c r="I102" s="16">
        <f t="shared" si="95"/>
        <v>0</v>
      </c>
      <c r="J102" s="16">
        <f t="shared" si="95"/>
        <v>0</v>
      </c>
      <c r="K102" s="16">
        <f t="shared" si="95"/>
        <v>0</v>
      </c>
      <c r="L102" s="16">
        <f t="shared" si="95"/>
        <v>0</v>
      </c>
      <c r="M102" s="16">
        <f t="shared" si="95"/>
        <v>0</v>
      </c>
      <c r="N102" s="16">
        <f t="shared" si="95"/>
        <v>0</v>
      </c>
      <c r="O102" s="7">
        <f t="shared" si="95"/>
        <v>2600.1400000000003</v>
      </c>
      <c r="R102" s="8" t="s">
        <v>37</v>
      </c>
      <c r="S102" s="7">
        <f t="shared" ref="S102:AH102" si="96">SUM(S75:S101)</f>
        <v>4490339.8100000005</v>
      </c>
      <c r="T102" s="7">
        <f t="shared" si="96"/>
        <v>964010.62999999989</v>
      </c>
      <c r="U102" s="7">
        <f t="shared" si="96"/>
        <v>578247.42999999993</v>
      </c>
      <c r="V102" s="7">
        <f t="shared" si="96"/>
        <v>157770.41</v>
      </c>
      <c r="W102" s="7">
        <f t="shared" si="96"/>
        <v>6636331.9299999997</v>
      </c>
      <c r="X102" s="7">
        <f t="shared" si="96"/>
        <v>103383.15999999999</v>
      </c>
      <c r="Y102" s="7">
        <f t="shared" si="96"/>
        <v>188169.84999999998</v>
      </c>
      <c r="Z102" s="7">
        <f t="shared" si="96"/>
        <v>19263.48</v>
      </c>
      <c r="AA102" s="7">
        <f t="shared" si="96"/>
        <v>139879.19</v>
      </c>
      <c r="AB102" s="7">
        <f t="shared" si="96"/>
        <v>20847.2</v>
      </c>
      <c r="AC102" s="7">
        <f t="shared" si="96"/>
        <v>1326.6399999999999</v>
      </c>
      <c r="AD102" s="7">
        <f t="shared" si="96"/>
        <v>0</v>
      </c>
      <c r="AE102" s="7">
        <f t="shared" si="96"/>
        <v>7573.36</v>
      </c>
      <c r="AF102" s="7">
        <f t="shared" si="96"/>
        <v>355.11</v>
      </c>
      <c r="AG102" s="7">
        <f t="shared" si="96"/>
        <v>4275.38</v>
      </c>
      <c r="AH102" s="7">
        <f t="shared" si="96"/>
        <v>13311773.580000002</v>
      </c>
      <c r="AI102" s="129">
        <f>B102+C102+S102+T102</f>
        <v>5456022.7800000003</v>
      </c>
      <c r="AJ102" s="129">
        <f t="shared" si="46"/>
        <v>736185.92999999993</v>
      </c>
      <c r="AK102" s="129">
        <f t="shared" si="47"/>
        <v>6636331.9299999997</v>
      </c>
      <c r="AL102" s="129">
        <f t="shared" si="48"/>
        <v>485833.07999999996</v>
      </c>
      <c r="AM102" s="15">
        <f>AH102-AI102-AJ102-AK102-AL102</f>
        <v>-2600.1399999976857</v>
      </c>
    </row>
    <row r="103" spans="1:39">
      <c r="B103" s="189"/>
      <c r="AH103" s="15">
        <f>AH102-7548110.33</f>
        <v>5763663.2500000019</v>
      </c>
      <c r="AI103" s="129"/>
      <c r="AJ103" s="129"/>
      <c r="AK103" s="129"/>
      <c r="AL103" s="129"/>
    </row>
    <row r="104" spans="1:39">
      <c r="O104" s="15" t="e">
        <f>O102+#REF!+#REF!+#REF!+#REF!</f>
        <v>#REF!</v>
      </c>
      <c r="AI104" s="130"/>
      <c r="AJ104" s="130"/>
      <c r="AK104" s="130"/>
      <c r="AL104" s="130"/>
    </row>
    <row r="105" spans="1:39" ht="46.5">
      <c r="K105" s="289" t="s">
        <v>49</v>
      </c>
      <c r="L105" s="28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  <c r="AI105" s="129"/>
      <c r="AJ105" s="129"/>
      <c r="AK105" s="129"/>
      <c r="AL105" s="129"/>
    </row>
    <row r="106" spans="1:39">
      <c r="K106" s="290" t="s">
        <v>33</v>
      </c>
      <c r="L106" s="287" t="s">
        <v>27</v>
      </c>
      <c r="M106" s="288"/>
      <c r="N106" s="287" t="s">
        <v>29</v>
      </c>
      <c r="O106" s="288"/>
      <c r="P106" s="285" t="s">
        <v>28</v>
      </c>
      <c r="Q106" s="285" t="s">
        <v>36</v>
      </c>
      <c r="R106" s="285" t="s">
        <v>30</v>
      </c>
      <c r="S106" s="285" t="s">
        <v>31</v>
      </c>
      <c r="T106" s="285" t="s">
        <v>41</v>
      </c>
      <c r="U106" s="285" t="s">
        <v>35</v>
      </c>
      <c r="V106" s="285" t="s">
        <v>40</v>
      </c>
      <c r="W106" s="285" t="s">
        <v>42</v>
      </c>
      <c r="X106" s="285" t="s">
        <v>45</v>
      </c>
      <c r="Y106" s="287" t="s">
        <v>52</v>
      </c>
      <c r="Z106" s="288"/>
      <c r="AA106" s="285" t="s">
        <v>34</v>
      </c>
      <c r="AI106" s="129"/>
      <c r="AJ106" s="129"/>
      <c r="AK106" s="129"/>
      <c r="AL106" s="129"/>
    </row>
    <row r="107" spans="1:39" ht="30">
      <c r="K107" s="291"/>
      <c r="L107" s="56" t="s">
        <v>43</v>
      </c>
      <c r="M107" s="56" t="s">
        <v>44</v>
      </c>
      <c r="N107" s="56" t="s">
        <v>43</v>
      </c>
      <c r="O107" s="56" t="s">
        <v>44</v>
      </c>
      <c r="P107" s="286"/>
      <c r="Q107" s="286"/>
      <c r="R107" s="286"/>
      <c r="S107" s="286"/>
      <c r="T107" s="286"/>
      <c r="U107" s="286"/>
      <c r="V107" s="286"/>
      <c r="W107" s="286"/>
      <c r="X107" s="286"/>
      <c r="Y107" s="55" t="s">
        <v>53</v>
      </c>
      <c r="Z107" s="55" t="s">
        <v>54</v>
      </c>
      <c r="AA107" s="286"/>
      <c r="AI107" s="129"/>
      <c r="AJ107" s="129"/>
      <c r="AK107" s="129"/>
      <c r="AL107" s="129"/>
    </row>
    <row r="108" spans="1:39">
      <c r="K108" s="1" t="s">
        <v>119</v>
      </c>
      <c r="L108" s="22">
        <f>B75+S75</f>
        <v>14111.42</v>
      </c>
      <c r="M108" s="22">
        <f t="shared" ref="M108:X123" si="97">C75+T75</f>
        <v>744.84</v>
      </c>
      <c r="N108" s="22">
        <f t="shared" si="97"/>
        <v>2143.58</v>
      </c>
      <c r="O108" s="22">
        <f t="shared" si="97"/>
        <v>404.97</v>
      </c>
      <c r="P108" s="22">
        <f t="shared" si="97"/>
        <v>13550.68</v>
      </c>
      <c r="Q108" s="22">
        <f t="shared" si="97"/>
        <v>1610.92</v>
      </c>
      <c r="R108" s="22">
        <f t="shared" si="97"/>
        <v>197.43</v>
      </c>
      <c r="S108" s="22">
        <f t="shared" si="97"/>
        <v>0</v>
      </c>
      <c r="T108" s="22">
        <f t="shared" si="97"/>
        <v>175.63</v>
      </c>
      <c r="U108" s="22">
        <f t="shared" si="97"/>
        <v>94.76</v>
      </c>
      <c r="V108" s="22">
        <f t="shared" si="97"/>
        <v>0</v>
      </c>
      <c r="W108" s="22">
        <f t="shared" si="97"/>
        <v>0</v>
      </c>
      <c r="X108" s="22">
        <f t="shared" si="97"/>
        <v>0</v>
      </c>
      <c r="Y108" s="22">
        <f>AF75</f>
        <v>0</v>
      </c>
      <c r="Z108" s="22">
        <f>AG75</f>
        <v>0</v>
      </c>
      <c r="AA108" s="12">
        <f>SUM(L108:Z108)</f>
        <v>33034.230000000003</v>
      </c>
      <c r="AI108" s="129"/>
      <c r="AJ108" s="129"/>
      <c r="AK108" s="129"/>
      <c r="AL108" s="129"/>
    </row>
    <row r="109" spans="1:39">
      <c r="K109" s="1" t="s">
        <v>120</v>
      </c>
      <c r="L109" s="22">
        <f t="shared" ref="L109:X134" si="98">B76+S76</f>
        <v>41116.620000000003</v>
      </c>
      <c r="M109" s="22">
        <f t="shared" si="97"/>
        <v>10427.65</v>
      </c>
      <c r="N109" s="22">
        <f t="shared" si="97"/>
        <v>1388.88</v>
      </c>
      <c r="O109" s="22">
        <f t="shared" si="97"/>
        <v>0</v>
      </c>
      <c r="P109" s="22">
        <f t="shared" si="97"/>
        <v>43589.599999999999</v>
      </c>
      <c r="Q109" s="22">
        <f t="shared" si="97"/>
        <v>1326.64</v>
      </c>
      <c r="R109" s="22">
        <f t="shared" si="97"/>
        <v>1705.57</v>
      </c>
      <c r="S109" s="22">
        <f t="shared" si="97"/>
        <v>0</v>
      </c>
      <c r="T109" s="22">
        <f t="shared" si="97"/>
        <v>1003.62</v>
      </c>
      <c r="U109" s="22">
        <f t="shared" si="97"/>
        <v>0</v>
      </c>
      <c r="V109" s="22">
        <f t="shared" si="97"/>
        <v>0</v>
      </c>
      <c r="W109" s="22">
        <f t="shared" si="97"/>
        <v>0</v>
      </c>
      <c r="X109" s="22">
        <f t="shared" si="97"/>
        <v>0</v>
      </c>
      <c r="Y109" s="22">
        <f t="shared" ref="Y109:Z124" si="99">AF76</f>
        <v>0</v>
      </c>
      <c r="Z109" s="22">
        <f t="shared" si="99"/>
        <v>0</v>
      </c>
      <c r="AA109" s="12">
        <f t="shared" ref="AA109:AA134" si="100">SUM(L109:Z109)</f>
        <v>100558.58</v>
      </c>
      <c r="AI109" s="129"/>
      <c r="AJ109" s="129"/>
      <c r="AK109" s="129"/>
      <c r="AL109" s="129"/>
    </row>
    <row r="110" spans="1:39">
      <c r="K110" s="18" t="s">
        <v>121</v>
      </c>
      <c r="L110" s="22">
        <f t="shared" si="98"/>
        <v>15244.49</v>
      </c>
      <c r="M110" s="22">
        <f t="shared" si="97"/>
        <v>5770.28</v>
      </c>
      <c r="N110" s="22">
        <f t="shared" si="97"/>
        <v>1990.03</v>
      </c>
      <c r="O110" s="22">
        <f t="shared" si="97"/>
        <v>1207.67</v>
      </c>
      <c r="P110" s="22">
        <f t="shared" si="97"/>
        <v>21984.32</v>
      </c>
      <c r="Q110" s="22">
        <f t="shared" si="97"/>
        <v>1137.1199999999999</v>
      </c>
      <c r="R110" s="22">
        <f t="shared" si="97"/>
        <v>786.7</v>
      </c>
      <c r="S110" s="22">
        <f t="shared" si="97"/>
        <v>274.5</v>
      </c>
      <c r="T110" s="22">
        <f t="shared" si="97"/>
        <v>1173.72</v>
      </c>
      <c r="U110" s="22">
        <f t="shared" si="97"/>
        <v>284.27999999999997</v>
      </c>
      <c r="V110" s="22">
        <f t="shared" si="97"/>
        <v>0</v>
      </c>
      <c r="W110" s="22">
        <f t="shared" si="97"/>
        <v>0</v>
      </c>
      <c r="X110" s="22">
        <f t="shared" si="97"/>
        <v>0</v>
      </c>
      <c r="Y110" s="22">
        <f t="shared" si="99"/>
        <v>0</v>
      </c>
      <c r="Z110" s="22">
        <f t="shared" si="99"/>
        <v>0</v>
      </c>
      <c r="AA110" s="12">
        <f t="shared" si="100"/>
        <v>49853.11</v>
      </c>
      <c r="AI110" s="129"/>
      <c r="AJ110" s="129"/>
      <c r="AK110" s="129"/>
      <c r="AL110" s="129"/>
    </row>
    <row r="111" spans="1:39">
      <c r="K111" s="2" t="s">
        <v>122</v>
      </c>
      <c r="L111" s="22">
        <f t="shared" si="98"/>
        <v>53147.54</v>
      </c>
      <c r="M111" s="22">
        <f t="shared" si="97"/>
        <v>23846.1</v>
      </c>
      <c r="N111" s="22">
        <f t="shared" si="97"/>
        <v>6258.14</v>
      </c>
      <c r="O111" s="22">
        <f t="shared" si="97"/>
        <v>1603.08</v>
      </c>
      <c r="P111" s="22">
        <f t="shared" si="97"/>
        <v>43494.84</v>
      </c>
      <c r="Q111" s="22">
        <f t="shared" si="97"/>
        <v>284.27999999999997</v>
      </c>
      <c r="R111" s="22">
        <f t="shared" si="97"/>
        <v>3241.29</v>
      </c>
      <c r="S111" s="22">
        <f t="shared" si="97"/>
        <v>0</v>
      </c>
      <c r="T111" s="22">
        <f t="shared" si="97"/>
        <v>2814.17</v>
      </c>
      <c r="U111" s="22">
        <f t="shared" si="97"/>
        <v>189.52</v>
      </c>
      <c r="V111" s="22">
        <f t="shared" si="97"/>
        <v>0</v>
      </c>
      <c r="W111" s="22">
        <f t="shared" si="97"/>
        <v>0</v>
      </c>
      <c r="X111" s="22">
        <f t="shared" si="97"/>
        <v>0</v>
      </c>
      <c r="Y111" s="22">
        <f t="shared" si="99"/>
        <v>0</v>
      </c>
      <c r="Z111" s="22">
        <f t="shared" si="99"/>
        <v>274.7</v>
      </c>
      <c r="AA111" s="12">
        <f t="shared" si="100"/>
        <v>135153.66</v>
      </c>
      <c r="AI111" s="129"/>
      <c r="AJ111" s="129"/>
      <c r="AK111" s="129"/>
      <c r="AL111" s="129"/>
    </row>
    <row r="112" spans="1:39">
      <c r="K112" s="1" t="s">
        <v>123</v>
      </c>
      <c r="L112" s="22">
        <f t="shared" si="98"/>
        <v>125621.39</v>
      </c>
      <c r="M112" s="22">
        <f t="shared" si="97"/>
        <v>23393.32</v>
      </c>
      <c r="N112" s="22">
        <f t="shared" si="97"/>
        <v>18466.900000000001</v>
      </c>
      <c r="O112" s="22">
        <f t="shared" si="97"/>
        <v>7779.46</v>
      </c>
      <c r="P112" s="22">
        <f t="shared" si="97"/>
        <v>128589.32</v>
      </c>
      <c r="Q112" s="22">
        <f t="shared" si="97"/>
        <v>3316.6</v>
      </c>
      <c r="R112" s="22">
        <f t="shared" si="97"/>
        <v>5600.41</v>
      </c>
      <c r="S112" s="22">
        <f t="shared" si="97"/>
        <v>0</v>
      </c>
      <c r="T112" s="22">
        <f t="shared" si="97"/>
        <v>4493.24</v>
      </c>
      <c r="U112" s="22">
        <f t="shared" si="97"/>
        <v>852.84</v>
      </c>
      <c r="V112" s="22">
        <f t="shared" si="97"/>
        <v>0</v>
      </c>
      <c r="W112" s="22">
        <f t="shared" si="97"/>
        <v>0</v>
      </c>
      <c r="X112" s="22">
        <f t="shared" si="97"/>
        <v>469.88</v>
      </c>
      <c r="Y112" s="22">
        <f t="shared" si="99"/>
        <v>0</v>
      </c>
      <c r="Z112" s="22">
        <f t="shared" si="99"/>
        <v>0</v>
      </c>
      <c r="AA112" s="12">
        <f t="shared" si="100"/>
        <v>318583.36</v>
      </c>
      <c r="AI112" s="129"/>
      <c r="AJ112" s="129"/>
      <c r="AK112" s="129"/>
      <c r="AL112" s="129"/>
    </row>
    <row r="113" spans="11:38">
      <c r="K113" s="1" t="s">
        <v>124</v>
      </c>
      <c r="L113" s="22">
        <f t="shared" si="98"/>
        <v>76172.08</v>
      </c>
      <c r="M113" s="22">
        <f t="shared" si="97"/>
        <v>16930.990000000002</v>
      </c>
      <c r="N113" s="22">
        <f t="shared" si="97"/>
        <v>6854.62</v>
      </c>
      <c r="O113" s="22">
        <f t="shared" si="97"/>
        <v>1351.83</v>
      </c>
      <c r="P113" s="22">
        <f t="shared" si="97"/>
        <v>63015.4</v>
      </c>
      <c r="Q113" s="22">
        <f t="shared" si="97"/>
        <v>284.27999999999997</v>
      </c>
      <c r="R113" s="22">
        <f t="shared" si="97"/>
        <v>2336.8000000000002</v>
      </c>
      <c r="S113" s="22">
        <f t="shared" si="97"/>
        <v>250.74</v>
      </c>
      <c r="T113" s="22">
        <f t="shared" si="97"/>
        <v>2362.5</v>
      </c>
      <c r="U113" s="22">
        <f t="shared" si="97"/>
        <v>0</v>
      </c>
      <c r="V113" s="22">
        <f t="shared" si="97"/>
        <v>0</v>
      </c>
      <c r="W113" s="22">
        <f t="shared" si="97"/>
        <v>0</v>
      </c>
      <c r="X113" s="22">
        <f t="shared" si="97"/>
        <v>82.92</v>
      </c>
      <c r="Y113" s="22">
        <f t="shared" si="99"/>
        <v>0</v>
      </c>
      <c r="Z113" s="22">
        <f t="shared" si="99"/>
        <v>0</v>
      </c>
      <c r="AA113" s="12">
        <f t="shared" si="100"/>
        <v>169642.16</v>
      </c>
      <c r="AI113" s="129"/>
      <c r="AJ113" s="129"/>
      <c r="AK113" s="129"/>
      <c r="AL113" s="129"/>
    </row>
    <row r="114" spans="11:38">
      <c r="K114" s="1" t="s">
        <v>125</v>
      </c>
      <c r="L114" s="22">
        <f t="shared" si="98"/>
        <v>156060.54</v>
      </c>
      <c r="M114" s="22">
        <f t="shared" si="97"/>
        <v>30658.66</v>
      </c>
      <c r="N114" s="22">
        <f t="shared" si="97"/>
        <v>14770.05</v>
      </c>
      <c r="O114" s="22">
        <f t="shared" si="97"/>
        <v>8697.48</v>
      </c>
      <c r="P114" s="22">
        <f t="shared" si="97"/>
        <v>106984.04</v>
      </c>
      <c r="Q114" s="22">
        <f t="shared" si="97"/>
        <v>2463.7600000000002</v>
      </c>
      <c r="R114" s="22">
        <f t="shared" si="97"/>
        <v>5943.13</v>
      </c>
      <c r="S114" s="22">
        <f t="shared" si="97"/>
        <v>0</v>
      </c>
      <c r="T114" s="22">
        <f t="shared" si="97"/>
        <v>4637.3500000000004</v>
      </c>
      <c r="U114" s="22">
        <f t="shared" si="97"/>
        <v>568.55999999999995</v>
      </c>
      <c r="V114" s="22">
        <f t="shared" si="97"/>
        <v>189.52</v>
      </c>
      <c r="W114" s="22">
        <f t="shared" si="97"/>
        <v>0</v>
      </c>
      <c r="X114" s="22">
        <f t="shared" si="97"/>
        <v>442.24</v>
      </c>
      <c r="Y114" s="22">
        <f t="shared" si="99"/>
        <v>0</v>
      </c>
      <c r="Z114" s="22">
        <f t="shared" si="99"/>
        <v>0</v>
      </c>
      <c r="AA114" s="12">
        <f t="shared" si="100"/>
        <v>331415.33</v>
      </c>
      <c r="AI114" s="129"/>
      <c r="AJ114" s="129"/>
      <c r="AK114" s="129"/>
      <c r="AL114" s="129"/>
    </row>
    <row r="115" spans="11:38">
      <c r="K115" s="1" t="s">
        <v>126</v>
      </c>
      <c r="L115" s="22">
        <f t="shared" si="98"/>
        <v>111584.81</v>
      </c>
      <c r="M115" s="22">
        <f t="shared" si="97"/>
        <v>23920.36</v>
      </c>
      <c r="N115" s="22">
        <f t="shared" si="97"/>
        <v>13154.91</v>
      </c>
      <c r="O115" s="22">
        <f t="shared" si="97"/>
        <v>3177.33</v>
      </c>
      <c r="P115" s="22">
        <f t="shared" si="97"/>
        <v>88695.360000000001</v>
      </c>
      <c r="Q115" s="22">
        <f t="shared" si="97"/>
        <v>2937.56</v>
      </c>
      <c r="R115" s="22">
        <f t="shared" si="97"/>
        <v>4480.9399999999996</v>
      </c>
      <c r="S115" s="22">
        <f t="shared" si="97"/>
        <v>1048.44</v>
      </c>
      <c r="T115" s="22">
        <f t="shared" si="97"/>
        <v>3450.07</v>
      </c>
      <c r="U115" s="22">
        <f t="shared" si="97"/>
        <v>189.52</v>
      </c>
      <c r="V115" s="22">
        <f t="shared" si="97"/>
        <v>0</v>
      </c>
      <c r="W115" s="22">
        <f t="shared" si="97"/>
        <v>0</v>
      </c>
      <c r="X115" s="22">
        <f t="shared" si="97"/>
        <v>82.92</v>
      </c>
      <c r="Y115" s="22">
        <f t="shared" si="99"/>
        <v>0</v>
      </c>
      <c r="Z115" s="22">
        <f t="shared" si="99"/>
        <v>0</v>
      </c>
      <c r="AA115" s="12">
        <f t="shared" si="100"/>
        <v>252722.21999999997</v>
      </c>
      <c r="AI115" s="129"/>
      <c r="AJ115" s="129"/>
      <c r="AK115" s="129"/>
      <c r="AL115" s="129"/>
    </row>
    <row r="116" spans="11:38">
      <c r="K116" s="1" t="s">
        <v>127</v>
      </c>
      <c r="L116" s="22">
        <f t="shared" si="98"/>
        <v>112437.68</v>
      </c>
      <c r="M116" s="22">
        <f t="shared" si="97"/>
        <v>26848.98</v>
      </c>
      <c r="N116" s="22">
        <f t="shared" si="97"/>
        <v>12441.51</v>
      </c>
      <c r="O116" s="22">
        <f t="shared" si="97"/>
        <v>1957.71</v>
      </c>
      <c r="P116" s="22">
        <f t="shared" si="97"/>
        <v>206292.52</v>
      </c>
      <c r="Q116" s="22">
        <f t="shared" si="97"/>
        <v>14593.04</v>
      </c>
      <c r="R116" s="22">
        <f t="shared" si="97"/>
        <v>5627.12</v>
      </c>
      <c r="S116" s="22">
        <f t="shared" si="97"/>
        <v>3530.19</v>
      </c>
      <c r="T116" s="22">
        <f t="shared" si="97"/>
        <v>4897.1099999999997</v>
      </c>
      <c r="U116" s="22">
        <f t="shared" si="97"/>
        <v>284.27999999999997</v>
      </c>
      <c r="V116" s="22">
        <f t="shared" si="97"/>
        <v>0</v>
      </c>
      <c r="W116" s="22">
        <f t="shared" si="97"/>
        <v>0</v>
      </c>
      <c r="X116" s="22">
        <f t="shared" si="97"/>
        <v>165.84</v>
      </c>
      <c r="Y116" s="22">
        <f t="shared" si="99"/>
        <v>0</v>
      </c>
      <c r="Z116" s="22">
        <f t="shared" si="99"/>
        <v>0</v>
      </c>
      <c r="AA116" s="12">
        <f t="shared" si="100"/>
        <v>389075.98000000004</v>
      </c>
      <c r="AI116" s="129"/>
      <c r="AJ116" s="129"/>
      <c r="AK116" s="129"/>
      <c r="AL116" s="129"/>
    </row>
    <row r="117" spans="11:38">
      <c r="K117" s="2" t="s">
        <v>128</v>
      </c>
      <c r="L117" s="22">
        <f t="shared" si="98"/>
        <v>35948.61</v>
      </c>
      <c r="M117" s="22">
        <f t="shared" si="97"/>
        <v>13795.01</v>
      </c>
      <c r="N117" s="22">
        <f t="shared" si="97"/>
        <v>3924.8</v>
      </c>
      <c r="O117" s="22">
        <f t="shared" si="97"/>
        <v>2775.24</v>
      </c>
      <c r="P117" s="22">
        <f t="shared" si="97"/>
        <v>30323.200000000001</v>
      </c>
      <c r="Q117" s="22">
        <f t="shared" si="97"/>
        <v>1326.64</v>
      </c>
      <c r="R117" s="22">
        <f t="shared" si="97"/>
        <v>2678.39</v>
      </c>
      <c r="S117" s="22">
        <f t="shared" si="97"/>
        <v>2763.9</v>
      </c>
      <c r="T117" s="22">
        <f t="shared" si="97"/>
        <v>1866.2</v>
      </c>
      <c r="U117" s="22">
        <f t="shared" si="97"/>
        <v>379.04</v>
      </c>
      <c r="V117" s="22">
        <f t="shared" si="97"/>
        <v>0</v>
      </c>
      <c r="W117" s="22">
        <f t="shared" si="97"/>
        <v>0</v>
      </c>
      <c r="X117" s="22">
        <f t="shared" si="97"/>
        <v>27.64</v>
      </c>
      <c r="Y117" s="22">
        <f t="shared" si="99"/>
        <v>0</v>
      </c>
      <c r="Z117" s="22">
        <f t="shared" si="99"/>
        <v>0</v>
      </c>
      <c r="AA117" s="12">
        <f t="shared" si="100"/>
        <v>95808.669999999984</v>
      </c>
      <c r="AI117" s="129"/>
      <c r="AJ117" s="129"/>
      <c r="AK117" s="129"/>
      <c r="AL117" s="129"/>
    </row>
    <row r="118" spans="11:38">
      <c r="K118" s="18" t="s">
        <v>129</v>
      </c>
      <c r="L118" s="22">
        <f t="shared" si="98"/>
        <v>85832.68</v>
      </c>
      <c r="M118" s="22">
        <f t="shared" si="97"/>
        <v>20053.009999999998</v>
      </c>
      <c r="N118" s="22">
        <f t="shared" si="97"/>
        <v>9319.41</v>
      </c>
      <c r="O118" s="22">
        <f t="shared" si="97"/>
        <v>239.19</v>
      </c>
      <c r="P118" s="22">
        <f t="shared" si="97"/>
        <v>209419.6</v>
      </c>
      <c r="Q118" s="22">
        <f t="shared" si="97"/>
        <v>2842.8</v>
      </c>
      <c r="R118" s="22">
        <f t="shared" si="97"/>
        <v>2246.27</v>
      </c>
      <c r="S118" s="22">
        <f t="shared" si="97"/>
        <v>0</v>
      </c>
      <c r="T118" s="22">
        <f t="shared" si="97"/>
        <v>2661.69</v>
      </c>
      <c r="U118" s="22">
        <f t="shared" si="97"/>
        <v>568.55999999999995</v>
      </c>
      <c r="V118" s="22">
        <f t="shared" si="97"/>
        <v>0</v>
      </c>
      <c r="W118" s="22">
        <f t="shared" si="97"/>
        <v>0</v>
      </c>
      <c r="X118" s="22">
        <f t="shared" si="97"/>
        <v>55.28</v>
      </c>
      <c r="Y118" s="22">
        <f t="shared" si="99"/>
        <v>0</v>
      </c>
      <c r="Z118" s="22">
        <f t="shared" si="99"/>
        <v>0</v>
      </c>
      <c r="AA118" s="12">
        <f t="shared" si="100"/>
        <v>333238.49000000005</v>
      </c>
      <c r="AI118" s="129"/>
      <c r="AJ118" s="129"/>
      <c r="AK118" s="129"/>
      <c r="AL118" s="129"/>
    </row>
    <row r="119" spans="11:38">
      <c r="K119" s="1" t="s">
        <v>130</v>
      </c>
      <c r="L119" s="22">
        <f t="shared" si="98"/>
        <v>59460.04</v>
      </c>
      <c r="M119" s="22">
        <f t="shared" si="97"/>
        <v>14670.72</v>
      </c>
      <c r="N119" s="22">
        <f t="shared" si="97"/>
        <v>8205.44</v>
      </c>
      <c r="O119" s="22">
        <f t="shared" si="97"/>
        <v>2166.69</v>
      </c>
      <c r="P119" s="22">
        <f t="shared" si="97"/>
        <v>171326.07999999999</v>
      </c>
      <c r="Q119" s="22">
        <f t="shared" si="97"/>
        <v>2653.28</v>
      </c>
      <c r="R119" s="22">
        <f t="shared" si="97"/>
        <v>3018.84</v>
      </c>
      <c r="S119" s="22">
        <f t="shared" si="97"/>
        <v>1403.83</v>
      </c>
      <c r="T119" s="22">
        <f t="shared" si="97"/>
        <v>2257.25</v>
      </c>
      <c r="U119" s="22">
        <f t="shared" si="97"/>
        <v>852.84</v>
      </c>
      <c r="V119" s="22">
        <f t="shared" si="97"/>
        <v>0</v>
      </c>
      <c r="W119" s="22">
        <f t="shared" si="97"/>
        <v>0</v>
      </c>
      <c r="X119" s="22">
        <f t="shared" si="97"/>
        <v>110.56</v>
      </c>
      <c r="Y119" s="22">
        <f t="shared" si="99"/>
        <v>0</v>
      </c>
      <c r="Z119" s="22">
        <f t="shared" si="99"/>
        <v>0</v>
      </c>
      <c r="AA119" s="12">
        <f t="shared" si="100"/>
        <v>266125.57</v>
      </c>
      <c r="AI119" s="129"/>
      <c r="AJ119" s="129"/>
      <c r="AK119" s="129"/>
      <c r="AL119" s="129"/>
    </row>
    <row r="120" spans="11:38">
      <c r="K120" s="1" t="s">
        <v>131</v>
      </c>
      <c r="L120" s="22">
        <f t="shared" si="98"/>
        <v>330171.69</v>
      </c>
      <c r="M120" s="22">
        <f t="shared" si="97"/>
        <v>84443.92</v>
      </c>
      <c r="N120" s="22">
        <f t="shared" si="97"/>
        <v>45143.91</v>
      </c>
      <c r="O120" s="22">
        <f t="shared" si="97"/>
        <v>19845.47</v>
      </c>
      <c r="P120" s="22">
        <f t="shared" si="97"/>
        <v>373449.16</v>
      </c>
      <c r="Q120" s="22">
        <f t="shared" si="97"/>
        <v>4643.24</v>
      </c>
      <c r="R120" s="22">
        <f t="shared" si="97"/>
        <v>21039.02</v>
      </c>
      <c r="S120" s="22">
        <f t="shared" si="97"/>
        <v>0</v>
      </c>
      <c r="T120" s="22">
        <f t="shared" si="97"/>
        <v>10891.89</v>
      </c>
      <c r="U120" s="22">
        <f t="shared" si="97"/>
        <v>3979.92</v>
      </c>
      <c r="V120" s="22">
        <f t="shared" si="97"/>
        <v>0</v>
      </c>
      <c r="W120" s="22">
        <f t="shared" si="97"/>
        <v>0</v>
      </c>
      <c r="X120" s="22">
        <f t="shared" si="97"/>
        <v>552.79999999999995</v>
      </c>
      <c r="Y120" s="22">
        <f t="shared" si="99"/>
        <v>0</v>
      </c>
      <c r="Z120" s="22">
        <f t="shared" si="99"/>
        <v>0</v>
      </c>
      <c r="AA120" s="12">
        <f t="shared" si="100"/>
        <v>894161.02</v>
      </c>
      <c r="AI120" s="129"/>
      <c r="AJ120" s="129"/>
      <c r="AK120" s="129"/>
      <c r="AL120" s="129"/>
    </row>
    <row r="121" spans="11:38">
      <c r="K121" s="1" t="s">
        <v>132</v>
      </c>
      <c r="L121" s="22">
        <f t="shared" si="98"/>
        <v>58014.86</v>
      </c>
      <c r="M121" s="22">
        <f t="shared" si="97"/>
        <v>20840.07</v>
      </c>
      <c r="N121" s="22">
        <f t="shared" si="97"/>
        <v>5887.34</v>
      </c>
      <c r="O121" s="22">
        <f t="shared" si="97"/>
        <v>3118.46</v>
      </c>
      <c r="P121" s="22">
        <f t="shared" si="97"/>
        <v>57424.56</v>
      </c>
      <c r="Q121" s="22">
        <f t="shared" si="97"/>
        <v>1326.64</v>
      </c>
      <c r="R121" s="22">
        <f t="shared" si="97"/>
        <v>4681.7</v>
      </c>
      <c r="S121" s="22">
        <f t="shared" si="97"/>
        <v>0</v>
      </c>
      <c r="T121" s="22">
        <f t="shared" si="97"/>
        <v>1985.39</v>
      </c>
      <c r="U121" s="22">
        <f t="shared" si="97"/>
        <v>379.04</v>
      </c>
      <c r="V121" s="22">
        <f t="shared" si="97"/>
        <v>0</v>
      </c>
      <c r="W121" s="22">
        <f t="shared" si="97"/>
        <v>0</v>
      </c>
      <c r="X121" s="22">
        <f t="shared" si="97"/>
        <v>110.56</v>
      </c>
      <c r="Y121" s="22">
        <f t="shared" si="99"/>
        <v>0</v>
      </c>
      <c r="Z121" s="22">
        <f t="shared" si="99"/>
        <v>0</v>
      </c>
      <c r="AA121" s="12">
        <f t="shared" si="100"/>
        <v>153768.62000000002</v>
      </c>
      <c r="AI121" s="129"/>
      <c r="AJ121" s="129"/>
      <c r="AK121" s="129"/>
      <c r="AL121" s="129"/>
    </row>
    <row r="122" spans="11:38">
      <c r="K122" s="1" t="s">
        <v>133</v>
      </c>
      <c r="L122" s="22">
        <f t="shared" si="98"/>
        <v>55196.480000000003</v>
      </c>
      <c r="M122" s="22">
        <f t="shared" si="97"/>
        <v>14588.89</v>
      </c>
      <c r="N122" s="22">
        <f t="shared" si="97"/>
        <v>7454.92</v>
      </c>
      <c r="O122" s="22">
        <f t="shared" si="97"/>
        <v>2550.13</v>
      </c>
      <c r="P122" s="22">
        <f t="shared" si="97"/>
        <v>64247.28</v>
      </c>
      <c r="Q122" s="22">
        <f t="shared" si="97"/>
        <v>2084.7199999999998</v>
      </c>
      <c r="R122" s="22">
        <f t="shared" si="97"/>
        <v>3271.29</v>
      </c>
      <c r="S122" s="22">
        <f t="shared" si="97"/>
        <v>0</v>
      </c>
      <c r="T122" s="22">
        <f t="shared" si="97"/>
        <v>2860.31</v>
      </c>
      <c r="U122" s="22">
        <f t="shared" si="97"/>
        <v>94.76</v>
      </c>
      <c r="V122" s="22">
        <f t="shared" si="97"/>
        <v>0</v>
      </c>
      <c r="W122" s="22">
        <f t="shared" si="97"/>
        <v>0</v>
      </c>
      <c r="X122" s="22">
        <f t="shared" si="97"/>
        <v>221.12</v>
      </c>
      <c r="Y122" s="22">
        <f t="shared" si="99"/>
        <v>0</v>
      </c>
      <c r="Z122" s="22">
        <f t="shared" si="99"/>
        <v>0</v>
      </c>
      <c r="AA122" s="12">
        <f t="shared" si="100"/>
        <v>152569.90000000002</v>
      </c>
      <c r="AI122" s="129"/>
      <c r="AJ122" s="129"/>
      <c r="AK122" s="129"/>
      <c r="AL122" s="129"/>
    </row>
    <row r="123" spans="11:38">
      <c r="K123" s="18" t="s">
        <v>134</v>
      </c>
      <c r="L123" s="22">
        <f t="shared" si="98"/>
        <v>311702.77</v>
      </c>
      <c r="M123" s="22">
        <f t="shared" si="97"/>
        <v>56931.48</v>
      </c>
      <c r="N123" s="22">
        <f t="shared" si="97"/>
        <v>56786.73</v>
      </c>
      <c r="O123" s="22">
        <f t="shared" si="97"/>
        <v>13606.57</v>
      </c>
      <c r="P123" s="22">
        <f t="shared" si="97"/>
        <v>568560</v>
      </c>
      <c r="Q123" s="22">
        <f t="shared" si="97"/>
        <v>3790.4</v>
      </c>
      <c r="R123" s="22">
        <f t="shared" si="97"/>
        <v>8638.67</v>
      </c>
      <c r="S123" s="22">
        <f t="shared" si="97"/>
        <v>276.39</v>
      </c>
      <c r="T123" s="22">
        <f t="shared" si="97"/>
        <v>10182.61</v>
      </c>
      <c r="U123" s="22">
        <f t="shared" si="97"/>
        <v>2179.48</v>
      </c>
      <c r="V123" s="22">
        <f t="shared" si="97"/>
        <v>0</v>
      </c>
      <c r="W123" s="22">
        <f t="shared" si="97"/>
        <v>0</v>
      </c>
      <c r="X123" s="22">
        <f t="shared" si="97"/>
        <v>525.16</v>
      </c>
      <c r="Y123" s="22">
        <f t="shared" si="99"/>
        <v>0</v>
      </c>
      <c r="Z123" s="22">
        <f t="shared" si="99"/>
        <v>0</v>
      </c>
      <c r="AA123" s="12">
        <f t="shared" si="100"/>
        <v>1033180.2600000001</v>
      </c>
      <c r="AI123" s="129"/>
      <c r="AJ123" s="129"/>
      <c r="AK123" s="129"/>
      <c r="AL123" s="129"/>
    </row>
    <row r="124" spans="11:38">
      <c r="K124" s="1" t="s">
        <v>135</v>
      </c>
      <c r="L124" s="22">
        <f t="shared" si="98"/>
        <v>136049.14000000001</v>
      </c>
      <c r="M124" s="22">
        <f t="shared" si="98"/>
        <v>43251.519999999997</v>
      </c>
      <c r="N124" s="22">
        <f t="shared" si="98"/>
        <v>15856.48</v>
      </c>
      <c r="O124" s="22">
        <f t="shared" si="98"/>
        <v>2401.0700000000002</v>
      </c>
      <c r="P124" s="22">
        <f t="shared" si="98"/>
        <v>125651.76</v>
      </c>
      <c r="Q124" s="22">
        <f t="shared" si="98"/>
        <v>1800.44</v>
      </c>
      <c r="R124" s="22">
        <f t="shared" si="98"/>
        <v>5330.83</v>
      </c>
      <c r="S124" s="22">
        <f t="shared" si="98"/>
        <v>515.99</v>
      </c>
      <c r="T124" s="22">
        <f t="shared" si="98"/>
        <v>7486.47</v>
      </c>
      <c r="U124" s="22">
        <f t="shared" si="98"/>
        <v>947.6</v>
      </c>
      <c r="V124" s="22">
        <f t="shared" si="98"/>
        <v>0</v>
      </c>
      <c r="W124" s="22">
        <f t="shared" si="98"/>
        <v>0</v>
      </c>
      <c r="X124" s="22">
        <f t="shared" si="98"/>
        <v>193.48</v>
      </c>
      <c r="Y124" s="22">
        <f t="shared" si="99"/>
        <v>0</v>
      </c>
      <c r="Z124" s="22">
        <f t="shared" si="99"/>
        <v>0</v>
      </c>
      <c r="AA124" s="12">
        <f t="shared" si="100"/>
        <v>339484.77999999997</v>
      </c>
      <c r="AI124" s="129"/>
      <c r="AJ124" s="129"/>
      <c r="AK124" s="129"/>
      <c r="AL124" s="129"/>
    </row>
    <row r="125" spans="11:38">
      <c r="K125" s="1" t="s">
        <v>136</v>
      </c>
      <c r="L125" s="22">
        <f t="shared" si="98"/>
        <v>25231.37</v>
      </c>
      <c r="M125" s="22">
        <f t="shared" si="98"/>
        <v>3881.68</v>
      </c>
      <c r="N125" s="22">
        <f t="shared" si="98"/>
        <v>3207.13</v>
      </c>
      <c r="O125" s="22">
        <f t="shared" si="98"/>
        <v>230.9</v>
      </c>
      <c r="P125" s="22">
        <f t="shared" si="98"/>
        <v>34785.79</v>
      </c>
      <c r="Q125" s="22">
        <f t="shared" si="98"/>
        <v>1326.64</v>
      </c>
      <c r="R125" s="22">
        <f t="shared" si="98"/>
        <v>456.43</v>
      </c>
      <c r="S125" s="22">
        <f t="shared" si="98"/>
        <v>908.83</v>
      </c>
      <c r="T125" s="22">
        <f t="shared" si="98"/>
        <v>475.39</v>
      </c>
      <c r="U125" s="22">
        <f t="shared" si="98"/>
        <v>0</v>
      </c>
      <c r="V125" s="22">
        <f t="shared" si="98"/>
        <v>0</v>
      </c>
      <c r="W125" s="22">
        <f t="shared" si="98"/>
        <v>0</v>
      </c>
      <c r="X125" s="22">
        <f t="shared" si="98"/>
        <v>55.28</v>
      </c>
      <c r="Y125" s="22">
        <f t="shared" ref="Y125:Z134" si="101">AF92</f>
        <v>43.1</v>
      </c>
      <c r="Z125" s="22">
        <f t="shared" si="101"/>
        <v>430.95</v>
      </c>
      <c r="AA125" s="12">
        <f t="shared" si="100"/>
        <v>71033.489999999991</v>
      </c>
      <c r="AI125" s="129"/>
      <c r="AJ125" s="129"/>
      <c r="AK125" s="129"/>
      <c r="AL125" s="129"/>
    </row>
    <row r="126" spans="11:38">
      <c r="K126" s="1" t="s">
        <v>137</v>
      </c>
      <c r="L126" s="22">
        <f t="shared" si="98"/>
        <v>386889.29</v>
      </c>
      <c r="M126" s="22">
        <f t="shared" si="98"/>
        <v>78775.67</v>
      </c>
      <c r="N126" s="22">
        <f t="shared" si="98"/>
        <v>56500.32</v>
      </c>
      <c r="O126" s="22">
        <f t="shared" si="98"/>
        <v>10686.980000000001</v>
      </c>
      <c r="P126" s="22">
        <f t="shared" si="98"/>
        <v>425946.2</v>
      </c>
      <c r="Q126" s="22">
        <f t="shared" si="98"/>
        <v>20657.68</v>
      </c>
      <c r="R126" s="22">
        <f t="shared" si="98"/>
        <v>14093.74</v>
      </c>
      <c r="S126" s="22">
        <f t="shared" si="98"/>
        <v>1570.35</v>
      </c>
      <c r="T126" s="22">
        <f t="shared" si="98"/>
        <v>12967.85</v>
      </c>
      <c r="U126" s="22">
        <f t="shared" si="98"/>
        <v>1516.16</v>
      </c>
      <c r="V126" s="22">
        <f t="shared" si="98"/>
        <v>568.55999999999995</v>
      </c>
      <c r="W126" s="22">
        <f t="shared" si="98"/>
        <v>0</v>
      </c>
      <c r="X126" s="22">
        <f t="shared" si="98"/>
        <v>1022.68</v>
      </c>
      <c r="Y126" s="22">
        <f t="shared" si="101"/>
        <v>0</v>
      </c>
      <c r="Z126" s="22">
        <f t="shared" si="101"/>
        <v>0</v>
      </c>
      <c r="AA126" s="12">
        <f t="shared" si="100"/>
        <v>1011195.4800000001</v>
      </c>
      <c r="AI126" s="129"/>
      <c r="AJ126" s="129"/>
      <c r="AK126" s="129"/>
      <c r="AL126" s="129"/>
    </row>
    <row r="127" spans="11:38">
      <c r="K127" s="1" t="s">
        <v>138</v>
      </c>
      <c r="L127" s="22">
        <f t="shared" si="98"/>
        <v>58718.31</v>
      </c>
      <c r="M127" s="22">
        <f t="shared" si="98"/>
        <v>14215.51</v>
      </c>
      <c r="N127" s="22">
        <f t="shared" si="98"/>
        <v>5813.47</v>
      </c>
      <c r="O127" s="22">
        <f t="shared" si="98"/>
        <v>1229.1500000000001</v>
      </c>
      <c r="P127" s="22">
        <f t="shared" si="98"/>
        <v>52212.76</v>
      </c>
      <c r="Q127" s="22">
        <f t="shared" si="98"/>
        <v>2084.7199999999998</v>
      </c>
      <c r="R127" s="22">
        <f t="shared" si="98"/>
        <v>3039.1099999999997</v>
      </c>
      <c r="S127" s="22">
        <f t="shared" si="98"/>
        <v>0</v>
      </c>
      <c r="T127" s="22">
        <f t="shared" si="98"/>
        <v>1654.24</v>
      </c>
      <c r="U127" s="22">
        <f t="shared" si="98"/>
        <v>0</v>
      </c>
      <c r="V127" s="22">
        <f t="shared" si="98"/>
        <v>0</v>
      </c>
      <c r="W127" s="22">
        <f t="shared" si="98"/>
        <v>0</v>
      </c>
      <c r="X127" s="22">
        <f t="shared" si="98"/>
        <v>110.56</v>
      </c>
      <c r="Y127" s="22">
        <f t="shared" si="101"/>
        <v>0</v>
      </c>
      <c r="Z127" s="22">
        <f t="shared" si="101"/>
        <v>0</v>
      </c>
      <c r="AA127" s="12">
        <f t="shared" si="100"/>
        <v>139077.82999999996</v>
      </c>
      <c r="AI127" s="129"/>
      <c r="AJ127" s="129"/>
      <c r="AK127" s="129"/>
      <c r="AL127" s="129"/>
    </row>
    <row r="128" spans="11:38">
      <c r="K128" s="1" t="s">
        <v>139</v>
      </c>
      <c r="L128" s="22">
        <f t="shared" si="98"/>
        <v>404431.98</v>
      </c>
      <c r="M128" s="22">
        <f t="shared" si="98"/>
        <v>86821.21</v>
      </c>
      <c r="N128" s="22">
        <f t="shared" si="98"/>
        <v>53408.800000000003</v>
      </c>
      <c r="O128" s="22">
        <f t="shared" si="98"/>
        <v>20343.739999999998</v>
      </c>
      <c r="P128" s="22">
        <f t="shared" si="98"/>
        <v>741876.04</v>
      </c>
      <c r="Q128" s="22">
        <f t="shared" si="98"/>
        <v>5590.84</v>
      </c>
      <c r="R128" s="22">
        <f t="shared" si="98"/>
        <v>19075.63</v>
      </c>
      <c r="S128" s="22">
        <f t="shared" si="98"/>
        <v>1268.52</v>
      </c>
      <c r="T128" s="22">
        <f t="shared" si="98"/>
        <v>11401.48</v>
      </c>
      <c r="U128" s="22">
        <f t="shared" si="98"/>
        <v>1516.16</v>
      </c>
      <c r="V128" s="22">
        <f t="shared" si="98"/>
        <v>0</v>
      </c>
      <c r="W128" s="22">
        <f t="shared" si="98"/>
        <v>0</v>
      </c>
      <c r="X128" s="22">
        <f t="shared" si="98"/>
        <v>359.32</v>
      </c>
      <c r="Y128" s="22">
        <f t="shared" si="101"/>
        <v>0</v>
      </c>
      <c r="Z128" s="22">
        <f t="shared" si="101"/>
        <v>0</v>
      </c>
      <c r="AA128" s="12">
        <f t="shared" si="100"/>
        <v>1346093.72</v>
      </c>
      <c r="AI128" s="129"/>
      <c r="AJ128" s="129"/>
      <c r="AK128" s="129"/>
      <c r="AL128" s="129"/>
    </row>
    <row r="129" spans="11:38">
      <c r="K129" s="18" t="s">
        <v>140</v>
      </c>
      <c r="L129" s="22">
        <f t="shared" si="98"/>
        <v>26235.67</v>
      </c>
      <c r="M129" s="22">
        <f t="shared" si="98"/>
        <v>4021.72</v>
      </c>
      <c r="N129" s="22">
        <f t="shared" si="98"/>
        <v>3239.91</v>
      </c>
      <c r="O129" s="22">
        <f t="shared" si="98"/>
        <v>729.32</v>
      </c>
      <c r="P129" s="22">
        <f t="shared" si="98"/>
        <v>58845.96</v>
      </c>
      <c r="Q129" s="22">
        <f t="shared" si="98"/>
        <v>663.32</v>
      </c>
      <c r="R129" s="22">
        <f t="shared" si="98"/>
        <v>461.29</v>
      </c>
      <c r="S129" s="22">
        <f t="shared" si="98"/>
        <v>0</v>
      </c>
      <c r="T129" s="22">
        <f t="shared" si="98"/>
        <v>786.68</v>
      </c>
      <c r="U129" s="22">
        <f t="shared" si="98"/>
        <v>379.04</v>
      </c>
      <c r="V129" s="22">
        <f t="shared" si="98"/>
        <v>0</v>
      </c>
      <c r="W129" s="22">
        <f t="shared" si="98"/>
        <v>0</v>
      </c>
      <c r="X129" s="22">
        <f t="shared" si="98"/>
        <v>0</v>
      </c>
      <c r="Y129" s="22">
        <f t="shared" si="101"/>
        <v>0</v>
      </c>
      <c r="Z129" s="22">
        <f t="shared" si="101"/>
        <v>0</v>
      </c>
      <c r="AA129" s="12">
        <f t="shared" si="100"/>
        <v>95362.909999999989</v>
      </c>
      <c r="AI129" s="129"/>
      <c r="AJ129" s="129"/>
      <c r="AK129" s="129"/>
      <c r="AL129" s="129"/>
    </row>
    <row r="130" spans="11:38">
      <c r="K130" s="2" t="s">
        <v>141</v>
      </c>
      <c r="L130" s="22">
        <f t="shared" si="98"/>
        <v>2937.87</v>
      </c>
      <c r="M130" s="22">
        <f t="shared" si="98"/>
        <v>511.5</v>
      </c>
      <c r="N130" s="22">
        <f t="shared" si="98"/>
        <v>543.58000000000004</v>
      </c>
      <c r="O130" s="22">
        <f t="shared" si="98"/>
        <v>0</v>
      </c>
      <c r="P130" s="22">
        <f t="shared" si="98"/>
        <v>9760.2800000000007</v>
      </c>
      <c r="Q130" s="22">
        <f t="shared" si="98"/>
        <v>0</v>
      </c>
      <c r="R130" s="22">
        <f t="shared" si="98"/>
        <v>36.090000000000003</v>
      </c>
      <c r="S130" s="22">
        <f t="shared" si="98"/>
        <v>0</v>
      </c>
      <c r="T130" s="22">
        <f t="shared" si="98"/>
        <v>67.77</v>
      </c>
      <c r="U130" s="22">
        <f t="shared" si="98"/>
        <v>0</v>
      </c>
      <c r="V130" s="22">
        <f t="shared" si="98"/>
        <v>0</v>
      </c>
      <c r="W130" s="22">
        <f t="shared" si="98"/>
        <v>0</v>
      </c>
      <c r="X130" s="22">
        <f t="shared" si="98"/>
        <v>0</v>
      </c>
      <c r="Y130" s="22">
        <f t="shared" si="101"/>
        <v>0</v>
      </c>
      <c r="Z130" s="22">
        <f t="shared" si="101"/>
        <v>0</v>
      </c>
      <c r="AA130" s="12">
        <f t="shared" si="100"/>
        <v>13857.09</v>
      </c>
      <c r="AI130" s="129"/>
      <c r="AJ130" s="129"/>
      <c r="AK130" s="129"/>
      <c r="AL130" s="129"/>
    </row>
    <row r="131" spans="11:38">
      <c r="K131" s="1" t="s">
        <v>142</v>
      </c>
      <c r="L131" s="22">
        <f t="shared" si="98"/>
        <v>294771.95</v>
      </c>
      <c r="M131" s="22">
        <f t="shared" si="98"/>
        <v>45599.839999999997</v>
      </c>
      <c r="N131" s="22">
        <f t="shared" si="98"/>
        <v>39001.22</v>
      </c>
      <c r="O131" s="22">
        <f t="shared" si="98"/>
        <v>10686.85</v>
      </c>
      <c r="P131" s="22">
        <f t="shared" si="98"/>
        <v>461860.24</v>
      </c>
      <c r="Q131" s="22">
        <f t="shared" si="98"/>
        <v>3221.84</v>
      </c>
      <c r="R131" s="22">
        <f t="shared" si="98"/>
        <v>8585.07</v>
      </c>
      <c r="S131" s="22">
        <f t="shared" si="98"/>
        <v>0</v>
      </c>
      <c r="T131" s="22">
        <f t="shared" si="98"/>
        <v>6899.2</v>
      </c>
      <c r="U131" s="22">
        <f t="shared" si="98"/>
        <v>473.8</v>
      </c>
      <c r="V131" s="22">
        <f t="shared" si="98"/>
        <v>0</v>
      </c>
      <c r="W131" s="22">
        <f t="shared" si="98"/>
        <v>0</v>
      </c>
      <c r="X131" s="22">
        <f t="shared" si="98"/>
        <v>331.68</v>
      </c>
      <c r="Y131" s="22">
        <f t="shared" si="101"/>
        <v>0</v>
      </c>
      <c r="Z131" s="22">
        <f t="shared" si="101"/>
        <v>0</v>
      </c>
      <c r="AA131" s="12">
        <f t="shared" si="100"/>
        <v>871431.69</v>
      </c>
      <c r="AI131" s="129"/>
      <c r="AJ131" s="129"/>
      <c r="AK131" s="129"/>
      <c r="AL131" s="129"/>
    </row>
    <row r="132" spans="11:38">
      <c r="K132" s="1" t="s">
        <v>143</v>
      </c>
      <c r="L132" s="22">
        <f t="shared" si="98"/>
        <v>1459068.49</v>
      </c>
      <c r="M132" s="22">
        <f t="shared" si="98"/>
        <v>283028.46999999997</v>
      </c>
      <c r="N132" s="22">
        <f t="shared" si="98"/>
        <v>181502.59</v>
      </c>
      <c r="O132" s="22">
        <f t="shared" si="98"/>
        <v>37439.870000000003</v>
      </c>
      <c r="P132" s="22">
        <f t="shared" si="98"/>
        <v>2454943.2999999998</v>
      </c>
      <c r="Q132" s="22">
        <f t="shared" si="98"/>
        <v>19710.080000000002</v>
      </c>
      <c r="R132" s="22">
        <f t="shared" si="98"/>
        <v>58964.79</v>
      </c>
      <c r="S132" s="22">
        <f t="shared" si="98"/>
        <v>4899.0200000000004</v>
      </c>
      <c r="T132" s="22">
        <f t="shared" si="98"/>
        <v>38223.17</v>
      </c>
      <c r="U132" s="22">
        <f t="shared" si="98"/>
        <v>4548.4799999999996</v>
      </c>
      <c r="V132" s="22">
        <f t="shared" si="98"/>
        <v>568.55999999999995</v>
      </c>
      <c r="W132" s="22">
        <f t="shared" si="98"/>
        <v>0</v>
      </c>
      <c r="X132" s="22">
        <f t="shared" si="98"/>
        <v>2598.16</v>
      </c>
      <c r="Y132" s="22">
        <f t="shared" si="101"/>
        <v>312.01</v>
      </c>
      <c r="Z132" s="22">
        <f t="shared" si="101"/>
        <v>3259.71</v>
      </c>
      <c r="AA132" s="12">
        <f t="shared" si="100"/>
        <v>4549066.6999999993</v>
      </c>
      <c r="AI132" s="129"/>
      <c r="AJ132" s="129"/>
      <c r="AK132" s="129"/>
      <c r="AL132" s="129"/>
    </row>
    <row r="133" spans="11:38">
      <c r="K133" s="1" t="s">
        <v>144</v>
      </c>
      <c r="L133" s="22">
        <f t="shared" si="98"/>
        <v>34417.199999999997</v>
      </c>
      <c r="M133" s="22">
        <f t="shared" si="98"/>
        <v>14032.36</v>
      </c>
      <c r="N133" s="22">
        <f t="shared" si="98"/>
        <v>2594.27</v>
      </c>
      <c r="O133" s="22">
        <f t="shared" si="98"/>
        <v>180.06</v>
      </c>
      <c r="P133" s="22">
        <f t="shared" si="98"/>
        <v>44442.44</v>
      </c>
      <c r="Q133" s="22">
        <f t="shared" si="98"/>
        <v>1421.4</v>
      </c>
      <c r="R133" s="22">
        <f t="shared" si="98"/>
        <v>1454.02</v>
      </c>
      <c r="S133" s="22">
        <f t="shared" si="98"/>
        <v>0</v>
      </c>
      <c r="T133" s="22">
        <f t="shared" si="98"/>
        <v>1845.81</v>
      </c>
      <c r="U133" s="22">
        <f t="shared" si="98"/>
        <v>568.55999999999995</v>
      </c>
      <c r="V133" s="22">
        <f t="shared" si="98"/>
        <v>0</v>
      </c>
      <c r="W133" s="22">
        <f t="shared" si="98"/>
        <v>0</v>
      </c>
      <c r="X133" s="22">
        <f t="shared" si="98"/>
        <v>55.28</v>
      </c>
      <c r="Y133" s="22">
        <f t="shared" si="101"/>
        <v>0</v>
      </c>
      <c r="Z133" s="22">
        <f t="shared" si="101"/>
        <v>0</v>
      </c>
      <c r="AA133" s="12">
        <f t="shared" si="100"/>
        <v>101011.39999999998</v>
      </c>
      <c r="AI133" s="129"/>
      <c r="AJ133" s="129"/>
      <c r="AK133" s="129"/>
      <c r="AL133" s="129"/>
    </row>
    <row r="134" spans="11:38">
      <c r="K134" s="1" t="s">
        <v>145</v>
      </c>
      <c r="L134" s="22">
        <f t="shared" si="98"/>
        <v>19764.84</v>
      </c>
      <c r="M134" s="22">
        <f t="shared" si="98"/>
        <v>3679.21</v>
      </c>
      <c r="N134" s="22">
        <f t="shared" si="98"/>
        <v>2388.4899999999998</v>
      </c>
      <c r="O134" s="22">
        <f t="shared" si="98"/>
        <v>3529.28</v>
      </c>
      <c r="P134" s="22">
        <f t="shared" si="98"/>
        <v>35061.199999999997</v>
      </c>
      <c r="Q134" s="22">
        <f t="shared" si="98"/>
        <v>284.27999999999997</v>
      </c>
      <c r="R134" s="22">
        <f t="shared" si="98"/>
        <v>1938.99</v>
      </c>
      <c r="S134" s="22">
        <f t="shared" si="98"/>
        <v>552.78</v>
      </c>
      <c r="T134" s="22">
        <f t="shared" si="98"/>
        <v>358.38</v>
      </c>
      <c r="U134" s="22">
        <f t="shared" si="98"/>
        <v>0</v>
      </c>
      <c r="V134" s="22">
        <f t="shared" si="98"/>
        <v>0</v>
      </c>
      <c r="W134" s="22">
        <f t="shared" si="98"/>
        <v>0</v>
      </c>
      <c r="X134" s="22">
        <f t="shared" si="98"/>
        <v>0</v>
      </c>
      <c r="Y134" s="22">
        <f t="shared" si="101"/>
        <v>0</v>
      </c>
      <c r="Z134" s="22">
        <f t="shared" si="101"/>
        <v>310.02</v>
      </c>
      <c r="AA134" s="12">
        <f t="shared" si="100"/>
        <v>67867.47</v>
      </c>
      <c r="AI134" s="129"/>
      <c r="AJ134" s="129"/>
      <c r="AK134" s="129"/>
      <c r="AL134" s="129"/>
    </row>
    <row r="135" spans="11:38">
      <c r="K135" s="8" t="s">
        <v>37</v>
      </c>
      <c r="L135" s="16">
        <f t="shared" ref="L135:AA135" si="102">SUM(L108:L134)</f>
        <v>4490339.8100000005</v>
      </c>
      <c r="M135" s="16">
        <f t="shared" si="102"/>
        <v>965682.96999999986</v>
      </c>
      <c r="N135" s="16">
        <f t="shared" si="102"/>
        <v>578247.42999999993</v>
      </c>
      <c r="O135" s="16">
        <f t="shared" si="102"/>
        <v>157938.5</v>
      </c>
      <c r="P135" s="16">
        <f t="shared" si="102"/>
        <v>6636331.9299999997</v>
      </c>
      <c r="Q135" s="16">
        <f t="shared" si="102"/>
        <v>103383.15999999999</v>
      </c>
      <c r="R135" s="16">
        <f t="shared" si="102"/>
        <v>188929.55999999997</v>
      </c>
      <c r="S135" s="16">
        <f t="shared" si="102"/>
        <v>19263.48</v>
      </c>
      <c r="T135" s="16">
        <f t="shared" si="102"/>
        <v>139879.19</v>
      </c>
      <c r="U135" s="16">
        <f t="shared" si="102"/>
        <v>20847.2</v>
      </c>
      <c r="V135" s="16">
        <f t="shared" si="102"/>
        <v>1326.6399999999999</v>
      </c>
      <c r="W135" s="16">
        <f t="shared" si="102"/>
        <v>0</v>
      </c>
      <c r="X135" s="16">
        <f t="shared" si="102"/>
        <v>7573.36</v>
      </c>
      <c r="Y135" s="16">
        <f>SUM(Y108:Y134)</f>
        <v>355.11</v>
      </c>
      <c r="Z135" s="16">
        <f>SUM(Z108:Z134)</f>
        <v>4275.38</v>
      </c>
      <c r="AA135" s="7">
        <f t="shared" si="102"/>
        <v>13314373.720000001</v>
      </c>
      <c r="AI135" s="129"/>
      <c r="AJ135" s="129"/>
      <c r="AK135" s="129"/>
      <c r="AL135" s="129"/>
    </row>
    <row r="136" spans="11:38">
      <c r="L136" s="189"/>
      <c r="AI136" s="129"/>
      <c r="AJ136" s="129"/>
      <c r="AK136" s="129"/>
      <c r="AL136" s="129"/>
    </row>
    <row r="137" spans="11:38">
      <c r="AI137" s="129"/>
      <c r="AJ137" s="129"/>
      <c r="AK137" s="129"/>
      <c r="AL137" s="129"/>
    </row>
  </sheetData>
  <mergeCells count="103"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K38:K39"/>
    <mergeCell ref="L38:L39"/>
    <mergeCell ref="A37:O37"/>
    <mergeCell ref="A38:A39"/>
    <mergeCell ref="B38:C38"/>
    <mergeCell ref="D38:E38"/>
    <mergeCell ref="F38:F39"/>
    <mergeCell ref="G38:G39"/>
    <mergeCell ref="M38:M39"/>
    <mergeCell ref="N38:N39"/>
    <mergeCell ref="O38:O39"/>
    <mergeCell ref="H38:H39"/>
    <mergeCell ref="I38:I39"/>
    <mergeCell ref="J38:J39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G3"/>
    <mergeCell ref="AH3:AH4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F38:AG38"/>
    <mergeCell ref="AH38:AH39"/>
    <mergeCell ref="W73:W74"/>
    <mergeCell ref="X73:X74"/>
    <mergeCell ref="Y73:Y74"/>
    <mergeCell ref="Z73:Z74"/>
    <mergeCell ref="R72:AH72"/>
    <mergeCell ref="A73:A74"/>
    <mergeCell ref="B73:C73"/>
    <mergeCell ref="D73:E73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O73:O74"/>
    <mergeCell ref="R73:R74"/>
    <mergeCell ref="S73:T73"/>
    <mergeCell ref="A72:O72"/>
    <mergeCell ref="B35:H35"/>
    <mergeCell ref="AA106:AA107"/>
    <mergeCell ref="AF73:AG73"/>
    <mergeCell ref="AH73:AH74"/>
    <mergeCell ref="K105:AA105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Y106:Z106"/>
    <mergeCell ref="AA73:AA74"/>
    <mergeCell ref="AB73:AB74"/>
    <mergeCell ref="AC73:AC74"/>
    <mergeCell ref="AD73:AD74"/>
    <mergeCell ref="AE73:AE74"/>
    <mergeCell ref="U73:V73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3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0.59999389629810485"/>
  </sheetPr>
  <dimension ref="A1:XFC37"/>
  <sheetViews>
    <sheetView showGridLines="0" showRowColHeaders="0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 tint="0.59999389629810485"/>
  </sheetPr>
  <dimension ref="A1:XFC37"/>
  <sheetViews>
    <sheetView showGridLines="0" showRowColHeaders="0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0.59999389629810485"/>
  </sheetPr>
  <dimension ref="A1:XFC37"/>
  <sheetViews>
    <sheetView showGridLines="0" showRowColHeaders="0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59999389629810485"/>
  </sheetPr>
  <dimension ref="A1:XFC37"/>
  <sheetViews>
    <sheetView showGridLines="0" showRowColHeaders="0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0.59999389629810485"/>
  </sheetPr>
  <dimension ref="A1:XFC37"/>
  <sheetViews>
    <sheetView showGridLines="0" showRowColHeaders="0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 tint="0.59999389629810485"/>
  </sheetPr>
  <dimension ref="A1:XFC37"/>
  <sheetViews>
    <sheetView showGridLines="0" showRowColHeaders="0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 tint="0.59999389629810485"/>
  </sheetPr>
  <dimension ref="A1:XFC37"/>
  <sheetViews>
    <sheetView showGridLines="0" showRowColHeaders="0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0.59999389629810485"/>
  </sheetPr>
  <dimension ref="A1:XFC37"/>
  <sheetViews>
    <sheetView showGridLines="0" showRowColHeaders="0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9" tint="0.59999389629810485"/>
  </sheetPr>
  <dimension ref="A1:XFC37"/>
  <sheetViews>
    <sheetView showGridLines="0" showRowColHeaders="0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9" tint="0.59999389629810485"/>
    <pageSetUpPr fitToPage="1"/>
  </sheetPr>
  <dimension ref="A1:XFC37"/>
  <sheetViews>
    <sheetView showGridLines="0" showRowColHeaders="0" zoomScale="99" zoomScaleNormal="9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29" ht="1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ht="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ht="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</row>
    <row r="5" spans="1:29" ht="15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</row>
    <row r="6" spans="1:29" ht="1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</row>
    <row r="7" spans="1:29" ht="15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</row>
    <row r="8" spans="1:29" ht="1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</row>
    <row r="9" spans="1:29" ht="1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</row>
    <row r="10" spans="1:29" ht="15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</row>
    <row r="11" spans="1:29" ht="15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</row>
    <row r="12" spans="1:29" ht="15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</row>
    <row r="13" spans="1:29" ht="1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</row>
    <row r="14" spans="1:29" ht="15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</row>
    <row r="15" spans="1:29" ht="15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</row>
    <row r="16" spans="1:29" ht="1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</row>
    <row r="17" spans="1:29" ht="15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</row>
    <row r="18" spans="1:29" ht="15.75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</row>
    <row r="19" spans="1:29" ht="15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ht="15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</row>
    <row r="21" spans="1:29" ht="15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</row>
    <row r="22" spans="1:29" ht="15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</row>
    <row r="23" spans="1:29" ht="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</row>
    <row r="24" spans="1:29" ht="15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</row>
    <row r="25" spans="1:29" ht="15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</row>
    <row r="26" spans="1:29" ht="1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</row>
    <row r="27" spans="1:29" ht="15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</row>
    <row r="28" spans="1:29" ht="1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</row>
    <row r="29" spans="1:29" ht="15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</row>
    <row r="30" spans="1:29" ht="15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</row>
    <row r="31" spans="1:29" ht="15">
      <c r="A31" s="346"/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</row>
    <row r="32" spans="1:29" ht="1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</row>
    <row r="33" spans="1:29" ht="15">
      <c r="A33" s="346"/>
      <c r="B33" s="346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</row>
    <row r="34" spans="1:29" ht="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</row>
    <row r="35" spans="1:29" ht="15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ht="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</row>
    <row r="37" spans="1:29" ht="54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verticalDpi="0" r:id="rId1"/>
  <drawing r:id="rId2"/>
</worksheet>
</file>

<file path=xl/worksheets/sheet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AL135"/>
  <sheetViews>
    <sheetView topLeftCell="AA67" zoomScale="85" zoomScaleNormal="85" workbookViewId="0">
      <selection activeCell="A2" sqref="A2:AC37"/>
    </sheetView>
  </sheetViews>
  <sheetFormatPr defaultRowHeight="15"/>
  <cols>
    <col min="1" max="1" width="23.140625" customWidth="1"/>
    <col min="2" max="2" width="13.85546875" bestFit="1" customWidth="1"/>
    <col min="3" max="3" width="13.7109375" bestFit="1" customWidth="1"/>
    <col min="4" max="4" width="13.28515625" customWidth="1"/>
    <col min="5" max="5" width="13.42578125" bestFit="1" customWidth="1"/>
    <col min="6" max="6" width="13.85546875" bestFit="1" customWidth="1"/>
    <col min="7" max="7" width="19.7109375" bestFit="1" customWidth="1"/>
    <col min="8" max="8" width="11.5703125" bestFit="1" customWidth="1"/>
    <col min="9" max="9" width="15.7109375" bestFit="1" customWidth="1"/>
    <col min="10" max="10" width="13.140625" customWidth="1"/>
    <col min="11" max="11" width="20.42578125" bestFit="1" customWidth="1"/>
    <col min="12" max="14" width="20.28515625" customWidth="1"/>
    <col min="15" max="15" width="15.140625" bestFit="1" customWidth="1"/>
    <col min="16" max="16" width="13.28515625" bestFit="1" customWidth="1"/>
    <col min="17" max="17" width="11.5703125" bestFit="1" customWidth="1"/>
    <col min="18" max="18" width="22" style="20" customWidth="1"/>
    <col min="19" max="19" width="14.42578125" customWidth="1"/>
    <col min="20" max="21" width="12.140625" customWidth="1"/>
    <col min="22" max="22" width="13.5703125" customWidth="1"/>
    <col min="23" max="23" width="13" customWidth="1"/>
    <col min="24" max="24" width="17.7109375" customWidth="1"/>
    <col min="25" max="25" width="12.140625" customWidth="1"/>
    <col min="26" max="26" width="14.7109375" customWidth="1"/>
    <col min="27" max="27" width="15.140625" customWidth="1"/>
    <col min="28" max="28" width="16.140625" customWidth="1"/>
    <col min="29" max="29" width="13.140625" customWidth="1"/>
    <col min="30" max="32" width="12.140625" customWidth="1"/>
    <col min="33" max="33" width="13.28515625" customWidth="1"/>
    <col min="34" max="34" width="14.28515625" bestFit="1" customWidth="1"/>
  </cols>
  <sheetData>
    <row r="2" spans="1:38" ht="46.5">
      <c r="A2" s="292" t="s">
        <v>69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4"/>
      <c r="R2" s="292" t="s">
        <v>72</v>
      </c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4"/>
    </row>
    <row r="3" spans="1:38" ht="21.75" customHeight="1">
      <c r="A3" s="290" t="s">
        <v>33</v>
      </c>
      <c r="B3" s="287" t="s">
        <v>27</v>
      </c>
      <c r="C3" s="288"/>
      <c r="D3" s="287" t="s">
        <v>29</v>
      </c>
      <c r="E3" s="288"/>
      <c r="F3" s="285" t="s">
        <v>28</v>
      </c>
      <c r="G3" s="285" t="s">
        <v>36</v>
      </c>
      <c r="H3" s="285" t="s">
        <v>30</v>
      </c>
      <c r="I3" s="285" t="s">
        <v>31</v>
      </c>
      <c r="J3" s="285" t="s">
        <v>41</v>
      </c>
      <c r="K3" s="285" t="s">
        <v>35</v>
      </c>
      <c r="L3" s="285" t="s">
        <v>40</v>
      </c>
      <c r="M3" s="285" t="s">
        <v>42</v>
      </c>
      <c r="N3" s="285" t="s">
        <v>45</v>
      </c>
      <c r="O3" s="285" t="s">
        <v>34</v>
      </c>
      <c r="R3" s="290" t="s">
        <v>33</v>
      </c>
      <c r="S3" s="287" t="s">
        <v>27</v>
      </c>
      <c r="T3" s="288"/>
      <c r="U3" s="287" t="s">
        <v>29</v>
      </c>
      <c r="V3" s="288"/>
      <c r="W3" s="285" t="s">
        <v>28</v>
      </c>
      <c r="X3" s="285" t="s">
        <v>36</v>
      </c>
      <c r="Y3" s="285" t="s">
        <v>30</v>
      </c>
      <c r="Z3" s="285" t="s">
        <v>31</v>
      </c>
      <c r="AA3" s="285" t="s">
        <v>41</v>
      </c>
      <c r="AB3" s="285" t="s">
        <v>35</v>
      </c>
      <c r="AC3" s="285" t="s">
        <v>40</v>
      </c>
      <c r="AD3" s="285" t="s">
        <v>42</v>
      </c>
      <c r="AE3" s="285" t="s">
        <v>45</v>
      </c>
      <c r="AF3" s="287" t="s">
        <v>52</v>
      </c>
      <c r="AG3" s="288"/>
      <c r="AH3" s="285" t="s">
        <v>34</v>
      </c>
    </row>
    <row r="4" spans="1:38" ht="30">
      <c r="A4" s="291"/>
      <c r="B4" s="56" t="s">
        <v>43</v>
      </c>
      <c r="C4" s="56" t="s">
        <v>44</v>
      </c>
      <c r="D4" s="56" t="s">
        <v>43</v>
      </c>
      <c r="E4" s="56" t="s">
        <v>44</v>
      </c>
      <c r="F4" s="286"/>
      <c r="G4" s="286"/>
      <c r="H4" s="286"/>
      <c r="I4" s="286"/>
      <c r="J4" s="286"/>
      <c r="K4" s="286"/>
      <c r="L4" s="286"/>
      <c r="M4" s="286"/>
      <c r="N4" s="286"/>
      <c r="O4" s="286"/>
      <c r="R4" s="291"/>
      <c r="S4" s="56" t="s">
        <v>43</v>
      </c>
      <c r="T4" s="56" t="s">
        <v>44</v>
      </c>
      <c r="U4" s="56" t="s">
        <v>43</v>
      </c>
      <c r="V4" s="56" t="s">
        <v>44</v>
      </c>
      <c r="W4" s="286"/>
      <c r="X4" s="286"/>
      <c r="Y4" s="286"/>
      <c r="Z4" s="286"/>
      <c r="AA4" s="286"/>
      <c r="AB4" s="286"/>
      <c r="AC4" s="286"/>
      <c r="AD4" s="286"/>
      <c r="AE4" s="286"/>
      <c r="AF4" s="55" t="s">
        <v>53</v>
      </c>
      <c r="AG4" s="55" t="s">
        <v>54</v>
      </c>
      <c r="AH4" s="286"/>
      <c r="AI4" s="129" t="s">
        <v>230</v>
      </c>
      <c r="AJ4" s="129" t="s">
        <v>231</v>
      </c>
      <c r="AK4" s="129" t="s">
        <v>28</v>
      </c>
      <c r="AL4" s="129" t="s">
        <v>233</v>
      </c>
    </row>
    <row r="5" spans="1:38">
      <c r="A5" s="1" t="s">
        <v>119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P5" s="15"/>
      <c r="R5" s="1" t="s">
        <v>0</v>
      </c>
      <c r="S5" s="35">
        <f>S75*0.8</f>
        <v>14254.832000000002</v>
      </c>
      <c r="T5" s="35">
        <f t="shared" ref="T5:AG20" si="0">T75*0.8</f>
        <v>1644.2880000000002</v>
      </c>
      <c r="U5" s="35">
        <f t="shared" si="0"/>
        <v>1735.7439999999999</v>
      </c>
      <c r="V5" s="35">
        <f t="shared" si="0"/>
        <v>395.12800000000004</v>
      </c>
      <c r="W5" s="35">
        <f t="shared" si="0"/>
        <v>15009.984</v>
      </c>
      <c r="X5" s="35">
        <f t="shared" si="0"/>
        <v>303.23200000000003</v>
      </c>
      <c r="Y5" s="35">
        <f t="shared" si="0"/>
        <v>277.12800000000004</v>
      </c>
      <c r="Z5" s="35">
        <f t="shared" si="0"/>
        <v>227.42399999999998</v>
      </c>
      <c r="AA5" s="35">
        <f t="shared" si="0"/>
        <v>399.71199999999999</v>
      </c>
      <c r="AB5" s="35">
        <f t="shared" si="0"/>
        <v>75.808000000000007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34323.279999999999</v>
      </c>
      <c r="AI5" s="129">
        <f>B5+C5+S5+T5</f>
        <v>15899.120000000003</v>
      </c>
      <c r="AJ5" s="129">
        <f>D5+E5+U5+V5</f>
        <v>2130.8719999999998</v>
      </c>
      <c r="AK5" s="129">
        <f>F5+W5</f>
        <v>15009.984</v>
      </c>
      <c r="AL5" s="129">
        <f>SUM(G5:N5)+SUM(X5:AG5)</f>
        <v>1283.3040000000001</v>
      </c>
    </row>
    <row r="6" spans="1:38">
      <c r="A6" s="1" t="s">
        <v>120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P6" s="15"/>
      <c r="R6" s="1" t="s">
        <v>1</v>
      </c>
      <c r="S6" s="35">
        <f t="shared" ref="S6:AG21" si="2">S76*0.8</f>
        <v>39765.752000000008</v>
      </c>
      <c r="T6" s="35">
        <f t="shared" si="2"/>
        <v>6209.52</v>
      </c>
      <c r="U6" s="35">
        <f t="shared" si="2"/>
        <v>943.42399999999998</v>
      </c>
      <c r="V6" s="35">
        <f t="shared" si="2"/>
        <v>71.160000000000011</v>
      </c>
      <c r="W6" s="35">
        <f t="shared" si="2"/>
        <v>51473.632000000005</v>
      </c>
      <c r="X6" s="35">
        <f t="shared" si="2"/>
        <v>2198.4320000000002</v>
      </c>
      <c r="Y6" s="35">
        <f t="shared" si="2"/>
        <v>946.42399999999998</v>
      </c>
      <c r="Z6" s="35">
        <f t="shared" si="2"/>
        <v>0</v>
      </c>
      <c r="AA6" s="35">
        <f t="shared" si="2"/>
        <v>745.48</v>
      </c>
      <c r="AB6" s="35">
        <f t="shared" si="2"/>
        <v>151.61600000000001</v>
      </c>
      <c r="AC6" s="35">
        <f t="shared" si="2"/>
        <v>151.61600000000001</v>
      </c>
      <c r="AD6" s="35">
        <f t="shared" si="2"/>
        <v>0</v>
      </c>
      <c r="AE6" s="35">
        <f t="shared" si="2"/>
        <v>22.112000000000002</v>
      </c>
      <c r="AF6" s="35">
        <f t="shared" si="0"/>
        <v>0</v>
      </c>
      <c r="AG6" s="35">
        <f t="shared" si="0"/>
        <v>0</v>
      </c>
      <c r="AH6" s="4">
        <f t="shared" ref="AH6:AH31" si="3">SUM(S6:AG6)</f>
        <v>102679.16799999999</v>
      </c>
      <c r="AI6" s="129">
        <f t="shared" ref="AI6:AI32" si="4">B6+C6+S6+T6</f>
        <v>45975.272000000012</v>
      </c>
      <c r="AJ6" s="129">
        <f t="shared" ref="AJ6:AJ32" si="5">D6+E6+U6+V6</f>
        <v>1014.5839999999999</v>
      </c>
      <c r="AK6" s="129">
        <f t="shared" ref="AK6:AK32" si="6">F6+W6</f>
        <v>51473.632000000005</v>
      </c>
      <c r="AL6" s="129">
        <f t="shared" ref="AL6:AL32" si="7">SUM(G6:N6)+SUM(X6:AG6)</f>
        <v>4215.68</v>
      </c>
    </row>
    <row r="7" spans="1:38">
      <c r="A7" s="18" t="s">
        <v>121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P7" s="15"/>
      <c r="R7" s="18" t="s">
        <v>2</v>
      </c>
      <c r="S7" s="35">
        <f t="shared" si="2"/>
        <v>12134.68</v>
      </c>
      <c r="T7" s="35">
        <f t="shared" si="2"/>
        <v>5367.5040000000008</v>
      </c>
      <c r="U7" s="35">
        <f t="shared" si="2"/>
        <v>2525.08</v>
      </c>
      <c r="V7" s="35">
        <f t="shared" si="2"/>
        <v>69</v>
      </c>
      <c r="W7" s="35">
        <f t="shared" si="2"/>
        <v>17135.48</v>
      </c>
      <c r="X7" s="35">
        <f t="shared" si="2"/>
        <v>682.27200000000005</v>
      </c>
      <c r="Y7" s="35">
        <f t="shared" si="2"/>
        <v>622.95200000000011</v>
      </c>
      <c r="Z7" s="35">
        <f t="shared" si="2"/>
        <v>0</v>
      </c>
      <c r="AA7" s="35">
        <f t="shared" si="2"/>
        <v>634.34400000000005</v>
      </c>
      <c r="AB7" s="35">
        <f t="shared" si="2"/>
        <v>227.42399999999998</v>
      </c>
      <c r="AC7" s="35">
        <f t="shared" si="2"/>
        <v>0</v>
      </c>
      <c r="AD7" s="35">
        <f t="shared" si="2"/>
        <v>0</v>
      </c>
      <c r="AE7" s="35">
        <f t="shared" si="2"/>
        <v>22.112000000000002</v>
      </c>
      <c r="AF7" s="35">
        <f t="shared" si="0"/>
        <v>0</v>
      </c>
      <c r="AG7" s="35">
        <f t="shared" si="0"/>
        <v>0</v>
      </c>
      <c r="AH7" s="4">
        <f t="shared" si="3"/>
        <v>39420.847999999998</v>
      </c>
      <c r="AI7" s="129">
        <f t="shared" si="4"/>
        <v>17502.184000000001</v>
      </c>
      <c r="AJ7" s="129">
        <f t="shared" si="5"/>
        <v>2594.08</v>
      </c>
      <c r="AK7" s="129">
        <f t="shared" si="6"/>
        <v>17135.48</v>
      </c>
      <c r="AL7" s="129">
        <f t="shared" si="7"/>
        <v>2189.1040000000003</v>
      </c>
    </row>
    <row r="8" spans="1:38">
      <c r="A8" s="2" t="s">
        <v>122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P8" s="15"/>
      <c r="R8" s="2" t="s">
        <v>3</v>
      </c>
      <c r="S8" s="35">
        <f t="shared" si="2"/>
        <v>48435.456000000006</v>
      </c>
      <c r="T8" s="35">
        <f t="shared" si="2"/>
        <v>17527.168000000001</v>
      </c>
      <c r="U8" s="35">
        <f t="shared" si="2"/>
        <v>4686.3919999999998</v>
      </c>
      <c r="V8" s="35">
        <f t="shared" si="2"/>
        <v>2079.3119999999999</v>
      </c>
      <c r="W8" s="35">
        <f t="shared" si="2"/>
        <v>37524.959999999999</v>
      </c>
      <c r="X8" s="35">
        <f t="shared" si="2"/>
        <v>1440.3520000000001</v>
      </c>
      <c r="Y8" s="35">
        <f t="shared" si="2"/>
        <v>2169.7040000000002</v>
      </c>
      <c r="Z8" s="35">
        <f t="shared" si="2"/>
        <v>0</v>
      </c>
      <c r="AA8" s="35">
        <f t="shared" si="2"/>
        <v>2109.4</v>
      </c>
      <c r="AB8" s="35">
        <f t="shared" si="2"/>
        <v>227.42399999999998</v>
      </c>
      <c r="AC8" s="35">
        <f t="shared" si="2"/>
        <v>0</v>
      </c>
      <c r="AD8" s="35">
        <f t="shared" si="2"/>
        <v>0</v>
      </c>
      <c r="AE8" s="35">
        <f t="shared" si="2"/>
        <v>0</v>
      </c>
      <c r="AF8" s="35">
        <f>AF78</f>
        <v>28.58</v>
      </c>
      <c r="AG8" s="35">
        <f>AG78</f>
        <v>0</v>
      </c>
      <c r="AH8" s="4">
        <f t="shared" si="3"/>
        <v>116228.74799999999</v>
      </c>
      <c r="AI8" s="129">
        <f t="shared" si="4"/>
        <v>65962.624000000011</v>
      </c>
      <c r="AJ8" s="129">
        <f t="shared" si="5"/>
        <v>6765.7039999999997</v>
      </c>
      <c r="AK8" s="129">
        <f t="shared" si="6"/>
        <v>37524.959999999999</v>
      </c>
      <c r="AL8" s="129">
        <f t="shared" si="7"/>
        <v>5975.46</v>
      </c>
    </row>
    <row r="9" spans="1:38">
      <c r="A9" s="1" t="s">
        <v>123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P9" s="15"/>
      <c r="R9" s="1" t="s">
        <v>4</v>
      </c>
      <c r="S9" s="35">
        <f t="shared" si="2"/>
        <v>110671.728</v>
      </c>
      <c r="T9" s="35">
        <f t="shared" si="2"/>
        <v>23243.528000000002</v>
      </c>
      <c r="U9" s="35">
        <f t="shared" si="2"/>
        <v>17878.264000000003</v>
      </c>
      <c r="V9" s="35">
        <f t="shared" si="2"/>
        <v>2404.08</v>
      </c>
      <c r="W9" s="35">
        <f t="shared" si="2"/>
        <v>122960.576</v>
      </c>
      <c r="X9" s="35">
        <f t="shared" si="2"/>
        <v>1971.0080000000003</v>
      </c>
      <c r="Y9" s="35">
        <f t="shared" si="2"/>
        <v>4188.0320000000002</v>
      </c>
      <c r="Z9" s="35">
        <f t="shared" si="2"/>
        <v>0</v>
      </c>
      <c r="AA9" s="35">
        <f t="shared" si="2"/>
        <v>2861.8880000000004</v>
      </c>
      <c r="AB9" s="35">
        <f t="shared" si="2"/>
        <v>454.84799999999996</v>
      </c>
      <c r="AC9" s="35">
        <f t="shared" si="2"/>
        <v>0</v>
      </c>
      <c r="AD9" s="35">
        <f t="shared" si="2"/>
        <v>0</v>
      </c>
      <c r="AE9" s="35">
        <f t="shared" si="2"/>
        <v>88.448000000000008</v>
      </c>
      <c r="AF9" s="35">
        <f t="shared" si="0"/>
        <v>0</v>
      </c>
      <c r="AG9" s="35">
        <f t="shared" si="0"/>
        <v>0</v>
      </c>
      <c r="AH9" s="4">
        <f t="shared" si="3"/>
        <v>286722.39999999991</v>
      </c>
      <c r="AI9" s="129">
        <f t="shared" si="4"/>
        <v>133915.25599999999</v>
      </c>
      <c r="AJ9" s="129">
        <f t="shared" si="5"/>
        <v>20282.344000000005</v>
      </c>
      <c r="AK9" s="129">
        <f t="shared" si="6"/>
        <v>122960.576</v>
      </c>
      <c r="AL9" s="129">
        <f t="shared" si="7"/>
        <v>9564.224000000002</v>
      </c>
    </row>
    <row r="10" spans="1:38">
      <c r="A10" s="1" t="s">
        <v>124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P10" s="15"/>
      <c r="R10" s="1" t="s">
        <v>5</v>
      </c>
      <c r="S10" s="35">
        <f t="shared" si="2"/>
        <v>61669.760000000002</v>
      </c>
      <c r="T10" s="35">
        <f t="shared" si="2"/>
        <v>14193.36</v>
      </c>
      <c r="U10" s="35">
        <f t="shared" si="2"/>
        <v>7226.84</v>
      </c>
      <c r="V10" s="35">
        <f t="shared" si="2"/>
        <v>750.57600000000002</v>
      </c>
      <c r="W10" s="35">
        <f t="shared" si="2"/>
        <v>74519.26400000001</v>
      </c>
      <c r="X10" s="35">
        <f t="shared" si="2"/>
        <v>75.808000000000007</v>
      </c>
      <c r="Y10" s="35">
        <f t="shared" si="2"/>
        <v>2490.8240000000005</v>
      </c>
      <c r="Z10" s="35">
        <f t="shared" si="2"/>
        <v>400.36799999999999</v>
      </c>
      <c r="AA10" s="35">
        <f t="shared" si="2"/>
        <v>1713.1680000000001</v>
      </c>
      <c r="AB10" s="35">
        <f t="shared" si="2"/>
        <v>75.808000000000007</v>
      </c>
      <c r="AC10" s="35">
        <f t="shared" si="2"/>
        <v>0</v>
      </c>
      <c r="AD10" s="35">
        <f t="shared" si="2"/>
        <v>0</v>
      </c>
      <c r="AE10" s="35">
        <f t="shared" si="2"/>
        <v>44.224000000000004</v>
      </c>
      <c r="AF10" s="35">
        <f t="shared" si="0"/>
        <v>0</v>
      </c>
      <c r="AG10" s="35">
        <f t="shared" si="0"/>
        <v>0</v>
      </c>
      <c r="AH10" s="4">
        <f t="shared" si="3"/>
        <v>163159.99999999994</v>
      </c>
      <c r="AI10" s="129">
        <f t="shared" si="4"/>
        <v>75863.12</v>
      </c>
      <c r="AJ10" s="129">
        <f t="shared" si="5"/>
        <v>7977.4160000000002</v>
      </c>
      <c r="AK10" s="129">
        <f t="shared" si="6"/>
        <v>74519.26400000001</v>
      </c>
      <c r="AL10" s="129">
        <f t="shared" si="7"/>
        <v>4800.2000000000007</v>
      </c>
    </row>
    <row r="11" spans="1:38">
      <c r="A11" s="1" t="s">
        <v>125</v>
      </c>
      <c r="B11" s="35">
        <v>0</v>
      </c>
      <c r="C11" s="35">
        <v>84.05</v>
      </c>
      <c r="D11" s="35">
        <v>0</v>
      </c>
      <c r="E11" s="35">
        <v>0</v>
      </c>
      <c r="F11" s="35">
        <v>0</v>
      </c>
      <c r="G11" s="35">
        <v>0</v>
      </c>
      <c r="H11" s="35">
        <v>33.270000000000003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117.32</v>
      </c>
      <c r="P11" s="15"/>
      <c r="R11" s="1" t="s">
        <v>6</v>
      </c>
      <c r="S11" s="35">
        <f t="shared" si="2"/>
        <v>123172.28000000001</v>
      </c>
      <c r="T11" s="35">
        <f t="shared" si="2"/>
        <v>26623.352000000003</v>
      </c>
      <c r="U11" s="35">
        <f t="shared" si="2"/>
        <v>13576.432000000001</v>
      </c>
      <c r="V11" s="35">
        <f t="shared" si="2"/>
        <v>7055.4320000000007</v>
      </c>
      <c r="W11" s="35">
        <f t="shared" si="2"/>
        <v>108557.05600000001</v>
      </c>
      <c r="X11" s="35">
        <f t="shared" si="2"/>
        <v>2729.0880000000002</v>
      </c>
      <c r="Y11" s="35">
        <f t="shared" si="2"/>
        <v>5119.2960000000003</v>
      </c>
      <c r="Z11" s="35">
        <f t="shared" si="2"/>
        <v>0</v>
      </c>
      <c r="AA11" s="35">
        <f t="shared" si="2"/>
        <v>3996.424</v>
      </c>
      <c r="AB11" s="35">
        <f t="shared" si="2"/>
        <v>303.23200000000003</v>
      </c>
      <c r="AC11" s="35">
        <f t="shared" si="2"/>
        <v>0</v>
      </c>
      <c r="AD11" s="35">
        <f t="shared" si="2"/>
        <v>0</v>
      </c>
      <c r="AE11" s="35">
        <f t="shared" si="2"/>
        <v>154.78399999999999</v>
      </c>
      <c r="AF11" s="35">
        <f t="shared" si="0"/>
        <v>0</v>
      </c>
      <c r="AG11" s="35">
        <f t="shared" si="0"/>
        <v>0</v>
      </c>
      <c r="AH11" s="4">
        <f t="shared" si="3"/>
        <v>291287.37599999999</v>
      </c>
      <c r="AI11" s="129">
        <f t="shared" si="4"/>
        <v>149879.68200000003</v>
      </c>
      <c r="AJ11" s="129">
        <f t="shared" si="5"/>
        <v>20631.864000000001</v>
      </c>
      <c r="AK11" s="129">
        <f t="shared" si="6"/>
        <v>108557.05600000001</v>
      </c>
      <c r="AL11" s="129">
        <f t="shared" si="7"/>
        <v>12336.094000000001</v>
      </c>
    </row>
    <row r="12" spans="1:38">
      <c r="A12" s="1" t="s">
        <v>126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P12" s="15"/>
      <c r="R12" s="1" t="s">
        <v>7</v>
      </c>
      <c r="S12" s="35">
        <f t="shared" si="2"/>
        <v>84541.168000000005</v>
      </c>
      <c r="T12" s="35">
        <f t="shared" si="2"/>
        <v>14124.472000000002</v>
      </c>
      <c r="U12" s="35">
        <f t="shared" si="2"/>
        <v>9351.3360000000011</v>
      </c>
      <c r="V12" s="35">
        <f t="shared" si="2"/>
        <v>2235.752</v>
      </c>
      <c r="W12" s="35">
        <f t="shared" si="2"/>
        <v>93243.840000000011</v>
      </c>
      <c r="X12" s="35">
        <f t="shared" si="2"/>
        <v>3487.1680000000001</v>
      </c>
      <c r="Y12" s="35">
        <f t="shared" si="2"/>
        <v>2980.768</v>
      </c>
      <c r="Z12" s="35">
        <f t="shared" si="2"/>
        <v>1524.28</v>
      </c>
      <c r="AA12" s="35">
        <f t="shared" si="2"/>
        <v>1770.4400000000003</v>
      </c>
      <c r="AB12" s="35">
        <f t="shared" si="2"/>
        <v>0</v>
      </c>
      <c r="AC12" s="35">
        <f t="shared" si="2"/>
        <v>0</v>
      </c>
      <c r="AD12" s="35">
        <f t="shared" si="2"/>
        <v>0</v>
      </c>
      <c r="AE12" s="35">
        <f t="shared" si="2"/>
        <v>110.56</v>
      </c>
      <c r="AF12" s="35">
        <f t="shared" si="0"/>
        <v>0</v>
      </c>
      <c r="AG12" s="35">
        <f t="shared" si="0"/>
        <v>0</v>
      </c>
      <c r="AH12" s="4">
        <f t="shared" si="3"/>
        <v>213369.78400000004</v>
      </c>
      <c r="AI12" s="129">
        <f t="shared" si="4"/>
        <v>98665.640000000014</v>
      </c>
      <c r="AJ12" s="129">
        <f t="shared" si="5"/>
        <v>11587.088000000002</v>
      </c>
      <c r="AK12" s="129">
        <f t="shared" si="6"/>
        <v>93243.840000000011</v>
      </c>
      <c r="AL12" s="129">
        <f t="shared" si="7"/>
        <v>9873.2159999999985</v>
      </c>
    </row>
    <row r="13" spans="1:38">
      <c r="A13" s="1" t="s">
        <v>127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P13" s="15"/>
      <c r="R13" s="1" t="s">
        <v>8</v>
      </c>
      <c r="S13" s="35">
        <f t="shared" si="2"/>
        <v>101114.74400000001</v>
      </c>
      <c r="T13" s="35">
        <f t="shared" si="2"/>
        <v>20370.567999999999</v>
      </c>
      <c r="U13" s="35">
        <f t="shared" si="2"/>
        <v>11432.832000000002</v>
      </c>
      <c r="V13" s="35">
        <f t="shared" si="2"/>
        <v>2274.3520000000003</v>
      </c>
      <c r="W13" s="35">
        <f t="shared" si="2"/>
        <v>220677.08799999999</v>
      </c>
      <c r="X13" s="35">
        <f t="shared" si="2"/>
        <v>10916.352000000001</v>
      </c>
      <c r="Y13" s="35">
        <f t="shared" si="2"/>
        <v>4085.1280000000002</v>
      </c>
      <c r="Z13" s="35">
        <f t="shared" si="2"/>
        <v>215.4</v>
      </c>
      <c r="AA13" s="35">
        <f t="shared" si="2"/>
        <v>3326.6000000000004</v>
      </c>
      <c r="AB13" s="35">
        <f t="shared" si="2"/>
        <v>151.61600000000001</v>
      </c>
      <c r="AC13" s="35">
        <f t="shared" si="2"/>
        <v>0</v>
      </c>
      <c r="AD13" s="35">
        <f t="shared" si="2"/>
        <v>0</v>
      </c>
      <c r="AE13" s="35">
        <f t="shared" si="2"/>
        <v>243.23200000000003</v>
      </c>
      <c r="AF13" s="35">
        <f t="shared" si="0"/>
        <v>0</v>
      </c>
      <c r="AG13" s="35">
        <f t="shared" si="0"/>
        <v>0</v>
      </c>
      <c r="AH13" s="4">
        <f t="shared" si="3"/>
        <v>374807.91200000007</v>
      </c>
      <c r="AI13" s="129">
        <f t="shared" si="4"/>
        <v>121485.31200000001</v>
      </c>
      <c r="AJ13" s="129">
        <f t="shared" si="5"/>
        <v>13707.184000000003</v>
      </c>
      <c r="AK13" s="129">
        <f t="shared" si="6"/>
        <v>220677.08799999999</v>
      </c>
      <c r="AL13" s="129">
        <f t="shared" si="7"/>
        <v>18938.328000000005</v>
      </c>
    </row>
    <row r="14" spans="1:38">
      <c r="A14" s="2" t="s">
        <v>128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P14" s="15"/>
      <c r="R14" s="2" t="s">
        <v>9</v>
      </c>
      <c r="S14" s="35">
        <f t="shared" si="2"/>
        <v>32256.864000000001</v>
      </c>
      <c r="T14" s="35">
        <f t="shared" si="2"/>
        <v>9778.4560000000001</v>
      </c>
      <c r="U14" s="35">
        <f t="shared" si="2"/>
        <v>4024.288</v>
      </c>
      <c r="V14" s="35">
        <f t="shared" si="2"/>
        <v>756.27200000000005</v>
      </c>
      <c r="W14" s="35">
        <f t="shared" si="2"/>
        <v>30853.856</v>
      </c>
      <c r="X14" s="35">
        <f t="shared" si="2"/>
        <v>530.65600000000006</v>
      </c>
      <c r="Y14" s="35">
        <f t="shared" si="2"/>
        <v>1995.3360000000002</v>
      </c>
      <c r="Z14" s="35">
        <f t="shared" si="2"/>
        <v>0</v>
      </c>
      <c r="AA14" s="35">
        <f t="shared" si="2"/>
        <v>1103.4080000000001</v>
      </c>
      <c r="AB14" s="35">
        <f t="shared" si="2"/>
        <v>75.808000000000007</v>
      </c>
      <c r="AC14" s="35">
        <f t="shared" si="2"/>
        <v>0</v>
      </c>
      <c r="AD14" s="35">
        <f t="shared" si="2"/>
        <v>0</v>
      </c>
      <c r="AE14" s="35">
        <f t="shared" si="2"/>
        <v>22.112000000000002</v>
      </c>
      <c r="AF14" s="35">
        <f t="shared" si="0"/>
        <v>0</v>
      </c>
      <c r="AG14" s="35">
        <f t="shared" si="0"/>
        <v>0</v>
      </c>
      <c r="AH14" s="4">
        <f t="shared" si="3"/>
        <v>81397.055999999997</v>
      </c>
      <c r="AI14" s="129">
        <f t="shared" si="4"/>
        <v>42035.32</v>
      </c>
      <c r="AJ14" s="129">
        <f t="shared" si="5"/>
        <v>4780.5600000000004</v>
      </c>
      <c r="AK14" s="129">
        <f t="shared" si="6"/>
        <v>30853.856</v>
      </c>
      <c r="AL14" s="129">
        <f t="shared" si="7"/>
        <v>3727.3200000000006</v>
      </c>
    </row>
    <row r="15" spans="1:38">
      <c r="A15" s="18" t="s">
        <v>129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0</v>
      </c>
      <c r="P15" s="15"/>
      <c r="R15" s="18" t="s">
        <v>10</v>
      </c>
      <c r="S15" s="35">
        <f t="shared" si="2"/>
        <v>74014.176000000007</v>
      </c>
      <c r="T15" s="35">
        <f t="shared" si="2"/>
        <v>11904.816000000001</v>
      </c>
      <c r="U15" s="35">
        <f t="shared" si="2"/>
        <v>8845.9600000000009</v>
      </c>
      <c r="V15" s="35">
        <f t="shared" si="2"/>
        <v>897.28</v>
      </c>
      <c r="W15" s="35">
        <f t="shared" si="2"/>
        <v>196266.91200000001</v>
      </c>
      <c r="X15" s="35">
        <f t="shared" si="2"/>
        <v>1440.3520000000001</v>
      </c>
      <c r="Y15" s="35">
        <f t="shared" si="2"/>
        <v>1195.8</v>
      </c>
      <c r="Z15" s="35">
        <f t="shared" si="2"/>
        <v>0</v>
      </c>
      <c r="AA15" s="35">
        <f t="shared" si="2"/>
        <v>2090.192</v>
      </c>
      <c r="AB15" s="35">
        <f t="shared" si="2"/>
        <v>151.61600000000001</v>
      </c>
      <c r="AC15" s="35">
        <f t="shared" si="2"/>
        <v>151.61600000000001</v>
      </c>
      <c r="AD15" s="35">
        <f t="shared" si="2"/>
        <v>0</v>
      </c>
      <c r="AE15" s="35">
        <f t="shared" si="2"/>
        <v>22.112000000000002</v>
      </c>
      <c r="AF15" s="35">
        <f t="shared" si="0"/>
        <v>0</v>
      </c>
      <c r="AG15" s="35">
        <f t="shared" si="0"/>
        <v>0</v>
      </c>
      <c r="AH15" s="4">
        <f t="shared" si="3"/>
        <v>296980.83199999999</v>
      </c>
      <c r="AI15" s="129">
        <f t="shared" si="4"/>
        <v>85918.992000000013</v>
      </c>
      <c r="AJ15" s="129">
        <f t="shared" si="5"/>
        <v>9743.2400000000016</v>
      </c>
      <c r="AK15" s="129">
        <f t="shared" si="6"/>
        <v>196266.91200000001</v>
      </c>
      <c r="AL15" s="129">
        <f t="shared" si="7"/>
        <v>5051.6880000000001</v>
      </c>
    </row>
    <row r="16" spans="1:38">
      <c r="A16" s="1" t="s">
        <v>130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P16" s="15"/>
      <c r="R16" s="1" t="s">
        <v>11</v>
      </c>
      <c r="S16" s="35">
        <f t="shared" si="2"/>
        <v>62467.144</v>
      </c>
      <c r="T16" s="35">
        <f t="shared" si="2"/>
        <v>12462.256000000001</v>
      </c>
      <c r="U16" s="35">
        <f t="shared" si="2"/>
        <v>12635.464</v>
      </c>
      <c r="V16" s="35">
        <f t="shared" si="2"/>
        <v>1960.6720000000003</v>
      </c>
      <c r="W16" s="35">
        <f t="shared" si="2"/>
        <v>173524.51200000002</v>
      </c>
      <c r="X16" s="35">
        <f t="shared" si="2"/>
        <v>3032.32</v>
      </c>
      <c r="Y16" s="35">
        <f t="shared" si="2"/>
        <v>2343.9360000000001</v>
      </c>
      <c r="Z16" s="35">
        <f t="shared" si="2"/>
        <v>1382.6720000000003</v>
      </c>
      <c r="AA16" s="35">
        <f t="shared" si="2"/>
        <v>1851.8080000000002</v>
      </c>
      <c r="AB16" s="35">
        <f t="shared" si="2"/>
        <v>530.65600000000006</v>
      </c>
      <c r="AC16" s="35">
        <f t="shared" si="2"/>
        <v>0</v>
      </c>
      <c r="AD16" s="35">
        <f t="shared" si="2"/>
        <v>0</v>
      </c>
      <c r="AE16" s="35">
        <f t="shared" si="2"/>
        <v>22.112000000000002</v>
      </c>
      <c r="AF16" s="35">
        <f t="shared" si="0"/>
        <v>0</v>
      </c>
      <c r="AG16" s="35">
        <f t="shared" si="0"/>
        <v>0</v>
      </c>
      <c r="AH16" s="4">
        <f t="shared" si="3"/>
        <v>272213.55200000008</v>
      </c>
      <c r="AI16" s="129">
        <f t="shared" si="4"/>
        <v>74929.399999999994</v>
      </c>
      <c r="AJ16" s="129">
        <f t="shared" si="5"/>
        <v>14596.136</v>
      </c>
      <c r="AK16" s="129">
        <f t="shared" si="6"/>
        <v>173524.51200000002</v>
      </c>
      <c r="AL16" s="129">
        <f t="shared" si="7"/>
        <v>9163.5040000000008</v>
      </c>
    </row>
    <row r="17" spans="1:38">
      <c r="A17" s="1" t="s">
        <v>131</v>
      </c>
      <c r="B17" s="35">
        <v>0</v>
      </c>
      <c r="C17" s="35">
        <v>126.07</v>
      </c>
      <c r="D17" s="35">
        <v>0</v>
      </c>
      <c r="E17" s="35">
        <v>0</v>
      </c>
      <c r="F17" s="35">
        <v>0</v>
      </c>
      <c r="G17" s="35">
        <v>0</v>
      </c>
      <c r="H17" s="35">
        <v>49.89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175.95999999999998</v>
      </c>
      <c r="P17" s="15"/>
      <c r="R17" s="1" t="s">
        <v>12</v>
      </c>
      <c r="S17" s="35">
        <f t="shared" si="2"/>
        <v>303894.03200000001</v>
      </c>
      <c r="T17" s="35">
        <f t="shared" si="2"/>
        <v>81726.280000000013</v>
      </c>
      <c r="U17" s="35">
        <f t="shared" si="2"/>
        <v>32460.103999999999</v>
      </c>
      <c r="V17" s="35">
        <f t="shared" si="2"/>
        <v>16041.072</v>
      </c>
      <c r="W17" s="35">
        <f t="shared" si="2"/>
        <v>357813.76000000001</v>
      </c>
      <c r="X17" s="35">
        <f t="shared" si="2"/>
        <v>6064.64</v>
      </c>
      <c r="Y17" s="35">
        <f t="shared" si="2"/>
        <v>19355.864000000001</v>
      </c>
      <c r="Z17" s="35">
        <f t="shared" si="2"/>
        <v>0</v>
      </c>
      <c r="AA17" s="35">
        <f t="shared" si="2"/>
        <v>10911.488000000001</v>
      </c>
      <c r="AB17" s="35">
        <f t="shared" si="2"/>
        <v>2274.2400000000002</v>
      </c>
      <c r="AC17" s="35">
        <f t="shared" si="2"/>
        <v>0</v>
      </c>
      <c r="AD17" s="35">
        <f t="shared" si="2"/>
        <v>0</v>
      </c>
      <c r="AE17" s="35">
        <f t="shared" si="2"/>
        <v>464.35200000000009</v>
      </c>
      <c r="AF17" s="35">
        <f t="shared" si="0"/>
        <v>0</v>
      </c>
      <c r="AG17" s="35">
        <f t="shared" si="0"/>
        <v>0</v>
      </c>
      <c r="AH17" s="4">
        <f t="shared" si="3"/>
        <v>831005.83200000005</v>
      </c>
      <c r="AI17" s="129">
        <f t="shared" si="4"/>
        <v>385746.38200000004</v>
      </c>
      <c r="AJ17" s="129">
        <f t="shared" si="5"/>
        <v>48501.175999999999</v>
      </c>
      <c r="AK17" s="129">
        <f t="shared" si="6"/>
        <v>357813.76000000001</v>
      </c>
      <c r="AL17" s="129">
        <f t="shared" si="7"/>
        <v>39120.473999999995</v>
      </c>
    </row>
    <row r="18" spans="1:38">
      <c r="A18" s="1" t="s">
        <v>132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P18" s="15"/>
      <c r="R18" s="1" t="s">
        <v>15</v>
      </c>
      <c r="S18" s="35">
        <f t="shared" si="2"/>
        <v>50730.12</v>
      </c>
      <c r="T18" s="35">
        <f t="shared" si="2"/>
        <v>16260.567999999999</v>
      </c>
      <c r="U18" s="35">
        <f t="shared" si="2"/>
        <v>5629.2080000000005</v>
      </c>
      <c r="V18" s="35">
        <f t="shared" si="2"/>
        <v>2884.7040000000002</v>
      </c>
      <c r="W18" s="35">
        <f t="shared" si="2"/>
        <v>46925.152000000002</v>
      </c>
      <c r="X18" s="35">
        <f t="shared" si="2"/>
        <v>1895.2</v>
      </c>
      <c r="Y18" s="35">
        <f t="shared" si="2"/>
        <v>3665.0239999999999</v>
      </c>
      <c r="Z18" s="35">
        <f t="shared" si="2"/>
        <v>0</v>
      </c>
      <c r="AA18" s="35">
        <f t="shared" si="2"/>
        <v>2364.152</v>
      </c>
      <c r="AB18" s="35">
        <f t="shared" si="2"/>
        <v>75.808000000000007</v>
      </c>
      <c r="AC18" s="35">
        <f t="shared" si="2"/>
        <v>0</v>
      </c>
      <c r="AD18" s="35">
        <f t="shared" si="2"/>
        <v>0</v>
      </c>
      <c r="AE18" s="35">
        <f t="shared" si="2"/>
        <v>22.112000000000002</v>
      </c>
      <c r="AF18" s="35">
        <f t="shared" si="0"/>
        <v>0</v>
      </c>
      <c r="AG18" s="35">
        <f t="shared" si="0"/>
        <v>0</v>
      </c>
      <c r="AH18" s="4">
        <f t="shared" si="3"/>
        <v>130452.048</v>
      </c>
      <c r="AI18" s="129">
        <f t="shared" si="4"/>
        <v>66990.687999999995</v>
      </c>
      <c r="AJ18" s="129">
        <f t="shared" si="5"/>
        <v>8513.9120000000003</v>
      </c>
      <c r="AK18" s="129">
        <f t="shared" si="6"/>
        <v>46925.152000000002</v>
      </c>
      <c r="AL18" s="129">
        <f t="shared" si="7"/>
        <v>8022.2960000000003</v>
      </c>
    </row>
    <row r="19" spans="1:38">
      <c r="A19" s="39" t="s">
        <v>133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0</v>
      </c>
      <c r="P19" s="15"/>
      <c r="R19" s="1" t="s">
        <v>14</v>
      </c>
      <c r="S19" s="35">
        <f t="shared" si="2"/>
        <v>50513.496000000006</v>
      </c>
      <c r="T19" s="35">
        <f t="shared" si="2"/>
        <v>9659.2720000000008</v>
      </c>
      <c r="U19" s="35">
        <f t="shared" si="2"/>
        <v>6334.2880000000005</v>
      </c>
      <c r="V19" s="35">
        <f t="shared" si="2"/>
        <v>755.12800000000004</v>
      </c>
      <c r="W19" s="35">
        <f t="shared" si="2"/>
        <v>65422.304000000004</v>
      </c>
      <c r="X19" s="35">
        <f t="shared" si="2"/>
        <v>530.65600000000006</v>
      </c>
      <c r="Y19" s="35">
        <f t="shared" si="2"/>
        <v>1958.848</v>
      </c>
      <c r="Z19" s="35">
        <f t="shared" si="2"/>
        <v>0</v>
      </c>
      <c r="AA19" s="35">
        <f t="shared" si="2"/>
        <v>1237.2560000000001</v>
      </c>
      <c r="AB19" s="35">
        <f t="shared" si="2"/>
        <v>75.808000000000007</v>
      </c>
      <c r="AC19" s="35">
        <f t="shared" si="2"/>
        <v>0</v>
      </c>
      <c r="AD19" s="35">
        <f t="shared" si="2"/>
        <v>0</v>
      </c>
      <c r="AE19" s="35">
        <f t="shared" si="2"/>
        <v>0</v>
      </c>
      <c r="AF19" s="35">
        <f t="shared" si="0"/>
        <v>0</v>
      </c>
      <c r="AG19" s="35">
        <f t="shared" si="0"/>
        <v>0</v>
      </c>
      <c r="AH19" s="4">
        <f t="shared" si="3"/>
        <v>136487.05599999998</v>
      </c>
      <c r="AI19" s="129">
        <f t="shared" si="4"/>
        <v>60172.768000000011</v>
      </c>
      <c r="AJ19" s="129">
        <f t="shared" si="5"/>
        <v>7089.4160000000002</v>
      </c>
      <c r="AK19" s="129">
        <f t="shared" si="6"/>
        <v>65422.304000000004</v>
      </c>
      <c r="AL19" s="129">
        <f t="shared" si="7"/>
        <v>3802.5680000000002</v>
      </c>
    </row>
    <row r="20" spans="1:38">
      <c r="A20" s="18" t="s">
        <v>134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P20" s="15"/>
      <c r="R20" s="18" t="s">
        <v>13</v>
      </c>
      <c r="S20" s="35">
        <f t="shared" si="2"/>
        <v>297766.696</v>
      </c>
      <c r="T20" s="35">
        <f t="shared" si="2"/>
        <v>43340.208000000006</v>
      </c>
      <c r="U20" s="35">
        <f t="shared" si="2"/>
        <v>56134.90400000001</v>
      </c>
      <c r="V20" s="35">
        <f t="shared" si="2"/>
        <v>17544.304</v>
      </c>
      <c r="W20" s="35">
        <f t="shared" si="2"/>
        <v>532096.35199999996</v>
      </c>
      <c r="X20" s="35">
        <f t="shared" si="2"/>
        <v>5609.7920000000004</v>
      </c>
      <c r="Y20" s="35">
        <f t="shared" si="2"/>
        <v>8505.1280000000006</v>
      </c>
      <c r="Z20" s="35">
        <f t="shared" si="2"/>
        <v>221.11199999999999</v>
      </c>
      <c r="AA20" s="35">
        <f t="shared" si="2"/>
        <v>8297.8880000000008</v>
      </c>
      <c r="AB20" s="35">
        <f t="shared" si="2"/>
        <v>2729.0880000000002</v>
      </c>
      <c r="AC20" s="35">
        <f t="shared" si="2"/>
        <v>0</v>
      </c>
      <c r="AD20" s="35">
        <f t="shared" si="2"/>
        <v>0</v>
      </c>
      <c r="AE20" s="35">
        <f t="shared" si="2"/>
        <v>199.00800000000001</v>
      </c>
      <c r="AF20" s="35">
        <f t="shared" si="0"/>
        <v>0</v>
      </c>
      <c r="AG20" s="35">
        <f t="shared" si="0"/>
        <v>0</v>
      </c>
      <c r="AH20" s="4">
        <f t="shared" si="3"/>
        <v>972444.48</v>
      </c>
      <c r="AI20" s="129">
        <f t="shared" si="4"/>
        <v>341106.90399999998</v>
      </c>
      <c r="AJ20" s="129">
        <f t="shared" si="5"/>
        <v>73679.208000000013</v>
      </c>
      <c r="AK20" s="129">
        <f t="shared" si="6"/>
        <v>532096.35199999996</v>
      </c>
      <c r="AL20" s="129">
        <f t="shared" si="7"/>
        <v>25562.016000000003</v>
      </c>
    </row>
    <row r="21" spans="1:38">
      <c r="A21" s="1" t="s">
        <v>135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P21" s="15"/>
      <c r="R21" s="1" t="s">
        <v>16</v>
      </c>
      <c r="S21" s="35">
        <f t="shared" si="2"/>
        <v>111322.08000000002</v>
      </c>
      <c r="T21" s="35">
        <f t="shared" si="2"/>
        <v>34273.128000000004</v>
      </c>
      <c r="U21" s="35">
        <f t="shared" si="2"/>
        <v>14023.752</v>
      </c>
      <c r="V21" s="35">
        <f t="shared" si="2"/>
        <v>4319.2400000000007</v>
      </c>
      <c r="W21" s="35">
        <f t="shared" si="2"/>
        <v>115986.23999999999</v>
      </c>
      <c r="X21" s="35">
        <f t="shared" si="2"/>
        <v>2956.5120000000002</v>
      </c>
      <c r="Y21" s="35">
        <f t="shared" si="2"/>
        <v>4524.8160000000007</v>
      </c>
      <c r="Z21" s="35">
        <f t="shared" si="2"/>
        <v>427.024</v>
      </c>
      <c r="AA21" s="35">
        <f t="shared" si="2"/>
        <v>6174.12</v>
      </c>
      <c r="AB21" s="35">
        <f t="shared" si="2"/>
        <v>606.46400000000006</v>
      </c>
      <c r="AC21" s="35">
        <f t="shared" si="2"/>
        <v>151.61600000000001</v>
      </c>
      <c r="AD21" s="35">
        <f t="shared" si="2"/>
        <v>0</v>
      </c>
      <c r="AE21" s="35">
        <f t="shared" si="2"/>
        <v>44.224000000000004</v>
      </c>
      <c r="AF21" s="35">
        <f t="shared" si="2"/>
        <v>0</v>
      </c>
      <c r="AG21" s="35">
        <f t="shared" si="2"/>
        <v>0</v>
      </c>
      <c r="AH21" s="4">
        <f t="shared" si="3"/>
        <v>294809.2159999999</v>
      </c>
      <c r="AI21" s="129">
        <f t="shared" si="4"/>
        <v>145595.20800000001</v>
      </c>
      <c r="AJ21" s="129">
        <f t="shared" si="5"/>
        <v>18342.992000000002</v>
      </c>
      <c r="AK21" s="129">
        <f t="shared" si="6"/>
        <v>115986.23999999999</v>
      </c>
      <c r="AL21" s="129">
        <f t="shared" si="7"/>
        <v>14884.776000000002</v>
      </c>
    </row>
    <row r="22" spans="1:38">
      <c r="A22" s="1" t="s">
        <v>136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P22" s="15"/>
      <c r="R22" s="1" t="s">
        <v>17</v>
      </c>
      <c r="S22" s="35">
        <f t="shared" ref="S22:AG31" si="8">S92*0.8</f>
        <v>24223.968000000001</v>
      </c>
      <c r="T22" s="35">
        <f t="shared" si="8"/>
        <v>3212.3040000000001</v>
      </c>
      <c r="U22" s="35">
        <f t="shared" si="8"/>
        <v>5978.16</v>
      </c>
      <c r="V22" s="35">
        <f t="shared" si="8"/>
        <v>245.72800000000004</v>
      </c>
      <c r="W22" s="35">
        <f t="shared" si="8"/>
        <v>24729.407999999999</v>
      </c>
      <c r="X22" s="35">
        <f t="shared" si="8"/>
        <v>1895.2</v>
      </c>
      <c r="Y22" s="35">
        <f t="shared" si="8"/>
        <v>382.08000000000004</v>
      </c>
      <c r="Z22" s="35">
        <f t="shared" si="8"/>
        <v>5546.7360000000008</v>
      </c>
      <c r="AA22" s="35">
        <f t="shared" si="8"/>
        <v>534.70400000000006</v>
      </c>
      <c r="AB22" s="35">
        <f t="shared" si="8"/>
        <v>0</v>
      </c>
      <c r="AC22" s="35">
        <f t="shared" si="8"/>
        <v>0</v>
      </c>
      <c r="AD22" s="35">
        <f t="shared" si="8"/>
        <v>0</v>
      </c>
      <c r="AE22" s="35">
        <f t="shared" si="8"/>
        <v>44.224000000000004</v>
      </c>
      <c r="AF22" s="35">
        <f>AF92</f>
        <v>0</v>
      </c>
      <c r="AG22" s="35">
        <f>AG92</f>
        <v>0</v>
      </c>
      <c r="AH22" s="4">
        <f t="shared" si="3"/>
        <v>66792.512000000002</v>
      </c>
      <c r="AI22" s="129">
        <f t="shared" si="4"/>
        <v>27436.272000000001</v>
      </c>
      <c r="AJ22" s="129">
        <f t="shared" si="5"/>
        <v>6223.8879999999999</v>
      </c>
      <c r="AK22" s="129">
        <f t="shared" si="6"/>
        <v>24729.407999999999</v>
      </c>
      <c r="AL22" s="129">
        <f t="shared" si="7"/>
        <v>8402.9440000000013</v>
      </c>
    </row>
    <row r="23" spans="1:38">
      <c r="A23" s="1" t="s">
        <v>137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0</v>
      </c>
      <c r="P23" s="15"/>
      <c r="R23" s="1" t="s">
        <v>18</v>
      </c>
      <c r="S23" s="35">
        <f t="shared" si="8"/>
        <v>353665.88</v>
      </c>
      <c r="T23" s="35">
        <f t="shared" si="8"/>
        <v>65221.52</v>
      </c>
      <c r="U23" s="35">
        <f t="shared" si="8"/>
        <v>55814.840000000004</v>
      </c>
      <c r="V23" s="35">
        <f t="shared" si="8"/>
        <v>11560.160000000002</v>
      </c>
      <c r="W23" s="35">
        <f t="shared" si="8"/>
        <v>365849.40800000005</v>
      </c>
      <c r="X23" s="35">
        <f t="shared" si="8"/>
        <v>13493.824000000001</v>
      </c>
      <c r="Y23" s="35">
        <f t="shared" si="8"/>
        <v>14084.016000000001</v>
      </c>
      <c r="Z23" s="35">
        <f t="shared" si="8"/>
        <v>2389.48</v>
      </c>
      <c r="AA23" s="35">
        <f t="shared" si="8"/>
        <v>8619.4639999999999</v>
      </c>
      <c r="AB23" s="35">
        <f t="shared" si="8"/>
        <v>985.50400000000013</v>
      </c>
      <c r="AC23" s="35">
        <f t="shared" si="8"/>
        <v>0</v>
      </c>
      <c r="AD23" s="35">
        <f t="shared" si="8"/>
        <v>0</v>
      </c>
      <c r="AE23" s="35">
        <f t="shared" si="8"/>
        <v>619.13599999999997</v>
      </c>
      <c r="AF23" s="35">
        <f t="shared" si="8"/>
        <v>0</v>
      </c>
      <c r="AG23" s="35">
        <f t="shared" si="8"/>
        <v>0</v>
      </c>
      <c r="AH23" s="4">
        <f t="shared" si="3"/>
        <v>892303.23200000008</v>
      </c>
      <c r="AI23" s="129">
        <f t="shared" si="4"/>
        <v>418887.4</v>
      </c>
      <c r="AJ23" s="129">
        <f t="shared" si="5"/>
        <v>67375</v>
      </c>
      <c r="AK23" s="129">
        <f t="shared" si="6"/>
        <v>365849.40800000005</v>
      </c>
      <c r="AL23" s="129">
        <f t="shared" si="7"/>
        <v>40191.423999999999</v>
      </c>
    </row>
    <row r="24" spans="1:38">
      <c r="A24" s="1" t="s">
        <v>138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0</v>
      </c>
      <c r="P24" s="15"/>
      <c r="R24" s="1" t="s">
        <v>20</v>
      </c>
      <c r="S24" s="35">
        <f t="shared" si="8"/>
        <v>53432.200000000004</v>
      </c>
      <c r="T24" s="35">
        <f t="shared" si="8"/>
        <v>13607.44</v>
      </c>
      <c r="U24" s="35">
        <f t="shared" si="8"/>
        <v>4102.2960000000003</v>
      </c>
      <c r="V24" s="35">
        <f t="shared" si="8"/>
        <v>1582.768</v>
      </c>
      <c r="W24" s="35">
        <f t="shared" si="8"/>
        <v>55870.495999999999</v>
      </c>
      <c r="X24" s="35">
        <f t="shared" si="8"/>
        <v>2046.816</v>
      </c>
      <c r="Y24" s="35">
        <f t="shared" si="8"/>
        <v>2380.2159999999999</v>
      </c>
      <c r="Z24" s="35">
        <f t="shared" si="8"/>
        <v>0</v>
      </c>
      <c r="AA24" s="35">
        <f t="shared" si="8"/>
        <v>2222.6799999999998</v>
      </c>
      <c r="AB24" s="35">
        <f t="shared" si="8"/>
        <v>151.61600000000001</v>
      </c>
      <c r="AC24" s="35">
        <f t="shared" si="8"/>
        <v>151.61600000000001</v>
      </c>
      <c r="AD24" s="35">
        <f t="shared" si="8"/>
        <v>0</v>
      </c>
      <c r="AE24" s="35">
        <f t="shared" si="8"/>
        <v>44.224000000000004</v>
      </c>
      <c r="AF24" s="35">
        <f t="shared" si="8"/>
        <v>0</v>
      </c>
      <c r="AG24" s="35">
        <f t="shared" si="8"/>
        <v>0</v>
      </c>
      <c r="AH24" s="4">
        <f t="shared" si="3"/>
        <v>135592.36799999999</v>
      </c>
      <c r="AI24" s="129">
        <f t="shared" si="4"/>
        <v>67039.64</v>
      </c>
      <c r="AJ24" s="129">
        <f t="shared" si="5"/>
        <v>5685.0640000000003</v>
      </c>
      <c r="AK24" s="129">
        <f t="shared" si="6"/>
        <v>55870.495999999999</v>
      </c>
      <c r="AL24" s="129">
        <f t="shared" si="7"/>
        <v>6997.1679999999997</v>
      </c>
    </row>
    <row r="25" spans="1:38">
      <c r="A25" s="1" t="s">
        <v>139</v>
      </c>
      <c r="B25" s="35">
        <v>0</v>
      </c>
      <c r="C25" s="35">
        <v>84.03</v>
      </c>
      <c r="D25" s="35">
        <v>0</v>
      </c>
      <c r="E25" s="35">
        <v>0</v>
      </c>
      <c r="F25" s="35">
        <v>0</v>
      </c>
      <c r="G25" s="35">
        <v>0</v>
      </c>
      <c r="H25" s="35">
        <v>34.380000000000003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>SUM(B25:N25)</f>
        <v>118.41</v>
      </c>
      <c r="P25" s="15"/>
      <c r="R25" s="1" t="s">
        <v>19</v>
      </c>
      <c r="S25" s="35">
        <f t="shared" si="8"/>
        <v>389311.82400000002</v>
      </c>
      <c r="T25" s="35">
        <f t="shared" si="8"/>
        <v>86976.072</v>
      </c>
      <c r="U25" s="35">
        <f t="shared" si="8"/>
        <v>65308.743999999999</v>
      </c>
      <c r="V25" s="35">
        <f t="shared" si="8"/>
        <v>22104.256000000001</v>
      </c>
      <c r="W25" s="35">
        <f t="shared" si="8"/>
        <v>669005.60000000009</v>
      </c>
      <c r="X25" s="35">
        <f t="shared" si="8"/>
        <v>9248.5759999999991</v>
      </c>
      <c r="Y25" s="35">
        <f t="shared" si="8"/>
        <v>18698.096000000001</v>
      </c>
      <c r="Z25" s="35">
        <f t="shared" si="8"/>
        <v>787.41600000000005</v>
      </c>
      <c r="AA25" s="35">
        <f t="shared" si="8"/>
        <v>13542.552</v>
      </c>
      <c r="AB25" s="35">
        <f t="shared" si="8"/>
        <v>1288.7360000000001</v>
      </c>
      <c r="AC25" s="35">
        <f t="shared" si="8"/>
        <v>0</v>
      </c>
      <c r="AD25" s="35">
        <f t="shared" si="8"/>
        <v>0</v>
      </c>
      <c r="AE25" s="35">
        <f t="shared" si="8"/>
        <v>309.56799999999998</v>
      </c>
      <c r="AF25" s="35">
        <f t="shared" si="8"/>
        <v>0</v>
      </c>
      <c r="AG25" s="35">
        <f t="shared" si="8"/>
        <v>0</v>
      </c>
      <c r="AH25" s="4">
        <f t="shared" si="3"/>
        <v>1276581.44</v>
      </c>
      <c r="AI25" s="129">
        <f t="shared" si="4"/>
        <v>476371.92600000004</v>
      </c>
      <c r="AJ25" s="129">
        <f t="shared" si="5"/>
        <v>87413</v>
      </c>
      <c r="AK25" s="129">
        <f t="shared" si="6"/>
        <v>669005.60000000009</v>
      </c>
      <c r="AL25" s="129">
        <f t="shared" si="7"/>
        <v>43909.323999999993</v>
      </c>
    </row>
    <row r="26" spans="1:38">
      <c r="A26" s="1" t="s">
        <v>140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P26" s="15"/>
      <c r="R26" s="1" t="s">
        <v>21</v>
      </c>
      <c r="S26" s="35">
        <f t="shared" si="8"/>
        <v>23249.784</v>
      </c>
      <c r="T26" s="35">
        <f t="shared" si="8"/>
        <v>3175.6560000000004</v>
      </c>
      <c r="U26" s="35">
        <f t="shared" si="8"/>
        <v>3659.4080000000004</v>
      </c>
      <c r="V26" s="35">
        <f t="shared" si="8"/>
        <v>1359.16</v>
      </c>
      <c r="W26" s="35">
        <f t="shared" si="8"/>
        <v>56856</v>
      </c>
      <c r="X26" s="35">
        <f t="shared" si="8"/>
        <v>303.23200000000003</v>
      </c>
      <c r="Y26" s="35">
        <f t="shared" si="8"/>
        <v>435.97600000000006</v>
      </c>
      <c r="Z26" s="35">
        <f t="shared" si="8"/>
        <v>0</v>
      </c>
      <c r="AA26" s="35">
        <f t="shared" si="8"/>
        <v>715.28000000000009</v>
      </c>
      <c r="AB26" s="35">
        <f t="shared" si="8"/>
        <v>75.808000000000007</v>
      </c>
      <c r="AC26" s="35">
        <f t="shared" si="8"/>
        <v>0</v>
      </c>
      <c r="AD26" s="35">
        <f t="shared" si="8"/>
        <v>0</v>
      </c>
      <c r="AE26" s="35">
        <f t="shared" si="8"/>
        <v>0</v>
      </c>
      <c r="AF26" s="35">
        <f t="shared" si="8"/>
        <v>0</v>
      </c>
      <c r="AG26" s="35">
        <f t="shared" si="8"/>
        <v>0</v>
      </c>
      <c r="AH26" s="4">
        <f t="shared" si="3"/>
        <v>89830.304000000004</v>
      </c>
      <c r="AI26" s="129">
        <f t="shared" si="4"/>
        <v>26425.439999999999</v>
      </c>
      <c r="AJ26" s="129">
        <f t="shared" si="5"/>
        <v>5018.5680000000002</v>
      </c>
      <c r="AK26" s="129">
        <f t="shared" si="6"/>
        <v>56856</v>
      </c>
      <c r="AL26" s="129">
        <f t="shared" si="7"/>
        <v>1530.2960000000003</v>
      </c>
    </row>
    <row r="27" spans="1:38">
      <c r="A27" s="2" t="s">
        <v>141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P27" s="15"/>
      <c r="R27" s="2" t="s">
        <v>22</v>
      </c>
      <c r="S27" s="35">
        <f t="shared" si="8"/>
        <v>3736.6959999999999</v>
      </c>
      <c r="T27" s="35">
        <f t="shared" si="8"/>
        <v>637.82400000000007</v>
      </c>
      <c r="U27" s="35">
        <f t="shared" si="8"/>
        <v>410.29600000000005</v>
      </c>
      <c r="V27" s="35">
        <f t="shared" si="8"/>
        <v>84.591999999999999</v>
      </c>
      <c r="W27" s="35">
        <f t="shared" si="8"/>
        <v>14479.328000000001</v>
      </c>
      <c r="X27" s="35">
        <f t="shared" si="8"/>
        <v>151.61600000000001</v>
      </c>
      <c r="Y27" s="35">
        <f t="shared" si="8"/>
        <v>61.752000000000002</v>
      </c>
      <c r="Z27" s="35">
        <f t="shared" si="8"/>
        <v>0</v>
      </c>
      <c r="AA27" s="35">
        <f t="shared" si="8"/>
        <v>92.128</v>
      </c>
      <c r="AB27" s="35">
        <f t="shared" si="8"/>
        <v>0</v>
      </c>
      <c r="AC27" s="35">
        <f t="shared" si="8"/>
        <v>0</v>
      </c>
      <c r="AD27" s="35">
        <f t="shared" si="8"/>
        <v>0</v>
      </c>
      <c r="AE27" s="35">
        <f t="shared" si="8"/>
        <v>0</v>
      </c>
      <c r="AF27" s="35">
        <f t="shared" si="8"/>
        <v>0</v>
      </c>
      <c r="AG27" s="35">
        <f t="shared" si="8"/>
        <v>0</v>
      </c>
      <c r="AH27" s="4">
        <f t="shared" si="3"/>
        <v>19654.232000000004</v>
      </c>
      <c r="AI27" s="129">
        <f t="shared" si="4"/>
        <v>4374.5200000000004</v>
      </c>
      <c r="AJ27" s="129">
        <f t="shared" si="5"/>
        <v>494.88800000000003</v>
      </c>
      <c r="AK27" s="129">
        <f t="shared" si="6"/>
        <v>14479.328000000001</v>
      </c>
      <c r="AL27" s="129">
        <f t="shared" si="7"/>
        <v>305.49600000000004</v>
      </c>
    </row>
    <row r="28" spans="1:38">
      <c r="A28" s="1" t="s">
        <v>142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P28" s="15"/>
      <c r="R28" s="1" t="s">
        <v>23</v>
      </c>
      <c r="S28" s="35">
        <f t="shared" si="8"/>
        <v>249299.89600000001</v>
      </c>
      <c r="T28" s="35">
        <f t="shared" si="8"/>
        <v>28153.624</v>
      </c>
      <c r="U28" s="35">
        <f t="shared" si="8"/>
        <v>32206.096000000005</v>
      </c>
      <c r="V28" s="35">
        <f t="shared" si="8"/>
        <v>7618.52</v>
      </c>
      <c r="W28" s="35">
        <f t="shared" si="8"/>
        <v>393822.56000000006</v>
      </c>
      <c r="X28" s="35">
        <f t="shared" si="8"/>
        <v>2501.6640000000002</v>
      </c>
      <c r="Y28" s="35">
        <f t="shared" si="8"/>
        <v>4881.92</v>
      </c>
      <c r="Z28" s="35">
        <f t="shared" si="8"/>
        <v>0</v>
      </c>
      <c r="AA28" s="35">
        <f t="shared" si="8"/>
        <v>4467.6160000000009</v>
      </c>
      <c r="AB28" s="35">
        <f t="shared" si="8"/>
        <v>758.08</v>
      </c>
      <c r="AC28" s="35">
        <f t="shared" si="8"/>
        <v>0</v>
      </c>
      <c r="AD28" s="35">
        <f t="shared" si="8"/>
        <v>0</v>
      </c>
      <c r="AE28" s="35">
        <f t="shared" si="8"/>
        <v>353.79200000000003</v>
      </c>
      <c r="AF28" s="35">
        <f t="shared" si="8"/>
        <v>0</v>
      </c>
      <c r="AG28" s="35">
        <f t="shared" si="8"/>
        <v>0</v>
      </c>
      <c r="AH28" s="4">
        <f t="shared" si="3"/>
        <v>724063.76800000016</v>
      </c>
      <c r="AI28" s="129">
        <f t="shared" si="4"/>
        <v>277453.52</v>
      </c>
      <c r="AJ28" s="129">
        <f t="shared" si="5"/>
        <v>39824.616000000009</v>
      </c>
      <c r="AK28" s="129">
        <f t="shared" si="6"/>
        <v>393822.56000000006</v>
      </c>
      <c r="AL28" s="129">
        <f t="shared" si="7"/>
        <v>12963.072</v>
      </c>
    </row>
    <row r="29" spans="1:38">
      <c r="A29" s="1" t="s">
        <v>143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P29" s="15"/>
      <c r="R29" s="1" t="s">
        <v>25</v>
      </c>
      <c r="S29" s="35">
        <f t="shared" si="8"/>
        <v>1315003.504</v>
      </c>
      <c r="T29" s="35">
        <f t="shared" si="8"/>
        <v>248320.16800000003</v>
      </c>
      <c r="U29" s="35">
        <f t="shared" si="8"/>
        <v>145099.52800000002</v>
      </c>
      <c r="V29" s="35">
        <f t="shared" si="8"/>
        <v>36520.216</v>
      </c>
      <c r="W29" s="35">
        <f t="shared" si="8"/>
        <v>2277499.7440000004</v>
      </c>
      <c r="X29" s="35">
        <f t="shared" si="8"/>
        <v>17663.423999999999</v>
      </c>
      <c r="Y29" s="35">
        <f t="shared" si="8"/>
        <v>57624.031999999999</v>
      </c>
      <c r="Z29" s="35">
        <f t="shared" si="8"/>
        <v>6115.1360000000004</v>
      </c>
      <c r="AA29" s="35">
        <f t="shared" si="8"/>
        <v>32187.2984</v>
      </c>
      <c r="AB29" s="35">
        <f t="shared" si="8"/>
        <v>3032.32</v>
      </c>
      <c r="AC29" s="35">
        <f t="shared" si="8"/>
        <v>758.08</v>
      </c>
      <c r="AD29" s="35">
        <f t="shared" si="8"/>
        <v>0</v>
      </c>
      <c r="AE29" s="35">
        <f t="shared" si="8"/>
        <v>1791.0720000000001</v>
      </c>
      <c r="AF29" s="35">
        <f>AF99</f>
        <v>508.69</v>
      </c>
      <c r="AG29" s="35">
        <f>AG99</f>
        <v>4882.3599999999997</v>
      </c>
      <c r="AH29" s="4">
        <f t="shared" si="3"/>
        <v>4147005.5724000004</v>
      </c>
      <c r="AI29" s="129">
        <f t="shared" si="4"/>
        <v>1563323.672</v>
      </c>
      <c r="AJ29" s="129">
        <f t="shared" si="5"/>
        <v>181619.74400000001</v>
      </c>
      <c r="AK29" s="129">
        <f t="shared" si="6"/>
        <v>2277499.7440000004</v>
      </c>
      <c r="AL29" s="129">
        <f t="shared" si="7"/>
        <v>124562.41240000002</v>
      </c>
    </row>
    <row r="30" spans="1:38">
      <c r="A30" s="1" t="s">
        <v>144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15"/>
      <c r="R30" s="1" t="s">
        <v>24</v>
      </c>
      <c r="S30" s="35">
        <f t="shared" si="8"/>
        <v>29157.776000000002</v>
      </c>
      <c r="T30" s="35">
        <f t="shared" si="8"/>
        <v>10003.120000000001</v>
      </c>
      <c r="U30" s="35">
        <f t="shared" si="8"/>
        <v>3276.1200000000003</v>
      </c>
      <c r="V30" s="35">
        <f t="shared" si="8"/>
        <v>427.024</v>
      </c>
      <c r="W30" s="35">
        <f t="shared" si="8"/>
        <v>42376.671999999999</v>
      </c>
      <c r="X30" s="35">
        <f t="shared" si="8"/>
        <v>1667.7759999999998</v>
      </c>
      <c r="Y30" s="35">
        <f t="shared" si="8"/>
        <v>1030.336</v>
      </c>
      <c r="Z30" s="35">
        <f t="shared" si="8"/>
        <v>0</v>
      </c>
      <c r="AA30" s="35">
        <f t="shared" si="8"/>
        <v>1425.3120000000001</v>
      </c>
      <c r="AB30" s="35">
        <f t="shared" si="8"/>
        <v>0</v>
      </c>
      <c r="AC30" s="35">
        <f t="shared" si="8"/>
        <v>0</v>
      </c>
      <c r="AD30" s="35">
        <f t="shared" si="8"/>
        <v>0</v>
      </c>
      <c r="AE30" s="35">
        <f t="shared" si="8"/>
        <v>44.224000000000004</v>
      </c>
      <c r="AF30" s="35">
        <f t="shared" si="8"/>
        <v>0</v>
      </c>
      <c r="AG30" s="35">
        <f t="shared" si="8"/>
        <v>0</v>
      </c>
      <c r="AH30" s="4">
        <f t="shared" si="3"/>
        <v>89408.36</v>
      </c>
      <c r="AI30" s="129">
        <f t="shared" si="4"/>
        <v>39160.896000000001</v>
      </c>
      <c r="AJ30" s="129">
        <f t="shared" si="5"/>
        <v>3703.1440000000002</v>
      </c>
      <c r="AK30" s="129">
        <f t="shared" si="6"/>
        <v>42376.671999999999</v>
      </c>
      <c r="AL30" s="129">
        <f t="shared" si="7"/>
        <v>4167.6480000000001</v>
      </c>
    </row>
    <row r="31" spans="1:38">
      <c r="A31" s="1" t="s">
        <v>145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P31" s="15"/>
      <c r="R31" s="1" t="s">
        <v>26</v>
      </c>
      <c r="S31" s="35">
        <f t="shared" si="8"/>
        <v>18858.712</v>
      </c>
      <c r="T31" s="35">
        <f t="shared" si="8"/>
        <v>4911.8960000000006</v>
      </c>
      <c r="U31" s="35">
        <f t="shared" si="8"/>
        <v>2574.1440000000002</v>
      </c>
      <c r="V31" s="35">
        <f t="shared" si="8"/>
        <v>1236.8800000000001</v>
      </c>
      <c r="W31" s="35">
        <f t="shared" si="8"/>
        <v>26229.567999999999</v>
      </c>
      <c r="X31" s="35">
        <f t="shared" si="8"/>
        <v>379.04</v>
      </c>
      <c r="Y31" s="35">
        <f t="shared" si="8"/>
        <v>882.2</v>
      </c>
      <c r="Z31" s="35">
        <f t="shared" si="8"/>
        <v>442.22399999999999</v>
      </c>
      <c r="AA31" s="35">
        <f t="shared" si="8"/>
        <v>662.32</v>
      </c>
      <c r="AB31" s="35">
        <f t="shared" si="8"/>
        <v>227.42399999999998</v>
      </c>
      <c r="AC31" s="35">
        <f t="shared" si="8"/>
        <v>0</v>
      </c>
      <c r="AD31" s="35">
        <f t="shared" si="8"/>
        <v>0</v>
      </c>
      <c r="AE31" s="35">
        <f t="shared" si="8"/>
        <v>0</v>
      </c>
      <c r="AF31" s="35">
        <f t="shared" si="8"/>
        <v>0</v>
      </c>
      <c r="AG31" s="35">
        <f t="shared" si="8"/>
        <v>0</v>
      </c>
      <c r="AH31" s="4">
        <f t="shared" si="3"/>
        <v>56404.407999999996</v>
      </c>
      <c r="AI31" s="129">
        <f t="shared" si="4"/>
        <v>23770.608</v>
      </c>
      <c r="AJ31" s="129">
        <f t="shared" si="5"/>
        <v>3811.0240000000003</v>
      </c>
      <c r="AK31" s="129">
        <f t="shared" si="6"/>
        <v>26229.567999999999</v>
      </c>
      <c r="AL31" s="129">
        <f t="shared" si="7"/>
        <v>2593.2080000000001</v>
      </c>
    </row>
    <row r="32" spans="1:38">
      <c r="A32" s="6" t="s">
        <v>37</v>
      </c>
      <c r="B32" s="7">
        <f>SUM(B5:B31)</f>
        <v>0</v>
      </c>
      <c r="C32" s="7">
        <f>SUM(C5:C31)</f>
        <v>294.14999999999998</v>
      </c>
      <c r="D32" s="7">
        <f>SUM(D5:D31)</f>
        <v>0</v>
      </c>
      <c r="E32" s="7">
        <f>SUM(E5:E31)</f>
        <v>0</v>
      </c>
      <c r="F32" s="7">
        <f t="shared" ref="F32:N32" si="9">SUM(F5:F31)</f>
        <v>0</v>
      </c>
      <c r="G32" s="7">
        <f t="shared" si="9"/>
        <v>0</v>
      </c>
      <c r="H32" s="7">
        <f t="shared" si="9"/>
        <v>117.53999999999999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>SUM(O5:O31)</f>
        <v>411.68999999999994</v>
      </c>
      <c r="R32" s="6" t="s">
        <v>37</v>
      </c>
      <c r="S32" s="7">
        <f>SUM(S5:S31)</f>
        <v>4038665.2480000006</v>
      </c>
      <c r="T32" s="7">
        <f>SUM(T5:T31)</f>
        <v>812928.36800000013</v>
      </c>
      <c r="U32" s="7">
        <f>SUM(U5:U31)</f>
        <v>527873.94400000002</v>
      </c>
      <c r="V32" s="7">
        <f>SUM(V5:V31)</f>
        <v>145232.76800000001</v>
      </c>
      <c r="W32" s="7">
        <f t="shared" ref="W32:AG32" si="10">SUM(W5:W31)</f>
        <v>6186709.7520000003</v>
      </c>
      <c r="X32" s="7">
        <f t="shared" si="10"/>
        <v>95215.007999999987</v>
      </c>
      <c r="Y32" s="7">
        <f t="shared" si="10"/>
        <v>166885.63200000004</v>
      </c>
      <c r="Z32" s="7">
        <f t="shared" si="10"/>
        <v>19679.272000000001</v>
      </c>
      <c r="AA32" s="7">
        <f t="shared" si="10"/>
        <v>116057.12240000001</v>
      </c>
      <c r="AB32" s="7">
        <f t="shared" si="10"/>
        <v>14706.752</v>
      </c>
      <c r="AC32" s="7">
        <f t="shared" si="10"/>
        <v>1364.5440000000001</v>
      </c>
      <c r="AD32" s="7">
        <f t="shared" si="10"/>
        <v>0</v>
      </c>
      <c r="AE32" s="7">
        <f t="shared" si="10"/>
        <v>4687.7440000000006</v>
      </c>
      <c r="AF32" s="7">
        <f t="shared" si="10"/>
        <v>537.27</v>
      </c>
      <c r="AG32" s="7">
        <f t="shared" si="10"/>
        <v>4882.3599999999997</v>
      </c>
      <c r="AH32" s="7">
        <f>SUM(AH5:AH31)</f>
        <v>12135425.784399997</v>
      </c>
      <c r="AI32" s="129">
        <f t="shared" si="4"/>
        <v>4851887.7660000008</v>
      </c>
      <c r="AJ32" s="129">
        <f t="shared" si="5"/>
        <v>673106.71200000006</v>
      </c>
      <c r="AK32" s="129">
        <f t="shared" si="6"/>
        <v>6186709.7520000003</v>
      </c>
      <c r="AL32" s="129">
        <f t="shared" si="7"/>
        <v>424133.24439999997</v>
      </c>
    </row>
    <row r="33" spans="1:38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2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  <c r="AI33" s="129"/>
      <c r="AJ33" s="129"/>
      <c r="AK33" s="129"/>
      <c r="AL33" s="129"/>
    </row>
    <row r="34" spans="1:38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  <c r="AI34" s="129"/>
      <c r="AJ34" s="129"/>
      <c r="AK34" s="129"/>
      <c r="AL34" s="129"/>
    </row>
    <row r="35" spans="1:38">
      <c r="A35" s="42" t="s">
        <v>14</v>
      </c>
      <c r="B35" s="295" t="s">
        <v>46</v>
      </c>
      <c r="C35" s="295"/>
      <c r="D35" s="295"/>
      <c r="E35" s="295"/>
      <c r="F35" s="295"/>
      <c r="G35" s="295"/>
      <c r="H35" s="295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  <c r="AI35" s="129"/>
      <c r="AJ35" s="129"/>
      <c r="AK35" s="129"/>
      <c r="AL35" s="129"/>
    </row>
    <row r="36" spans="1:38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  <c r="AI36" s="129"/>
      <c r="AJ36" s="129"/>
      <c r="AK36" s="129"/>
      <c r="AL36" s="129"/>
    </row>
    <row r="37" spans="1:38" ht="46.5">
      <c r="A37" s="292" t="s">
        <v>70</v>
      </c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4"/>
      <c r="R37" s="292" t="s">
        <v>71</v>
      </c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4"/>
      <c r="AI37" s="129"/>
      <c r="AJ37" s="129"/>
      <c r="AK37" s="129"/>
      <c r="AL37" s="129"/>
    </row>
    <row r="38" spans="1:38" ht="21.75" customHeight="1">
      <c r="A38" s="290" t="s">
        <v>33</v>
      </c>
      <c r="B38" s="287" t="s">
        <v>27</v>
      </c>
      <c r="C38" s="288"/>
      <c r="D38" s="287" t="s">
        <v>29</v>
      </c>
      <c r="E38" s="288"/>
      <c r="F38" s="285" t="s">
        <v>28</v>
      </c>
      <c r="G38" s="285" t="s">
        <v>36</v>
      </c>
      <c r="H38" s="285" t="s">
        <v>30</v>
      </c>
      <c r="I38" s="285" t="s">
        <v>31</v>
      </c>
      <c r="J38" s="285" t="s">
        <v>41</v>
      </c>
      <c r="K38" s="285" t="s">
        <v>35</v>
      </c>
      <c r="L38" s="285" t="s">
        <v>40</v>
      </c>
      <c r="M38" s="285" t="s">
        <v>42</v>
      </c>
      <c r="N38" s="285" t="s">
        <v>45</v>
      </c>
      <c r="O38" s="285" t="s">
        <v>34</v>
      </c>
      <c r="R38" s="290" t="s">
        <v>33</v>
      </c>
      <c r="S38" s="287" t="s">
        <v>27</v>
      </c>
      <c r="T38" s="288"/>
      <c r="U38" s="287" t="s">
        <v>29</v>
      </c>
      <c r="V38" s="288"/>
      <c r="W38" s="285" t="s">
        <v>28</v>
      </c>
      <c r="X38" s="285" t="s">
        <v>36</v>
      </c>
      <c r="Y38" s="285" t="s">
        <v>30</v>
      </c>
      <c r="Z38" s="285" t="s">
        <v>31</v>
      </c>
      <c r="AA38" s="285" t="s">
        <v>41</v>
      </c>
      <c r="AB38" s="285" t="s">
        <v>35</v>
      </c>
      <c r="AC38" s="285" t="s">
        <v>40</v>
      </c>
      <c r="AD38" s="285" t="s">
        <v>42</v>
      </c>
      <c r="AE38" s="285" t="s">
        <v>45</v>
      </c>
      <c r="AF38" s="287" t="s">
        <v>52</v>
      </c>
      <c r="AG38" s="288"/>
      <c r="AH38" s="285" t="s">
        <v>34</v>
      </c>
      <c r="AI38" s="129"/>
      <c r="AJ38" s="129"/>
      <c r="AK38" s="129"/>
      <c r="AL38" s="129"/>
    </row>
    <row r="39" spans="1:38" ht="33.75" customHeight="1">
      <c r="A39" s="291"/>
      <c r="B39" s="56" t="s">
        <v>43</v>
      </c>
      <c r="C39" s="56" t="s">
        <v>44</v>
      </c>
      <c r="D39" s="56" t="s">
        <v>43</v>
      </c>
      <c r="E39" s="56" t="s">
        <v>44</v>
      </c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R39" s="291"/>
      <c r="S39" s="56" t="s">
        <v>43</v>
      </c>
      <c r="T39" s="56" t="s">
        <v>44</v>
      </c>
      <c r="U39" s="56" t="s">
        <v>43</v>
      </c>
      <c r="V39" s="56" t="s">
        <v>44</v>
      </c>
      <c r="W39" s="286"/>
      <c r="X39" s="286"/>
      <c r="Y39" s="286"/>
      <c r="Z39" s="286"/>
      <c r="AA39" s="286"/>
      <c r="AB39" s="286"/>
      <c r="AC39" s="286"/>
      <c r="AD39" s="286"/>
      <c r="AE39" s="286"/>
      <c r="AF39" s="55" t="s">
        <v>53</v>
      </c>
      <c r="AG39" s="55" t="s">
        <v>54</v>
      </c>
      <c r="AH39" s="286"/>
      <c r="AI39" s="129" t="s">
        <v>230</v>
      </c>
      <c r="AJ39" s="129" t="s">
        <v>231</v>
      </c>
      <c r="AK39" s="129" t="s">
        <v>28</v>
      </c>
      <c r="AL39" s="129" t="s">
        <v>233</v>
      </c>
    </row>
    <row r="40" spans="1:38">
      <c r="A40" s="1" t="s">
        <v>119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35">
        <f>S75*0.2</f>
        <v>3563.7080000000005</v>
      </c>
      <c r="T40" s="35">
        <f t="shared" ref="T40:AG55" si="11">T75*0.2</f>
        <v>411.07200000000006</v>
      </c>
      <c r="U40" s="35">
        <f t="shared" si="11"/>
        <v>433.93599999999998</v>
      </c>
      <c r="V40" s="35">
        <f t="shared" si="11"/>
        <v>98.782000000000011</v>
      </c>
      <c r="W40" s="35">
        <f t="shared" si="11"/>
        <v>3752.4960000000001</v>
      </c>
      <c r="X40" s="35">
        <f t="shared" si="11"/>
        <v>75.808000000000007</v>
      </c>
      <c r="Y40" s="35">
        <f t="shared" si="11"/>
        <v>69.282000000000011</v>
      </c>
      <c r="Z40" s="35">
        <f t="shared" si="11"/>
        <v>56.855999999999995</v>
      </c>
      <c r="AA40" s="35">
        <f t="shared" si="11"/>
        <v>99.927999999999997</v>
      </c>
      <c r="AB40" s="35">
        <f t="shared" si="11"/>
        <v>18.952000000000002</v>
      </c>
      <c r="AC40" s="35">
        <f t="shared" si="11"/>
        <v>0</v>
      </c>
      <c r="AD40" s="35">
        <f t="shared" si="11"/>
        <v>0</v>
      </c>
      <c r="AE40" s="35">
        <f t="shared" si="11"/>
        <v>0</v>
      </c>
      <c r="AF40" s="35">
        <f t="shared" si="11"/>
        <v>0</v>
      </c>
      <c r="AG40" s="35">
        <f t="shared" si="11"/>
        <v>0</v>
      </c>
      <c r="AH40" s="4">
        <f>SUM(S40:AG40)</f>
        <v>8580.82</v>
      </c>
      <c r="AI40" s="129">
        <f>B40+C40+S40+T40</f>
        <v>3974.7800000000007</v>
      </c>
      <c r="AJ40" s="129">
        <f>D40+E40+U40+V40</f>
        <v>532.71799999999996</v>
      </c>
      <c r="AK40" s="129">
        <f>F40+W40</f>
        <v>3752.4960000000001</v>
      </c>
      <c r="AL40" s="129">
        <f>SUM(G40:N40)+SUM(X40:AG40)</f>
        <v>320.82600000000002</v>
      </c>
    </row>
    <row r="41" spans="1:38">
      <c r="A41" s="1" t="s">
        <v>120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12">SUM(B41:N41)</f>
        <v>0</v>
      </c>
      <c r="R41" s="1" t="s">
        <v>1</v>
      </c>
      <c r="S41" s="35">
        <f t="shared" ref="S41:AG56" si="13">S76*0.2</f>
        <v>9941.4380000000019</v>
      </c>
      <c r="T41" s="35">
        <f t="shared" si="13"/>
        <v>1552.38</v>
      </c>
      <c r="U41" s="35">
        <f t="shared" si="13"/>
        <v>235.85599999999999</v>
      </c>
      <c r="V41" s="35">
        <f t="shared" si="13"/>
        <v>17.790000000000003</v>
      </c>
      <c r="W41" s="35">
        <f t="shared" si="13"/>
        <v>12868.408000000001</v>
      </c>
      <c r="X41" s="35">
        <f t="shared" si="13"/>
        <v>549.60800000000006</v>
      </c>
      <c r="Y41" s="35">
        <f t="shared" si="13"/>
        <v>236.60599999999999</v>
      </c>
      <c r="Z41" s="35">
        <f t="shared" si="13"/>
        <v>0</v>
      </c>
      <c r="AA41" s="35">
        <f t="shared" si="13"/>
        <v>186.37</v>
      </c>
      <c r="AB41" s="35">
        <f t="shared" si="13"/>
        <v>37.904000000000003</v>
      </c>
      <c r="AC41" s="35">
        <f t="shared" si="13"/>
        <v>37.904000000000003</v>
      </c>
      <c r="AD41" s="35">
        <f t="shared" si="13"/>
        <v>0</v>
      </c>
      <c r="AE41" s="35">
        <f t="shared" si="13"/>
        <v>5.5280000000000005</v>
      </c>
      <c r="AF41" s="35">
        <f t="shared" si="11"/>
        <v>0</v>
      </c>
      <c r="AG41" s="35">
        <f t="shared" si="11"/>
        <v>0</v>
      </c>
      <c r="AH41" s="4">
        <f t="shared" ref="AH41:AH66" si="14">SUM(S41:AG41)</f>
        <v>25669.791999999998</v>
      </c>
      <c r="AI41" s="129">
        <f t="shared" ref="AI41:AI67" si="15">B41+C41+S41+T41</f>
        <v>11493.818000000003</v>
      </c>
      <c r="AJ41" s="129">
        <f t="shared" ref="AJ41:AJ67" si="16">D41+E41+U41+V41</f>
        <v>253.64599999999999</v>
      </c>
      <c r="AK41" s="129">
        <f t="shared" ref="AK41:AK67" si="17">F41+W41</f>
        <v>12868.408000000001</v>
      </c>
      <c r="AL41" s="129">
        <f t="shared" ref="AL41:AL67" si="18">SUM(G41:N41)+SUM(X41:AG41)</f>
        <v>1053.92</v>
      </c>
    </row>
    <row r="42" spans="1:38">
      <c r="A42" s="18" t="s">
        <v>121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12"/>
        <v>0</v>
      </c>
      <c r="R42" s="18" t="s">
        <v>2</v>
      </c>
      <c r="S42" s="35">
        <f t="shared" si="13"/>
        <v>3033.67</v>
      </c>
      <c r="T42" s="35">
        <f t="shared" si="13"/>
        <v>1341.8760000000002</v>
      </c>
      <c r="U42" s="35">
        <f t="shared" si="13"/>
        <v>631.27</v>
      </c>
      <c r="V42" s="35">
        <f t="shared" si="13"/>
        <v>17.25</v>
      </c>
      <c r="W42" s="35">
        <f t="shared" si="13"/>
        <v>4283.87</v>
      </c>
      <c r="X42" s="35">
        <f t="shared" si="13"/>
        <v>170.56800000000001</v>
      </c>
      <c r="Y42" s="35">
        <f t="shared" si="13"/>
        <v>155.73800000000003</v>
      </c>
      <c r="Z42" s="35">
        <f t="shared" si="13"/>
        <v>0</v>
      </c>
      <c r="AA42" s="35">
        <f t="shared" si="13"/>
        <v>158.58600000000001</v>
      </c>
      <c r="AB42" s="35">
        <f t="shared" si="13"/>
        <v>56.855999999999995</v>
      </c>
      <c r="AC42" s="35">
        <f t="shared" si="13"/>
        <v>0</v>
      </c>
      <c r="AD42" s="35">
        <f t="shared" si="13"/>
        <v>0</v>
      </c>
      <c r="AE42" s="35">
        <f t="shared" si="13"/>
        <v>5.5280000000000005</v>
      </c>
      <c r="AF42" s="35">
        <f t="shared" si="11"/>
        <v>0</v>
      </c>
      <c r="AG42" s="35">
        <f t="shared" si="11"/>
        <v>0</v>
      </c>
      <c r="AH42" s="4">
        <f t="shared" si="14"/>
        <v>9855.2119999999995</v>
      </c>
      <c r="AI42" s="129">
        <f t="shared" si="15"/>
        <v>4375.5460000000003</v>
      </c>
      <c r="AJ42" s="129">
        <f t="shared" si="16"/>
        <v>648.52</v>
      </c>
      <c r="AK42" s="129">
        <f t="shared" si="17"/>
        <v>4283.87</v>
      </c>
      <c r="AL42" s="129">
        <f t="shared" si="18"/>
        <v>547.27600000000007</v>
      </c>
    </row>
    <row r="43" spans="1:38">
      <c r="A43" s="2" t="s">
        <v>122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12"/>
        <v>0</v>
      </c>
      <c r="R43" s="2" t="s">
        <v>3</v>
      </c>
      <c r="S43" s="35">
        <f t="shared" si="13"/>
        <v>12108.864000000001</v>
      </c>
      <c r="T43" s="35">
        <f t="shared" si="13"/>
        <v>4381.7920000000004</v>
      </c>
      <c r="U43" s="35">
        <f t="shared" si="13"/>
        <v>1171.598</v>
      </c>
      <c r="V43" s="35">
        <f t="shared" si="13"/>
        <v>519.82799999999997</v>
      </c>
      <c r="W43" s="35">
        <f t="shared" si="13"/>
        <v>9381.24</v>
      </c>
      <c r="X43" s="35">
        <f t="shared" si="13"/>
        <v>360.08800000000002</v>
      </c>
      <c r="Y43" s="35">
        <f t="shared" si="13"/>
        <v>542.42600000000004</v>
      </c>
      <c r="Z43" s="35">
        <f t="shared" si="13"/>
        <v>0</v>
      </c>
      <c r="AA43" s="35">
        <f t="shared" si="13"/>
        <v>527.35</v>
      </c>
      <c r="AB43" s="35">
        <f t="shared" si="13"/>
        <v>56.855999999999995</v>
      </c>
      <c r="AC43" s="35">
        <f t="shared" si="13"/>
        <v>0</v>
      </c>
      <c r="AD43" s="35">
        <f t="shared" si="13"/>
        <v>0</v>
      </c>
      <c r="AE43" s="35">
        <f t="shared" si="13"/>
        <v>0</v>
      </c>
      <c r="AF43" s="35">
        <v>0</v>
      </c>
      <c r="AG43" s="35">
        <v>0</v>
      </c>
      <c r="AH43" s="4">
        <f t="shared" si="14"/>
        <v>29050.041999999998</v>
      </c>
      <c r="AI43" s="129">
        <f t="shared" si="15"/>
        <v>16490.656000000003</v>
      </c>
      <c r="AJ43" s="129">
        <f t="shared" si="16"/>
        <v>1691.4259999999999</v>
      </c>
      <c r="AK43" s="129">
        <f t="shared" si="17"/>
        <v>9381.24</v>
      </c>
      <c r="AL43" s="129">
        <f t="shared" si="18"/>
        <v>1486.72</v>
      </c>
    </row>
    <row r="44" spans="1:38">
      <c r="A44" s="1" t="s">
        <v>123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12"/>
        <v>0</v>
      </c>
      <c r="R44" s="1" t="s">
        <v>4</v>
      </c>
      <c r="S44" s="35">
        <f t="shared" si="13"/>
        <v>27667.932000000001</v>
      </c>
      <c r="T44" s="35">
        <f t="shared" si="13"/>
        <v>5810.8820000000005</v>
      </c>
      <c r="U44" s="35">
        <f t="shared" si="13"/>
        <v>4469.5660000000007</v>
      </c>
      <c r="V44" s="35">
        <f t="shared" si="13"/>
        <v>601.02</v>
      </c>
      <c r="W44" s="35">
        <f t="shared" si="13"/>
        <v>30740.144</v>
      </c>
      <c r="X44" s="35">
        <f t="shared" si="13"/>
        <v>492.75200000000007</v>
      </c>
      <c r="Y44" s="35">
        <f t="shared" si="13"/>
        <v>1047.008</v>
      </c>
      <c r="Z44" s="35">
        <f t="shared" si="13"/>
        <v>0</v>
      </c>
      <c r="AA44" s="35">
        <f t="shared" si="13"/>
        <v>715.47200000000009</v>
      </c>
      <c r="AB44" s="35">
        <f t="shared" si="13"/>
        <v>113.71199999999999</v>
      </c>
      <c r="AC44" s="35">
        <f t="shared" si="13"/>
        <v>0</v>
      </c>
      <c r="AD44" s="35">
        <f t="shared" si="13"/>
        <v>0</v>
      </c>
      <c r="AE44" s="35">
        <f t="shared" si="13"/>
        <v>22.112000000000002</v>
      </c>
      <c r="AF44" s="35">
        <f t="shared" si="11"/>
        <v>0</v>
      </c>
      <c r="AG44" s="35">
        <f t="shared" si="11"/>
        <v>0</v>
      </c>
      <c r="AH44" s="4">
        <f t="shared" si="14"/>
        <v>71680.599999999977</v>
      </c>
      <c r="AI44" s="129">
        <f t="shared" si="15"/>
        <v>33478.813999999998</v>
      </c>
      <c r="AJ44" s="129">
        <f t="shared" si="16"/>
        <v>5070.5860000000011</v>
      </c>
      <c r="AK44" s="129">
        <f t="shared" si="17"/>
        <v>30740.144</v>
      </c>
      <c r="AL44" s="129">
        <f t="shared" si="18"/>
        <v>2391.0560000000005</v>
      </c>
    </row>
    <row r="45" spans="1:38">
      <c r="A45" s="1" t="s">
        <v>124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12"/>
        <v>0</v>
      </c>
      <c r="R45" s="1" t="s">
        <v>5</v>
      </c>
      <c r="S45" s="35">
        <f t="shared" si="13"/>
        <v>15417.44</v>
      </c>
      <c r="T45" s="35">
        <f t="shared" si="13"/>
        <v>3548.34</v>
      </c>
      <c r="U45" s="35">
        <f t="shared" si="13"/>
        <v>1806.71</v>
      </c>
      <c r="V45" s="35">
        <f t="shared" si="13"/>
        <v>187.64400000000001</v>
      </c>
      <c r="W45" s="35">
        <f t="shared" si="13"/>
        <v>18629.816000000003</v>
      </c>
      <c r="X45" s="35">
        <f t="shared" si="13"/>
        <v>18.952000000000002</v>
      </c>
      <c r="Y45" s="35">
        <f t="shared" si="13"/>
        <v>622.70600000000013</v>
      </c>
      <c r="Z45" s="35">
        <f t="shared" si="13"/>
        <v>100.092</v>
      </c>
      <c r="AA45" s="35">
        <f t="shared" si="13"/>
        <v>428.29200000000003</v>
      </c>
      <c r="AB45" s="35">
        <f t="shared" si="13"/>
        <v>18.952000000000002</v>
      </c>
      <c r="AC45" s="35">
        <f t="shared" si="13"/>
        <v>0</v>
      </c>
      <c r="AD45" s="35">
        <f t="shared" si="13"/>
        <v>0</v>
      </c>
      <c r="AE45" s="35">
        <f t="shared" si="13"/>
        <v>11.056000000000001</v>
      </c>
      <c r="AF45" s="35">
        <f t="shared" si="11"/>
        <v>0</v>
      </c>
      <c r="AG45" s="35">
        <f t="shared" si="11"/>
        <v>0</v>
      </c>
      <c r="AH45" s="4">
        <f t="shared" si="14"/>
        <v>40789.999999999985</v>
      </c>
      <c r="AI45" s="129">
        <f t="shared" si="15"/>
        <v>18965.78</v>
      </c>
      <c r="AJ45" s="129">
        <f t="shared" si="16"/>
        <v>1994.354</v>
      </c>
      <c r="AK45" s="129">
        <f t="shared" si="17"/>
        <v>18629.816000000003</v>
      </c>
      <c r="AL45" s="129">
        <f t="shared" si="18"/>
        <v>1200.0500000000002</v>
      </c>
    </row>
    <row r="46" spans="1:38">
      <c r="A46" s="1" t="s">
        <v>125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12"/>
        <v>0</v>
      </c>
      <c r="R46" s="1" t="s">
        <v>6</v>
      </c>
      <c r="S46" s="35">
        <f t="shared" si="13"/>
        <v>30793.070000000003</v>
      </c>
      <c r="T46" s="35">
        <f t="shared" si="13"/>
        <v>6655.8380000000006</v>
      </c>
      <c r="U46" s="35">
        <f t="shared" si="13"/>
        <v>3394.1080000000002</v>
      </c>
      <c r="V46" s="35">
        <f t="shared" si="13"/>
        <v>1763.8580000000002</v>
      </c>
      <c r="W46" s="35">
        <f t="shared" si="13"/>
        <v>27139.264000000003</v>
      </c>
      <c r="X46" s="35">
        <f t="shared" si="13"/>
        <v>682.27200000000005</v>
      </c>
      <c r="Y46" s="35">
        <f t="shared" si="13"/>
        <v>1279.8240000000001</v>
      </c>
      <c r="Z46" s="35">
        <f t="shared" si="13"/>
        <v>0</v>
      </c>
      <c r="AA46" s="35">
        <f t="shared" si="13"/>
        <v>999.10599999999999</v>
      </c>
      <c r="AB46" s="35">
        <f t="shared" si="13"/>
        <v>75.808000000000007</v>
      </c>
      <c r="AC46" s="35">
        <f t="shared" si="13"/>
        <v>0</v>
      </c>
      <c r="AD46" s="35">
        <f t="shared" si="13"/>
        <v>0</v>
      </c>
      <c r="AE46" s="35">
        <f t="shared" si="13"/>
        <v>38.695999999999998</v>
      </c>
      <c r="AF46" s="35">
        <f t="shared" si="11"/>
        <v>0</v>
      </c>
      <c r="AG46" s="35">
        <f t="shared" si="11"/>
        <v>0</v>
      </c>
      <c r="AH46" s="4">
        <f t="shared" si="14"/>
        <v>72821.843999999997</v>
      </c>
      <c r="AI46" s="129">
        <f t="shared" si="15"/>
        <v>37448.908000000003</v>
      </c>
      <c r="AJ46" s="129">
        <f t="shared" si="16"/>
        <v>5157.9660000000003</v>
      </c>
      <c r="AK46" s="129">
        <f t="shared" si="17"/>
        <v>27139.264000000003</v>
      </c>
      <c r="AL46" s="129">
        <f t="shared" si="18"/>
        <v>3075.7060000000001</v>
      </c>
    </row>
    <row r="47" spans="1:38">
      <c r="A47" s="1" t="s">
        <v>126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12"/>
        <v>0</v>
      </c>
      <c r="R47" s="1" t="s">
        <v>7</v>
      </c>
      <c r="S47" s="35">
        <f t="shared" si="13"/>
        <v>21135.292000000001</v>
      </c>
      <c r="T47" s="35">
        <f t="shared" si="13"/>
        <v>3531.1180000000004</v>
      </c>
      <c r="U47" s="35">
        <f t="shared" si="13"/>
        <v>2337.8340000000003</v>
      </c>
      <c r="V47" s="35">
        <f t="shared" si="13"/>
        <v>558.93799999999999</v>
      </c>
      <c r="W47" s="35">
        <f t="shared" si="13"/>
        <v>23310.960000000003</v>
      </c>
      <c r="X47" s="35">
        <f t="shared" si="13"/>
        <v>871.79200000000003</v>
      </c>
      <c r="Y47" s="35">
        <f t="shared" si="13"/>
        <v>745.19200000000001</v>
      </c>
      <c r="Z47" s="35">
        <f t="shared" si="13"/>
        <v>381.07</v>
      </c>
      <c r="AA47" s="35">
        <f t="shared" si="13"/>
        <v>442.61000000000007</v>
      </c>
      <c r="AB47" s="35">
        <f t="shared" si="13"/>
        <v>0</v>
      </c>
      <c r="AC47" s="35">
        <f t="shared" si="13"/>
        <v>0</v>
      </c>
      <c r="AD47" s="35">
        <f t="shared" si="13"/>
        <v>0</v>
      </c>
      <c r="AE47" s="35">
        <f t="shared" si="13"/>
        <v>27.64</v>
      </c>
      <c r="AF47" s="35">
        <f t="shared" si="11"/>
        <v>0</v>
      </c>
      <c r="AG47" s="35">
        <f t="shared" si="11"/>
        <v>0</v>
      </c>
      <c r="AH47" s="4">
        <f t="shared" si="14"/>
        <v>53342.446000000011</v>
      </c>
      <c r="AI47" s="129">
        <f t="shared" si="15"/>
        <v>24666.410000000003</v>
      </c>
      <c r="AJ47" s="129">
        <f t="shared" si="16"/>
        <v>2896.7720000000004</v>
      </c>
      <c r="AK47" s="129">
        <f t="shared" si="17"/>
        <v>23310.960000000003</v>
      </c>
      <c r="AL47" s="129">
        <f t="shared" si="18"/>
        <v>2468.3039999999996</v>
      </c>
    </row>
    <row r="48" spans="1:38">
      <c r="A48" s="1" t="s">
        <v>127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12"/>
        <v>0</v>
      </c>
      <c r="R48" s="1" t="s">
        <v>8</v>
      </c>
      <c r="S48" s="35">
        <f t="shared" si="13"/>
        <v>25278.686000000002</v>
      </c>
      <c r="T48" s="35">
        <f t="shared" si="13"/>
        <v>5092.6419999999998</v>
      </c>
      <c r="U48" s="35">
        <f t="shared" si="13"/>
        <v>2858.2080000000005</v>
      </c>
      <c r="V48" s="35">
        <f t="shared" si="13"/>
        <v>568.58800000000008</v>
      </c>
      <c r="W48" s="35">
        <f t="shared" si="13"/>
        <v>55169.271999999997</v>
      </c>
      <c r="X48" s="35">
        <f t="shared" si="13"/>
        <v>2729.0880000000002</v>
      </c>
      <c r="Y48" s="35">
        <f t="shared" si="13"/>
        <v>1021.282</v>
      </c>
      <c r="Z48" s="35">
        <f t="shared" si="13"/>
        <v>53.85</v>
      </c>
      <c r="AA48" s="35">
        <f t="shared" si="13"/>
        <v>831.65000000000009</v>
      </c>
      <c r="AB48" s="35">
        <f t="shared" si="13"/>
        <v>37.904000000000003</v>
      </c>
      <c r="AC48" s="35">
        <f t="shared" si="13"/>
        <v>0</v>
      </c>
      <c r="AD48" s="35">
        <f t="shared" si="13"/>
        <v>0</v>
      </c>
      <c r="AE48" s="35">
        <f t="shared" si="13"/>
        <v>60.808000000000007</v>
      </c>
      <c r="AF48" s="35">
        <f t="shared" si="11"/>
        <v>0</v>
      </c>
      <c r="AG48" s="35">
        <f t="shared" si="11"/>
        <v>0</v>
      </c>
      <c r="AH48" s="4">
        <f t="shared" si="14"/>
        <v>93701.978000000017</v>
      </c>
      <c r="AI48" s="129">
        <f t="shared" si="15"/>
        <v>30371.328000000001</v>
      </c>
      <c r="AJ48" s="129">
        <f t="shared" si="16"/>
        <v>3426.7960000000007</v>
      </c>
      <c r="AK48" s="129">
        <f t="shared" si="17"/>
        <v>55169.271999999997</v>
      </c>
      <c r="AL48" s="129">
        <f t="shared" si="18"/>
        <v>4734.5820000000012</v>
      </c>
    </row>
    <row r="49" spans="1:38">
      <c r="A49" s="2" t="s">
        <v>128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12"/>
        <v>0</v>
      </c>
      <c r="R49" s="2" t="s">
        <v>9</v>
      </c>
      <c r="S49" s="35">
        <f t="shared" si="13"/>
        <v>8064.2160000000003</v>
      </c>
      <c r="T49" s="35">
        <f t="shared" si="13"/>
        <v>2444.614</v>
      </c>
      <c r="U49" s="35">
        <f t="shared" si="13"/>
        <v>1006.072</v>
      </c>
      <c r="V49" s="35">
        <f t="shared" si="13"/>
        <v>189.06800000000001</v>
      </c>
      <c r="W49" s="35">
        <f t="shared" si="13"/>
        <v>7713.4639999999999</v>
      </c>
      <c r="X49" s="35">
        <f t="shared" si="13"/>
        <v>132.66400000000002</v>
      </c>
      <c r="Y49" s="35">
        <f t="shared" si="13"/>
        <v>498.83400000000006</v>
      </c>
      <c r="Z49" s="35">
        <f t="shared" si="13"/>
        <v>0</v>
      </c>
      <c r="AA49" s="35">
        <f t="shared" si="13"/>
        <v>275.85200000000003</v>
      </c>
      <c r="AB49" s="35">
        <f t="shared" si="13"/>
        <v>18.952000000000002</v>
      </c>
      <c r="AC49" s="35">
        <f t="shared" si="13"/>
        <v>0</v>
      </c>
      <c r="AD49" s="35">
        <f t="shared" si="13"/>
        <v>0</v>
      </c>
      <c r="AE49" s="35">
        <f t="shared" si="13"/>
        <v>5.5280000000000005</v>
      </c>
      <c r="AF49" s="35">
        <f t="shared" si="11"/>
        <v>0</v>
      </c>
      <c r="AG49" s="35">
        <f t="shared" si="11"/>
        <v>0</v>
      </c>
      <c r="AH49" s="4">
        <f t="shared" si="14"/>
        <v>20349.263999999999</v>
      </c>
      <c r="AI49" s="129">
        <f t="shared" si="15"/>
        <v>10508.83</v>
      </c>
      <c r="AJ49" s="129">
        <f t="shared" si="16"/>
        <v>1195.1400000000001</v>
      </c>
      <c r="AK49" s="129">
        <f t="shared" si="17"/>
        <v>7713.4639999999999</v>
      </c>
      <c r="AL49" s="129">
        <f t="shared" si="18"/>
        <v>931.83000000000015</v>
      </c>
    </row>
    <row r="50" spans="1:38">
      <c r="A50" s="18" t="s">
        <v>129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12"/>
        <v>0</v>
      </c>
      <c r="R50" s="18" t="s">
        <v>10</v>
      </c>
      <c r="S50" s="35">
        <f t="shared" si="13"/>
        <v>18503.544000000002</v>
      </c>
      <c r="T50" s="35">
        <f t="shared" si="13"/>
        <v>2976.2040000000002</v>
      </c>
      <c r="U50" s="35">
        <f t="shared" si="13"/>
        <v>2211.4900000000002</v>
      </c>
      <c r="V50" s="35">
        <f t="shared" si="13"/>
        <v>224.32</v>
      </c>
      <c r="W50" s="35">
        <f t="shared" si="13"/>
        <v>49066.728000000003</v>
      </c>
      <c r="X50" s="35">
        <f t="shared" si="13"/>
        <v>360.08800000000002</v>
      </c>
      <c r="Y50" s="35">
        <f t="shared" si="13"/>
        <v>298.95</v>
      </c>
      <c r="Z50" s="35">
        <f t="shared" si="13"/>
        <v>0</v>
      </c>
      <c r="AA50" s="35">
        <f t="shared" si="13"/>
        <v>522.548</v>
      </c>
      <c r="AB50" s="35">
        <f t="shared" si="13"/>
        <v>37.904000000000003</v>
      </c>
      <c r="AC50" s="35">
        <f t="shared" si="13"/>
        <v>37.904000000000003</v>
      </c>
      <c r="AD50" s="35">
        <f t="shared" si="13"/>
        <v>0</v>
      </c>
      <c r="AE50" s="35">
        <f t="shared" si="13"/>
        <v>5.5280000000000005</v>
      </c>
      <c r="AF50" s="35">
        <f t="shared" si="11"/>
        <v>0</v>
      </c>
      <c r="AG50" s="35">
        <f t="shared" si="11"/>
        <v>0</v>
      </c>
      <c r="AH50" s="4">
        <f t="shared" si="14"/>
        <v>74245.207999999999</v>
      </c>
      <c r="AI50" s="129">
        <f t="shared" si="15"/>
        <v>21479.748000000003</v>
      </c>
      <c r="AJ50" s="129">
        <f t="shared" si="16"/>
        <v>2435.8100000000004</v>
      </c>
      <c r="AK50" s="129">
        <f t="shared" si="17"/>
        <v>49066.728000000003</v>
      </c>
      <c r="AL50" s="129">
        <f t="shared" si="18"/>
        <v>1262.922</v>
      </c>
    </row>
    <row r="51" spans="1:38">
      <c r="A51" s="1" t="s">
        <v>130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12"/>
        <v>0</v>
      </c>
      <c r="R51" s="1" t="s">
        <v>11</v>
      </c>
      <c r="S51" s="35">
        <f t="shared" si="13"/>
        <v>15616.786</v>
      </c>
      <c r="T51" s="35">
        <f t="shared" si="13"/>
        <v>3115.5640000000003</v>
      </c>
      <c r="U51" s="35">
        <f t="shared" si="13"/>
        <v>3158.866</v>
      </c>
      <c r="V51" s="35">
        <f t="shared" si="13"/>
        <v>490.16800000000006</v>
      </c>
      <c r="W51" s="35">
        <f t="shared" si="13"/>
        <v>43381.128000000004</v>
      </c>
      <c r="X51" s="35">
        <f t="shared" si="13"/>
        <v>758.08</v>
      </c>
      <c r="Y51" s="35">
        <f t="shared" si="13"/>
        <v>585.98400000000004</v>
      </c>
      <c r="Z51" s="35">
        <f t="shared" si="13"/>
        <v>345.66800000000006</v>
      </c>
      <c r="AA51" s="35">
        <f t="shared" si="13"/>
        <v>462.95200000000006</v>
      </c>
      <c r="AB51" s="35">
        <f t="shared" si="13"/>
        <v>132.66400000000002</v>
      </c>
      <c r="AC51" s="35">
        <f t="shared" si="13"/>
        <v>0</v>
      </c>
      <c r="AD51" s="35">
        <f t="shared" si="13"/>
        <v>0</v>
      </c>
      <c r="AE51" s="35">
        <f t="shared" si="13"/>
        <v>5.5280000000000005</v>
      </c>
      <c r="AF51" s="35">
        <f t="shared" si="11"/>
        <v>0</v>
      </c>
      <c r="AG51" s="35">
        <f t="shared" si="11"/>
        <v>0</v>
      </c>
      <c r="AH51" s="4">
        <f t="shared" si="14"/>
        <v>68053.388000000021</v>
      </c>
      <c r="AI51" s="129">
        <f t="shared" si="15"/>
        <v>18732.349999999999</v>
      </c>
      <c r="AJ51" s="129">
        <f t="shared" si="16"/>
        <v>3649.0340000000001</v>
      </c>
      <c r="AK51" s="129">
        <f t="shared" si="17"/>
        <v>43381.128000000004</v>
      </c>
      <c r="AL51" s="129">
        <f t="shared" si="18"/>
        <v>2290.8760000000002</v>
      </c>
    </row>
    <row r="52" spans="1:38">
      <c r="A52" s="1" t="s">
        <v>131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12"/>
        <v>0</v>
      </c>
      <c r="R52" s="1" t="s">
        <v>12</v>
      </c>
      <c r="S52" s="35">
        <f t="shared" si="13"/>
        <v>75973.508000000002</v>
      </c>
      <c r="T52" s="35">
        <f t="shared" si="13"/>
        <v>20431.570000000003</v>
      </c>
      <c r="U52" s="35">
        <f t="shared" si="13"/>
        <v>8115.0259999999998</v>
      </c>
      <c r="V52" s="35">
        <f t="shared" si="13"/>
        <v>4010.268</v>
      </c>
      <c r="W52" s="35">
        <f t="shared" si="13"/>
        <v>89453.440000000002</v>
      </c>
      <c r="X52" s="35">
        <f t="shared" si="13"/>
        <v>1516.16</v>
      </c>
      <c r="Y52" s="35">
        <f t="shared" si="13"/>
        <v>4838.9660000000003</v>
      </c>
      <c r="Z52" s="35">
        <f t="shared" si="13"/>
        <v>0</v>
      </c>
      <c r="AA52" s="35">
        <f t="shared" si="13"/>
        <v>2727.8720000000003</v>
      </c>
      <c r="AB52" s="35">
        <f t="shared" si="13"/>
        <v>568.56000000000006</v>
      </c>
      <c r="AC52" s="35">
        <f t="shared" si="13"/>
        <v>0</v>
      </c>
      <c r="AD52" s="35">
        <f t="shared" si="13"/>
        <v>0</v>
      </c>
      <c r="AE52" s="35">
        <f t="shared" si="13"/>
        <v>116.08800000000002</v>
      </c>
      <c r="AF52" s="35">
        <f t="shared" si="11"/>
        <v>0</v>
      </c>
      <c r="AG52" s="35">
        <f t="shared" si="11"/>
        <v>0</v>
      </c>
      <c r="AH52" s="4">
        <f t="shared" si="14"/>
        <v>207751.45800000001</v>
      </c>
      <c r="AI52" s="129">
        <f t="shared" si="15"/>
        <v>96405.078000000009</v>
      </c>
      <c r="AJ52" s="129">
        <f t="shared" si="16"/>
        <v>12125.294</v>
      </c>
      <c r="AK52" s="129">
        <f t="shared" si="17"/>
        <v>89453.440000000002</v>
      </c>
      <c r="AL52" s="129">
        <f t="shared" si="18"/>
        <v>9767.6459999999988</v>
      </c>
    </row>
    <row r="53" spans="1:38">
      <c r="A53" s="1" t="s">
        <v>132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12"/>
        <v>0</v>
      </c>
      <c r="R53" s="1" t="s">
        <v>15</v>
      </c>
      <c r="S53" s="35">
        <f t="shared" si="13"/>
        <v>12682.53</v>
      </c>
      <c r="T53" s="35">
        <f t="shared" si="13"/>
        <v>4065.1419999999998</v>
      </c>
      <c r="U53" s="35">
        <f t="shared" si="13"/>
        <v>1407.3020000000001</v>
      </c>
      <c r="V53" s="35">
        <f t="shared" si="13"/>
        <v>721.17600000000004</v>
      </c>
      <c r="W53" s="35">
        <f t="shared" si="13"/>
        <v>11731.288</v>
      </c>
      <c r="X53" s="35">
        <f t="shared" si="13"/>
        <v>473.8</v>
      </c>
      <c r="Y53" s="35">
        <f t="shared" si="13"/>
        <v>916.25599999999997</v>
      </c>
      <c r="Z53" s="35">
        <f t="shared" si="13"/>
        <v>0</v>
      </c>
      <c r="AA53" s="35">
        <f t="shared" si="13"/>
        <v>591.03800000000001</v>
      </c>
      <c r="AB53" s="35">
        <f t="shared" si="13"/>
        <v>18.952000000000002</v>
      </c>
      <c r="AC53" s="35">
        <f t="shared" si="13"/>
        <v>0</v>
      </c>
      <c r="AD53" s="35">
        <f t="shared" si="13"/>
        <v>0</v>
      </c>
      <c r="AE53" s="35">
        <f t="shared" si="13"/>
        <v>5.5280000000000005</v>
      </c>
      <c r="AF53" s="35">
        <f t="shared" si="11"/>
        <v>0</v>
      </c>
      <c r="AG53" s="35">
        <f t="shared" si="11"/>
        <v>0</v>
      </c>
      <c r="AH53" s="4">
        <f t="shared" si="14"/>
        <v>32613.011999999999</v>
      </c>
      <c r="AI53" s="129">
        <f t="shared" si="15"/>
        <v>16747.671999999999</v>
      </c>
      <c r="AJ53" s="129">
        <f t="shared" si="16"/>
        <v>2128.4780000000001</v>
      </c>
      <c r="AK53" s="129">
        <f t="shared" si="17"/>
        <v>11731.288</v>
      </c>
      <c r="AL53" s="129">
        <f t="shared" si="18"/>
        <v>2005.5740000000001</v>
      </c>
    </row>
    <row r="54" spans="1:38">
      <c r="A54" s="39" t="s">
        <v>133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12"/>
        <v>0</v>
      </c>
      <c r="R54" s="1" t="s">
        <v>14</v>
      </c>
      <c r="S54" s="35">
        <f t="shared" si="13"/>
        <v>12628.374000000002</v>
      </c>
      <c r="T54" s="35">
        <f t="shared" si="13"/>
        <v>2414.8180000000002</v>
      </c>
      <c r="U54" s="35">
        <f t="shared" si="13"/>
        <v>1583.5720000000001</v>
      </c>
      <c r="V54" s="35">
        <f t="shared" si="13"/>
        <v>188.78200000000001</v>
      </c>
      <c r="W54" s="35">
        <f t="shared" si="13"/>
        <v>16355.576000000001</v>
      </c>
      <c r="X54" s="35">
        <f t="shared" si="13"/>
        <v>132.66400000000002</v>
      </c>
      <c r="Y54" s="35">
        <f t="shared" si="13"/>
        <v>489.71199999999999</v>
      </c>
      <c r="Z54" s="35">
        <f t="shared" si="13"/>
        <v>0</v>
      </c>
      <c r="AA54" s="35">
        <f t="shared" si="13"/>
        <v>309.31400000000002</v>
      </c>
      <c r="AB54" s="35">
        <f t="shared" si="13"/>
        <v>18.952000000000002</v>
      </c>
      <c r="AC54" s="35">
        <f t="shared" si="13"/>
        <v>0</v>
      </c>
      <c r="AD54" s="35">
        <f t="shared" si="13"/>
        <v>0</v>
      </c>
      <c r="AE54" s="35">
        <f t="shared" si="13"/>
        <v>0</v>
      </c>
      <c r="AF54" s="35">
        <f t="shared" si="11"/>
        <v>0</v>
      </c>
      <c r="AG54" s="35">
        <f t="shared" si="11"/>
        <v>0</v>
      </c>
      <c r="AH54" s="4">
        <f t="shared" si="14"/>
        <v>34121.763999999996</v>
      </c>
      <c r="AI54" s="129">
        <f t="shared" si="15"/>
        <v>15043.192000000003</v>
      </c>
      <c r="AJ54" s="129">
        <f t="shared" si="16"/>
        <v>1772.354</v>
      </c>
      <c r="AK54" s="129">
        <f t="shared" si="17"/>
        <v>16355.576000000001</v>
      </c>
      <c r="AL54" s="129">
        <f t="shared" si="18"/>
        <v>950.64200000000005</v>
      </c>
    </row>
    <row r="55" spans="1:38">
      <c r="A55" s="18" t="s">
        <v>134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12"/>
        <v>0</v>
      </c>
      <c r="R55" s="18" t="s">
        <v>13</v>
      </c>
      <c r="S55" s="35">
        <f t="shared" si="13"/>
        <v>74441.673999999999</v>
      </c>
      <c r="T55" s="35">
        <f t="shared" si="13"/>
        <v>10835.052000000001</v>
      </c>
      <c r="U55" s="35">
        <f t="shared" si="13"/>
        <v>14033.726000000002</v>
      </c>
      <c r="V55" s="35">
        <f t="shared" si="13"/>
        <v>4386.076</v>
      </c>
      <c r="W55" s="35">
        <f t="shared" si="13"/>
        <v>133024.08799999999</v>
      </c>
      <c r="X55" s="35">
        <f t="shared" si="13"/>
        <v>1402.4480000000001</v>
      </c>
      <c r="Y55" s="35">
        <f t="shared" si="13"/>
        <v>2126.2820000000002</v>
      </c>
      <c r="Z55" s="35">
        <f t="shared" si="13"/>
        <v>55.277999999999999</v>
      </c>
      <c r="AA55" s="35">
        <f t="shared" si="13"/>
        <v>2074.4720000000002</v>
      </c>
      <c r="AB55" s="35">
        <f t="shared" si="13"/>
        <v>682.27200000000005</v>
      </c>
      <c r="AC55" s="35">
        <f t="shared" si="13"/>
        <v>0</v>
      </c>
      <c r="AD55" s="35">
        <f t="shared" si="13"/>
        <v>0</v>
      </c>
      <c r="AE55" s="35">
        <f t="shared" si="13"/>
        <v>49.752000000000002</v>
      </c>
      <c r="AF55" s="35">
        <f t="shared" si="11"/>
        <v>0</v>
      </c>
      <c r="AG55" s="35">
        <f t="shared" si="11"/>
        <v>0</v>
      </c>
      <c r="AH55" s="4">
        <f t="shared" si="14"/>
        <v>243111.12</v>
      </c>
      <c r="AI55" s="129">
        <f t="shared" si="15"/>
        <v>85276.725999999995</v>
      </c>
      <c r="AJ55" s="129">
        <f t="shared" si="16"/>
        <v>18419.802000000003</v>
      </c>
      <c r="AK55" s="129">
        <f t="shared" si="17"/>
        <v>133024.08799999999</v>
      </c>
      <c r="AL55" s="129">
        <f t="shared" si="18"/>
        <v>6390.5040000000008</v>
      </c>
    </row>
    <row r="56" spans="1:38">
      <c r="A56" s="1" t="s">
        <v>135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12"/>
        <v>0</v>
      </c>
      <c r="R56" s="1" t="s">
        <v>16</v>
      </c>
      <c r="S56" s="35">
        <f t="shared" si="13"/>
        <v>27830.520000000004</v>
      </c>
      <c r="T56" s="35">
        <f t="shared" si="13"/>
        <v>8568.2820000000011</v>
      </c>
      <c r="U56" s="35">
        <f t="shared" si="13"/>
        <v>3505.9380000000001</v>
      </c>
      <c r="V56" s="35">
        <f t="shared" si="13"/>
        <v>1079.8100000000002</v>
      </c>
      <c r="W56" s="35">
        <f t="shared" si="13"/>
        <v>28996.559999999998</v>
      </c>
      <c r="X56" s="35">
        <f t="shared" si="13"/>
        <v>739.12800000000004</v>
      </c>
      <c r="Y56" s="35">
        <f t="shared" si="13"/>
        <v>1131.2040000000002</v>
      </c>
      <c r="Z56" s="35">
        <f t="shared" si="13"/>
        <v>106.756</v>
      </c>
      <c r="AA56" s="35">
        <f t="shared" si="13"/>
        <v>1543.53</v>
      </c>
      <c r="AB56" s="35">
        <f t="shared" si="13"/>
        <v>151.61600000000001</v>
      </c>
      <c r="AC56" s="35">
        <f t="shared" si="13"/>
        <v>37.904000000000003</v>
      </c>
      <c r="AD56" s="35">
        <f t="shared" si="13"/>
        <v>0</v>
      </c>
      <c r="AE56" s="35">
        <f t="shared" si="13"/>
        <v>11.056000000000001</v>
      </c>
      <c r="AF56" s="35">
        <f t="shared" si="13"/>
        <v>0</v>
      </c>
      <c r="AG56" s="35">
        <f t="shared" si="13"/>
        <v>0</v>
      </c>
      <c r="AH56" s="4">
        <f t="shared" si="14"/>
        <v>73702.303999999975</v>
      </c>
      <c r="AI56" s="129">
        <f t="shared" si="15"/>
        <v>36398.802000000003</v>
      </c>
      <c r="AJ56" s="129">
        <f t="shared" si="16"/>
        <v>4585.7480000000005</v>
      </c>
      <c r="AK56" s="129">
        <f t="shared" si="17"/>
        <v>28996.559999999998</v>
      </c>
      <c r="AL56" s="129">
        <f t="shared" si="18"/>
        <v>3721.1940000000004</v>
      </c>
    </row>
    <row r="57" spans="1:38">
      <c r="A57" s="1" t="s">
        <v>136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12"/>
        <v>0</v>
      </c>
      <c r="R57" s="1" t="s">
        <v>17</v>
      </c>
      <c r="S57" s="35">
        <f t="shared" ref="S57:AG66" si="19">S92*0.2</f>
        <v>6055.9920000000002</v>
      </c>
      <c r="T57" s="35">
        <f t="shared" si="19"/>
        <v>803.07600000000002</v>
      </c>
      <c r="U57" s="35">
        <f t="shared" si="19"/>
        <v>1494.54</v>
      </c>
      <c r="V57" s="35">
        <f t="shared" si="19"/>
        <v>61.432000000000009</v>
      </c>
      <c r="W57" s="35">
        <f t="shared" si="19"/>
        <v>6182.3519999999999</v>
      </c>
      <c r="X57" s="35">
        <f t="shared" si="19"/>
        <v>473.8</v>
      </c>
      <c r="Y57" s="35">
        <f t="shared" si="19"/>
        <v>95.52000000000001</v>
      </c>
      <c r="Z57" s="35">
        <f t="shared" si="19"/>
        <v>1386.6840000000002</v>
      </c>
      <c r="AA57" s="35">
        <f t="shared" si="19"/>
        <v>133.67600000000002</v>
      </c>
      <c r="AB57" s="35">
        <f t="shared" si="19"/>
        <v>0</v>
      </c>
      <c r="AC57" s="35">
        <f t="shared" si="19"/>
        <v>0</v>
      </c>
      <c r="AD57" s="35">
        <f t="shared" si="19"/>
        <v>0</v>
      </c>
      <c r="AE57" s="35">
        <f t="shared" si="19"/>
        <v>11.056000000000001</v>
      </c>
      <c r="AF57" s="35">
        <v>0</v>
      </c>
      <c r="AG57" s="35">
        <v>0</v>
      </c>
      <c r="AH57" s="4">
        <f t="shared" si="14"/>
        <v>16698.128000000001</v>
      </c>
      <c r="AI57" s="129">
        <f t="shared" si="15"/>
        <v>6859.0680000000002</v>
      </c>
      <c r="AJ57" s="129">
        <f t="shared" si="16"/>
        <v>1555.972</v>
      </c>
      <c r="AK57" s="129">
        <f t="shared" si="17"/>
        <v>6182.3519999999999</v>
      </c>
      <c r="AL57" s="129">
        <f t="shared" si="18"/>
        <v>2100.7360000000003</v>
      </c>
    </row>
    <row r="58" spans="1:38">
      <c r="A58" s="1" t="s">
        <v>137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12"/>
        <v>0</v>
      </c>
      <c r="R58" s="1" t="s">
        <v>18</v>
      </c>
      <c r="S58" s="35">
        <f t="shared" si="19"/>
        <v>88416.47</v>
      </c>
      <c r="T58" s="35">
        <f t="shared" si="19"/>
        <v>16305.38</v>
      </c>
      <c r="U58" s="35">
        <f t="shared" si="19"/>
        <v>13953.710000000001</v>
      </c>
      <c r="V58" s="35">
        <f t="shared" si="19"/>
        <v>2890.0400000000004</v>
      </c>
      <c r="W58" s="35">
        <f t="shared" si="19"/>
        <v>91462.352000000014</v>
      </c>
      <c r="X58" s="35">
        <f t="shared" si="19"/>
        <v>3373.4560000000001</v>
      </c>
      <c r="Y58" s="35">
        <f t="shared" si="19"/>
        <v>3521.0040000000004</v>
      </c>
      <c r="Z58" s="35">
        <f t="shared" si="19"/>
        <v>597.37</v>
      </c>
      <c r="AA58" s="35">
        <f t="shared" si="19"/>
        <v>2154.866</v>
      </c>
      <c r="AB58" s="35">
        <f t="shared" si="19"/>
        <v>246.37600000000003</v>
      </c>
      <c r="AC58" s="35">
        <f t="shared" si="19"/>
        <v>0</v>
      </c>
      <c r="AD58" s="35">
        <f t="shared" si="19"/>
        <v>0</v>
      </c>
      <c r="AE58" s="35">
        <f t="shared" si="19"/>
        <v>154.78399999999999</v>
      </c>
      <c r="AF58" s="35">
        <f t="shared" si="19"/>
        <v>0</v>
      </c>
      <c r="AG58" s="35">
        <f t="shared" si="19"/>
        <v>0</v>
      </c>
      <c r="AH58" s="4">
        <f t="shared" si="14"/>
        <v>223075.80800000002</v>
      </c>
      <c r="AI58" s="129">
        <f t="shared" si="15"/>
        <v>104721.85</v>
      </c>
      <c r="AJ58" s="129">
        <f t="shared" si="16"/>
        <v>16843.75</v>
      </c>
      <c r="AK58" s="129">
        <f t="shared" si="17"/>
        <v>91462.352000000014</v>
      </c>
      <c r="AL58" s="129">
        <f t="shared" si="18"/>
        <v>10047.856</v>
      </c>
    </row>
    <row r="59" spans="1:38">
      <c r="A59" s="1" t="s">
        <v>138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12"/>
        <v>0</v>
      </c>
      <c r="R59" s="1" t="s">
        <v>20</v>
      </c>
      <c r="S59" s="35">
        <f t="shared" si="19"/>
        <v>13358.050000000001</v>
      </c>
      <c r="T59" s="35">
        <f t="shared" si="19"/>
        <v>3401.86</v>
      </c>
      <c r="U59" s="35">
        <f t="shared" si="19"/>
        <v>1025.5740000000001</v>
      </c>
      <c r="V59" s="35">
        <f t="shared" si="19"/>
        <v>395.69200000000001</v>
      </c>
      <c r="W59" s="35">
        <f t="shared" si="19"/>
        <v>13967.624</v>
      </c>
      <c r="X59" s="35">
        <f t="shared" si="19"/>
        <v>511.70400000000001</v>
      </c>
      <c r="Y59" s="35">
        <f t="shared" si="19"/>
        <v>595.05399999999997</v>
      </c>
      <c r="Z59" s="35">
        <f t="shared" si="19"/>
        <v>0</v>
      </c>
      <c r="AA59" s="35">
        <f t="shared" si="19"/>
        <v>555.66999999999996</v>
      </c>
      <c r="AB59" s="35">
        <f t="shared" si="19"/>
        <v>37.904000000000003</v>
      </c>
      <c r="AC59" s="35">
        <f t="shared" si="19"/>
        <v>37.904000000000003</v>
      </c>
      <c r="AD59" s="35">
        <f t="shared" si="19"/>
        <v>0</v>
      </c>
      <c r="AE59" s="35">
        <f t="shared" si="19"/>
        <v>11.056000000000001</v>
      </c>
      <c r="AF59" s="35">
        <f t="shared" si="19"/>
        <v>0</v>
      </c>
      <c r="AG59" s="35">
        <f t="shared" si="19"/>
        <v>0</v>
      </c>
      <c r="AH59" s="4">
        <f t="shared" si="14"/>
        <v>33898.091999999997</v>
      </c>
      <c r="AI59" s="129">
        <f t="shared" si="15"/>
        <v>16759.91</v>
      </c>
      <c r="AJ59" s="129">
        <f t="shared" si="16"/>
        <v>1421.2660000000001</v>
      </c>
      <c r="AK59" s="129">
        <f t="shared" si="17"/>
        <v>13967.624</v>
      </c>
      <c r="AL59" s="129">
        <f t="shared" si="18"/>
        <v>1749.2919999999999</v>
      </c>
    </row>
    <row r="60" spans="1:38">
      <c r="A60" s="1" t="s">
        <v>139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12"/>
        <v>0</v>
      </c>
      <c r="R60" s="1" t="s">
        <v>19</v>
      </c>
      <c r="S60" s="35">
        <f t="shared" si="19"/>
        <v>97327.956000000006</v>
      </c>
      <c r="T60" s="35">
        <f t="shared" si="19"/>
        <v>21744.018</v>
      </c>
      <c r="U60" s="35">
        <f t="shared" si="19"/>
        <v>16327.186</v>
      </c>
      <c r="V60" s="35">
        <f t="shared" si="19"/>
        <v>5526.0640000000003</v>
      </c>
      <c r="W60" s="35">
        <f t="shared" si="19"/>
        <v>167251.40000000002</v>
      </c>
      <c r="X60" s="35">
        <f t="shared" si="19"/>
        <v>2312.1439999999998</v>
      </c>
      <c r="Y60" s="35">
        <f t="shared" si="19"/>
        <v>4674.5240000000003</v>
      </c>
      <c r="Z60" s="35">
        <f t="shared" si="19"/>
        <v>196.85400000000001</v>
      </c>
      <c r="AA60" s="35">
        <f t="shared" si="19"/>
        <v>3385.6379999999999</v>
      </c>
      <c r="AB60" s="35">
        <f t="shared" si="19"/>
        <v>322.18400000000003</v>
      </c>
      <c r="AC60" s="35">
        <f t="shared" si="19"/>
        <v>0</v>
      </c>
      <c r="AD60" s="35">
        <f t="shared" si="19"/>
        <v>0</v>
      </c>
      <c r="AE60" s="35">
        <f t="shared" si="19"/>
        <v>77.391999999999996</v>
      </c>
      <c r="AF60" s="35">
        <f t="shared" si="19"/>
        <v>0</v>
      </c>
      <c r="AG60" s="35">
        <f t="shared" si="19"/>
        <v>0</v>
      </c>
      <c r="AH60" s="4">
        <f t="shared" si="14"/>
        <v>319145.36</v>
      </c>
      <c r="AI60" s="129">
        <f t="shared" si="15"/>
        <v>119071.974</v>
      </c>
      <c r="AJ60" s="129">
        <f t="shared" si="16"/>
        <v>21853.25</v>
      </c>
      <c r="AK60" s="129">
        <f t="shared" si="17"/>
        <v>167251.40000000002</v>
      </c>
      <c r="AL60" s="129">
        <f t="shared" si="18"/>
        <v>10968.735999999999</v>
      </c>
    </row>
    <row r="61" spans="1:38">
      <c r="A61" s="1" t="s">
        <v>140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12"/>
        <v>0</v>
      </c>
      <c r="R61" s="18" t="s">
        <v>21</v>
      </c>
      <c r="S61" s="35">
        <f t="shared" si="19"/>
        <v>5812.4459999999999</v>
      </c>
      <c r="T61" s="35">
        <f t="shared" si="19"/>
        <v>793.9140000000001</v>
      </c>
      <c r="U61" s="35">
        <f t="shared" si="19"/>
        <v>914.85200000000009</v>
      </c>
      <c r="V61" s="35">
        <f t="shared" si="19"/>
        <v>339.79</v>
      </c>
      <c r="W61" s="35">
        <f t="shared" si="19"/>
        <v>14214</v>
      </c>
      <c r="X61" s="35">
        <f t="shared" si="19"/>
        <v>75.808000000000007</v>
      </c>
      <c r="Y61" s="35">
        <f t="shared" si="19"/>
        <v>108.99400000000001</v>
      </c>
      <c r="Z61" s="35">
        <f t="shared" si="19"/>
        <v>0</v>
      </c>
      <c r="AA61" s="35">
        <f t="shared" si="19"/>
        <v>178.82000000000002</v>
      </c>
      <c r="AB61" s="35">
        <f t="shared" si="19"/>
        <v>18.952000000000002</v>
      </c>
      <c r="AC61" s="35">
        <f t="shared" si="19"/>
        <v>0</v>
      </c>
      <c r="AD61" s="35">
        <f t="shared" si="19"/>
        <v>0</v>
      </c>
      <c r="AE61" s="35">
        <f t="shared" si="19"/>
        <v>0</v>
      </c>
      <c r="AF61" s="35">
        <f t="shared" si="19"/>
        <v>0</v>
      </c>
      <c r="AG61" s="35">
        <f t="shared" si="19"/>
        <v>0</v>
      </c>
      <c r="AH61" s="4">
        <f t="shared" si="14"/>
        <v>22457.576000000001</v>
      </c>
      <c r="AI61" s="129">
        <f t="shared" si="15"/>
        <v>6606.36</v>
      </c>
      <c r="AJ61" s="129">
        <f t="shared" si="16"/>
        <v>1254.6420000000001</v>
      </c>
      <c r="AK61" s="129">
        <f t="shared" si="17"/>
        <v>14214</v>
      </c>
      <c r="AL61" s="129">
        <f t="shared" si="18"/>
        <v>382.57400000000007</v>
      </c>
    </row>
    <row r="62" spans="1:38">
      <c r="A62" s="2" t="s">
        <v>141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12"/>
        <v>0</v>
      </c>
      <c r="R62" s="2" t="s">
        <v>22</v>
      </c>
      <c r="S62" s="35">
        <f t="shared" si="19"/>
        <v>934.17399999999998</v>
      </c>
      <c r="T62" s="35">
        <f t="shared" si="19"/>
        <v>159.45600000000002</v>
      </c>
      <c r="U62" s="35">
        <f t="shared" si="19"/>
        <v>102.57400000000001</v>
      </c>
      <c r="V62" s="35">
        <f t="shared" si="19"/>
        <v>21.148</v>
      </c>
      <c r="W62" s="35">
        <f t="shared" si="19"/>
        <v>3619.8320000000003</v>
      </c>
      <c r="X62" s="35">
        <f t="shared" si="19"/>
        <v>37.904000000000003</v>
      </c>
      <c r="Y62" s="35">
        <f t="shared" si="19"/>
        <v>15.438000000000001</v>
      </c>
      <c r="Z62" s="35">
        <f t="shared" si="19"/>
        <v>0</v>
      </c>
      <c r="AA62" s="35">
        <f t="shared" si="19"/>
        <v>23.032</v>
      </c>
      <c r="AB62" s="35">
        <f t="shared" si="19"/>
        <v>0</v>
      </c>
      <c r="AC62" s="35">
        <f t="shared" si="19"/>
        <v>0</v>
      </c>
      <c r="AD62" s="35">
        <f t="shared" si="19"/>
        <v>0</v>
      </c>
      <c r="AE62" s="35">
        <f t="shared" si="19"/>
        <v>0</v>
      </c>
      <c r="AF62" s="35">
        <f t="shared" si="19"/>
        <v>0</v>
      </c>
      <c r="AG62" s="35">
        <f t="shared" si="19"/>
        <v>0</v>
      </c>
      <c r="AH62" s="4">
        <f t="shared" si="14"/>
        <v>4913.5580000000009</v>
      </c>
      <c r="AI62" s="129">
        <f t="shared" si="15"/>
        <v>1093.6300000000001</v>
      </c>
      <c r="AJ62" s="129">
        <f t="shared" si="16"/>
        <v>123.72200000000001</v>
      </c>
      <c r="AK62" s="129">
        <f t="shared" si="17"/>
        <v>3619.8320000000003</v>
      </c>
      <c r="AL62" s="129">
        <f t="shared" si="18"/>
        <v>76.374000000000009</v>
      </c>
    </row>
    <row r="63" spans="1:38">
      <c r="A63" s="1" t="s">
        <v>142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12"/>
        <v>0</v>
      </c>
      <c r="R63" s="1" t="s">
        <v>23</v>
      </c>
      <c r="S63" s="35">
        <f t="shared" si="19"/>
        <v>62324.974000000002</v>
      </c>
      <c r="T63" s="35">
        <f t="shared" si="19"/>
        <v>7038.4059999999999</v>
      </c>
      <c r="U63" s="35">
        <f t="shared" si="19"/>
        <v>8051.5240000000013</v>
      </c>
      <c r="V63" s="35">
        <f t="shared" si="19"/>
        <v>1904.63</v>
      </c>
      <c r="W63" s="35">
        <f t="shared" si="19"/>
        <v>98455.640000000014</v>
      </c>
      <c r="X63" s="35">
        <f t="shared" si="19"/>
        <v>625.41600000000005</v>
      </c>
      <c r="Y63" s="35">
        <f t="shared" si="19"/>
        <v>1220.48</v>
      </c>
      <c r="Z63" s="35">
        <f t="shared" si="19"/>
        <v>0</v>
      </c>
      <c r="AA63" s="35">
        <f t="shared" si="19"/>
        <v>1116.9040000000002</v>
      </c>
      <c r="AB63" s="35">
        <f t="shared" si="19"/>
        <v>189.52</v>
      </c>
      <c r="AC63" s="35">
        <f t="shared" si="19"/>
        <v>0</v>
      </c>
      <c r="AD63" s="35">
        <f t="shared" si="19"/>
        <v>0</v>
      </c>
      <c r="AE63" s="35">
        <f t="shared" si="19"/>
        <v>88.448000000000008</v>
      </c>
      <c r="AF63" s="35">
        <f t="shared" si="19"/>
        <v>0</v>
      </c>
      <c r="AG63" s="35">
        <f t="shared" si="19"/>
        <v>0</v>
      </c>
      <c r="AH63" s="4">
        <f t="shared" si="14"/>
        <v>181015.94200000004</v>
      </c>
      <c r="AI63" s="129">
        <f t="shared" si="15"/>
        <v>69363.38</v>
      </c>
      <c r="AJ63" s="129">
        <f t="shared" si="16"/>
        <v>9956.1540000000023</v>
      </c>
      <c r="AK63" s="129">
        <f t="shared" si="17"/>
        <v>98455.640000000014</v>
      </c>
      <c r="AL63" s="129">
        <f t="shared" si="18"/>
        <v>3240.768</v>
      </c>
    </row>
    <row r="64" spans="1:38">
      <c r="A64" s="1" t="s">
        <v>143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12"/>
        <v>0</v>
      </c>
      <c r="R64" s="1" t="s">
        <v>25</v>
      </c>
      <c r="S64" s="35">
        <f t="shared" si="19"/>
        <v>328750.87599999999</v>
      </c>
      <c r="T64" s="35">
        <f t="shared" si="19"/>
        <v>62080.042000000009</v>
      </c>
      <c r="U64" s="35">
        <f t="shared" si="19"/>
        <v>36274.882000000005</v>
      </c>
      <c r="V64" s="35">
        <f t="shared" si="19"/>
        <v>9130.0540000000001</v>
      </c>
      <c r="W64" s="35">
        <f t="shared" si="19"/>
        <v>569374.9360000001</v>
      </c>
      <c r="X64" s="35">
        <f t="shared" si="19"/>
        <v>4415.8559999999998</v>
      </c>
      <c r="Y64" s="35">
        <f t="shared" si="19"/>
        <v>14406.008</v>
      </c>
      <c r="Z64" s="35">
        <f t="shared" si="19"/>
        <v>1528.7840000000001</v>
      </c>
      <c r="AA64" s="35">
        <f t="shared" si="19"/>
        <v>8046.8245999999999</v>
      </c>
      <c r="AB64" s="35">
        <f t="shared" si="19"/>
        <v>758.08</v>
      </c>
      <c r="AC64" s="35">
        <f t="shared" si="19"/>
        <v>189.52</v>
      </c>
      <c r="AD64" s="35">
        <f t="shared" si="19"/>
        <v>0</v>
      </c>
      <c r="AE64" s="35">
        <f t="shared" si="19"/>
        <v>447.76800000000003</v>
      </c>
      <c r="AF64" s="35">
        <v>0</v>
      </c>
      <c r="AG64" s="35">
        <v>0</v>
      </c>
      <c r="AH64" s="4">
        <f t="shared" si="14"/>
        <v>1035403.6306000001</v>
      </c>
      <c r="AI64" s="129">
        <f t="shared" si="15"/>
        <v>390830.91800000001</v>
      </c>
      <c r="AJ64" s="129">
        <f t="shared" si="16"/>
        <v>45404.936000000002</v>
      </c>
      <c r="AK64" s="129">
        <f t="shared" si="17"/>
        <v>569374.9360000001</v>
      </c>
      <c r="AL64" s="129">
        <f t="shared" si="18"/>
        <v>29792.840600000003</v>
      </c>
    </row>
    <row r="65" spans="1:38">
      <c r="A65" s="1" t="s">
        <v>144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12"/>
        <v>0</v>
      </c>
      <c r="R65" s="1" t="s">
        <v>24</v>
      </c>
      <c r="S65" s="35">
        <f t="shared" si="19"/>
        <v>7289.4440000000004</v>
      </c>
      <c r="T65" s="35">
        <f t="shared" si="19"/>
        <v>2500.7800000000002</v>
      </c>
      <c r="U65" s="35">
        <f t="shared" si="19"/>
        <v>819.03000000000009</v>
      </c>
      <c r="V65" s="35">
        <f t="shared" si="19"/>
        <v>106.756</v>
      </c>
      <c r="W65" s="35">
        <f t="shared" si="19"/>
        <v>10594.168</v>
      </c>
      <c r="X65" s="35">
        <f t="shared" si="19"/>
        <v>416.94399999999996</v>
      </c>
      <c r="Y65" s="35">
        <f t="shared" si="19"/>
        <v>257.584</v>
      </c>
      <c r="Z65" s="35">
        <f t="shared" si="19"/>
        <v>0</v>
      </c>
      <c r="AA65" s="35">
        <f t="shared" si="19"/>
        <v>356.32800000000003</v>
      </c>
      <c r="AB65" s="35">
        <f t="shared" si="19"/>
        <v>0</v>
      </c>
      <c r="AC65" s="35">
        <f t="shared" si="19"/>
        <v>0</v>
      </c>
      <c r="AD65" s="35">
        <f t="shared" si="19"/>
        <v>0</v>
      </c>
      <c r="AE65" s="35">
        <f t="shared" si="19"/>
        <v>11.056000000000001</v>
      </c>
      <c r="AF65" s="35">
        <f t="shared" si="19"/>
        <v>0</v>
      </c>
      <c r="AG65" s="35">
        <f t="shared" si="19"/>
        <v>0</v>
      </c>
      <c r="AH65" s="4">
        <f t="shared" si="14"/>
        <v>22352.09</v>
      </c>
      <c r="AI65" s="129">
        <f t="shared" si="15"/>
        <v>9790.2240000000002</v>
      </c>
      <c r="AJ65" s="129">
        <f t="shared" si="16"/>
        <v>925.78600000000006</v>
      </c>
      <c r="AK65" s="129">
        <f t="shared" si="17"/>
        <v>10594.168</v>
      </c>
      <c r="AL65" s="129">
        <f t="shared" si="18"/>
        <v>1041.912</v>
      </c>
    </row>
    <row r="66" spans="1:38">
      <c r="A66" s="1" t="s">
        <v>145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12"/>
        <v>0</v>
      </c>
      <c r="R66" s="1" t="s">
        <v>26</v>
      </c>
      <c r="S66" s="35">
        <f t="shared" si="19"/>
        <v>4714.6779999999999</v>
      </c>
      <c r="T66" s="35">
        <f t="shared" si="19"/>
        <v>1227.9740000000002</v>
      </c>
      <c r="U66" s="35">
        <f t="shared" si="19"/>
        <v>643.53600000000006</v>
      </c>
      <c r="V66" s="35">
        <f t="shared" si="19"/>
        <v>309.22000000000003</v>
      </c>
      <c r="W66" s="35">
        <f t="shared" si="19"/>
        <v>6557.3919999999998</v>
      </c>
      <c r="X66" s="35">
        <f t="shared" si="19"/>
        <v>94.76</v>
      </c>
      <c r="Y66" s="35">
        <f t="shared" si="19"/>
        <v>220.55</v>
      </c>
      <c r="Z66" s="35">
        <f t="shared" si="19"/>
        <v>110.556</v>
      </c>
      <c r="AA66" s="35">
        <f t="shared" si="19"/>
        <v>165.58</v>
      </c>
      <c r="AB66" s="35">
        <f t="shared" si="19"/>
        <v>56.855999999999995</v>
      </c>
      <c r="AC66" s="35">
        <f t="shared" si="19"/>
        <v>0</v>
      </c>
      <c r="AD66" s="35">
        <f t="shared" si="19"/>
        <v>0</v>
      </c>
      <c r="AE66" s="35">
        <f t="shared" si="19"/>
        <v>0</v>
      </c>
      <c r="AF66" s="35">
        <f t="shared" si="19"/>
        <v>0</v>
      </c>
      <c r="AG66" s="35">
        <f t="shared" si="19"/>
        <v>0</v>
      </c>
      <c r="AH66" s="4">
        <f t="shared" si="14"/>
        <v>14101.101999999999</v>
      </c>
      <c r="AI66" s="129">
        <f t="shared" si="15"/>
        <v>5942.652</v>
      </c>
      <c r="AJ66" s="129">
        <f t="shared" si="16"/>
        <v>952.75600000000009</v>
      </c>
      <c r="AK66" s="129">
        <f t="shared" si="17"/>
        <v>6557.3919999999998</v>
      </c>
      <c r="AL66" s="129">
        <f t="shared" si="18"/>
        <v>648.30200000000002</v>
      </c>
    </row>
    <row r="67" spans="1:38">
      <c r="A67" s="8" t="s">
        <v>37</v>
      </c>
      <c r="B67" s="9">
        <f>SUM(B40:B66)</f>
        <v>0</v>
      </c>
      <c r="C67" s="9">
        <f t="shared" ref="C67:N67" si="20">SUM(C40:C66)</f>
        <v>0</v>
      </c>
      <c r="D67" s="9">
        <f t="shared" si="20"/>
        <v>0</v>
      </c>
      <c r="E67" s="9">
        <f t="shared" si="20"/>
        <v>0</v>
      </c>
      <c r="F67" s="9">
        <f t="shared" si="20"/>
        <v>0</v>
      </c>
      <c r="G67" s="9">
        <f t="shared" si="20"/>
        <v>0</v>
      </c>
      <c r="H67" s="9">
        <f t="shared" si="20"/>
        <v>0</v>
      </c>
      <c r="I67" s="9">
        <f t="shared" si="20"/>
        <v>0</v>
      </c>
      <c r="J67" s="9">
        <f t="shared" si="20"/>
        <v>0</v>
      </c>
      <c r="K67" s="9">
        <f t="shared" si="20"/>
        <v>0</v>
      </c>
      <c r="L67" s="9">
        <f t="shared" si="20"/>
        <v>0</v>
      </c>
      <c r="M67" s="9">
        <f t="shared" si="20"/>
        <v>0</v>
      </c>
      <c r="N67" s="9">
        <f t="shared" si="20"/>
        <v>0</v>
      </c>
      <c r="O67" s="13">
        <f>SUM(O40:O66)</f>
        <v>0</v>
      </c>
      <c r="R67" s="8" t="s">
        <v>37</v>
      </c>
      <c r="S67" s="9">
        <f>SUM(S40:S66)</f>
        <v>1009666.3120000002</v>
      </c>
      <c r="T67" s="9">
        <f t="shared" ref="T67:AG67" si="21">SUM(T40:T66)</f>
        <v>203232.09200000003</v>
      </c>
      <c r="U67" s="9">
        <f t="shared" si="21"/>
        <v>131968.486</v>
      </c>
      <c r="V67" s="9">
        <f t="shared" si="21"/>
        <v>36308.192000000003</v>
      </c>
      <c r="W67" s="9">
        <f t="shared" si="21"/>
        <v>1546677.4380000001</v>
      </c>
      <c r="X67" s="9">
        <f t="shared" si="21"/>
        <v>23803.751999999997</v>
      </c>
      <c r="Y67" s="9">
        <f t="shared" si="21"/>
        <v>41721.40800000001</v>
      </c>
      <c r="Z67" s="9">
        <f t="shared" si="21"/>
        <v>4919.8180000000002</v>
      </c>
      <c r="AA67" s="9">
        <f t="shared" si="21"/>
        <v>29014.280600000002</v>
      </c>
      <c r="AB67" s="9">
        <f t="shared" si="21"/>
        <v>3676.6880000000001</v>
      </c>
      <c r="AC67" s="9">
        <f t="shared" si="21"/>
        <v>341.13600000000002</v>
      </c>
      <c r="AD67" s="9">
        <f t="shared" si="21"/>
        <v>0</v>
      </c>
      <c r="AE67" s="9">
        <f t="shared" si="21"/>
        <v>1171.9360000000001</v>
      </c>
      <c r="AF67" s="9">
        <f t="shared" si="21"/>
        <v>0</v>
      </c>
      <c r="AG67" s="9">
        <f t="shared" si="21"/>
        <v>0</v>
      </c>
      <c r="AH67" s="13">
        <f>SUM(AH40:AH66)</f>
        <v>3032501.5385999996</v>
      </c>
      <c r="AI67" s="129">
        <f t="shared" si="15"/>
        <v>1212898.4040000001</v>
      </c>
      <c r="AJ67" s="129">
        <f t="shared" si="16"/>
        <v>168276.67800000001</v>
      </c>
      <c r="AK67" s="129">
        <f t="shared" si="17"/>
        <v>1546677.4380000001</v>
      </c>
      <c r="AL67" s="129">
        <f t="shared" si="18"/>
        <v>104649.0186</v>
      </c>
    </row>
    <row r="68" spans="1:38" ht="18.75">
      <c r="O68" s="3"/>
      <c r="R68" s="44" t="s">
        <v>50</v>
      </c>
      <c r="AH68" s="3"/>
      <c r="AI68" s="129"/>
      <c r="AJ68" s="129"/>
      <c r="AK68" s="129"/>
      <c r="AL68" s="129"/>
    </row>
    <row r="69" spans="1:38" s="34" customFormat="1">
      <c r="A69" s="39" t="s">
        <v>14</v>
      </c>
      <c r="B69" s="35">
        <f>C19*0.2</f>
        <v>0</v>
      </c>
      <c r="C69" s="35">
        <f t="shared" ref="C69:E69" si="22">D19*0.2</f>
        <v>0</v>
      </c>
      <c r="D69" s="35">
        <f t="shared" si="22"/>
        <v>0</v>
      </c>
      <c r="E69" s="35">
        <f t="shared" si="22"/>
        <v>0</v>
      </c>
      <c r="F69" s="35">
        <f t="shared" ref="F69:N69" si="23">F19*0.2</f>
        <v>0</v>
      </c>
      <c r="G69" s="35">
        <f t="shared" si="23"/>
        <v>0</v>
      </c>
      <c r="H69" s="35">
        <f t="shared" si="23"/>
        <v>0</v>
      </c>
      <c r="I69" s="35">
        <f t="shared" si="23"/>
        <v>0</v>
      </c>
      <c r="J69" s="35">
        <f t="shared" si="23"/>
        <v>0</v>
      </c>
      <c r="K69" s="35">
        <f t="shared" si="23"/>
        <v>0</v>
      </c>
      <c r="L69" s="35">
        <f t="shared" si="23"/>
        <v>0</v>
      </c>
      <c r="M69" s="35">
        <f t="shared" si="23"/>
        <v>0</v>
      </c>
      <c r="N69" s="35">
        <f t="shared" si="23"/>
        <v>0</v>
      </c>
      <c r="O69" s="4">
        <f>SUM(B69:N69)</f>
        <v>0</v>
      </c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  <c r="AI69" s="130"/>
      <c r="AJ69" s="130"/>
      <c r="AK69" s="130"/>
      <c r="AL69" s="130"/>
    </row>
    <row r="70" spans="1:38">
      <c r="L70" s="3"/>
      <c r="M70" s="3"/>
      <c r="N70" s="3"/>
      <c r="R70"/>
      <c r="AC70" s="3"/>
      <c r="AD70" s="3"/>
      <c r="AE70" s="3"/>
      <c r="AF70" s="3"/>
      <c r="AG70" s="3"/>
      <c r="AI70" s="129"/>
      <c r="AJ70" s="129"/>
      <c r="AK70" s="129"/>
      <c r="AL70" s="129"/>
    </row>
    <row r="71" spans="1:38">
      <c r="R71"/>
      <c r="AI71" s="129"/>
      <c r="AJ71" s="129"/>
      <c r="AK71" s="129"/>
      <c r="AL71" s="129"/>
    </row>
    <row r="72" spans="1:38" ht="46.5">
      <c r="A72" s="292" t="s">
        <v>38</v>
      </c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  <c r="R72" s="292" t="s">
        <v>48</v>
      </c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4"/>
      <c r="AI72" s="129"/>
      <c r="AJ72" s="129"/>
      <c r="AK72" s="129"/>
      <c r="AL72" s="129"/>
    </row>
    <row r="73" spans="1:38" ht="21.75" customHeight="1">
      <c r="A73" s="290" t="s">
        <v>33</v>
      </c>
      <c r="B73" s="287" t="s">
        <v>27</v>
      </c>
      <c r="C73" s="288"/>
      <c r="D73" s="287" t="s">
        <v>29</v>
      </c>
      <c r="E73" s="288"/>
      <c r="F73" s="285" t="s">
        <v>28</v>
      </c>
      <c r="G73" s="285" t="s">
        <v>36</v>
      </c>
      <c r="H73" s="285" t="s">
        <v>30</v>
      </c>
      <c r="I73" s="285" t="s">
        <v>31</v>
      </c>
      <c r="J73" s="285" t="s">
        <v>41</v>
      </c>
      <c r="K73" s="285" t="s">
        <v>35</v>
      </c>
      <c r="L73" s="285" t="s">
        <v>40</v>
      </c>
      <c r="M73" s="285" t="s">
        <v>42</v>
      </c>
      <c r="N73" s="285" t="s">
        <v>45</v>
      </c>
      <c r="O73" s="285" t="s">
        <v>34</v>
      </c>
      <c r="R73" s="290" t="s">
        <v>33</v>
      </c>
      <c r="S73" s="287" t="s">
        <v>27</v>
      </c>
      <c r="T73" s="288"/>
      <c r="U73" s="287" t="s">
        <v>29</v>
      </c>
      <c r="V73" s="288"/>
      <c r="W73" s="285" t="s">
        <v>28</v>
      </c>
      <c r="X73" s="285" t="s">
        <v>36</v>
      </c>
      <c r="Y73" s="285" t="s">
        <v>30</v>
      </c>
      <c r="Z73" s="285" t="s">
        <v>31</v>
      </c>
      <c r="AA73" s="285" t="s">
        <v>41</v>
      </c>
      <c r="AB73" s="285" t="s">
        <v>35</v>
      </c>
      <c r="AC73" s="285" t="s">
        <v>40</v>
      </c>
      <c r="AD73" s="285" t="s">
        <v>42</v>
      </c>
      <c r="AE73" s="285" t="s">
        <v>45</v>
      </c>
      <c r="AF73" s="287" t="s">
        <v>52</v>
      </c>
      <c r="AG73" s="288"/>
      <c r="AH73" s="285" t="s">
        <v>34</v>
      </c>
      <c r="AI73" s="129"/>
      <c r="AJ73" s="129"/>
      <c r="AK73" s="129"/>
      <c r="AL73" s="129"/>
    </row>
    <row r="74" spans="1:38" ht="30">
      <c r="A74" s="291"/>
      <c r="B74" s="56" t="s">
        <v>43</v>
      </c>
      <c r="C74" s="56" t="s">
        <v>44</v>
      </c>
      <c r="D74" s="56" t="s">
        <v>43</v>
      </c>
      <c r="E74" s="56" t="s">
        <v>44</v>
      </c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R74" s="291"/>
      <c r="S74" s="56" t="s">
        <v>43</v>
      </c>
      <c r="T74" s="56" t="s">
        <v>44</v>
      </c>
      <c r="U74" s="56" t="s">
        <v>43</v>
      </c>
      <c r="V74" s="56" t="s">
        <v>44</v>
      </c>
      <c r="W74" s="286"/>
      <c r="X74" s="286"/>
      <c r="Y74" s="286"/>
      <c r="Z74" s="286"/>
      <c r="AA74" s="286"/>
      <c r="AB74" s="286"/>
      <c r="AC74" s="286"/>
      <c r="AD74" s="286"/>
      <c r="AE74" s="286"/>
      <c r="AF74" s="55" t="s">
        <v>53</v>
      </c>
      <c r="AG74" s="55" t="s">
        <v>54</v>
      </c>
      <c r="AH74" s="286"/>
      <c r="AI74" s="129" t="s">
        <v>230</v>
      </c>
      <c r="AJ74" s="129" t="s">
        <v>231</v>
      </c>
      <c r="AK74" s="129" t="s">
        <v>28</v>
      </c>
      <c r="AL74" s="129" t="s">
        <v>233</v>
      </c>
    </row>
    <row r="75" spans="1:38">
      <c r="A75" s="1" t="s">
        <v>119</v>
      </c>
      <c r="B75" s="22">
        <f>B5+B40</f>
        <v>0</v>
      </c>
      <c r="C75" s="22">
        <f t="shared" ref="C75:N75" si="24">C5+C40</f>
        <v>0</v>
      </c>
      <c r="D75" s="22">
        <f t="shared" si="24"/>
        <v>0</v>
      </c>
      <c r="E75" s="22">
        <f t="shared" si="24"/>
        <v>0</v>
      </c>
      <c r="F75" s="22">
        <f t="shared" si="24"/>
        <v>0</v>
      </c>
      <c r="G75" s="22">
        <f t="shared" si="24"/>
        <v>0</v>
      </c>
      <c r="H75" s="22">
        <f t="shared" si="24"/>
        <v>0</v>
      </c>
      <c r="I75" s="22">
        <f t="shared" si="24"/>
        <v>0</v>
      </c>
      <c r="J75" s="22">
        <f t="shared" si="24"/>
        <v>0</v>
      </c>
      <c r="K75" s="22">
        <f t="shared" si="24"/>
        <v>0</v>
      </c>
      <c r="L75" s="22">
        <f t="shared" si="24"/>
        <v>0</v>
      </c>
      <c r="M75" s="22">
        <f t="shared" si="24"/>
        <v>0</v>
      </c>
      <c r="N75" s="22">
        <f t="shared" si="24"/>
        <v>0</v>
      </c>
      <c r="O75" s="12">
        <f>SUM(B75:N75)</f>
        <v>0</v>
      </c>
      <c r="R75" s="2" t="s">
        <v>0</v>
      </c>
      <c r="S75" s="22">
        <v>17818.54</v>
      </c>
      <c r="T75" s="22">
        <v>2055.36</v>
      </c>
      <c r="U75" s="22">
        <v>2169.6799999999998</v>
      </c>
      <c r="V75" s="22">
        <v>493.91</v>
      </c>
      <c r="W75" s="22">
        <v>18762.48</v>
      </c>
      <c r="X75" s="22">
        <v>379.04</v>
      </c>
      <c r="Y75" s="22">
        <v>346.41</v>
      </c>
      <c r="Z75" s="22">
        <v>284.27999999999997</v>
      </c>
      <c r="AA75" s="22">
        <v>499.64</v>
      </c>
      <c r="AB75" s="22">
        <v>94.76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12">
        <f>SUM(S75:AG75)</f>
        <v>42904.100000000006</v>
      </c>
      <c r="AI75" s="129">
        <f>B75+C75+S75+T75</f>
        <v>19873.900000000001</v>
      </c>
      <c r="AJ75" s="129">
        <f>D75+E75+U75+V75</f>
        <v>2663.5899999999997</v>
      </c>
      <c r="AK75" s="129">
        <f>F75+W75</f>
        <v>18762.48</v>
      </c>
      <c r="AL75" s="129">
        <f>SUM(G75:N75)+SUM(X75:AG75)</f>
        <v>1604.1299999999999</v>
      </c>
    </row>
    <row r="76" spans="1:38">
      <c r="A76" s="1" t="s">
        <v>120</v>
      </c>
      <c r="B76" s="22">
        <f t="shared" ref="B76:N91" si="25">B6+B41</f>
        <v>0</v>
      </c>
      <c r="C76" s="22">
        <f t="shared" si="25"/>
        <v>0</v>
      </c>
      <c r="D76" s="22">
        <f t="shared" si="25"/>
        <v>0</v>
      </c>
      <c r="E76" s="22">
        <f t="shared" si="25"/>
        <v>0</v>
      </c>
      <c r="F76" s="22">
        <f t="shared" si="25"/>
        <v>0</v>
      </c>
      <c r="G76" s="22">
        <f t="shared" si="25"/>
        <v>0</v>
      </c>
      <c r="H76" s="22">
        <f t="shared" si="25"/>
        <v>0</v>
      </c>
      <c r="I76" s="22">
        <f t="shared" si="25"/>
        <v>0</v>
      </c>
      <c r="J76" s="22">
        <f t="shared" si="25"/>
        <v>0</v>
      </c>
      <c r="K76" s="22">
        <f t="shared" si="25"/>
        <v>0</v>
      </c>
      <c r="L76" s="22">
        <f t="shared" si="25"/>
        <v>0</v>
      </c>
      <c r="M76" s="22">
        <f t="shared" si="25"/>
        <v>0</v>
      </c>
      <c r="N76" s="22">
        <f t="shared" si="25"/>
        <v>0</v>
      </c>
      <c r="O76" s="12">
        <f t="shared" ref="O76:O101" si="26">SUM(B76:N76)</f>
        <v>0</v>
      </c>
      <c r="R76" s="2" t="s">
        <v>1</v>
      </c>
      <c r="S76" s="22">
        <v>49707.19</v>
      </c>
      <c r="T76" s="22">
        <v>7761.9</v>
      </c>
      <c r="U76" s="22">
        <v>1179.28</v>
      </c>
      <c r="V76" s="22">
        <v>88.95</v>
      </c>
      <c r="W76" s="22">
        <v>64342.04</v>
      </c>
      <c r="X76" s="22">
        <v>2748.04</v>
      </c>
      <c r="Y76" s="22">
        <v>1183.03</v>
      </c>
      <c r="Z76" s="22">
        <v>0</v>
      </c>
      <c r="AA76" s="22">
        <v>931.85</v>
      </c>
      <c r="AB76" s="22">
        <v>189.52</v>
      </c>
      <c r="AC76" s="22">
        <v>189.52</v>
      </c>
      <c r="AD76" s="22">
        <v>0</v>
      </c>
      <c r="AE76" s="22">
        <v>27.64</v>
      </c>
      <c r="AF76" s="22">
        <v>0</v>
      </c>
      <c r="AG76" s="22">
        <v>0</v>
      </c>
      <c r="AH76" s="12">
        <f t="shared" ref="AH76:AH101" si="27">SUM(S76:AG76)</f>
        <v>128348.96</v>
      </c>
      <c r="AI76" s="129">
        <f t="shared" ref="AI76:AI101" si="28">B76+C76+S76+T76</f>
        <v>57469.090000000004</v>
      </c>
      <c r="AJ76" s="129">
        <f t="shared" ref="AJ76:AJ102" si="29">D76+E76+U76+V76</f>
        <v>1268.23</v>
      </c>
      <c r="AK76" s="129">
        <f t="shared" ref="AK76:AK102" si="30">F76+W76</f>
        <v>64342.04</v>
      </c>
      <c r="AL76" s="129">
        <f t="shared" ref="AL76:AL102" si="31">SUM(G76:N76)+SUM(X76:AG76)</f>
        <v>5269.6000000000013</v>
      </c>
    </row>
    <row r="77" spans="1:38">
      <c r="A77" s="18" t="s">
        <v>121</v>
      </c>
      <c r="B77" s="22">
        <f t="shared" si="25"/>
        <v>0</v>
      </c>
      <c r="C77" s="22">
        <f t="shared" si="25"/>
        <v>0</v>
      </c>
      <c r="D77" s="22">
        <f t="shared" si="25"/>
        <v>0</v>
      </c>
      <c r="E77" s="22">
        <f t="shared" si="25"/>
        <v>0</v>
      </c>
      <c r="F77" s="22">
        <f t="shared" si="25"/>
        <v>0</v>
      </c>
      <c r="G77" s="22">
        <f t="shared" si="25"/>
        <v>0</v>
      </c>
      <c r="H77" s="22">
        <f t="shared" si="25"/>
        <v>0</v>
      </c>
      <c r="I77" s="22">
        <f t="shared" si="25"/>
        <v>0</v>
      </c>
      <c r="J77" s="22">
        <f t="shared" si="25"/>
        <v>0</v>
      </c>
      <c r="K77" s="22">
        <f t="shared" si="25"/>
        <v>0</v>
      </c>
      <c r="L77" s="22">
        <f t="shared" si="25"/>
        <v>0</v>
      </c>
      <c r="M77" s="22">
        <f t="shared" si="25"/>
        <v>0</v>
      </c>
      <c r="N77" s="22">
        <f t="shared" si="25"/>
        <v>0</v>
      </c>
      <c r="O77" s="12">
        <f t="shared" si="26"/>
        <v>0</v>
      </c>
      <c r="R77" s="2" t="s">
        <v>2</v>
      </c>
      <c r="S77" s="22">
        <v>15168.35</v>
      </c>
      <c r="T77" s="22">
        <v>6709.38</v>
      </c>
      <c r="U77" s="22">
        <v>3156.35</v>
      </c>
      <c r="V77" s="22">
        <v>86.25</v>
      </c>
      <c r="W77" s="22">
        <v>21419.35</v>
      </c>
      <c r="X77" s="22">
        <v>852.84</v>
      </c>
      <c r="Y77" s="22">
        <v>778.69</v>
      </c>
      <c r="Z77" s="22">
        <v>0</v>
      </c>
      <c r="AA77" s="22">
        <v>792.93</v>
      </c>
      <c r="AB77" s="22">
        <v>284.27999999999997</v>
      </c>
      <c r="AC77" s="22">
        <v>0</v>
      </c>
      <c r="AD77" s="22">
        <v>0</v>
      </c>
      <c r="AE77" s="22">
        <v>27.64</v>
      </c>
      <c r="AF77" s="22">
        <v>0</v>
      </c>
      <c r="AG77" s="22">
        <v>0</v>
      </c>
      <c r="AH77" s="12">
        <f t="shared" si="27"/>
        <v>49276.05999999999</v>
      </c>
      <c r="AI77" s="129">
        <f t="shared" si="28"/>
        <v>21877.73</v>
      </c>
      <c r="AJ77" s="129">
        <f t="shared" si="29"/>
        <v>3242.6</v>
      </c>
      <c r="AK77" s="129">
        <f t="shared" si="30"/>
        <v>21419.35</v>
      </c>
      <c r="AL77" s="129">
        <f t="shared" si="31"/>
        <v>2736.3799999999997</v>
      </c>
    </row>
    <row r="78" spans="1:38">
      <c r="A78" s="2" t="s">
        <v>122</v>
      </c>
      <c r="B78" s="22">
        <f t="shared" si="25"/>
        <v>0</v>
      </c>
      <c r="C78" s="22">
        <f t="shared" si="25"/>
        <v>0</v>
      </c>
      <c r="D78" s="22">
        <f t="shared" si="25"/>
        <v>0</v>
      </c>
      <c r="E78" s="22">
        <f t="shared" si="25"/>
        <v>0</v>
      </c>
      <c r="F78" s="22">
        <f t="shared" si="25"/>
        <v>0</v>
      </c>
      <c r="G78" s="22">
        <f t="shared" si="25"/>
        <v>0</v>
      </c>
      <c r="H78" s="22">
        <f t="shared" si="25"/>
        <v>0</v>
      </c>
      <c r="I78" s="22">
        <f t="shared" si="25"/>
        <v>0</v>
      </c>
      <c r="J78" s="22">
        <f t="shared" si="25"/>
        <v>0</v>
      </c>
      <c r="K78" s="22">
        <f t="shared" si="25"/>
        <v>0</v>
      </c>
      <c r="L78" s="22">
        <f t="shared" si="25"/>
        <v>0</v>
      </c>
      <c r="M78" s="22">
        <f t="shared" si="25"/>
        <v>0</v>
      </c>
      <c r="N78" s="22">
        <f t="shared" si="25"/>
        <v>0</v>
      </c>
      <c r="O78" s="12">
        <f t="shared" si="26"/>
        <v>0</v>
      </c>
      <c r="R78" s="2" t="s">
        <v>3</v>
      </c>
      <c r="S78" s="22">
        <v>60544.32</v>
      </c>
      <c r="T78" s="22">
        <v>21908.959999999999</v>
      </c>
      <c r="U78" s="22">
        <v>5857.99</v>
      </c>
      <c r="V78" s="22">
        <v>2599.14</v>
      </c>
      <c r="W78" s="22">
        <v>46906.2</v>
      </c>
      <c r="X78" s="22">
        <v>1800.44</v>
      </c>
      <c r="Y78" s="22">
        <v>2712.13</v>
      </c>
      <c r="Z78" s="22">
        <v>0</v>
      </c>
      <c r="AA78" s="22">
        <v>2636.75</v>
      </c>
      <c r="AB78" s="22">
        <v>284.27999999999997</v>
      </c>
      <c r="AC78" s="22">
        <v>0</v>
      </c>
      <c r="AD78" s="22">
        <v>0</v>
      </c>
      <c r="AE78" s="22">
        <v>0</v>
      </c>
      <c r="AF78" s="22">
        <v>28.58</v>
      </c>
      <c r="AG78" s="22">
        <v>0</v>
      </c>
      <c r="AH78" s="12">
        <f t="shared" si="27"/>
        <v>145278.78999999998</v>
      </c>
      <c r="AI78" s="129">
        <f t="shared" si="28"/>
        <v>82453.279999999999</v>
      </c>
      <c r="AJ78" s="129">
        <f t="shared" si="29"/>
        <v>8457.1299999999992</v>
      </c>
      <c r="AK78" s="129">
        <f t="shared" si="30"/>
        <v>46906.2</v>
      </c>
      <c r="AL78" s="129">
        <f t="shared" si="31"/>
        <v>7462.1799999999994</v>
      </c>
    </row>
    <row r="79" spans="1:38">
      <c r="A79" s="1" t="s">
        <v>123</v>
      </c>
      <c r="B79" s="22">
        <f t="shared" si="25"/>
        <v>0</v>
      </c>
      <c r="C79" s="22">
        <f t="shared" si="25"/>
        <v>0</v>
      </c>
      <c r="D79" s="22">
        <f t="shared" si="25"/>
        <v>0</v>
      </c>
      <c r="E79" s="22">
        <f t="shared" si="25"/>
        <v>0</v>
      </c>
      <c r="F79" s="22">
        <f t="shared" si="25"/>
        <v>0</v>
      </c>
      <c r="G79" s="22">
        <f t="shared" si="25"/>
        <v>0</v>
      </c>
      <c r="H79" s="22">
        <f t="shared" si="25"/>
        <v>0</v>
      </c>
      <c r="I79" s="22">
        <f t="shared" si="25"/>
        <v>0</v>
      </c>
      <c r="J79" s="22">
        <f t="shared" si="25"/>
        <v>0</v>
      </c>
      <c r="K79" s="22">
        <f t="shared" si="25"/>
        <v>0</v>
      </c>
      <c r="L79" s="22">
        <f t="shared" si="25"/>
        <v>0</v>
      </c>
      <c r="M79" s="22">
        <f t="shared" si="25"/>
        <v>0</v>
      </c>
      <c r="N79" s="22">
        <f t="shared" si="25"/>
        <v>0</v>
      </c>
      <c r="O79" s="12">
        <f t="shared" si="26"/>
        <v>0</v>
      </c>
      <c r="R79" s="2" t="s">
        <v>4</v>
      </c>
      <c r="S79" s="22">
        <v>138339.66</v>
      </c>
      <c r="T79" s="22">
        <v>29054.41</v>
      </c>
      <c r="U79" s="22">
        <v>22347.83</v>
      </c>
      <c r="V79" s="22">
        <v>3005.1</v>
      </c>
      <c r="W79" s="22">
        <v>153700.72</v>
      </c>
      <c r="X79" s="22">
        <v>2463.7600000000002</v>
      </c>
      <c r="Y79" s="22">
        <v>5235.04</v>
      </c>
      <c r="Z79" s="22">
        <v>0</v>
      </c>
      <c r="AA79" s="22">
        <v>3577.36</v>
      </c>
      <c r="AB79" s="22">
        <v>568.55999999999995</v>
      </c>
      <c r="AC79" s="22">
        <v>0</v>
      </c>
      <c r="AD79" s="22">
        <v>0</v>
      </c>
      <c r="AE79" s="22">
        <v>110.56</v>
      </c>
      <c r="AF79" s="22">
        <v>0</v>
      </c>
      <c r="AG79" s="22">
        <v>0</v>
      </c>
      <c r="AH79" s="12">
        <f t="shared" si="27"/>
        <v>358403</v>
      </c>
      <c r="AI79" s="129">
        <f t="shared" si="28"/>
        <v>167394.07</v>
      </c>
      <c r="AJ79" s="129">
        <f t="shared" si="29"/>
        <v>25352.93</v>
      </c>
      <c r="AK79" s="129">
        <f t="shared" si="30"/>
        <v>153700.72</v>
      </c>
      <c r="AL79" s="129">
        <f t="shared" si="31"/>
        <v>11955.279999999999</v>
      </c>
    </row>
    <row r="80" spans="1:38">
      <c r="A80" s="1" t="s">
        <v>124</v>
      </c>
      <c r="B80" s="22">
        <f t="shared" si="25"/>
        <v>0</v>
      </c>
      <c r="C80" s="22">
        <f t="shared" si="25"/>
        <v>0</v>
      </c>
      <c r="D80" s="22">
        <f t="shared" si="25"/>
        <v>0</v>
      </c>
      <c r="E80" s="22">
        <f t="shared" si="25"/>
        <v>0</v>
      </c>
      <c r="F80" s="22">
        <f t="shared" si="25"/>
        <v>0</v>
      </c>
      <c r="G80" s="22">
        <f t="shared" si="25"/>
        <v>0</v>
      </c>
      <c r="H80" s="22">
        <f t="shared" si="25"/>
        <v>0</v>
      </c>
      <c r="I80" s="22">
        <f t="shared" si="25"/>
        <v>0</v>
      </c>
      <c r="J80" s="22">
        <f t="shared" si="25"/>
        <v>0</v>
      </c>
      <c r="K80" s="22">
        <f t="shared" si="25"/>
        <v>0</v>
      </c>
      <c r="L80" s="22">
        <f t="shared" si="25"/>
        <v>0</v>
      </c>
      <c r="M80" s="22">
        <f t="shared" si="25"/>
        <v>0</v>
      </c>
      <c r="N80" s="22">
        <f t="shared" si="25"/>
        <v>0</v>
      </c>
      <c r="O80" s="12">
        <f t="shared" si="26"/>
        <v>0</v>
      </c>
      <c r="R80" s="2" t="s">
        <v>5</v>
      </c>
      <c r="S80" s="22">
        <v>77087.199999999997</v>
      </c>
      <c r="T80" s="22">
        <v>17741.7</v>
      </c>
      <c r="U80" s="22">
        <v>9033.5499999999993</v>
      </c>
      <c r="V80" s="22">
        <v>938.22</v>
      </c>
      <c r="W80" s="22">
        <v>93149.08</v>
      </c>
      <c r="X80" s="22">
        <v>94.76</v>
      </c>
      <c r="Y80" s="22">
        <v>3113.53</v>
      </c>
      <c r="Z80" s="22">
        <v>500.46</v>
      </c>
      <c r="AA80" s="22">
        <v>2141.46</v>
      </c>
      <c r="AB80" s="22">
        <v>94.76</v>
      </c>
      <c r="AC80" s="22">
        <v>0</v>
      </c>
      <c r="AD80" s="22">
        <v>0</v>
      </c>
      <c r="AE80" s="22">
        <v>55.28</v>
      </c>
      <c r="AF80" s="22">
        <v>0</v>
      </c>
      <c r="AG80" s="22">
        <v>0</v>
      </c>
      <c r="AH80" s="12">
        <f t="shared" si="27"/>
        <v>203950</v>
      </c>
      <c r="AI80" s="129">
        <f t="shared" si="28"/>
        <v>94828.9</v>
      </c>
      <c r="AJ80" s="129">
        <f t="shared" si="29"/>
        <v>9971.7699999999986</v>
      </c>
      <c r="AK80" s="129">
        <f t="shared" si="30"/>
        <v>93149.08</v>
      </c>
      <c r="AL80" s="129">
        <f t="shared" si="31"/>
        <v>6000.2500000000009</v>
      </c>
    </row>
    <row r="81" spans="1:38">
      <c r="A81" s="1" t="s">
        <v>125</v>
      </c>
      <c r="B81" s="22">
        <f t="shared" si="25"/>
        <v>0</v>
      </c>
      <c r="C81" s="22">
        <f t="shared" si="25"/>
        <v>84.05</v>
      </c>
      <c r="D81" s="22">
        <f t="shared" si="25"/>
        <v>0</v>
      </c>
      <c r="E81" s="22">
        <f t="shared" si="25"/>
        <v>0</v>
      </c>
      <c r="F81" s="22">
        <f t="shared" si="25"/>
        <v>0</v>
      </c>
      <c r="G81" s="22">
        <f t="shared" si="25"/>
        <v>0</v>
      </c>
      <c r="H81" s="22">
        <f t="shared" si="25"/>
        <v>33.270000000000003</v>
      </c>
      <c r="I81" s="22">
        <f t="shared" si="25"/>
        <v>0</v>
      </c>
      <c r="J81" s="22">
        <f t="shared" si="25"/>
        <v>0</v>
      </c>
      <c r="K81" s="22">
        <f t="shared" si="25"/>
        <v>0</v>
      </c>
      <c r="L81" s="22">
        <f t="shared" si="25"/>
        <v>0</v>
      </c>
      <c r="M81" s="22">
        <f t="shared" si="25"/>
        <v>0</v>
      </c>
      <c r="N81" s="22">
        <f t="shared" si="25"/>
        <v>0</v>
      </c>
      <c r="O81" s="12">
        <f t="shared" si="26"/>
        <v>117.32</v>
      </c>
      <c r="R81" s="2" t="s">
        <v>6</v>
      </c>
      <c r="S81" s="22">
        <v>153965.35</v>
      </c>
      <c r="T81" s="22">
        <v>33279.19</v>
      </c>
      <c r="U81" s="22">
        <v>16970.54</v>
      </c>
      <c r="V81" s="22">
        <v>8819.2900000000009</v>
      </c>
      <c r="W81" s="22">
        <v>135696.32000000001</v>
      </c>
      <c r="X81" s="22">
        <v>3411.36</v>
      </c>
      <c r="Y81" s="22">
        <v>6399.12</v>
      </c>
      <c r="Z81" s="22">
        <v>0</v>
      </c>
      <c r="AA81" s="22">
        <v>4995.53</v>
      </c>
      <c r="AB81" s="22">
        <v>379.04</v>
      </c>
      <c r="AC81" s="22">
        <v>0</v>
      </c>
      <c r="AD81" s="22">
        <v>0</v>
      </c>
      <c r="AE81" s="22">
        <v>193.48</v>
      </c>
      <c r="AF81" s="22">
        <v>0</v>
      </c>
      <c r="AG81" s="22">
        <v>0</v>
      </c>
      <c r="AH81" s="12">
        <f t="shared" si="27"/>
        <v>364109.22000000003</v>
      </c>
      <c r="AI81" s="129">
        <f t="shared" si="28"/>
        <v>187328.59</v>
      </c>
      <c r="AJ81" s="129">
        <f t="shared" si="29"/>
        <v>25789.83</v>
      </c>
      <c r="AK81" s="129">
        <f t="shared" si="30"/>
        <v>135696.32000000001</v>
      </c>
      <c r="AL81" s="129">
        <f t="shared" si="31"/>
        <v>15411.8</v>
      </c>
    </row>
    <row r="82" spans="1:38">
      <c r="A82" s="1" t="s">
        <v>126</v>
      </c>
      <c r="B82" s="22">
        <f t="shared" si="25"/>
        <v>0</v>
      </c>
      <c r="C82" s="22">
        <f t="shared" si="25"/>
        <v>0</v>
      </c>
      <c r="D82" s="22">
        <f t="shared" si="25"/>
        <v>0</v>
      </c>
      <c r="E82" s="22">
        <f t="shared" si="25"/>
        <v>0</v>
      </c>
      <c r="F82" s="22">
        <f t="shared" si="25"/>
        <v>0</v>
      </c>
      <c r="G82" s="22">
        <f t="shared" si="25"/>
        <v>0</v>
      </c>
      <c r="H82" s="22">
        <f t="shared" si="25"/>
        <v>0</v>
      </c>
      <c r="I82" s="22">
        <f t="shared" si="25"/>
        <v>0</v>
      </c>
      <c r="J82" s="22">
        <f>J12+J47</f>
        <v>0</v>
      </c>
      <c r="K82" s="22">
        <f t="shared" si="25"/>
        <v>0</v>
      </c>
      <c r="L82" s="22">
        <f t="shared" si="25"/>
        <v>0</v>
      </c>
      <c r="M82" s="22">
        <f t="shared" si="25"/>
        <v>0</v>
      </c>
      <c r="N82" s="22">
        <f t="shared" si="25"/>
        <v>0</v>
      </c>
      <c r="O82" s="12">
        <f t="shared" si="26"/>
        <v>0</v>
      </c>
      <c r="R82" s="2" t="s">
        <v>7</v>
      </c>
      <c r="S82" s="22">
        <v>105676.46</v>
      </c>
      <c r="T82" s="22">
        <v>17655.59</v>
      </c>
      <c r="U82" s="22">
        <v>11689.17</v>
      </c>
      <c r="V82" s="22">
        <v>2794.69</v>
      </c>
      <c r="W82" s="22">
        <v>116554.8</v>
      </c>
      <c r="X82" s="22">
        <v>4358.96</v>
      </c>
      <c r="Y82" s="22">
        <v>3725.96</v>
      </c>
      <c r="Z82" s="22">
        <v>1905.35</v>
      </c>
      <c r="AA82" s="22">
        <v>2213.0500000000002</v>
      </c>
      <c r="AB82" s="22">
        <v>0</v>
      </c>
      <c r="AC82" s="22">
        <v>0</v>
      </c>
      <c r="AD82" s="22">
        <v>0</v>
      </c>
      <c r="AE82" s="22">
        <v>138.19999999999999</v>
      </c>
      <c r="AF82" s="22">
        <v>0</v>
      </c>
      <c r="AG82" s="22">
        <v>0</v>
      </c>
      <c r="AH82" s="12">
        <f t="shared" si="27"/>
        <v>266712.23</v>
      </c>
      <c r="AI82" s="129">
        <f t="shared" si="28"/>
        <v>123332.05</v>
      </c>
      <c r="AJ82" s="129">
        <f t="shared" si="29"/>
        <v>14483.86</v>
      </c>
      <c r="AK82" s="129">
        <f t="shared" si="30"/>
        <v>116554.8</v>
      </c>
      <c r="AL82" s="129">
        <f t="shared" si="31"/>
        <v>12341.52</v>
      </c>
    </row>
    <row r="83" spans="1:38">
      <c r="A83" s="1" t="s">
        <v>127</v>
      </c>
      <c r="B83" s="22">
        <f t="shared" si="25"/>
        <v>0</v>
      </c>
      <c r="C83" s="22">
        <f t="shared" si="25"/>
        <v>0</v>
      </c>
      <c r="D83" s="22">
        <f t="shared" si="25"/>
        <v>0</v>
      </c>
      <c r="E83" s="22">
        <f t="shared" si="25"/>
        <v>0</v>
      </c>
      <c r="F83" s="22">
        <f t="shared" si="25"/>
        <v>0</v>
      </c>
      <c r="G83" s="22">
        <f t="shared" si="25"/>
        <v>0</v>
      </c>
      <c r="H83" s="22">
        <f t="shared" si="25"/>
        <v>0</v>
      </c>
      <c r="I83" s="22">
        <f t="shared" si="25"/>
        <v>0</v>
      </c>
      <c r="J83" s="22">
        <f t="shared" si="25"/>
        <v>0</v>
      </c>
      <c r="K83" s="22">
        <f t="shared" si="25"/>
        <v>0</v>
      </c>
      <c r="L83" s="22">
        <f t="shared" si="25"/>
        <v>0</v>
      </c>
      <c r="M83" s="22">
        <f t="shared" si="25"/>
        <v>0</v>
      </c>
      <c r="N83" s="22">
        <f t="shared" si="25"/>
        <v>0</v>
      </c>
      <c r="O83" s="12">
        <f t="shared" si="26"/>
        <v>0</v>
      </c>
      <c r="R83" s="2" t="s">
        <v>8</v>
      </c>
      <c r="S83" s="22">
        <v>126393.43</v>
      </c>
      <c r="T83" s="22">
        <v>25463.21</v>
      </c>
      <c r="U83" s="22">
        <v>14291.04</v>
      </c>
      <c r="V83" s="22">
        <v>2842.94</v>
      </c>
      <c r="W83" s="22">
        <v>275846.36</v>
      </c>
      <c r="X83" s="22">
        <v>13645.44</v>
      </c>
      <c r="Y83" s="22">
        <v>5106.41</v>
      </c>
      <c r="Z83" s="22">
        <v>269.25</v>
      </c>
      <c r="AA83" s="22">
        <v>4158.25</v>
      </c>
      <c r="AB83" s="22">
        <v>189.52</v>
      </c>
      <c r="AC83" s="22">
        <v>0</v>
      </c>
      <c r="AD83" s="22">
        <v>0</v>
      </c>
      <c r="AE83" s="22">
        <v>304.04000000000002</v>
      </c>
      <c r="AF83" s="22">
        <v>0</v>
      </c>
      <c r="AG83" s="22">
        <v>0</v>
      </c>
      <c r="AH83" s="12">
        <f t="shared" si="27"/>
        <v>468509.88999999996</v>
      </c>
      <c r="AI83" s="129">
        <f t="shared" si="28"/>
        <v>151856.63999999998</v>
      </c>
      <c r="AJ83" s="129">
        <f t="shared" si="29"/>
        <v>17133.98</v>
      </c>
      <c r="AK83" s="129">
        <f t="shared" si="30"/>
        <v>275846.36</v>
      </c>
      <c r="AL83" s="129">
        <f t="shared" si="31"/>
        <v>23672.91</v>
      </c>
    </row>
    <row r="84" spans="1:38">
      <c r="A84" s="2" t="s">
        <v>128</v>
      </c>
      <c r="B84" s="22">
        <f t="shared" si="25"/>
        <v>0</v>
      </c>
      <c r="C84" s="22">
        <f t="shared" si="25"/>
        <v>0</v>
      </c>
      <c r="D84" s="22">
        <f t="shared" si="25"/>
        <v>0</v>
      </c>
      <c r="E84" s="22">
        <f t="shared" si="25"/>
        <v>0</v>
      </c>
      <c r="F84" s="22">
        <f t="shared" si="25"/>
        <v>0</v>
      </c>
      <c r="G84" s="22">
        <f t="shared" si="25"/>
        <v>0</v>
      </c>
      <c r="H84" s="22">
        <f t="shared" si="25"/>
        <v>0</v>
      </c>
      <c r="I84" s="22">
        <f t="shared" si="25"/>
        <v>0</v>
      </c>
      <c r="J84" s="22">
        <f t="shared" si="25"/>
        <v>0</v>
      </c>
      <c r="K84" s="22">
        <f t="shared" si="25"/>
        <v>0</v>
      </c>
      <c r="L84" s="22">
        <f t="shared" si="25"/>
        <v>0</v>
      </c>
      <c r="M84" s="22">
        <f t="shared" si="25"/>
        <v>0</v>
      </c>
      <c r="N84" s="22">
        <f t="shared" si="25"/>
        <v>0</v>
      </c>
      <c r="O84" s="12">
        <f t="shared" si="26"/>
        <v>0</v>
      </c>
      <c r="R84" s="2" t="s">
        <v>9</v>
      </c>
      <c r="S84" s="22">
        <v>40321.08</v>
      </c>
      <c r="T84" s="22">
        <v>12223.07</v>
      </c>
      <c r="U84" s="22">
        <v>5030.3599999999997</v>
      </c>
      <c r="V84" s="22">
        <v>945.34</v>
      </c>
      <c r="W84" s="22">
        <v>38567.32</v>
      </c>
      <c r="X84" s="22">
        <v>663.32</v>
      </c>
      <c r="Y84" s="22">
        <v>2494.17</v>
      </c>
      <c r="Z84" s="22">
        <v>0</v>
      </c>
      <c r="AA84" s="22">
        <v>1379.26</v>
      </c>
      <c r="AB84" s="22">
        <v>94.76</v>
      </c>
      <c r="AC84" s="22">
        <v>0</v>
      </c>
      <c r="AD84" s="22">
        <v>0</v>
      </c>
      <c r="AE84" s="22">
        <v>27.64</v>
      </c>
      <c r="AF84" s="22">
        <v>0</v>
      </c>
      <c r="AG84" s="22">
        <v>0</v>
      </c>
      <c r="AH84" s="12">
        <f t="shared" si="27"/>
        <v>101746.31999999999</v>
      </c>
      <c r="AI84" s="129">
        <f t="shared" si="28"/>
        <v>52544.15</v>
      </c>
      <c r="AJ84" s="129">
        <f t="shared" si="29"/>
        <v>5975.7</v>
      </c>
      <c r="AK84" s="129">
        <f t="shared" si="30"/>
        <v>38567.32</v>
      </c>
      <c r="AL84" s="129">
        <f t="shared" si="31"/>
        <v>4659.1500000000005</v>
      </c>
    </row>
    <row r="85" spans="1:38">
      <c r="A85" s="18" t="s">
        <v>129</v>
      </c>
      <c r="B85" s="22">
        <f t="shared" si="25"/>
        <v>0</v>
      </c>
      <c r="C85" s="22">
        <f t="shared" si="25"/>
        <v>0</v>
      </c>
      <c r="D85" s="22">
        <f t="shared" si="25"/>
        <v>0</v>
      </c>
      <c r="E85" s="22">
        <f t="shared" si="25"/>
        <v>0</v>
      </c>
      <c r="F85" s="22">
        <f t="shared" si="25"/>
        <v>0</v>
      </c>
      <c r="G85" s="22">
        <f t="shared" si="25"/>
        <v>0</v>
      </c>
      <c r="H85" s="22">
        <f t="shared" si="25"/>
        <v>0</v>
      </c>
      <c r="I85" s="22">
        <f t="shared" si="25"/>
        <v>0</v>
      </c>
      <c r="J85" s="22">
        <f t="shared" si="25"/>
        <v>0</v>
      </c>
      <c r="K85" s="22">
        <f t="shared" si="25"/>
        <v>0</v>
      </c>
      <c r="L85" s="22">
        <f t="shared" si="25"/>
        <v>0</v>
      </c>
      <c r="M85" s="22">
        <f t="shared" si="25"/>
        <v>0</v>
      </c>
      <c r="N85" s="22">
        <f t="shared" si="25"/>
        <v>0</v>
      </c>
      <c r="O85" s="12">
        <f t="shared" si="26"/>
        <v>0</v>
      </c>
      <c r="R85" s="2" t="s">
        <v>10</v>
      </c>
      <c r="S85" s="22">
        <v>92517.72</v>
      </c>
      <c r="T85" s="22">
        <v>14881.02</v>
      </c>
      <c r="U85" s="22">
        <v>11057.45</v>
      </c>
      <c r="V85" s="22">
        <v>1121.5999999999999</v>
      </c>
      <c r="W85" s="22">
        <v>245333.64</v>
      </c>
      <c r="X85" s="22">
        <v>1800.44</v>
      </c>
      <c r="Y85" s="22">
        <v>1494.75</v>
      </c>
      <c r="Z85" s="22">
        <v>0</v>
      </c>
      <c r="AA85" s="22">
        <v>2612.7399999999998</v>
      </c>
      <c r="AB85" s="22">
        <v>189.52</v>
      </c>
      <c r="AC85" s="22">
        <v>189.52</v>
      </c>
      <c r="AD85" s="22">
        <v>0</v>
      </c>
      <c r="AE85" s="22">
        <v>27.64</v>
      </c>
      <c r="AF85" s="22">
        <v>0</v>
      </c>
      <c r="AG85" s="22">
        <v>0</v>
      </c>
      <c r="AH85" s="12">
        <f t="shared" si="27"/>
        <v>371226.0400000001</v>
      </c>
      <c r="AI85" s="129">
        <f t="shared" si="28"/>
        <v>107398.74</v>
      </c>
      <c r="AJ85" s="129">
        <f t="shared" si="29"/>
        <v>12179.050000000001</v>
      </c>
      <c r="AK85" s="129">
        <f t="shared" si="30"/>
        <v>245333.64</v>
      </c>
      <c r="AL85" s="129">
        <f t="shared" si="31"/>
        <v>6314.6100000000015</v>
      </c>
    </row>
    <row r="86" spans="1:38">
      <c r="A86" s="1" t="s">
        <v>130</v>
      </c>
      <c r="B86" s="22">
        <f t="shared" si="25"/>
        <v>0</v>
      </c>
      <c r="C86" s="22">
        <f t="shared" si="25"/>
        <v>0</v>
      </c>
      <c r="D86" s="22">
        <f t="shared" si="25"/>
        <v>0</v>
      </c>
      <c r="E86" s="22">
        <f t="shared" si="25"/>
        <v>0</v>
      </c>
      <c r="F86" s="22">
        <f t="shared" si="25"/>
        <v>0</v>
      </c>
      <c r="G86" s="22">
        <f t="shared" si="25"/>
        <v>0</v>
      </c>
      <c r="H86" s="22">
        <f t="shared" si="25"/>
        <v>0</v>
      </c>
      <c r="I86" s="22">
        <f t="shared" si="25"/>
        <v>0</v>
      </c>
      <c r="J86" s="22">
        <f t="shared" si="25"/>
        <v>0</v>
      </c>
      <c r="K86" s="22">
        <f t="shared" si="25"/>
        <v>0</v>
      </c>
      <c r="L86" s="22">
        <f t="shared" si="25"/>
        <v>0</v>
      </c>
      <c r="M86" s="22">
        <f t="shared" si="25"/>
        <v>0</v>
      </c>
      <c r="N86" s="22">
        <f t="shared" si="25"/>
        <v>0</v>
      </c>
      <c r="O86" s="12">
        <f t="shared" si="26"/>
        <v>0</v>
      </c>
      <c r="R86" s="2" t="s">
        <v>11</v>
      </c>
      <c r="S86" s="22">
        <v>78083.929999999993</v>
      </c>
      <c r="T86" s="22">
        <v>15577.82</v>
      </c>
      <c r="U86" s="22">
        <v>15794.33</v>
      </c>
      <c r="V86" s="22">
        <v>2450.84</v>
      </c>
      <c r="W86" s="22">
        <v>216905.64</v>
      </c>
      <c r="X86" s="22">
        <v>3790.4</v>
      </c>
      <c r="Y86" s="22">
        <v>2929.92</v>
      </c>
      <c r="Z86" s="22">
        <v>1728.3400000000001</v>
      </c>
      <c r="AA86" s="22">
        <v>2314.7600000000002</v>
      </c>
      <c r="AB86" s="22">
        <v>663.32</v>
      </c>
      <c r="AC86" s="22">
        <v>0</v>
      </c>
      <c r="AD86" s="22">
        <v>0</v>
      </c>
      <c r="AE86" s="22">
        <v>27.64</v>
      </c>
      <c r="AF86" s="22">
        <v>0</v>
      </c>
      <c r="AG86" s="22">
        <v>0</v>
      </c>
      <c r="AH86" s="12">
        <f t="shared" si="27"/>
        <v>340266.94000000006</v>
      </c>
      <c r="AI86" s="129">
        <f t="shared" si="28"/>
        <v>93661.75</v>
      </c>
      <c r="AJ86" s="129">
        <f t="shared" si="29"/>
        <v>18245.169999999998</v>
      </c>
      <c r="AK86" s="129">
        <f t="shared" si="30"/>
        <v>216905.64</v>
      </c>
      <c r="AL86" s="129">
        <f t="shared" si="31"/>
        <v>11454.38</v>
      </c>
    </row>
    <row r="87" spans="1:38">
      <c r="A87" s="1" t="s">
        <v>131</v>
      </c>
      <c r="B87" s="22">
        <f t="shared" si="25"/>
        <v>0</v>
      </c>
      <c r="C87" s="22">
        <f t="shared" si="25"/>
        <v>126.07</v>
      </c>
      <c r="D87" s="22">
        <f t="shared" si="25"/>
        <v>0</v>
      </c>
      <c r="E87" s="22">
        <f t="shared" si="25"/>
        <v>0</v>
      </c>
      <c r="F87" s="22">
        <f t="shared" si="25"/>
        <v>0</v>
      </c>
      <c r="G87" s="22">
        <f t="shared" si="25"/>
        <v>0</v>
      </c>
      <c r="H87" s="22">
        <f t="shared" si="25"/>
        <v>49.89</v>
      </c>
      <c r="I87" s="22">
        <f t="shared" si="25"/>
        <v>0</v>
      </c>
      <c r="J87" s="22">
        <f t="shared" si="25"/>
        <v>0</v>
      </c>
      <c r="K87" s="22">
        <f t="shared" si="25"/>
        <v>0</v>
      </c>
      <c r="L87" s="22">
        <f t="shared" si="25"/>
        <v>0</v>
      </c>
      <c r="M87" s="22">
        <f t="shared" si="25"/>
        <v>0</v>
      </c>
      <c r="N87" s="22">
        <f t="shared" si="25"/>
        <v>0</v>
      </c>
      <c r="O87" s="12">
        <f t="shared" si="26"/>
        <v>175.95999999999998</v>
      </c>
      <c r="R87" s="2" t="s">
        <v>12</v>
      </c>
      <c r="S87" s="22">
        <v>379867.54</v>
      </c>
      <c r="T87" s="22">
        <v>102157.85</v>
      </c>
      <c r="U87" s="22">
        <v>40575.129999999997</v>
      </c>
      <c r="V87" s="22">
        <v>20051.34</v>
      </c>
      <c r="W87" s="22">
        <v>447267.2</v>
      </c>
      <c r="X87" s="22">
        <v>7580.8</v>
      </c>
      <c r="Y87" s="22">
        <v>24194.83</v>
      </c>
      <c r="Z87" s="22">
        <v>0</v>
      </c>
      <c r="AA87" s="22">
        <v>13639.36</v>
      </c>
      <c r="AB87" s="22">
        <v>2842.8</v>
      </c>
      <c r="AC87" s="22">
        <v>0</v>
      </c>
      <c r="AD87" s="22">
        <v>0</v>
      </c>
      <c r="AE87" s="22">
        <v>580.44000000000005</v>
      </c>
      <c r="AF87" s="22">
        <v>0</v>
      </c>
      <c r="AG87" s="22">
        <v>0</v>
      </c>
      <c r="AH87" s="12">
        <f t="shared" si="27"/>
        <v>1038757.29</v>
      </c>
      <c r="AI87" s="129">
        <f t="shared" si="28"/>
        <v>482151.45999999996</v>
      </c>
      <c r="AJ87" s="129">
        <f t="shared" si="29"/>
        <v>60626.47</v>
      </c>
      <c r="AK87" s="129">
        <f t="shared" si="30"/>
        <v>447267.2</v>
      </c>
      <c r="AL87" s="129">
        <f t="shared" si="31"/>
        <v>48888.12000000001</v>
      </c>
    </row>
    <row r="88" spans="1:38">
      <c r="A88" s="1" t="s">
        <v>132</v>
      </c>
      <c r="B88" s="22">
        <f t="shared" si="25"/>
        <v>0</v>
      </c>
      <c r="C88" s="22">
        <f t="shared" si="25"/>
        <v>0</v>
      </c>
      <c r="D88" s="22">
        <f t="shared" si="25"/>
        <v>0</v>
      </c>
      <c r="E88" s="22">
        <f t="shared" si="25"/>
        <v>0</v>
      </c>
      <c r="F88" s="22">
        <f t="shared" si="25"/>
        <v>0</v>
      </c>
      <c r="G88" s="22">
        <f t="shared" si="25"/>
        <v>0</v>
      </c>
      <c r="H88" s="22">
        <f t="shared" si="25"/>
        <v>0</v>
      </c>
      <c r="I88" s="22">
        <f t="shared" si="25"/>
        <v>0</v>
      </c>
      <c r="J88" s="22">
        <f t="shared" si="25"/>
        <v>0</v>
      </c>
      <c r="K88" s="22">
        <f t="shared" si="25"/>
        <v>0</v>
      </c>
      <c r="L88" s="22">
        <f t="shared" si="25"/>
        <v>0</v>
      </c>
      <c r="M88" s="22">
        <f t="shared" si="25"/>
        <v>0</v>
      </c>
      <c r="N88" s="22">
        <f t="shared" si="25"/>
        <v>0</v>
      </c>
      <c r="O88" s="12">
        <f t="shared" si="26"/>
        <v>0</v>
      </c>
      <c r="R88" s="2" t="s">
        <v>15</v>
      </c>
      <c r="S88" s="22">
        <v>63412.65</v>
      </c>
      <c r="T88" s="22">
        <v>20325.71</v>
      </c>
      <c r="U88" s="22">
        <v>7036.51</v>
      </c>
      <c r="V88" s="22">
        <v>3605.88</v>
      </c>
      <c r="W88" s="22">
        <v>58656.44</v>
      </c>
      <c r="X88" s="22">
        <v>2369</v>
      </c>
      <c r="Y88" s="22">
        <v>4581.28</v>
      </c>
      <c r="Z88" s="22">
        <v>0</v>
      </c>
      <c r="AA88" s="22">
        <v>2955.19</v>
      </c>
      <c r="AB88" s="22">
        <v>94.76</v>
      </c>
      <c r="AC88" s="22">
        <v>0</v>
      </c>
      <c r="AD88" s="22">
        <v>0</v>
      </c>
      <c r="AE88" s="22">
        <v>27.64</v>
      </c>
      <c r="AF88" s="22">
        <v>0</v>
      </c>
      <c r="AG88" s="22">
        <v>0</v>
      </c>
      <c r="AH88" s="12">
        <f t="shared" si="27"/>
        <v>163065.06000000003</v>
      </c>
      <c r="AI88" s="129">
        <f t="shared" si="28"/>
        <v>83738.36</v>
      </c>
      <c r="AJ88" s="129">
        <f t="shared" si="29"/>
        <v>10642.39</v>
      </c>
      <c r="AK88" s="129">
        <f t="shared" si="30"/>
        <v>58656.44</v>
      </c>
      <c r="AL88" s="129">
        <f t="shared" si="31"/>
        <v>10027.869999999999</v>
      </c>
    </row>
    <row r="89" spans="1:38">
      <c r="A89" s="39" t="s">
        <v>133</v>
      </c>
      <c r="B89" s="22">
        <f t="shared" si="25"/>
        <v>0</v>
      </c>
      <c r="C89" s="22">
        <f t="shared" si="25"/>
        <v>0</v>
      </c>
      <c r="D89" s="22">
        <f t="shared" si="25"/>
        <v>0</v>
      </c>
      <c r="E89" s="22">
        <f t="shared" si="25"/>
        <v>0</v>
      </c>
      <c r="F89" s="22">
        <f t="shared" si="25"/>
        <v>0</v>
      </c>
      <c r="G89" s="22">
        <f t="shared" si="25"/>
        <v>0</v>
      </c>
      <c r="H89" s="22">
        <f t="shared" si="25"/>
        <v>0</v>
      </c>
      <c r="I89" s="22">
        <f t="shared" si="25"/>
        <v>0</v>
      </c>
      <c r="J89" s="22">
        <f t="shared" si="25"/>
        <v>0</v>
      </c>
      <c r="K89" s="22">
        <f t="shared" si="25"/>
        <v>0</v>
      </c>
      <c r="L89" s="22">
        <f t="shared" si="25"/>
        <v>0</v>
      </c>
      <c r="M89" s="22">
        <f t="shared" si="25"/>
        <v>0</v>
      </c>
      <c r="N89" s="22">
        <f t="shared" si="25"/>
        <v>0</v>
      </c>
      <c r="O89" s="12">
        <f t="shared" si="26"/>
        <v>0</v>
      </c>
      <c r="R89" s="2" t="s">
        <v>14</v>
      </c>
      <c r="S89" s="22">
        <v>63141.87</v>
      </c>
      <c r="T89" s="22">
        <v>12074.09</v>
      </c>
      <c r="U89" s="22">
        <v>7917.86</v>
      </c>
      <c r="V89" s="22">
        <v>943.91</v>
      </c>
      <c r="W89" s="22">
        <v>81777.88</v>
      </c>
      <c r="X89" s="22">
        <v>663.32</v>
      </c>
      <c r="Y89" s="22">
        <v>2448.56</v>
      </c>
      <c r="Z89" s="22">
        <v>0</v>
      </c>
      <c r="AA89" s="22">
        <v>1546.57</v>
      </c>
      <c r="AB89" s="22">
        <v>94.76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12">
        <f t="shared" si="27"/>
        <v>170608.82000000004</v>
      </c>
      <c r="AI89" s="129">
        <f t="shared" si="28"/>
        <v>75215.960000000006</v>
      </c>
      <c r="AJ89" s="129">
        <f t="shared" si="29"/>
        <v>8861.77</v>
      </c>
      <c r="AK89" s="129">
        <f t="shared" si="30"/>
        <v>81777.88</v>
      </c>
      <c r="AL89" s="129">
        <f t="shared" si="31"/>
        <v>4753.21</v>
      </c>
    </row>
    <row r="90" spans="1:38">
      <c r="A90" s="18" t="s">
        <v>134</v>
      </c>
      <c r="B90" s="22">
        <f t="shared" si="25"/>
        <v>0</v>
      </c>
      <c r="C90" s="22">
        <f t="shared" si="25"/>
        <v>0</v>
      </c>
      <c r="D90" s="22">
        <f t="shared" si="25"/>
        <v>0</v>
      </c>
      <c r="E90" s="22">
        <f t="shared" si="25"/>
        <v>0</v>
      </c>
      <c r="F90" s="22">
        <f t="shared" si="25"/>
        <v>0</v>
      </c>
      <c r="G90" s="22">
        <f t="shared" si="25"/>
        <v>0</v>
      </c>
      <c r="H90" s="22">
        <f t="shared" si="25"/>
        <v>0</v>
      </c>
      <c r="I90" s="22">
        <f t="shared" si="25"/>
        <v>0</v>
      </c>
      <c r="J90" s="22">
        <f t="shared" si="25"/>
        <v>0</v>
      </c>
      <c r="K90" s="22">
        <f t="shared" si="25"/>
        <v>0</v>
      </c>
      <c r="L90" s="22">
        <f t="shared" si="25"/>
        <v>0</v>
      </c>
      <c r="M90" s="22">
        <f t="shared" si="25"/>
        <v>0</v>
      </c>
      <c r="N90" s="22">
        <f t="shared" si="25"/>
        <v>0</v>
      </c>
      <c r="O90" s="12">
        <f t="shared" si="26"/>
        <v>0</v>
      </c>
      <c r="R90" s="2" t="s">
        <v>13</v>
      </c>
      <c r="S90" s="22">
        <v>372208.37</v>
      </c>
      <c r="T90" s="22">
        <v>54175.26</v>
      </c>
      <c r="U90" s="22">
        <v>70168.63</v>
      </c>
      <c r="V90" s="22">
        <v>21930.38</v>
      </c>
      <c r="W90" s="22">
        <v>665120.43999999994</v>
      </c>
      <c r="X90" s="22">
        <v>7012.24</v>
      </c>
      <c r="Y90" s="22">
        <v>10631.41</v>
      </c>
      <c r="Z90" s="22">
        <v>276.39</v>
      </c>
      <c r="AA90" s="22">
        <v>10372.36</v>
      </c>
      <c r="AB90" s="22">
        <v>3411.36</v>
      </c>
      <c r="AC90" s="22">
        <v>0</v>
      </c>
      <c r="AD90" s="22">
        <v>0</v>
      </c>
      <c r="AE90" s="22">
        <v>248.76</v>
      </c>
      <c r="AF90" s="22">
        <v>0</v>
      </c>
      <c r="AG90" s="22">
        <v>0</v>
      </c>
      <c r="AH90" s="12">
        <f t="shared" si="27"/>
        <v>1215555.6000000001</v>
      </c>
      <c r="AI90" s="129">
        <f t="shared" si="28"/>
        <v>426383.63</v>
      </c>
      <c r="AJ90" s="129">
        <f t="shared" si="29"/>
        <v>92099.010000000009</v>
      </c>
      <c r="AK90" s="129">
        <f t="shared" si="30"/>
        <v>665120.43999999994</v>
      </c>
      <c r="AL90" s="129">
        <f t="shared" si="31"/>
        <v>31952.52</v>
      </c>
    </row>
    <row r="91" spans="1:38">
      <c r="A91" s="1" t="s">
        <v>135</v>
      </c>
      <c r="B91" s="22">
        <f t="shared" si="25"/>
        <v>0</v>
      </c>
      <c r="C91" s="22">
        <f t="shared" si="25"/>
        <v>0</v>
      </c>
      <c r="D91" s="22">
        <f t="shared" si="25"/>
        <v>0</v>
      </c>
      <c r="E91" s="22">
        <f t="shared" si="25"/>
        <v>0</v>
      </c>
      <c r="F91" s="22">
        <f t="shared" si="25"/>
        <v>0</v>
      </c>
      <c r="G91" s="22">
        <f t="shared" si="25"/>
        <v>0</v>
      </c>
      <c r="H91" s="22">
        <f t="shared" si="25"/>
        <v>0</v>
      </c>
      <c r="I91" s="22">
        <f t="shared" si="25"/>
        <v>0</v>
      </c>
      <c r="J91" s="22">
        <f t="shared" si="25"/>
        <v>0</v>
      </c>
      <c r="K91" s="22">
        <f t="shared" si="25"/>
        <v>0</v>
      </c>
      <c r="L91" s="22">
        <f t="shared" si="25"/>
        <v>0</v>
      </c>
      <c r="M91" s="22">
        <f t="shared" si="25"/>
        <v>0</v>
      </c>
      <c r="N91" s="22">
        <f t="shared" si="25"/>
        <v>0</v>
      </c>
      <c r="O91" s="12">
        <f t="shared" si="26"/>
        <v>0</v>
      </c>
      <c r="R91" s="2" t="s">
        <v>16</v>
      </c>
      <c r="S91" s="22">
        <v>139152.6</v>
      </c>
      <c r="T91" s="22">
        <v>42841.41</v>
      </c>
      <c r="U91" s="22">
        <v>17529.689999999999</v>
      </c>
      <c r="V91" s="22">
        <v>5399.05</v>
      </c>
      <c r="W91" s="22">
        <v>144982.79999999999</v>
      </c>
      <c r="X91" s="22">
        <v>3695.64</v>
      </c>
      <c r="Y91" s="22">
        <v>5656.02</v>
      </c>
      <c r="Z91" s="22">
        <v>533.78</v>
      </c>
      <c r="AA91" s="22">
        <v>7717.65</v>
      </c>
      <c r="AB91" s="22">
        <v>758.08</v>
      </c>
      <c r="AC91" s="22">
        <v>189.52</v>
      </c>
      <c r="AD91" s="22">
        <v>0</v>
      </c>
      <c r="AE91" s="22">
        <v>55.28</v>
      </c>
      <c r="AF91" s="22">
        <v>0</v>
      </c>
      <c r="AG91" s="22">
        <v>0</v>
      </c>
      <c r="AH91" s="12">
        <f t="shared" si="27"/>
        <v>368511.52000000014</v>
      </c>
      <c r="AI91" s="129">
        <f t="shared" si="28"/>
        <v>181994.01</v>
      </c>
      <c r="AJ91" s="129">
        <f t="shared" si="29"/>
        <v>22928.739999999998</v>
      </c>
      <c r="AK91" s="129">
        <f t="shared" si="30"/>
        <v>144982.79999999999</v>
      </c>
      <c r="AL91" s="129">
        <f t="shared" si="31"/>
        <v>18605.97</v>
      </c>
    </row>
    <row r="92" spans="1:38">
      <c r="A92" s="1" t="s">
        <v>136</v>
      </c>
      <c r="B92" s="22">
        <f t="shared" ref="B92:N101" si="32">B22+B57</f>
        <v>0</v>
      </c>
      <c r="C92" s="22">
        <f t="shared" si="32"/>
        <v>0</v>
      </c>
      <c r="D92" s="22">
        <f t="shared" si="32"/>
        <v>0</v>
      </c>
      <c r="E92" s="22">
        <f t="shared" si="32"/>
        <v>0</v>
      </c>
      <c r="F92" s="22">
        <f t="shared" si="32"/>
        <v>0</v>
      </c>
      <c r="G92" s="22">
        <f t="shared" si="32"/>
        <v>0</v>
      </c>
      <c r="H92" s="22">
        <f t="shared" si="32"/>
        <v>0</v>
      </c>
      <c r="I92" s="22">
        <f t="shared" si="32"/>
        <v>0</v>
      </c>
      <c r="J92" s="22">
        <f t="shared" si="32"/>
        <v>0</v>
      </c>
      <c r="K92" s="22">
        <f t="shared" si="32"/>
        <v>0</v>
      </c>
      <c r="L92" s="22">
        <f t="shared" si="32"/>
        <v>0</v>
      </c>
      <c r="M92" s="22">
        <f t="shared" si="32"/>
        <v>0</v>
      </c>
      <c r="N92" s="22">
        <f t="shared" si="32"/>
        <v>0</v>
      </c>
      <c r="O92" s="12">
        <f t="shared" si="26"/>
        <v>0</v>
      </c>
      <c r="R92" s="2" t="s">
        <v>17</v>
      </c>
      <c r="S92" s="22">
        <v>30279.96</v>
      </c>
      <c r="T92" s="22">
        <v>4015.38</v>
      </c>
      <c r="U92" s="22">
        <v>7472.7</v>
      </c>
      <c r="V92" s="22">
        <v>307.16000000000003</v>
      </c>
      <c r="W92" s="22">
        <v>30911.759999999998</v>
      </c>
      <c r="X92" s="22">
        <v>2369</v>
      </c>
      <c r="Y92" s="22">
        <v>477.6</v>
      </c>
      <c r="Z92" s="22">
        <v>6933.42</v>
      </c>
      <c r="AA92" s="22">
        <v>668.38</v>
      </c>
      <c r="AB92" s="22">
        <v>0</v>
      </c>
      <c r="AC92" s="22">
        <v>0</v>
      </c>
      <c r="AD92" s="22">
        <v>0</v>
      </c>
      <c r="AE92" s="22">
        <v>55.28</v>
      </c>
      <c r="AF92" s="22">
        <v>0</v>
      </c>
      <c r="AG92" s="22">
        <v>0</v>
      </c>
      <c r="AH92" s="12">
        <f t="shared" si="27"/>
        <v>83490.64</v>
      </c>
      <c r="AI92" s="129">
        <f t="shared" si="28"/>
        <v>34295.339999999997</v>
      </c>
      <c r="AJ92" s="129">
        <f t="shared" si="29"/>
        <v>7779.86</v>
      </c>
      <c r="AK92" s="129">
        <f t="shared" si="30"/>
        <v>30911.759999999998</v>
      </c>
      <c r="AL92" s="129">
        <f t="shared" si="31"/>
        <v>10503.68</v>
      </c>
    </row>
    <row r="93" spans="1:38">
      <c r="A93" s="1" t="s">
        <v>137</v>
      </c>
      <c r="B93" s="22">
        <f t="shared" si="32"/>
        <v>0</v>
      </c>
      <c r="C93" s="22">
        <f t="shared" si="32"/>
        <v>0</v>
      </c>
      <c r="D93" s="22">
        <f t="shared" si="32"/>
        <v>0</v>
      </c>
      <c r="E93" s="22">
        <f t="shared" si="32"/>
        <v>0</v>
      </c>
      <c r="F93" s="22">
        <f t="shared" si="32"/>
        <v>0</v>
      </c>
      <c r="G93" s="22">
        <f t="shared" si="32"/>
        <v>0</v>
      </c>
      <c r="H93" s="22">
        <f t="shared" si="32"/>
        <v>0</v>
      </c>
      <c r="I93" s="22">
        <f t="shared" si="32"/>
        <v>0</v>
      </c>
      <c r="J93" s="22">
        <f t="shared" si="32"/>
        <v>0</v>
      </c>
      <c r="K93" s="22">
        <f t="shared" si="32"/>
        <v>0</v>
      </c>
      <c r="L93" s="22">
        <f t="shared" si="32"/>
        <v>0</v>
      </c>
      <c r="M93" s="22">
        <f t="shared" si="32"/>
        <v>0</v>
      </c>
      <c r="N93" s="22">
        <f t="shared" si="32"/>
        <v>0</v>
      </c>
      <c r="O93" s="12">
        <f t="shared" si="26"/>
        <v>0</v>
      </c>
      <c r="R93" s="2" t="s">
        <v>18</v>
      </c>
      <c r="S93" s="22">
        <v>442082.35</v>
      </c>
      <c r="T93" s="22">
        <v>81526.899999999994</v>
      </c>
      <c r="U93" s="22">
        <v>69768.55</v>
      </c>
      <c r="V93" s="22">
        <v>14450.2</v>
      </c>
      <c r="W93" s="22">
        <v>457311.76</v>
      </c>
      <c r="X93" s="22">
        <v>16867.28</v>
      </c>
      <c r="Y93" s="22">
        <v>17605.02</v>
      </c>
      <c r="Z93" s="22">
        <v>2986.85</v>
      </c>
      <c r="AA93" s="22">
        <v>10774.33</v>
      </c>
      <c r="AB93" s="22">
        <v>1231.8800000000001</v>
      </c>
      <c r="AC93" s="22">
        <v>0</v>
      </c>
      <c r="AD93" s="22">
        <v>0</v>
      </c>
      <c r="AE93" s="22">
        <v>773.92</v>
      </c>
      <c r="AF93" s="22">
        <v>0</v>
      </c>
      <c r="AG93" s="22">
        <v>0</v>
      </c>
      <c r="AH93" s="12">
        <f t="shared" si="27"/>
        <v>1115379.04</v>
      </c>
      <c r="AI93" s="129">
        <f t="shared" si="28"/>
        <v>523609.25</v>
      </c>
      <c r="AJ93" s="129">
        <f t="shared" si="29"/>
        <v>84218.75</v>
      </c>
      <c r="AK93" s="129">
        <f t="shared" si="30"/>
        <v>457311.76</v>
      </c>
      <c r="AL93" s="129">
        <f t="shared" si="31"/>
        <v>50239.28</v>
      </c>
    </row>
    <row r="94" spans="1:38">
      <c r="A94" s="1" t="s">
        <v>138</v>
      </c>
      <c r="B94" s="22">
        <f t="shared" si="32"/>
        <v>0</v>
      </c>
      <c r="C94" s="22">
        <f t="shared" si="32"/>
        <v>0</v>
      </c>
      <c r="D94" s="22">
        <f t="shared" si="32"/>
        <v>0</v>
      </c>
      <c r="E94" s="22">
        <f t="shared" si="32"/>
        <v>0</v>
      </c>
      <c r="F94" s="22">
        <f t="shared" si="32"/>
        <v>0</v>
      </c>
      <c r="G94" s="22">
        <f t="shared" si="32"/>
        <v>0</v>
      </c>
      <c r="H94" s="22">
        <f t="shared" si="32"/>
        <v>0</v>
      </c>
      <c r="I94" s="22">
        <f t="shared" si="32"/>
        <v>0</v>
      </c>
      <c r="J94" s="22">
        <f t="shared" si="32"/>
        <v>0</v>
      </c>
      <c r="K94" s="22">
        <f t="shared" si="32"/>
        <v>0</v>
      </c>
      <c r="L94" s="22">
        <f t="shared" si="32"/>
        <v>0</v>
      </c>
      <c r="M94" s="22">
        <f t="shared" si="32"/>
        <v>0</v>
      </c>
      <c r="N94" s="22">
        <f t="shared" si="32"/>
        <v>0</v>
      </c>
      <c r="O94" s="12">
        <f t="shared" si="26"/>
        <v>0</v>
      </c>
      <c r="R94" s="2" t="s">
        <v>20</v>
      </c>
      <c r="S94" s="22">
        <v>66790.25</v>
      </c>
      <c r="T94" s="22">
        <v>17009.3</v>
      </c>
      <c r="U94" s="22">
        <v>5127.87</v>
      </c>
      <c r="V94" s="22">
        <v>1978.46</v>
      </c>
      <c r="W94" s="22">
        <v>69838.12</v>
      </c>
      <c r="X94" s="22">
        <v>2558.52</v>
      </c>
      <c r="Y94" s="22">
        <v>2975.27</v>
      </c>
      <c r="Z94" s="22">
        <v>0</v>
      </c>
      <c r="AA94" s="22">
        <v>2778.35</v>
      </c>
      <c r="AB94" s="22">
        <v>189.52</v>
      </c>
      <c r="AC94" s="22">
        <v>189.52</v>
      </c>
      <c r="AD94" s="22">
        <v>0</v>
      </c>
      <c r="AE94" s="22">
        <v>55.28</v>
      </c>
      <c r="AF94" s="22">
        <v>0</v>
      </c>
      <c r="AG94" s="22">
        <v>0</v>
      </c>
      <c r="AH94" s="12">
        <f t="shared" si="27"/>
        <v>169490.45999999996</v>
      </c>
      <c r="AI94" s="129">
        <f t="shared" si="28"/>
        <v>83799.55</v>
      </c>
      <c r="AJ94" s="129">
        <f t="shared" si="29"/>
        <v>7106.33</v>
      </c>
      <c r="AK94" s="129">
        <f t="shared" si="30"/>
        <v>69838.12</v>
      </c>
      <c r="AL94" s="129">
        <f t="shared" si="31"/>
        <v>8746.4600000000009</v>
      </c>
    </row>
    <row r="95" spans="1:38">
      <c r="A95" s="1" t="s">
        <v>139</v>
      </c>
      <c r="B95" s="22">
        <f t="shared" si="32"/>
        <v>0</v>
      </c>
      <c r="C95" s="22">
        <f t="shared" si="32"/>
        <v>84.03</v>
      </c>
      <c r="D95" s="22">
        <f t="shared" si="32"/>
        <v>0</v>
      </c>
      <c r="E95" s="22">
        <f t="shared" si="32"/>
        <v>0</v>
      </c>
      <c r="F95" s="22">
        <f t="shared" si="32"/>
        <v>0</v>
      </c>
      <c r="G95" s="22">
        <f t="shared" si="32"/>
        <v>0</v>
      </c>
      <c r="H95" s="22">
        <f t="shared" si="32"/>
        <v>34.380000000000003</v>
      </c>
      <c r="I95" s="22">
        <f t="shared" si="32"/>
        <v>0</v>
      </c>
      <c r="J95" s="22">
        <f t="shared" si="32"/>
        <v>0</v>
      </c>
      <c r="K95" s="22">
        <f t="shared" si="32"/>
        <v>0</v>
      </c>
      <c r="L95" s="22">
        <f t="shared" si="32"/>
        <v>0</v>
      </c>
      <c r="M95" s="22">
        <f t="shared" si="32"/>
        <v>0</v>
      </c>
      <c r="N95" s="22">
        <f t="shared" si="32"/>
        <v>0</v>
      </c>
      <c r="O95" s="12">
        <f t="shared" si="26"/>
        <v>118.41</v>
      </c>
      <c r="R95" s="2" t="s">
        <v>19</v>
      </c>
      <c r="S95" s="22">
        <v>486639.78</v>
      </c>
      <c r="T95" s="22">
        <v>108720.09</v>
      </c>
      <c r="U95" s="22">
        <v>81635.929999999993</v>
      </c>
      <c r="V95" s="22">
        <v>27630.32</v>
      </c>
      <c r="W95" s="22">
        <v>836257</v>
      </c>
      <c r="X95" s="22">
        <v>11560.72</v>
      </c>
      <c r="Y95" s="22">
        <v>23372.62</v>
      </c>
      <c r="Z95" s="22">
        <v>984.27</v>
      </c>
      <c r="AA95" s="22">
        <v>16928.189999999999</v>
      </c>
      <c r="AB95" s="22">
        <v>1610.92</v>
      </c>
      <c r="AC95" s="22">
        <v>0</v>
      </c>
      <c r="AD95" s="22">
        <v>0</v>
      </c>
      <c r="AE95" s="22">
        <v>386.96</v>
      </c>
      <c r="AF95" s="22">
        <v>0</v>
      </c>
      <c r="AG95" s="22">
        <v>0</v>
      </c>
      <c r="AH95" s="12">
        <f t="shared" si="27"/>
        <v>1595726.8</v>
      </c>
      <c r="AI95" s="129">
        <f t="shared" si="28"/>
        <v>595443.9</v>
      </c>
      <c r="AJ95" s="129">
        <f t="shared" si="29"/>
        <v>109266.25</v>
      </c>
      <c r="AK95" s="129">
        <f t="shared" si="30"/>
        <v>836257</v>
      </c>
      <c r="AL95" s="129">
        <f t="shared" si="31"/>
        <v>54878.059999999983</v>
      </c>
    </row>
    <row r="96" spans="1:38">
      <c r="A96" s="1" t="s">
        <v>140</v>
      </c>
      <c r="B96" s="22">
        <f t="shared" si="32"/>
        <v>0</v>
      </c>
      <c r="C96" s="22">
        <f t="shared" si="32"/>
        <v>0</v>
      </c>
      <c r="D96" s="22">
        <f t="shared" si="32"/>
        <v>0</v>
      </c>
      <c r="E96" s="22">
        <f t="shared" si="32"/>
        <v>0</v>
      </c>
      <c r="F96" s="22">
        <f t="shared" si="32"/>
        <v>0</v>
      </c>
      <c r="G96" s="22">
        <f t="shared" si="32"/>
        <v>0</v>
      </c>
      <c r="H96" s="22">
        <f t="shared" si="32"/>
        <v>0</v>
      </c>
      <c r="I96" s="22">
        <f t="shared" si="32"/>
        <v>0</v>
      </c>
      <c r="J96" s="22">
        <f t="shared" si="32"/>
        <v>0</v>
      </c>
      <c r="K96" s="22">
        <f t="shared" si="32"/>
        <v>0</v>
      </c>
      <c r="L96" s="22">
        <f t="shared" si="32"/>
        <v>0</v>
      </c>
      <c r="M96" s="22">
        <f t="shared" si="32"/>
        <v>0</v>
      </c>
      <c r="N96" s="22">
        <f t="shared" si="32"/>
        <v>0</v>
      </c>
      <c r="O96" s="12">
        <f t="shared" si="26"/>
        <v>0</v>
      </c>
      <c r="R96" s="2" t="s">
        <v>21</v>
      </c>
      <c r="S96" s="22">
        <v>29062.23</v>
      </c>
      <c r="T96" s="22">
        <v>3969.57</v>
      </c>
      <c r="U96" s="22">
        <v>4574.26</v>
      </c>
      <c r="V96" s="22">
        <v>1698.95</v>
      </c>
      <c r="W96" s="22">
        <v>71070</v>
      </c>
      <c r="X96" s="22">
        <v>379.04</v>
      </c>
      <c r="Y96" s="22">
        <v>544.97</v>
      </c>
      <c r="Z96" s="22">
        <v>0</v>
      </c>
      <c r="AA96" s="22">
        <v>894.1</v>
      </c>
      <c r="AB96" s="22">
        <v>94.76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12">
        <f t="shared" si="27"/>
        <v>112287.88</v>
      </c>
      <c r="AI96" s="129">
        <f t="shared" si="28"/>
        <v>33031.800000000003</v>
      </c>
      <c r="AJ96" s="129">
        <f t="shared" si="29"/>
        <v>6273.21</v>
      </c>
      <c r="AK96" s="129">
        <f t="shared" si="30"/>
        <v>71070</v>
      </c>
      <c r="AL96" s="129">
        <f t="shared" si="31"/>
        <v>1912.8700000000001</v>
      </c>
    </row>
    <row r="97" spans="1:38">
      <c r="A97" s="2" t="s">
        <v>141</v>
      </c>
      <c r="B97" s="22">
        <f t="shared" si="32"/>
        <v>0</v>
      </c>
      <c r="C97" s="22">
        <f t="shared" si="32"/>
        <v>0</v>
      </c>
      <c r="D97" s="22">
        <f t="shared" si="32"/>
        <v>0</v>
      </c>
      <c r="E97" s="22">
        <f t="shared" si="32"/>
        <v>0</v>
      </c>
      <c r="F97" s="22">
        <f t="shared" si="32"/>
        <v>0</v>
      </c>
      <c r="G97" s="22">
        <f t="shared" si="32"/>
        <v>0</v>
      </c>
      <c r="H97" s="22">
        <f t="shared" si="32"/>
        <v>0</v>
      </c>
      <c r="I97" s="22">
        <f t="shared" si="32"/>
        <v>0</v>
      </c>
      <c r="J97" s="22">
        <f t="shared" si="32"/>
        <v>0</v>
      </c>
      <c r="K97" s="22">
        <f t="shared" si="32"/>
        <v>0</v>
      </c>
      <c r="L97" s="22">
        <f t="shared" si="32"/>
        <v>0</v>
      </c>
      <c r="M97" s="22">
        <f t="shared" si="32"/>
        <v>0</v>
      </c>
      <c r="N97" s="22">
        <f t="shared" si="32"/>
        <v>0</v>
      </c>
      <c r="O97" s="12">
        <f t="shared" si="26"/>
        <v>0</v>
      </c>
      <c r="R97" s="2" t="s">
        <v>22</v>
      </c>
      <c r="S97" s="22">
        <v>4670.87</v>
      </c>
      <c r="T97" s="22">
        <v>797.28</v>
      </c>
      <c r="U97" s="22">
        <v>512.87</v>
      </c>
      <c r="V97" s="22">
        <v>105.74</v>
      </c>
      <c r="W97" s="22">
        <v>18099.16</v>
      </c>
      <c r="X97" s="22">
        <v>189.52</v>
      </c>
      <c r="Y97" s="22">
        <v>77.19</v>
      </c>
      <c r="Z97" s="22">
        <v>0</v>
      </c>
      <c r="AA97" s="22">
        <v>115.16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12">
        <f t="shared" si="27"/>
        <v>24567.789999999997</v>
      </c>
      <c r="AI97" s="129">
        <f t="shared" si="28"/>
        <v>5468.15</v>
      </c>
      <c r="AJ97" s="129">
        <f t="shared" si="29"/>
        <v>618.61</v>
      </c>
      <c r="AK97" s="129">
        <f t="shared" si="30"/>
        <v>18099.16</v>
      </c>
      <c r="AL97" s="129">
        <f t="shared" si="31"/>
        <v>381.87</v>
      </c>
    </row>
    <row r="98" spans="1:38">
      <c r="A98" s="1" t="s">
        <v>142</v>
      </c>
      <c r="B98" s="22">
        <f t="shared" si="32"/>
        <v>0</v>
      </c>
      <c r="C98" s="22">
        <f t="shared" si="32"/>
        <v>0</v>
      </c>
      <c r="D98" s="22">
        <f t="shared" si="32"/>
        <v>0</v>
      </c>
      <c r="E98" s="22">
        <f t="shared" si="32"/>
        <v>0</v>
      </c>
      <c r="F98" s="22">
        <f t="shared" si="32"/>
        <v>0</v>
      </c>
      <c r="G98" s="22">
        <f t="shared" si="32"/>
        <v>0</v>
      </c>
      <c r="H98" s="22">
        <f t="shared" si="32"/>
        <v>0</v>
      </c>
      <c r="I98" s="22">
        <f t="shared" si="32"/>
        <v>0</v>
      </c>
      <c r="J98" s="22">
        <f t="shared" si="32"/>
        <v>0</v>
      </c>
      <c r="K98" s="22">
        <f t="shared" si="32"/>
        <v>0</v>
      </c>
      <c r="L98" s="22">
        <f t="shared" si="32"/>
        <v>0</v>
      </c>
      <c r="M98" s="22">
        <f t="shared" si="32"/>
        <v>0</v>
      </c>
      <c r="N98" s="22">
        <f t="shared" si="32"/>
        <v>0</v>
      </c>
      <c r="O98" s="12">
        <f t="shared" si="26"/>
        <v>0</v>
      </c>
      <c r="R98" s="2" t="s">
        <v>23</v>
      </c>
      <c r="S98" s="22">
        <v>311624.87</v>
      </c>
      <c r="T98" s="22">
        <v>35192.03</v>
      </c>
      <c r="U98" s="22">
        <v>40257.620000000003</v>
      </c>
      <c r="V98" s="22">
        <v>9523.15</v>
      </c>
      <c r="W98" s="22">
        <v>492278.2</v>
      </c>
      <c r="X98" s="22">
        <v>3127.08</v>
      </c>
      <c r="Y98" s="22">
        <v>6102.4</v>
      </c>
      <c r="Z98" s="22">
        <v>0</v>
      </c>
      <c r="AA98" s="22">
        <v>5584.52</v>
      </c>
      <c r="AB98" s="22">
        <v>947.6</v>
      </c>
      <c r="AC98" s="22">
        <v>0</v>
      </c>
      <c r="AD98" s="22">
        <v>0</v>
      </c>
      <c r="AE98" s="22">
        <v>442.24</v>
      </c>
      <c r="AF98" s="22">
        <v>0</v>
      </c>
      <c r="AG98" s="22">
        <v>0</v>
      </c>
      <c r="AH98" s="12">
        <f t="shared" si="27"/>
        <v>905079.71000000008</v>
      </c>
      <c r="AI98" s="129">
        <f t="shared" si="28"/>
        <v>346816.9</v>
      </c>
      <c r="AJ98" s="129">
        <f t="shared" si="29"/>
        <v>49780.770000000004</v>
      </c>
      <c r="AK98" s="129">
        <f t="shared" si="30"/>
        <v>492278.2</v>
      </c>
      <c r="AL98" s="129">
        <f t="shared" si="31"/>
        <v>16203.84</v>
      </c>
    </row>
    <row r="99" spans="1:38">
      <c r="A99" s="1" t="s">
        <v>143</v>
      </c>
      <c r="B99" s="22">
        <f t="shared" si="32"/>
        <v>0</v>
      </c>
      <c r="C99" s="22">
        <f t="shared" si="32"/>
        <v>0</v>
      </c>
      <c r="D99" s="22">
        <f t="shared" si="32"/>
        <v>0</v>
      </c>
      <c r="E99" s="22">
        <f t="shared" si="32"/>
        <v>0</v>
      </c>
      <c r="F99" s="22">
        <f t="shared" si="32"/>
        <v>0</v>
      </c>
      <c r="G99" s="22">
        <f t="shared" si="32"/>
        <v>0</v>
      </c>
      <c r="H99" s="22">
        <f t="shared" si="32"/>
        <v>0</v>
      </c>
      <c r="I99" s="22">
        <f t="shared" si="32"/>
        <v>0</v>
      </c>
      <c r="J99" s="22">
        <f t="shared" si="32"/>
        <v>0</v>
      </c>
      <c r="K99" s="22">
        <f t="shared" si="32"/>
        <v>0</v>
      </c>
      <c r="L99" s="22">
        <f t="shared" si="32"/>
        <v>0</v>
      </c>
      <c r="M99" s="22">
        <f t="shared" si="32"/>
        <v>0</v>
      </c>
      <c r="N99" s="22">
        <f t="shared" si="32"/>
        <v>0</v>
      </c>
      <c r="O99" s="12">
        <f t="shared" si="26"/>
        <v>0</v>
      </c>
      <c r="R99" s="2" t="s">
        <v>25</v>
      </c>
      <c r="S99" s="22">
        <v>1643754.38</v>
      </c>
      <c r="T99" s="22">
        <v>310400.21000000002</v>
      </c>
      <c r="U99" s="22">
        <v>181374.41</v>
      </c>
      <c r="V99" s="22">
        <v>45650.27</v>
      </c>
      <c r="W99" s="22">
        <v>2846874.68</v>
      </c>
      <c r="X99" s="22">
        <v>22079.279999999999</v>
      </c>
      <c r="Y99" s="22">
        <v>72030.039999999994</v>
      </c>
      <c r="Z99" s="22">
        <v>7643.92</v>
      </c>
      <c r="AA99" s="22">
        <v>40234.123</v>
      </c>
      <c r="AB99" s="22">
        <v>3790.4</v>
      </c>
      <c r="AC99" s="22">
        <v>947.6</v>
      </c>
      <c r="AD99" s="22">
        <v>0</v>
      </c>
      <c r="AE99" s="22">
        <v>2238.84</v>
      </c>
      <c r="AF99" s="22">
        <v>508.69</v>
      </c>
      <c r="AG99" s="22">
        <v>4882.3599999999997</v>
      </c>
      <c r="AH99" s="12">
        <f t="shared" si="27"/>
        <v>5182409.2030000007</v>
      </c>
      <c r="AI99" s="129">
        <f t="shared" si="28"/>
        <v>1954154.5899999999</v>
      </c>
      <c r="AJ99" s="129">
        <f t="shared" si="29"/>
        <v>227024.68</v>
      </c>
      <c r="AK99" s="129">
        <f t="shared" si="30"/>
        <v>2846874.68</v>
      </c>
      <c r="AL99" s="129">
        <f t="shared" si="31"/>
        <v>154355.25299999997</v>
      </c>
    </row>
    <row r="100" spans="1:38">
      <c r="A100" s="1" t="s">
        <v>144</v>
      </c>
      <c r="B100" s="22">
        <f t="shared" si="32"/>
        <v>0</v>
      </c>
      <c r="C100" s="22">
        <f t="shared" si="32"/>
        <v>0</v>
      </c>
      <c r="D100" s="22">
        <f t="shared" si="32"/>
        <v>0</v>
      </c>
      <c r="E100" s="22">
        <f t="shared" si="32"/>
        <v>0</v>
      </c>
      <c r="F100" s="22">
        <f t="shared" si="32"/>
        <v>0</v>
      </c>
      <c r="G100" s="22">
        <f t="shared" si="32"/>
        <v>0</v>
      </c>
      <c r="H100" s="22">
        <f t="shared" si="32"/>
        <v>0</v>
      </c>
      <c r="I100" s="22">
        <f t="shared" si="32"/>
        <v>0</v>
      </c>
      <c r="J100" s="22">
        <f t="shared" si="32"/>
        <v>0</v>
      </c>
      <c r="K100" s="22">
        <f t="shared" si="32"/>
        <v>0</v>
      </c>
      <c r="L100" s="22">
        <f t="shared" si="32"/>
        <v>0</v>
      </c>
      <c r="M100" s="22">
        <f t="shared" si="32"/>
        <v>0</v>
      </c>
      <c r="N100" s="22">
        <f t="shared" si="32"/>
        <v>0</v>
      </c>
      <c r="O100" s="12">
        <f t="shared" si="26"/>
        <v>0</v>
      </c>
      <c r="R100" s="2" t="s">
        <v>24</v>
      </c>
      <c r="S100" s="22">
        <v>36447.22</v>
      </c>
      <c r="T100" s="22">
        <v>12503.9</v>
      </c>
      <c r="U100" s="22">
        <v>4095.15</v>
      </c>
      <c r="V100" s="22">
        <v>533.78</v>
      </c>
      <c r="W100" s="22">
        <v>52970.84</v>
      </c>
      <c r="X100" s="22">
        <v>2084.7199999999998</v>
      </c>
      <c r="Y100" s="22">
        <v>1287.92</v>
      </c>
      <c r="Z100" s="22">
        <v>0</v>
      </c>
      <c r="AA100" s="22">
        <v>1781.64</v>
      </c>
      <c r="AB100" s="22">
        <v>0</v>
      </c>
      <c r="AC100" s="22">
        <v>0</v>
      </c>
      <c r="AD100" s="22">
        <v>0</v>
      </c>
      <c r="AE100" s="22">
        <v>55.28</v>
      </c>
      <c r="AF100" s="22">
        <v>0</v>
      </c>
      <c r="AG100" s="22">
        <v>0</v>
      </c>
      <c r="AH100" s="12">
        <f t="shared" si="27"/>
        <v>111760.45</v>
      </c>
      <c r="AI100" s="129">
        <f t="shared" si="28"/>
        <v>48951.12</v>
      </c>
      <c r="AJ100" s="129">
        <f t="shared" si="29"/>
        <v>4628.93</v>
      </c>
      <c r="AK100" s="129">
        <f t="shared" si="30"/>
        <v>52970.84</v>
      </c>
      <c r="AL100" s="129">
        <f t="shared" si="31"/>
        <v>5209.5599999999995</v>
      </c>
    </row>
    <row r="101" spans="1:38">
      <c r="A101" s="1" t="s">
        <v>145</v>
      </c>
      <c r="B101" s="22">
        <f t="shared" si="32"/>
        <v>0</v>
      </c>
      <c r="C101" s="22">
        <f t="shared" si="32"/>
        <v>0</v>
      </c>
      <c r="D101" s="22">
        <f t="shared" si="32"/>
        <v>0</v>
      </c>
      <c r="E101" s="22">
        <f t="shared" si="32"/>
        <v>0</v>
      </c>
      <c r="F101" s="22">
        <f t="shared" si="32"/>
        <v>0</v>
      </c>
      <c r="G101" s="22">
        <f t="shared" si="32"/>
        <v>0</v>
      </c>
      <c r="H101" s="22">
        <f t="shared" si="32"/>
        <v>0</v>
      </c>
      <c r="I101" s="22">
        <f t="shared" si="32"/>
        <v>0</v>
      </c>
      <c r="J101" s="22">
        <f t="shared" si="32"/>
        <v>0</v>
      </c>
      <c r="K101" s="22">
        <f t="shared" si="32"/>
        <v>0</v>
      </c>
      <c r="L101" s="22">
        <f t="shared" si="32"/>
        <v>0</v>
      </c>
      <c r="M101" s="22">
        <f t="shared" si="32"/>
        <v>0</v>
      </c>
      <c r="N101" s="22">
        <f t="shared" si="32"/>
        <v>0</v>
      </c>
      <c r="O101" s="12">
        <f t="shared" si="26"/>
        <v>0</v>
      </c>
      <c r="R101" s="2" t="s">
        <v>26</v>
      </c>
      <c r="S101" s="22">
        <v>23573.39</v>
      </c>
      <c r="T101" s="22">
        <v>6139.87</v>
      </c>
      <c r="U101" s="22">
        <v>3217.68</v>
      </c>
      <c r="V101" s="22">
        <v>1546.1</v>
      </c>
      <c r="W101" s="22">
        <v>32786.959999999999</v>
      </c>
      <c r="X101" s="22">
        <v>473.8</v>
      </c>
      <c r="Y101" s="22">
        <v>1102.75</v>
      </c>
      <c r="Z101" s="22">
        <v>552.78</v>
      </c>
      <c r="AA101" s="22">
        <v>827.9</v>
      </c>
      <c r="AB101" s="22">
        <v>284.27999999999997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12">
        <f t="shared" si="27"/>
        <v>70505.509999999995</v>
      </c>
      <c r="AI101" s="129">
        <f t="shared" si="28"/>
        <v>29713.26</v>
      </c>
      <c r="AJ101" s="129">
        <f t="shared" si="29"/>
        <v>4763.78</v>
      </c>
      <c r="AK101" s="129">
        <f t="shared" si="30"/>
        <v>32786.959999999999</v>
      </c>
      <c r="AL101" s="129">
        <f t="shared" si="31"/>
        <v>3241.51</v>
      </c>
    </row>
    <row r="102" spans="1:38">
      <c r="A102" s="8" t="s">
        <v>37</v>
      </c>
      <c r="B102" s="16">
        <f t="shared" ref="B102:O102" si="33">SUM(B75:B101)</f>
        <v>0</v>
      </c>
      <c r="C102" s="16">
        <f t="shared" si="33"/>
        <v>294.14999999999998</v>
      </c>
      <c r="D102" s="16">
        <f t="shared" si="33"/>
        <v>0</v>
      </c>
      <c r="E102" s="16">
        <f t="shared" si="33"/>
        <v>0</v>
      </c>
      <c r="F102" s="16">
        <f t="shared" si="33"/>
        <v>0</v>
      </c>
      <c r="G102" s="16">
        <f t="shared" si="33"/>
        <v>0</v>
      </c>
      <c r="H102" s="16">
        <f t="shared" si="33"/>
        <v>117.53999999999999</v>
      </c>
      <c r="I102" s="16">
        <f t="shared" si="33"/>
        <v>0</v>
      </c>
      <c r="J102" s="16">
        <f t="shared" si="33"/>
        <v>0</v>
      </c>
      <c r="K102" s="16">
        <f t="shared" si="33"/>
        <v>0</v>
      </c>
      <c r="L102" s="16">
        <f t="shared" si="33"/>
        <v>0</v>
      </c>
      <c r="M102" s="16">
        <f t="shared" si="33"/>
        <v>0</v>
      </c>
      <c r="N102" s="16">
        <f t="shared" si="33"/>
        <v>0</v>
      </c>
      <c r="O102" s="7">
        <f t="shared" si="33"/>
        <v>411.68999999999994</v>
      </c>
      <c r="R102" s="8" t="s">
        <v>37</v>
      </c>
      <c r="S102" s="7">
        <f t="shared" ref="S102:AH102" si="34">SUM(S75:S101)</f>
        <v>5048331.5600000005</v>
      </c>
      <c r="T102" s="7">
        <f t="shared" si="34"/>
        <v>1016160.4600000002</v>
      </c>
      <c r="U102" s="7">
        <f t="shared" si="34"/>
        <v>659842.43000000005</v>
      </c>
      <c r="V102" s="7">
        <f t="shared" si="34"/>
        <v>181540.96</v>
      </c>
      <c r="W102" s="7">
        <f t="shared" si="34"/>
        <v>7733387.1900000004</v>
      </c>
      <c r="X102" s="7">
        <f t="shared" si="34"/>
        <v>119018.76</v>
      </c>
      <c r="Y102" s="7">
        <f t="shared" si="34"/>
        <v>208607.04</v>
      </c>
      <c r="Z102" s="7">
        <f t="shared" si="34"/>
        <v>24599.089999999997</v>
      </c>
      <c r="AA102" s="7">
        <f t="shared" si="34"/>
        <v>145071.40300000002</v>
      </c>
      <c r="AB102" s="7">
        <f t="shared" si="34"/>
        <v>18383.440000000002</v>
      </c>
      <c r="AC102" s="7">
        <f t="shared" si="34"/>
        <v>1705.68</v>
      </c>
      <c r="AD102" s="7">
        <f t="shared" si="34"/>
        <v>0</v>
      </c>
      <c r="AE102" s="7">
        <f t="shared" si="34"/>
        <v>5859.68</v>
      </c>
      <c r="AF102" s="7">
        <f t="shared" si="34"/>
        <v>537.27</v>
      </c>
      <c r="AG102" s="7">
        <f t="shared" si="34"/>
        <v>4882.3599999999997</v>
      </c>
      <c r="AH102" s="7">
        <f t="shared" si="34"/>
        <v>15167927.323000001</v>
      </c>
      <c r="AI102" s="129">
        <f>B102+C102+S102+T102</f>
        <v>6064786.1700000009</v>
      </c>
      <c r="AJ102" s="129">
        <f t="shared" si="29"/>
        <v>841383.39</v>
      </c>
      <c r="AK102" s="129">
        <f t="shared" si="30"/>
        <v>7733387.1900000004</v>
      </c>
      <c r="AL102" s="129">
        <f t="shared" si="31"/>
        <v>528782.26300000015</v>
      </c>
    </row>
    <row r="103" spans="1:38">
      <c r="AH103" s="15"/>
    </row>
    <row r="104" spans="1:38">
      <c r="O104" s="15" t="e">
        <f>O102+#REF!+#REF!+#REF!+#REF!</f>
        <v>#REF!</v>
      </c>
    </row>
    <row r="105" spans="1:38" ht="46.5">
      <c r="K105" s="289" t="s">
        <v>49</v>
      </c>
      <c r="L105" s="28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</row>
    <row r="106" spans="1:38">
      <c r="K106" s="290" t="s">
        <v>33</v>
      </c>
      <c r="L106" s="287" t="s">
        <v>27</v>
      </c>
      <c r="M106" s="288"/>
      <c r="N106" s="287" t="s">
        <v>29</v>
      </c>
      <c r="O106" s="288"/>
      <c r="P106" s="285" t="s">
        <v>28</v>
      </c>
      <c r="Q106" s="285" t="s">
        <v>36</v>
      </c>
      <c r="R106" s="285" t="s">
        <v>30</v>
      </c>
      <c r="S106" s="285" t="s">
        <v>31</v>
      </c>
      <c r="T106" s="285" t="s">
        <v>41</v>
      </c>
      <c r="U106" s="285" t="s">
        <v>35</v>
      </c>
      <c r="V106" s="285" t="s">
        <v>40</v>
      </c>
      <c r="W106" s="285" t="s">
        <v>42</v>
      </c>
      <c r="X106" s="285" t="s">
        <v>45</v>
      </c>
      <c r="Y106" s="287" t="s">
        <v>52</v>
      </c>
      <c r="Z106" s="288"/>
      <c r="AA106" s="285" t="s">
        <v>34</v>
      </c>
    </row>
    <row r="107" spans="1:38" ht="30">
      <c r="K107" s="291"/>
      <c r="L107" s="56" t="s">
        <v>43</v>
      </c>
      <c r="M107" s="56" t="s">
        <v>44</v>
      </c>
      <c r="N107" s="56" t="s">
        <v>43</v>
      </c>
      <c r="O107" s="56" t="s">
        <v>44</v>
      </c>
      <c r="P107" s="286"/>
      <c r="Q107" s="286"/>
      <c r="R107" s="286"/>
      <c r="S107" s="286"/>
      <c r="T107" s="286"/>
      <c r="U107" s="286"/>
      <c r="V107" s="286"/>
      <c r="W107" s="286"/>
      <c r="X107" s="286"/>
      <c r="Y107" s="55" t="s">
        <v>53</v>
      </c>
      <c r="Z107" s="55" t="s">
        <v>54</v>
      </c>
      <c r="AA107" s="286"/>
    </row>
    <row r="108" spans="1:38">
      <c r="K108" s="1" t="s">
        <v>0</v>
      </c>
      <c r="L108" s="22">
        <f>B75+S75</f>
        <v>17818.54</v>
      </c>
      <c r="M108" s="22">
        <f t="shared" ref="M108:X123" si="35">C75+T75</f>
        <v>2055.36</v>
      </c>
      <c r="N108" s="22">
        <f t="shared" si="35"/>
        <v>2169.6799999999998</v>
      </c>
      <c r="O108" s="22">
        <f t="shared" si="35"/>
        <v>493.91</v>
      </c>
      <c r="P108" s="22">
        <f t="shared" si="35"/>
        <v>18762.48</v>
      </c>
      <c r="Q108" s="22">
        <f t="shared" si="35"/>
        <v>379.04</v>
      </c>
      <c r="R108" s="22">
        <f t="shared" si="35"/>
        <v>346.41</v>
      </c>
      <c r="S108" s="22">
        <f t="shared" si="35"/>
        <v>284.27999999999997</v>
      </c>
      <c r="T108" s="22">
        <f t="shared" si="35"/>
        <v>499.64</v>
      </c>
      <c r="U108" s="22">
        <f t="shared" si="35"/>
        <v>94.76</v>
      </c>
      <c r="V108" s="22">
        <f t="shared" si="35"/>
        <v>0</v>
      </c>
      <c r="W108" s="22">
        <f t="shared" si="35"/>
        <v>0</v>
      </c>
      <c r="X108" s="22">
        <f t="shared" si="35"/>
        <v>0</v>
      </c>
      <c r="Y108" s="22">
        <f>AF75</f>
        <v>0</v>
      </c>
      <c r="Z108" s="22">
        <f>AG75</f>
        <v>0</v>
      </c>
      <c r="AA108" s="12">
        <f>SUM(L108:Z108)</f>
        <v>42904.100000000006</v>
      </c>
    </row>
    <row r="109" spans="1:38">
      <c r="K109" s="1" t="s">
        <v>1</v>
      </c>
      <c r="L109" s="22">
        <f t="shared" ref="L109:X134" si="36">B76+S76</f>
        <v>49707.19</v>
      </c>
      <c r="M109" s="22">
        <f t="shared" si="35"/>
        <v>7761.9</v>
      </c>
      <c r="N109" s="22">
        <f t="shared" si="35"/>
        <v>1179.28</v>
      </c>
      <c r="O109" s="22">
        <f t="shared" si="35"/>
        <v>88.95</v>
      </c>
      <c r="P109" s="22">
        <f t="shared" si="35"/>
        <v>64342.04</v>
      </c>
      <c r="Q109" s="22">
        <f t="shared" si="35"/>
        <v>2748.04</v>
      </c>
      <c r="R109" s="22">
        <f t="shared" si="35"/>
        <v>1183.03</v>
      </c>
      <c r="S109" s="22">
        <f t="shared" si="35"/>
        <v>0</v>
      </c>
      <c r="T109" s="22">
        <f t="shared" si="35"/>
        <v>931.85</v>
      </c>
      <c r="U109" s="22">
        <f t="shared" si="35"/>
        <v>189.52</v>
      </c>
      <c r="V109" s="22">
        <f t="shared" si="35"/>
        <v>189.52</v>
      </c>
      <c r="W109" s="22">
        <f t="shared" si="35"/>
        <v>0</v>
      </c>
      <c r="X109" s="22">
        <f t="shared" si="35"/>
        <v>27.64</v>
      </c>
      <c r="Y109" s="22">
        <f t="shared" ref="Y109:Z124" si="37">AF76</f>
        <v>0</v>
      </c>
      <c r="Z109" s="22">
        <f t="shared" si="37"/>
        <v>0</v>
      </c>
      <c r="AA109" s="12">
        <f t="shared" ref="AA109:AA134" si="38">SUM(L109:Z109)</f>
        <v>128348.96</v>
      </c>
    </row>
    <row r="110" spans="1:38">
      <c r="K110" s="18" t="s">
        <v>2</v>
      </c>
      <c r="L110" s="22">
        <f t="shared" si="36"/>
        <v>15168.35</v>
      </c>
      <c r="M110" s="22">
        <f t="shared" si="35"/>
        <v>6709.38</v>
      </c>
      <c r="N110" s="22">
        <f t="shared" si="35"/>
        <v>3156.35</v>
      </c>
      <c r="O110" s="22">
        <f t="shared" si="35"/>
        <v>86.25</v>
      </c>
      <c r="P110" s="22">
        <f t="shared" si="35"/>
        <v>21419.35</v>
      </c>
      <c r="Q110" s="22">
        <f t="shared" si="35"/>
        <v>852.84</v>
      </c>
      <c r="R110" s="22">
        <f t="shared" si="35"/>
        <v>778.69</v>
      </c>
      <c r="S110" s="22">
        <f t="shared" si="35"/>
        <v>0</v>
      </c>
      <c r="T110" s="22">
        <f t="shared" si="35"/>
        <v>792.93</v>
      </c>
      <c r="U110" s="22">
        <f t="shared" si="35"/>
        <v>284.27999999999997</v>
      </c>
      <c r="V110" s="22">
        <f t="shared" si="35"/>
        <v>0</v>
      </c>
      <c r="W110" s="22">
        <f t="shared" si="35"/>
        <v>0</v>
      </c>
      <c r="X110" s="22">
        <f t="shared" si="35"/>
        <v>27.64</v>
      </c>
      <c r="Y110" s="22">
        <f t="shared" si="37"/>
        <v>0</v>
      </c>
      <c r="Z110" s="22">
        <f t="shared" si="37"/>
        <v>0</v>
      </c>
      <c r="AA110" s="12">
        <f t="shared" si="38"/>
        <v>49276.05999999999</v>
      </c>
    </row>
    <row r="111" spans="1:38">
      <c r="K111" s="2" t="s">
        <v>3</v>
      </c>
      <c r="L111" s="22">
        <f t="shared" si="36"/>
        <v>60544.32</v>
      </c>
      <c r="M111" s="22">
        <f t="shared" si="35"/>
        <v>21908.959999999999</v>
      </c>
      <c r="N111" s="22">
        <f t="shared" si="35"/>
        <v>5857.99</v>
      </c>
      <c r="O111" s="22">
        <f t="shared" si="35"/>
        <v>2599.14</v>
      </c>
      <c r="P111" s="22">
        <f t="shared" si="35"/>
        <v>46906.2</v>
      </c>
      <c r="Q111" s="22">
        <f t="shared" si="35"/>
        <v>1800.44</v>
      </c>
      <c r="R111" s="22">
        <f t="shared" si="35"/>
        <v>2712.13</v>
      </c>
      <c r="S111" s="22">
        <f t="shared" si="35"/>
        <v>0</v>
      </c>
      <c r="T111" s="22">
        <f t="shared" si="35"/>
        <v>2636.75</v>
      </c>
      <c r="U111" s="22">
        <f t="shared" si="35"/>
        <v>284.27999999999997</v>
      </c>
      <c r="V111" s="22">
        <f t="shared" si="35"/>
        <v>0</v>
      </c>
      <c r="W111" s="22">
        <f t="shared" si="35"/>
        <v>0</v>
      </c>
      <c r="X111" s="22">
        <f t="shared" si="35"/>
        <v>0</v>
      </c>
      <c r="Y111" s="22">
        <f t="shared" si="37"/>
        <v>28.58</v>
      </c>
      <c r="Z111" s="22">
        <f t="shared" si="37"/>
        <v>0</v>
      </c>
      <c r="AA111" s="12">
        <f t="shared" si="38"/>
        <v>145278.78999999998</v>
      </c>
    </row>
    <row r="112" spans="1:38">
      <c r="K112" s="1" t="s">
        <v>4</v>
      </c>
      <c r="L112" s="22">
        <f t="shared" si="36"/>
        <v>138339.66</v>
      </c>
      <c r="M112" s="22">
        <f t="shared" si="35"/>
        <v>29054.41</v>
      </c>
      <c r="N112" s="22">
        <f t="shared" si="35"/>
        <v>22347.83</v>
      </c>
      <c r="O112" s="22">
        <f t="shared" si="35"/>
        <v>3005.1</v>
      </c>
      <c r="P112" s="22">
        <f t="shared" si="35"/>
        <v>153700.72</v>
      </c>
      <c r="Q112" s="22">
        <f t="shared" si="35"/>
        <v>2463.7600000000002</v>
      </c>
      <c r="R112" s="22">
        <f t="shared" si="35"/>
        <v>5235.04</v>
      </c>
      <c r="S112" s="22">
        <f t="shared" si="35"/>
        <v>0</v>
      </c>
      <c r="T112" s="22">
        <f t="shared" si="35"/>
        <v>3577.36</v>
      </c>
      <c r="U112" s="22">
        <f t="shared" si="35"/>
        <v>568.55999999999995</v>
      </c>
      <c r="V112" s="22">
        <f t="shared" si="35"/>
        <v>0</v>
      </c>
      <c r="W112" s="22">
        <f t="shared" si="35"/>
        <v>0</v>
      </c>
      <c r="X112" s="22">
        <f t="shared" si="35"/>
        <v>110.56</v>
      </c>
      <c r="Y112" s="22">
        <f t="shared" si="37"/>
        <v>0</v>
      </c>
      <c r="Z112" s="22">
        <f t="shared" si="37"/>
        <v>0</v>
      </c>
      <c r="AA112" s="12">
        <f t="shared" si="38"/>
        <v>358403</v>
      </c>
    </row>
    <row r="113" spans="11:27">
      <c r="K113" s="1" t="s">
        <v>5</v>
      </c>
      <c r="L113" s="22">
        <f t="shared" si="36"/>
        <v>77087.199999999997</v>
      </c>
      <c r="M113" s="22">
        <f t="shared" si="35"/>
        <v>17741.7</v>
      </c>
      <c r="N113" s="22">
        <f t="shared" si="35"/>
        <v>9033.5499999999993</v>
      </c>
      <c r="O113" s="22">
        <f t="shared" si="35"/>
        <v>938.22</v>
      </c>
      <c r="P113" s="22">
        <f t="shared" si="35"/>
        <v>93149.08</v>
      </c>
      <c r="Q113" s="22">
        <f t="shared" si="35"/>
        <v>94.76</v>
      </c>
      <c r="R113" s="22">
        <f t="shared" si="35"/>
        <v>3113.53</v>
      </c>
      <c r="S113" s="22">
        <f t="shared" si="35"/>
        <v>500.46</v>
      </c>
      <c r="T113" s="22">
        <f t="shared" si="35"/>
        <v>2141.46</v>
      </c>
      <c r="U113" s="22">
        <f t="shared" si="35"/>
        <v>94.76</v>
      </c>
      <c r="V113" s="22">
        <f t="shared" si="35"/>
        <v>0</v>
      </c>
      <c r="W113" s="22">
        <f t="shared" si="35"/>
        <v>0</v>
      </c>
      <c r="X113" s="22">
        <f t="shared" si="35"/>
        <v>55.28</v>
      </c>
      <c r="Y113" s="22">
        <f t="shared" si="37"/>
        <v>0</v>
      </c>
      <c r="Z113" s="22">
        <f t="shared" si="37"/>
        <v>0</v>
      </c>
      <c r="AA113" s="12">
        <f t="shared" si="38"/>
        <v>203950</v>
      </c>
    </row>
    <row r="114" spans="11:27">
      <c r="K114" s="1" t="s">
        <v>6</v>
      </c>
      <c r="L114" s="22">
        <f t="shared" si="36"/>
        <v>153965.35</v>
      </c>
      <c r="M114" s="22">
        <f t="shared" si="35"/>
        <v>33363.240000000005</v>
      </c>
      <c r="N114" s="22">
        <f t="shared" si="35"/>
        <v>16970.54</v>
      </c>
      <c r="O114" s="22">
        <f t="shared" si="35"/>
        <v>8819.2900000000009</v>
      </c>
      <c r="P114" s="22">
        <f t="shared" si="35"/>
        <v>135696.32000000001</v>
      </c>
      <c r="Q114" s="22">
        <f t="shared" si="35"/>
        <v>3411.36</v>
      </c>
      <c r="R114" s="22">
        <f t="shared" si="35"/>
        <v>6432.39</v>
      </c>
      <c r="S114" s="22">
        <f t="shared" si="35"/>
        <v>0</v>
      </c>
      <c r="T114" s="22">
        <f t="shared" si="35"/>
        <v>4995.53</v>
      </c>
      <c r="U114" s="22">
        <f t="shared" si="35"/>
        <v>379.04</v>
      </c>
      <c r="V114" s="22">
        <f t="shared" si="35"/>
        <v>0</v>
      </c>
      <c r="W114" s="22">
        <f t="shared" si="35"/>
        <v>0</v>
      </c>
      <c r="X114" s="22">
        <f t="shared" si="35"/>
        <v>193.48</v>
      </c>
      <c r="Y114" s="22">
        <f t="shared" si="37"/>
        <v>0</v>
      </c>
      <c r="Z114" s="22">
        <f t="shared" si="37"/>
        <v>0</v>
      </c>
      <c r="AA114" s="12">
        <f t="shared" si="38"/>
        <v>364226.54000000004</v>
      </c>
    </row>
    <row r="115" spans="11:27">
      <c r="K115" s="1" t="s">
        <v>7</v>
      </c>
      <c r="L115" s="22">
        <f t="shared" si="36"/>
        <v>105676.46</v>
      </c>
      <c r="M115" s="22">
        <f t="shared" si="35"/>
        <v>17655.59</v>
      </c>
      <c r="N115" s="22">
        <f t="shared" si="35"/>
        <v>11689.17</v>
      </c>
      <c r="O115" s="22">
        <f t="shared" si="35"/>
        <v>2794.69</v>
      </c>
      <c r="P115" s="22">
        <f t="shared" si="35"/>
        <v>116554.8</v>
      </c>
      <c r="Q115" s="22">
        <f t="shared" si="35"/>
        <v>4358.96</v>
      </c>
      <c r="R115" s="22">
        <f t="shared" si="35"/>
        <v>3725.96</v>
      </c>
      <c r="S115" s="22">
        <f t="shared" si="35"/>
        <v>1905.35</v>
      </c>
      <c r="T115" s="22">
        <f t="shared" si="35"/>
        <v>2213.0500000000002</v>
      </c>
      <c r="U115" s="22">
        <f t="shared" si="35"/>
        <v>0</v>
      </c>
      <c r="V115" s="22">
        <f t="shared" si="35"/>
        <v>0</v>
      </c>
      <c r="W115" s="22">
        <f t="shared" si="35"/>
        <v>0</v>
      </c>
      <c r="X115" s="22">
        <f t="shared" si="35"/>
        <v>138.19999999999999</v>
      </c>
      <c r="Y115" s="22">
        <f t="shared" si="37"/>
        <v>0</v>
      </c>
      <c r="Z115" s="22">
        <f t="shared" si="37"/>
        <v>0</v>
      </c>
      <c r="AA115" s="12">
        <f t="shared" si="38"/>
        <v>266712.23</v>
      </c>
    </row>
    <row r="116" spans="11:27">
      <c r="K116" s="1" t="s">
        <v>8</v>
      </c>
      <c r="L116" s="22">
        <f t="shared" si="36"/>
        <v>126393.43</v>
      </c>
      <c r="M116" s="22">
        <f t="shared" si="35"/>
        <v>25463.21</v>
      </c>
      <c r="N116" s="22">
        <f t="shared" si="35"/>
        <v>14291.04</v>
      </c>
      <c r="O116" s="22">
        <f t="shared" si="35"/>
        <v>2842.94</v>
      </c>
      <c r="P116" s="22">
        <f t="shared" si="35"/>
        <v>275846.36</v>
      </c>
      <c r="Q116" s="22">
        <f t="shared" si="35"/>
        <v>13645.44</v>
      </c>
      <c r="R116" s="22">
        <f t="shared" si="35"/>
        <v>5106.41</v>
      </c>
      <c r="S116" s="22">
        <f t="shared" si="35"/>
        <v>269.25</v>
      </c>
      <c r="T116" s="22">
        <f t="shared" si="35"/>
        <v>4158.25</v>
      </c>
      <c r="U116" s="22">
        <f t="shared" si="35"/>
        <v>189.52</v>
      </c>
      <c r="V116" s="22">
        <f t="shared" si="35"/>
        <v>0</v>
      </c>
      <c r="W116" s="22">
        <f t="shared" si="35"/>
        <v>0</v>
      </c>
      <c r="X116" s="22">
        <f t="shared" si="35"/>
        <v>304.04000000000002</v>
      </c>
      <c r="Y116" s="22">
        <f t="shared" si="37"/>
        <v>0</v>
      </c>
      <c r="Z116" s="22">
        <f t="shared" si="37"/>
        <v>0</v>
      </c>
      <c r="AA116" s="12">
        <f t="shared" si="38"/>
        <v>468509.88999999996</v>
      </c>
    </row>
    <row r="117" spans="11:27">
      <c r="K117" s="2" t="s">
        <v>9</v>
      </c>
      <c r="L117" s="22">
        <f t="shared" si="36"/>
        <v>40321.08</v>
      </c>
      <c r="M117" s="22">
        <f t="shared" si="35"/>
        <v>12223.07</v>
      </c>
      <c r="N117" s="22">
        <f t="shared" si="35"/>
        <v>5030.3599999999997</v>
      </c>
      <c r="O117" s="22">
        <f t="shared" si="35"/>
        <v>945.34</v>
      </c>
      <c r="P117" s="22">
        <f t="shared" si="35"/>
        <v>38567.32</v>
      </c>
      <c r="Q117" s="22">
        <f t="shared" si="35"/>
        <v>663.32</v>
      </c>
      <c r="R117" s="22">
        <f t="shared" si="35"/>
        <v>2494.17</v>
      </c>
      <c r="S117" s="22">
        <f t="shared" si="35"/>
        <v>0</v>
      </c>
      <c r="T117" s="22">
        <f t="shared" si="35"/>
        <v>1379.26</v>
      </c>
      <c r="U117" s="22">
        <f t="shared" si="35"/>
        <v>94.76</v>
      </c>
      <c r="V117" s="22">
        <f t="shared" si="35"/>
        <v>0</v>
      </c>
      <c r="W117" s="22">
        <f t="shared" si="35"/>
        <v>0</v>
      </c>
      <c r="X117" s="22">
        <f t="shared" si="35"/>
        <v>27.64</v>
      </c>
      <c r="Y117" s="22">
        <f t="shared" si="37"/>
        <v>0</v>
      </c>
      <c r="Z117" s="22">
        <f t="shared" si="37"/>
        <v>0</v>
      </c>
      <c r="AA117" s="12">
        <f t="shared" si="38"/>
        <v>101746.31999999999</v>
      </c>
    </row>
    <row r="118" spans="11:27">
      <c r="K118" s="18" t="s">
        <v>10</v>
      </c>
      <c r="L118" s="22">
        <f t="shared" si="36"/>
        <v>92517.72</v>
      </c>
      <c r="M118" s="22">
        <f t="shared" si="35"/>
        <v>14881.02</v>
      </c>
      <c r="N118" s="22">
        <f t="shared" si="35"/>
        <v>11057.45</v>
      </c>
      <c r="O118" s="22">
        <f t="shared" si="35"/>
        <v>1121.5999999999999</v>
      </c>
      <c r="P118" s="22">
        <f t="shared" si="35"/>
        <v>245333.64</v>
      </c>
      <c r="Q118" s="22">
        <f t="shared" si="35"/>
        <v>1800.44</v>
      </c>
      <c r="R118" s="22">
        <f t="shared" si="35"/>
        <v>1494.75</v>
      </c>
      <c r="S118" s="22">
        <f t="shared" si="35"/>
        <v>0</v>
      </c>
      <c r="T118" s="22">
        <f t="shared" si="35"/>
        <v>2612.7399999999998</v>
      </c>
      <c r="U118" s="22">
        <f t="shared" si="35"/>
        <v>189.52</v>
      </c>
      <c r="V118" s="22">
        <f t="shared" si="35"/>
        <v>189.52</v>
      </c>
      <c r="W118" s="22">
        <f t="shared" si="35"/>
        <v>0</v>
      </c>
      <c r="X118" s="22">
        <f t="shared" si="35"/>
        <v>27.64</v>
      </c>
      <c r="Y118" s="22">
        <f t="shared" si="37"/>
        <v>0</v>
      </c>
      <c r="Z118" s="22">
        <f t="shared" si="37"/>
        <v>0</v>
      </c>
      <c r="AA118" s="12">
        <f t="shared" si="38"/>
        <v>371226.0400000001</v>
      </c>
    </row>
    <row r="119" spans="11:27">
      <c r="K119" s="1" t="s">
        <v>11</v>
      </c>
      <c r="L119" s="22">
        <f t="shared" si="36"/>
        <v>78083.929999999993</v>
      </c>
      <c r="M119" s="22">
        <f t="shared" si="35"/>
        <v>15577.82</v>
      </c>
      <c r="N119" s="22">
        <f t="shared" si="35"/>
        <v>15794.33</v>
      </c>
      <c r="O119" s="22">
        <f t="shared" si="35"/>
        <v>2450.84</v>
      </c>
      <c r="P119" s="22">
        <f t="shared" si="35"/>
        <v>216905.64</v>
      </c>
      <c r="Q119" s="22">
        <f t="shared" si="35"/>
        <v>3790.4</v>
      </c>
      <c r="R119" s="22">
        <f t="shared" si="35"/>
        <v>2929.92</v>
      </c>
      <c r="S119" s="22">
        <f t="shared" si="35"/>
        <v>1728.3400000000001</v>
      </c>
      <c r="T119" s="22">
        <f t="shared" si="35"/>
        <v>2314.7600000000002</v>
      </c>
      <c r="U119" s="22">
        <f t="shared" si="35"/>
        <v>663.32</v>
      </c>
      <c r="V119" s="22">
        <f t="shared" si="35"/>
        <v>0</v>
      </c>
      <c r="W119" s="22">
        <f t="shared" si="35"/>
        <v>0</v>
      </c>
      <c r="X119" s="22">
        <f t="shared" si="35"/>
        <v>27.64</v>
      </c>
      <c r="Y119" s="22">
        <f t="shared" si="37"/>
        <v>0</v>
      </c>
      <c r="Z119" s="22">
        <f t="shared" si="37"/>
        <v>0</v>
      </c>
      <c r="AA119" s="12">
        <f t="shared" si="38"/>
        <v>340266.94000000006</v>
      </c>
    </row>
    <row r="120" spans="11:27">
      <c r="K120" s="1" t="s">
        <v>12</v>
      </c>
      <c r="L120" s="22">
        <f t="shared" si="36"/>
        <v>379867.54</v>
      </c>
      <c r="M120" s="22">
        <f t="shared" si="35"/>
        <v>102283.92000000001</v>
      </c>
      <c r="N120" s="22">
        <f t="shared" si="35"/>
        <v>40575.129999999997</v>
      </c>
      <c r="O120" s="22">
        <f t="shared" si="35"/>
        <v>20051.34</v>
      </c>
      <c r="P120" s="22">
        <f t="shared" si="35"/>
        <v>447267.2</v>
      </c>
      <c r="Q120" s="22">
        <f t="shared" si="35"/>
        <v>7580.8</v>
      </c>
      <c r="R120" s="22">
        <f t="shared" si="35"/>
        <v>24244.720000000001</v>
      </c>
      <c r="S120" s="22">
        <f t="shared" si="35"/>
        <v>0</v>
      </c>
      <c r="T120" s="22">
        <f t="shared" si="35"/>
        <v>13639.36</v>
      </c>
      <c r="U120" s="22">
        <f t="shared" si="35"/>
        <v>2842.8</v>
      </c>
      <c r="V120" s="22">
        <f t="shared" si="35"/>
        <v>0</v>
      </c>
      <c r="W120" s="22">
        <f t="shared" si="35"/>
        <v>0</v>
      </c>
      <c r="X120" s="22">
        <f t="shared" si="35"/>
        <v>580.44000000000005</v>
      </c>
      <c r="Y120" s="22">
        <f t="shared" si="37"/>
        <v>0</v>
      </c>
      <c r="Z120" s="22">
        <f t="shared" si="37"/>
        <v>0</v>
      </c>
      <c r="AA120" s="12">
        <f t="shared" si="38"/>
        <v>1038933.2499999999</v>
      </c>
    </row>
    <row r="121" spans="11:27">
      <c r="K121" s="1" t="s">
        <v>15</v>
      </c>
      <c r="L121" s="22">
        <f t="shared" si="36"/>
        <v>63412.65</v>
      </c>
      <c r="M121" s="22">
        <f t="shared" si="35"/>
        <v>20325.71</v>
      </c>
      <c r="N121" s="22">
        <f t="shared" si="35"/>
        <v>7036.51</v>
      </c>
      <c r="O121" s="22">
        <f t="shared" si="35"/>
        <v>3605.88</v>
      </c>
      <c r="P121" s="22">
        <f t="shared" si="35"/>
        <v>58656.44</v>
      </c>
      <c r="Q121" s="22">
        <f t="shared" si="35"/>
        <v>2369</v>
      </c>
      <c r="R121" s="22">
        <f t="shared" si="35"/>
        <v>4581.28</v>
      </c>
      <c r="S121" s="22">
        <f t="shared" si="35"/>
        <v>0</v>
      </c>
      <c r="T121" s="22">
        <f t="shared" si="35"/>
        <v>2955.19</v>
      </c>
      <c r="U121" s="22">
        <f t="shared" si="35"/>
        <v>94.76</v>
      </c>
      <c r="V121" s="22">
        <f t="shared" si="35"/>
        <v>0</v>
      </c>
      <c r="W121" s="22">
        <f t="shared" si="35"/>
        <v>0</v>
      </c>
      <c r="X121" s="22">
        <f t="shared" si="35"/>
        <v>27.64</v>
      </c>
      <c r="Y121" s="22">
        <f t="shared" si="37"/>
        <v>0</v>
      </c>
      <c r="Z121" s="22">
        <f t="shared" si="37"/>
        <v>0</v>
      </c>
      <c r="AA121" s="12">
        <f t="shared" si="38"/>
        <v>163065.06000000003</v>
      </c>
    </row>
    <row r="122" spans="11:27">
      <c r="K122" s="1" t="s">
        <v>14</v>
      </c>
      <c r="L122" s="22">
        <f t="shared" si="36"/>
        <v>63141.87</v>
      </c>
      <c r="M122" s="22">
        <f t="shared" si="35"/>
        <v>12074.09</v>
      </c>
      <c r="N122" s="22">
        <f t="shared" si="35"/>
        <v>7917.86</v>
      </c>
      <c r="O122" s="22">
        <f t="shared" si="35"/>
        <v>943.91</v>
      </c>
      <c r="P122" s="22">
        <f t="shared" si="35"/>
        <v>81777.88</v>
      </c>
      <c r="Q122" s="22">
        <f t="shared" si="35"/>
        <v>663.32</v>
      </c>
      <c r="R122" s="22">
        <f t="shared" si="35"/>
        <v>2448.56</v>
      </c>
      <c r="S122" s="22">
        <f t="shared" si="35"/>
        <v>0</v>
      </c>
      <c r="T122" s="22">
        <f t="shared" si="35"/>
        <v>1546.57</v>
      </c>
      <c r="U122" s="22">
        <f t="shared" si="35"/>
        <v>94.76</v>
      </c>
      <c r="V122" s="22">
        <f t="shared" si="35"/>
        <v>0</v>
      </c>
      <c r="W122" s="22">
        <f t="shared" si="35"/>
        <v>0</v>
      </c>
      <c r="X122" s="22">
        <f t="shared" si="35"/>
        <v>0</v>
      </c>
      <c r="Y122" s="22">
        <f t="shared" si="37"/>
        <v>0</v>
      </c>
      <c r="Z122" s="22">
        <f t="shared" si="37"/>
        <v>0</v>
      </c>
      <c r="AA122" s="12">
        <f t="shared" si="38"/>
        <v>170608.82000000004</v>
      </c>
    </row>
    <row r="123" spans="11:27">
      <c r="K123" s="18" t="s">
        <v>13</v>
      </c>
      <c r="L123" s="22">
        <f t="shared" si="36"/>
        <v>372208.37</v>
      </c>
      <c r="M123" s="22">
        <f t="shared" si="35"/>
        <v>54175.26</v>
      </c>
      <c r="N123" s="22">
        <f t="shared" si="35"/>
        <v>70168.63</v>
      </c>
      <c r="O123" s="22">
        <f t="shared" si="35"/>
        <v>21930.38</v>
      </c>
      <c r="P123" s="22">
        <f t="shared" si="35"/>
        <v>665120.43999999994</v>
      </c>
      <c r="Q123" s="22">
        <f t="shared" si="35"/>
        <v>7012.24</v>
      </c>
      <c r="R123" s="22">
        <f t="shared" si="35"/>
        <v>10631.41</v>
      </c>
      <c r="S123" s="22">
        <f t="shared" si="35"/>
        <v>276.39</v>
      </c>
      <c r="T123" s="22">
        <f t="shared" si="35"/>
        <v>10372.36</v>
      </c>
      <c r="U123" s="22">
        <f t="shared" si="35"/>
        <v>3411.36</v>
      </c>
      <c r="V123" s="22">
        <f t="shared" si="35"/>
        <v>0</v>
      </c>
      <c r="W123" s="22">
        <f t="shared" si="35"/>
        <v>0</v>
      </c>
      <c r="X123" s="22">
        <f t="shared" si="35"/>
        <v>248.76</v>
      </c>
      <c r="Y123" s="22">
        <f t="shared" si="37"/>
        <v>0</v>
      </c>
      <c r="Z123" s="22">
        <f t="shared" si="37"/>
        <v>0</v>
      </c>
      <c r="AA123" s="12">
        <f t="shared" si="38"/>
        <v>1215555.6000000001</v>
      </c>
    </row>
    <row r="124" spans="11:27">
      <c r="K124" s="1" t="s">
        <v>16</v>
      </c>
      <c r="L124" s="22">
        <f t="shared" si="36"/>
        <v>139152.6</v>
      </c>
      <c r="M124" s="22">
        <f t="shared" si="36"/>
        <v>42841.41</v>
      </c>
      <c r="N124" s="22">
        <f t="shared" si="36"/>
        <v>17529.689999999999</v>
      </c>
      <c r="O124" s="22">
        <f t="shared" si="36"/>
        <v>5399.05</v>
      </c>
      <c r="P124" s="22">
        <f t="shared" si="36"/>
        <v>144982.79999999999</v>
      </c>
      <c r="Q124" s="22">
        <f t="shared" si="36"/>
        <v>3695.64</v>
      </c>
      <c r="R124" s="22">
        <f t="shared" si="36"/>
        <v>5656.02</v>
      </c>
      <c r="S124" s="22">
        <f t="shared" si="36"/>
        <v>533.78</v>
      </c>
      <c r="T124" s="22">
        <f t="shared" si="36"/>
        <v>7717.65</v>
      </c>
      <c r="U124" s="22">
        <f t="shared" si="36"/>
        <v>758.08</v>
      </c>
      <c r="V124" s="22">
        <f t="shared" si="36"/>
        <v>189.52</v>
      </c>
      <c r="W124" s="22">
        <f t="shared" si="36"/>
        <v>0</v>
      </c>
      <c r="X124" s="22">
        <f t="shared" si="36"/>
        <v>55.28</v>
      </c>
      <c r="Y124" s="22">
        <f t="shared" si="37"/>
        <v>0</v>
      </c>
      <c r="Z124" s="22">
        <f t="shared" si="37"/>
        <v>0</v>
      </c>
      <c r="AA124" s="12">
        <f t="shared" si="38"/>
        <v>368511.52000000014</v>
      </c>
    </row>
    <row r="125" spans="11:27">
      <c r="K125" s="1" t="s">
        <v>17</v>
      </c>
      <c r="L125" s="22">
        <f t="shared" si="36"/>
        <v>30279.96</v>
      </c>
      <c r="M125" s="22">
        <f t="shared" si="36"/>
        <v>4015.38</v>
      </c>
      <c r="N125" s="22">
        <f t="shared" si="36"/>
        <v>7472.7</v>
      </c>
      <c r="O125" s="22">
        <f t="shared" si="36"/>
        <v>307.16000000000003</v>
      </c>
      <c r="P125" s="22">
        <f t="shared" si="36"/>
        <v>30911.759999999998</v>
      </c>
      <c r="Q125" s="22">
        <f t="shared" si="36"/>
        <v>2369</v>
      </c>
      <c r="R125" s="22">
        <f t="shared" si="36"/>
        <v>477.6</v>
      </c>
      <c r="S125" s="22">
        <f t="shared" si="36"/>
        <v>6933.42</v>
      </c>
      <c r="T125" s="22">
        <f t="shared" si="36"/>
        <v>668.38</v>
      </c>
      <c r="U125" s="22">
        <f t="shared" si="36"/>
        <v>0</v>
      </c>
      <c r="V125" s="22">
        <f t="shared" si="36"/>
        <v>0</v>
      </c>
      <c r="W125" s="22">
        <f t="shared" si="36"/>
        <v>0</v>
      </c>
      <c r="X125" s="22">
        <f t="shared" si="36"/>
        <v>55.28</v>
      </c>
      <c r="Y125" s="22">
        <f t="shared" ref="Y125:Z134" si="39">AF92</f>
        <v>0</v>
      </c>
      <c r="Z125" s="22">
        <f t="shared" si="39"/>
        <v>0</v>
      </c>
      <c r="AA125" s="12">
        <f t="shared" si="38"/>
        <v>83490.64</v>
      </c>
    </row>
    <row r="126" spans="11:27">
      <c r="K126" s="1" t="s">
        <v>18</v>
      </c>
      <c r="L126" s="22">
        <f t="shared" si="36"/>
        <v>442082.35</v>
      </c>
      <c r="M126" s="22">
        <f t="shared" si="36"/>
        <v>81526.899999999994</v>
      </c>
      <c r="N126" s="22">
        <f t="shared" si="36"/>
        <v>69768.55</v>
      </c>
      <c r="O126" s="22">
        <f t="shared" si="36"/>
        <v>14450.2</v>
      </c>
      <c r="P126" s="22">
        <f t="shared" si="36"/>
        <v>457311.76</v>
      </c>
      <c r="Q126" s="22">
        <f t="shared" si="36"/>
        <v>16867.28</v>
      </c>
      <c r="R126" s="22">
        <f t="shared" si="36"/>
        <v>17605.02</v>
      </c>
      <c r="S126" s="22">
        <f t="shared" si="36"/>
        <v>2986.85</v>
      </c>
      <c r="T126" s="22">
        <f t="shared" si="36"/>
        <v>10774.33</v>
      </c>
      <c r="U126" s="22">
        <f t="shared" si="36"/>
        <v>1231.8800000000001</v>
      </c>
      <c r="V126" s="22">
        <f t="shared" si="36"/>
        <v>0</v>
      </c>
      <c r="W126" s="22">
        <f t="shared" si="36"/>
        <v>0</v>
      </c>
      <c r="X126" s="22">
        <f t="shared" si="36"/>
        <v>773.92</v>
      </c>
      <c r="Y126" s="22">
        <f t="shared" si="39"/>
        <v>0</v>
      </c>
      <c r="Z126" s="22">
        <f t="shared" si="39"/>
        <v>0</v>
      </c>
      <c r="AA126" s="12">
        <f t="shared" si="38"/>
        <v>1115379.04</v>
      </c>
    </row>
    <row r="127" spans="11:27">
      <c r="K127" s="1" t="s">
        <v>20</v>
      </c>
      <c r="L127" s="22">
        <f t="shared" si="36"/>
        <v>66790.25</v>
      </c>
      <c r="M127" s="22">
        <f t="shared" si="36"/>
        <v>17009.3</v>
      </c>
      <c r="N127" s="22">
        <f t="shared" si="36"/>
        <v>5127.87</v>
      </c>
      <c r="O127" s="22">
        <f t="shared" si="36"/>
        <v>1978.46</v>
      </c>
      <c r="P127" s="22">
        <f t="shared" si="36"/>
        <v>69838.12</v>
      </c>
      <c r="Q127" s="22">
        <f t="shared" si="36"/>
        <v>2558.52</v>
      </c>
      <c r="R127" s="22">
        <f t="shared" si="36"/>
        <v>2975.27</v>
      </c>
      <c r="S127" s="22">
        <f t="shared" si="36"/>
        <v>0</v>
      </c>
      <c r="T127" s="22">
        <f t="shared" si="36"/>
        <v>2778.35</v>
      </c>
      <c r="U127" s="22">
        <f t="shared" si="36"/>
        <v>189.52</v>
      </c>
      <c r="V127" s="22">
        <f t="shared" si="36"/>
        <v>189.52</v>
      </c>
      <c r="W127" s="22">
        <f t="shared" si="36"/>
        <v>0</v>
      </c>
      <c r="X127" s="22">
        <f t="shared" si="36"/>
        <v>55.28</v>
      </c>
      <c r="Y127" s="22">
        <f t="shared" si="39"/>
        <v>0</v>
      </c>
      <c r="Z127" s="22">
        <f t="shared" si="39"/>
        <v>0</v>
      </c>
      <c r="AA127" s="12">
        <f t="shared" si="38"/>
        <v>169490.45999999996</v>
      </c>
    </row>
    <row r="128" spans="11:27">
      <c r="K128" s="1" t="s">
        <v>19</v>
      </c>
      <c r="L128" s="22">
        <f t="shared" si="36"/>
        <v>486639.78</v>
      </c>
      <c r="M128" s="22">
        <f t="shared" si="36"/>
        <v>108804.12</v>
      </c>
      <c r="N128" s="22">
        <f t="shared" si="36"/>
        <v>81635.929999999993</v>
      </c>
      <c r="O128" s="22">
        <f t="shared" si="36"/>
        <v>27630.32</v>
      </c>
      <c r="P128" s="22">
        <f t="shared" si="36"/>
        <v>836257</v>
      </c>
      <c r="Q128" s="22">
        <f t="shared" si="36"/>
        <v>11560.72</v>
      </c>
      <c r="R128" s="22">
        <f t="shared" si="36"/>
        <v>23407</v>
      </c>
      <c r="S128" s="22">
        <f t="shared" si="36"/>
        <v>984.27</v>
      </c>
      <c r="T128" s="22">
        <f t="shared" si="36"/>
        <v>16928.189999999999</v>
      </c>
      <c r="U128" s="22">
        <f t="shared" si="36"/>
        <v>1610.92</v>
      </c>
      <c r="V128" s="22">
        <f t="shared" si="36"/>
        <v>0</v>
      </c>
      <c r="W128" s="22">
        <f t="shared" si="36"/>
        <v>0</v>
      </c>
      <c r="X128" s="22">
        <f t="shared" si="36"/>
        <v>386.96</v>
      </c>
      <c r="Y128" s="22">
        <f t="shared" si="39"/>
        <v>0</v>
      </c>
      <c r="Z128" s="22">
        <f t="shared" si="39"/>
        <v>0</v>
      </c>
      <c r="AA128" s="12">
        <f t="shared" si="38"/>
        <v>1595845.2099999997</v>
      </c>
    </row>
    <row r="129" spans="11:27">
      <c r="K129" s="18" t="s">
        <v>21</v>
      </c>
      <c r="L129" s="22">
        <f t="shared" si="36"/>
        <v>29062.23</v>
      </c>
      <c r="M129" s="22">
        <f t="shared" si="36"/>
        <v>3969.57</v>
      </c>
      <c r="N129" s="22">
        <f t="shared" si="36"/>
        <v>4574.26</v>
      </c>
      <c r="O129" s="22">
        <f t="shared" si="36"/>
        <v>1698.95</v>
      </c>
      <c r="P129" s="22">
        <f t="shared" si="36"/>
        <v>71070</v>
      </c>
      <c r="Q129" s="22">
        <f t="shared" si="36"/>
        <v>379.04</v>
      </c>
      <c r="R129" s="22">
        <f t="shared" si="36"/>
        <v>544.97</v>
      </c>
      <c r="S129" s="22">
        <f t="shared" si="36"/>
        <v>0</v>
      </c>
      <c r="T129" s="22">
        <f t="shared" si="36"/>
        <v>894.1</v>
      </c>
      <c r="U129" s="22">
        <f t="shared" si="36"/>
        <v>94.76</v>
      </c>
      <c r="V129" s="22">
        <f t="shared" si="36"/>
        <v>0</v>
      </c>
      <c r="W129" s="22">
        <f t="shared" si="36"/>
        <v>0</v>
      </c>
      <c r="X129" s="22">
        <f t="shared" si="36"/>
        <v>0</v>
      </c>
      <c r="Y129" s="22">
        <f t="shared" si="39"/>
        <v>0</v>
      </c>
      <c r="Z129" s="22">
        <f t="shared" si="39"/>
        <v>0</v>
      </c>
      <c r="AA129" s="12">
        <f t="shared" si="38"/>
        <v>112287.88</v>
      </c>
    </row>
    <row r="130" spans="11:27">
      <c r="K130" s="2" t="s">
        <v>22</v>
      </c>
      <c r="L130" s="22">
        <f t="shared" si="36"/>
        <v>4670.87</v>
      </c>
      <c r="M130" s="22">
        <f t="shared" si="36"/>
        <v>797.28</v>
      </c>
      <c r="N130" s="22">
        <f t="shared" si="36"/>
        <v>512.87</v>
      </c>
      <c r="O130" s="22">
        <f t="shared" si="36"/>
        <v>105.74</v>
      </c>
      <c r="P130" s="22">
        <f t="shared" si="36"/>
        <v>18099.16</v>
      </c>
      <c r="Q130" s="22">
        <f t="shared" si="36"/>
        <v>189.52</v>
      </c>
      <c r="R130" s="22">
        <f t="shared" si="36"/>
        <v>77.19</v>
      </c>
      <c r="S130" s="22">
        <f t="shared" si="36"/>
        <v>0</v>
      </c>
      <c r="T130" s="22">
        <f t="shared" si="36"/>
        <v>115.16</v>
      </c>
      <c r="U130" s="22">
        <f t="shared" si="36"/>
        <v>0</v>
      </c>
      <c r="V130" s="22">
        <f t="shared" si="36"/>
        <v>0</v>
      </c>
      <c r="W130" s="22">
        <f t="shared" si="36"/>
        <v>0</v>
      </c>
      <c r="X130" s="22">
        <f t="shared" si="36"/>
        <v>0</v>
      </c>
      <c r="Y130" s="22">
        <f t="shared" si="39"/>
        <v>0</v>
      </c>
      <c r="Z130" s="22">
        <f t="shared" si="39"/>
        <v>0</v>
      </c>
      <c r="AA130" s="12">
        <f t="shared" si="38"/>
        <v>24567.789999999997</v>
      </c>
    </row>
    <row r="131" spans="11:27">
      <c r="K131" s="1" t="s">
        <v>23</v>
      </c>
      <c r="L131" s="22">
        <f t="shared" si="36"/>
        <v>311624.87</v>
      </c>
      <c r="M131" s="22">
        <f t="shared" si="36"/>
        <v>35192.03</v>
      </c>
      <c r="N131" s="22">
        <f t="shared" si="36"/>
        <v>40257.620000000003</v>
      </c>
      <c r="O131" s="22">
        <f t="shared" si="36"/>
        <v>9523.15</v>
      </c>
      <c r="P131" s="22">
        <f t="shared" si="36"/>
        <v>492278.2</v>
      </c>
      <c r="Q131" s="22">
        <f t="shared" si="36"/>
        <v>3127.08</v>
      </c>
      <c r="R131" s="22">
        <f t="shared" si="36"/>
        <v>6102.4</v>
      </c>
      <c r="S131" s="22">
        <f t="shared" si="36"/>
        <v>0</v>
      </c>
      <c r="T131" s="22">
        <f t="shared" si="36"/>
        <v>5584.52</v>
      </c>
      <c r="U131" s="22">
        <f t="shared" si="36"/>
        <v>947.6</v>
      </c>
      <c r="V131" s="22">
        <f t="shared" si="36"/>
        <v>0</v>
      </c>
      <c r="W131" s="22">
        <f t="shared" si="36"/>
        <v>0</v>
      </c>
      <c r="X131" s="22">
        <f t="shared" si="36"/>
        <v>442.24</v>
      </c>
      <c r="Y131" s="22">
        <f t="shared" si="39"/>
        <v>0</v>
      </c>
      <c r="Z131" s="22">
        <f t="shared" si="39"/>
        <v>0</v>
      </c>
      <c r="AA131" s="12">
        <f t="shared" si="38"/>
        <v>905079.71000000008</v>
      </c>
    </row>
    <row r="132" spans="11:27">
      <c r="K132" s="1" t="s">
        <v>25</v>
      </c>
      <c r="L132" s="22">
        <f t="shared" si="36"/>
        <v>1643754.38</v>
      </c>
      <c r="M132" s="22">
        <f t="shared" si="36"/>
        <v>310400.21000000002</v>
      </c>
      <c r="N132" s="22">
        <f t="shared" si="36"/>
        <v>181374.41</v>
      </c>
      <c r="O132" s="22">
        <f t="shared" si="36"/>
        <v>45650.27</v>
      </c>
      <c r="P132" s="22">
        <f t="shared" si="36"/>
        <v>2846874.68</v>
      </c>
      <c r="Q132" s="22">
        <f t="shared" si="36"/>
        <v>22079.279999999999</v>
      </c>
      <c r="R132" s="22">
        <f t="shared" si="36"/>
        <v>72030.039999999994</v>
      </c>
      <c r="S132" s="22">
        <f t="shared" si="36"/>
        <v>7643.92</v>
      </c>
      <c r="T132" s="22">
        <f t="shared" si="36"/>
        <v>40234.123</v>
      </c>
      <c r="U132" s="22">
        <f t="shared" si="36"/>
        <v>3790.4</v>
      </c>
      <c r="V132" s="22">
        <f t="shared" si="36"/>
        <v>947.6</v>
      </c>
      <c r="W132" s="22">
        <f t="shared" si="36"/>
        <v>0</v>
      </c>
      <c r="X132" s="22">
        <f t="shared" si="36"/>
        <v>2238.84</v>
      </c>
      <c r="Y132" s="22">
        <f t="shared" si="39"/>
        <v>508.69</v>
      </c>
      <c r="Z132" s="22">
        <f t="shared" si="39"/>
        <v>4882.3599999999997</v>
      </c>
      <c r="AA132" s="12">
        <f t="shared" si="38"/>
        <v>5182409.2030000007</v>
      </c>
    </row>
    <row r="133" spans="11:27">
      <c r="K133" s="1" t="s">
        <v>24</v>
      </c>
      <c r="L133" s="22">
        <f t="shared" si="36"/>
        <v>36447.22</v>
      </c>
      <c r="M133" s="22">
        <f t="shared" si="36"/>
        <v>12503.9</v>
      </c>
      <c r="N133" s="22">
        <f t="shared" si="36"/>
        <v>4095.15</v>
      </c>
      <c r="O133" s="22">
        <f t="shared" si="36"/>
        <v>533.78</v>
      </c>
      <c r="P133" s="22">
        <f t="shared" si="36"/>
        <v>52970.84</v>
      </c>
      <c r="Q133" s="22">
        <f t="shared" si="36"/>
        <v>2084.7199999999998</v>
      </c>
      <c r="R133" s="22">
        <f t="shared" si="36"/>
        <v>1287.92</v>
      </c>
      <c r="S133" s="22">
        <f t="shared" si="36"/>
        <v>0</v>
      </c>
      <c r="T133" s="22">
        <f t="shared" si="36"/>
        <v>1781.64</v>
      </c>
      <c r="U133" s="22">
        <f t="shared" si="36"/>
        <v>0</v>
      </c>
      <c r="V133" s="22">
        <f t="shared" si="36"/>
        <v>0</v>
      </c>
      <c r="W133" s="22">
        <f t="shared" si="36"/>
        <v>0</v>
      </c>
      <c r="X133" s="22">
        <f t="shared" si="36"/>
        <v>55.28</v>
      </c>
      <c r="Y133" s="22">
        <f t="shared" si="39"/>
        <v>0</v>
      </c>
      <c r="Z133" s="22">
        <f t="shared" si="39"/>
        <v>0</v>
      </c>
      <c r="AA133" s="12">
        <f t="shared" si="38"/>
        <v>111760.45</v>
      </c>
    </row>
    <row r="134" spans="11:27">
      <c r="K134" s="1" t="s">
        <v>26</v>
      </c>
      <c r="L134" s="22">
        <f t="shared" si="36"/>
        <v>23573.39</v>
      </c>
      <c r="M134" s="22">
        <f t="shared" si="36"/>
        <v>6139.87</v>
      </c>
      <c r="N134" s="22">
        <f t="shared" si="36"/>
        <v>3217.68</v>
      </c>
      <c r="O134" s="22">
        <f t="shared" si="36"/>
        <v>1546.1</v>
      </c>
      <c r="P134" s="22">
        <f t="shared" si="36"/>
        <v>32786.959999999999</v>
      </c>
      <c r="Q134" s="22">
        <f t="shared" si="36"/>
        <v>473.8</v>
      </c>
      <c r="R134" s="22">
        <f t="shared" si="36"/>
        <v>1102.75</v>
      </c>
      <c r="S134" s="22">
        <f t="shared" si="36"/>
        <v>552.78</v>
      </c>
      <c r="T134" s="22">
        <f t="shared" si="36"/>
        <v>827.9</v>
      </c>
      <c r="U134" s="22">
        <f t="shared" si="36"/>
        <v>284.27999999999997</v>
      </c>
      <c r="V134" s="22">
        <f t="shared" si="36"/>
        <v>0</v>
      </c>
      <c r="W134" s="22">
        <f t="shared" si="36"/>
        <v>0</v>
      </c>
      <c r="X134" s="22">
        <f t="shared" si="36"/>
        <v>0</v>
      </c>
      <c r="Y134" s="22">
        <f t="shared" si="39"/>
        <v>0</v>
      </c>
      <c r="Z134" s="22">
        <f t="shared" si="39"/>
        <v>0</v>
      </c>
      <c r="AA134" s="12">
        <f t="shared" si="38"/>
        <v>70505.509999999995</v>
      </c>
    </row>
    <row r="135" spans="11:27">
      <c r="K135" s="8" t="s">
        <v>37</v>
      </c>
      <c r="L135" s="16">
        <f t="shared" ref="L135:AA135" si="40">SUM(L108:L134)</f>
        <v>5048331.5600000005</v>
      </c>
      <c r="M135" s="16">
        <f t="shared" si="40"/>
        <v>1016454.6100000001</v>
      </c>
      <c r="N135" s="16">
        <f t="shared" si="40"/>
        <v>659842.43000000005</v>
      </c>
      <c r="O135" s="16">
        <f t="shared" si="40"/>
        <v>181540.96</v>
      </c>
      <c r="P135" s="16">
        <f t="shared" si="40"/>
        <v>7733387.1900000004</v>
      </c>
      <c r="Q135" s="16">
        <f t="shared" si="40"/>
        <v>119018.76</v>
      </c>
      <c r="R135" s="16">
        <f t="shared" si="40"/>
        <v>208724.58000000005</v>
      </c>
      <c r="S135" s="16">
        <f t="shared" si="40"/>
        <v>24599.089999999997</v>
      </c>
      <c r="T135" s="16">
        <f t="shared" si="40"/>
        <v>145071.40300000002</v>
      </c>
      <c r="U135" s="16">
        <f t="shared" si="40"/>
        <v>18383.440000000002</v>
      </c>
      <c r="V135" s="16">
        <f t="shared" si="40"/>
        <v>1705.68</v>
      </c>
      <c r="W135" s="16">
        <f t="shared" si="40"/>
        <v>0</v>
      </c>
      <c r="X135" s="16">
        <f t="shared" si="40"/>
        <v>5859.68</v>
      </c>
      <c r="Y135" s="16">
        <f>SUM(Y108:Y134)</f>
        <v>537.27</v>
      </c>
      <c r="Z135" s="16">
        <f>SUM(Z108:Z134)</f>
        <v>4882.3599999999997</v>
      </c>
      <c r="AA135" s="7">
        <f t="shared" si="40"/>
        <v>15168339.012999998</v>
      </c>
    </row>
  </sheetData>
  <mergeCells count="103">
    <mergeCell ref="A37:O37"/>
    <mergeCell ref="A38:A39"/>
    <mergeCell ref="B38:C38"/>
    <mergeCell ref="D38:E38"/>
    <mergeCell ref="F38:F39"/>
    <mergeCell ref="G38:G39"/>
    <mergeCell ref="L38:L39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M38:M39"/>
    <mergeCell ref="L3:L4"/>
    <mergeCell ref="M3:M4"/>
    <mergeCell ref="N3:N4"/>
    <mergeCell ref="O3:O4"/>
    <mergeCell ref="B35:H35"/>
    <mergeCell ref="J73:J74"/>
    <mergeCell ref="K73:K74"/>
    <mergeCell ref="L73:L74"/>
    <mergeCell ref="M73:M74"/>
    <mergeCell ref="N73:N74"/>
    <mergeCell ref="O73:O74"/>
    <mergeCell ref="N38:N39"/>
    <mergeCell ref="O38:O39"/>
    <mergeCell ref="A72:O72"/>
    <mergeCell ref="A73:A74"/>
    <mergeCell ref="B73:C73"/>
    <mergeCell ref="D73:E73"/>
    <mergeCell ref="F73:F74"/>
    <mergeCell ref="G73:G74"/>
    <mergeCell ref="H73:H74"/>
    <mergeCell ref="I73:I74"/>
    <mergeCell ref="H38:H39"/>
    <mergeCell ref="I38:I39"/>
    <mergeCell ref="J38:J39"/>
    <mergeCell ref="K38:K39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G3"/>
    <mergeCell ref="AH3:AH4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F38:AG38"/>
    <mergeCell ref="AH38:AH39"/>
    <mergeCell ref="R72:AH72"/>
    <mergeCell ref="R73:R74"/>
    <mergeCell ref="S73:T73"/>
    <mergeCell ref="U73:V73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AF73:AG73"/>
    <mergeCell ref="AH73:AH74"/>
    <mergeCell ref="K105:AA105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Y106:Z106"/>
    <mergeCell ref="AA106:AA107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AH135"/>
  <sheetViews>
    <sheetView zoomScale="80" zoomScaleNormal="80" workbookViewId="0">
      <selection activeCell="A2" sqref="A2:AC37"/>
    </sheetView>
  </sheetViews>
  <sheetFormatPr defaultRowHeight="15"/>
  <cols>
    <col min="1" max="1" width="23.140625" customWidth="1"/>
    <col min="2" max="2" width="13.85546875" bestFit="1" customWidth="1"/>
    <col min="3" max="3" width="13.7109375" bestFit="1" customWidth="1"/>
    <col min="4" max="4" width="13.28515625" customWidth="1"/>
    <col min="5" max="5" width="13.42578125" bestFit="1" customWidth="1"/>
    <col min="6" max="6" width="13.85546875" bestFit="1" customWidth="1"/>
    <col min="7" max="7" width="19.7109375" bestFit="1" customWidth="1"/>
    <col min="8" max="8" width="11.5703125" bestFit="1" customWidth="1"/>
    <col min="9" max="9" width="15.7109375" bestFit="1" customWidth="1"/>
    <col min="10" max="10" width="13.140625" customWidth="1"/>
    <col min="11" max="11" width="20.42578125" bestFit="1" customWidth="1"/>
    <col min="12" max="14" width="20.28515625" customWidth="1"/>
    <col min="15" max="15" width="15.140625" bestFit="1" customWidth="1"/>
    <col min="16" max="16" width="10.5703125" bestFit="1" customWidth="1"/>
    <col min="17" max="17" width="11.5703125" bestFit="1" customWidth="1"/>
    <col min="18" max="18" width="21.7109375" style="20" customWidth="1"/>
    <col min="19" max="19" width="13.7109375" customWidth="1"/>
    <col min="20" max="20" width="13.5703125" customWidth="1"/>
    <col min="21" max="21" width="12.85546875" customWidth="1"/>
    <col min="22" max="22" width="16.5703125" customWidth="1"/>
    <col min="23" max="23" width="13.85546875" customWidth="1"/>
    <col min="24" max="24" width="16.7109375" customWidth="1"/>
    <col min="25" max="25" width="12.7109375" customWidth="1"/>
    <col min="26" max="26" width="14.28515625" customWidth="1"/>
    <col min="27" max="27" width="13.42578125" customWidth="1"/>
    <col min="28" max="28" width="16.28515625" customWidth="1"/>
    <col min="29" max="32" width="11.28515625" customWidth="1"/>
    <col min="33" max="33" width="12.85546875" customWidth="1"/>
    <col min="34" max="34" width="15.140625" bestFit="1" customWidth="1"/>
  </cols>
  <sheetData>
    <row r="2" spans="1:34" ht="46.5">
      <c r="A2" s="292" t="s">
        <v>73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4"/>
      <c r="R2" s="292" t="s">
        <v>75</v>
      </c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4"/>
    </row>
    <row r="3" spans="1:34" ht="21.75" customHeight="1">
      <c r="A3" s="290" t="s">
        <v>33</v>
      </c>
      <c r="B3" s="287" t="s">
        <v>27</v>
      </c>
      <c r="C3" s="288"/>
      <c r="D3" s="287" t="s">
        <v>29</v>
      </c>
      <c r="E3" s="288"/>
      <c r="F3" s="285" t="s">
        <v>28</v>
      </c>
      <c r="G3" s="285" t="s">
        <v>36</v>
      </c>
      <c r="H3" s="285" t="s">
        <v>30</v>
      </c>
      <c r="I3" s="285" t="s">
        <v>31</v>
      </c>
      <c r="J3" s="285" t="s">
        <v>41</v>
      </c>
      <c r="K3" s="285" t="s">
        <v>35</v>
      </c>
      <c r="L3" s="285" t="s">
        <v>40</v>
      </c>
      <c r="M3" s="285" t="s">
        <v>42</v>
      </c>
      <c r="N3" s="285" t="s">
        <v>45</v>
      </c>
      <c r="O3" s="285" t="s">
        <v>34</v>
      </c>
      <c r="R3" s="290" t="s">
        <v>33</v>
      </c>
      <c r="S3" s="287" t="s">
        <v>27</v>
      </c>
      <c r="T3" s="288"/>
      <c r="U3" s="287" t="s">
        <v>29</v>
      </c>
      <c r="V3" s="288"/>
      <c r="W3" s="285" t="s">
        <v>28</v>
      </c>
      <c r="X3" s="285" t="s">
        <v>36</v>
      </c>
      <c r="Y3" s="285" t="s">
        <v>30</v>
      </c>
      <c r="Z3" s="285" t="s">
        <v>31</v>
      </c>
      <c r="AA3" s="285" t="s">
        <v>41</v>
      </c>
      <c r="AB3" s="285" t="s">
        <v>35</v>
      </c>
      <c r="AC3" s="285" t="s">
        <v>40</v>
      </c>
      <c r="AD3" s="285" t="s">
        <v>42</v>
      </c>
      <c r="AE3" s="285" t="s">
        <v>45</v>
      </c>
      <c r="AF3" s="287" t="s">
        <v>52</v>
      </c>
      <c r="AG3" s="288"/>
      <c r="AH3" s="285" t="s">
        <v>34</v>
      </c>
    </row>
    <row r="4" spans="1:34" ht="30">
      <c r="A4" s="291"/>
      <c r="B4" s="56" t="s">
        <v>43</v>
      </c>
      <c r="C4" s="56" t="s">
        <v>44</v>
      </c>
      <c r="D4" s="56" t="s">
        <v>43</v>
      </c>
      <c r="E4" s="56" t="s">
        <v>44</v>
      </c>
      <c r="F4" s="286"/>
      <c r="G4" s="286"/>
      <c r="H4" s="286"/>
      <c r="I4" s="286"/>
      <c r="J4" s="286"/>
      <c r="K4" s="286"/>
      <c r="L4" s="286"/>
      <c r="M4" s="286"/>
      <c r="N4" s="286"/>
      <c r="O4" s="286"/>
      <c r="R4" s="291"/>
      <c r="S4" s="56" t="s">
        <v>43</v>
      </c>
      <c r="T4" s="56" t="s">
        <v>44</v>
      </c>
      <c r="U4" s="56" t="s">
        <v>43</v>
      </c>
      <c r="V4" s="56" t="s">
        <v>44</v>
      </c>
      <c r="W4" s="286"/>
      <c r="X4" s="286"/>
      <c r="Y4" s="286"/>
      <c r="Z4" s="286"/>
      <c r="AA4" s="286"/>
      <c r="AB4" s="286"/>
      <c r="AC4" s="286"/>
      <c r="AD4" s="286"/>
      <c r="AE4" s="286"/>
      <c r="AF4" s="55" t="s">
        <v>53</v>
      </c>
      <c r="AG4" s="55" t="s">
        <v>54</v>
      </c>
      <c r="AH4" s="286"/>
    </row>
    <row r="5" spans="1:34">
      <c r="A5" s="1" t="s">
        <v>0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P5" s="15"/>
      <c r="R5" s="1" t="s">
        <v>0</v>
      </c>
      <c r="S5" s="35">
        <f>S75*0.8</f>
        <v>0</v>
      </c>
      <c r="T5" s="35">
        <f t="shared" ref="T5:AG20" si="0">T75*0.8</f>
        <v>0</v>
      </c>
      <c r="U5" s="35">
        <f t="shared" si="0"/>
        <v>0</v>
      </c>
      <c r="V5" s="35">
        <f t="shared" si="0"/>
        <v>0</v>
      </c>
      <c r="W5" s="35">
        <f t="shared" si="0"/>
        <v>0</v>
      </c>
      <c r="X5" s="35">
        <f t="shared" si="0"/>
        <v>0</v>
      </c>
      <c r="Y5" s="35">
        <f t="shared" si="0"/>
        <v>0</v>
      </c>
      <c r="Z5" s="35">
        <f t="shared" si="0"/>
        <v>0</v>
      </c>
      <c r="AA5" s="35">
        <f t="shared" si="0"/>
        <v>0</v>
      </c>
      <c r="AB5" s="35">
        <f t="shared" si="0"/>
        <v>0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0</v>
      </c>
    </row>
    <row r="6" spans="1:34">
      <c r="A6" s="1" t="s">
        <v>1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P6" s="15"/>
      <c r="R6" s="1" t="s">
        <v>1</v>
      </c>
      <c r="S6" s="35">
        <f t="shared" ref="S6:AG21" si="2">S76*0.8</f>
        <v>0</v>
      </c>
      <c r="T6" s="35">
        <f t="shared" si="2"/>
        <v>0</v>
      </c>
      <c r="U6" s="35">
        <f t="shared" si="2"/>
        <v>0</v>
      </c>
      <c r="V6" s="35">
        <f t="shared" si="2"/>
        <v>0</v>
      </c>
      <c r="W6" s="35">
        <f t="shared" si="2"/>
        <v>0</v>
      </c>
      <c r="X6" s="35">
        <f t="shared" si="2"/>
        <v>0</v>
      </c>
      <c r="Y6" s="35">
        <f t="shared" si="2"/>
        <v>0</v>
      </c>
      <c r="Z6" s="35">
        <f t="shared" si="2"/>
        <v>0</v>
      </c>
      <c r="AA6" s="35">
        <f t="shared" si="2"/>
        <v>0</v>
      </c>
      <c r="AB6" s="35">
        <f t="shared" si="2"/>
        <v>0</v>
      </c>
      <c r="AC6" s="35">
        <f t="shared" si="2"/>
        <v>0</v>
      </c>
      <c r="AD6" s="35">
        <f t="shared" si="2"/>
        <v>0</v>
      </c>
      <c r="AE6" s="35">
        <f t="shared" si="2"/>
        <v>0</v>
      </c>
      <c r="AF6" s="35">
        <f t="shared" si="0"/>
        <v>0</v>
      </c>
      <c r="AG6" s="35">
        <f t="shared" si="0"/>
        <v>0</v>
      </c>
      <c r="AH6" s="4">
        <f t="shared" ref="AH6:AH31" si="3">SUM(S6:AG6)</f>
        <v>0</v>
      </c>
    </row>
    <row r="7" spans="1:34">
      <c r="A7" s="18" t="s">
        <v>2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P7" s="15"/>
      <c r="R7" s="18" t="s">
        <v>2</v>
      </c>
      <c r="S7" s="35">
        <f t="shared" si="2"/>
        <v>0</v>
      </c>
      <c r="T7" s="35">
        <f t="shared" si="2"/>
        <v>0</v>
      </c>
      <c r="U7" s="35">
        <f t="shared" si="2"/>
        <v>0</v>
      </c>
      <c r="V7" s="35">
        <f t="shared" si="2"/>
        <v>0</v>
      </c>
      <c r="W7" s="35">
        <f t="shared" si="2"/>
        <v>0</v>
      </c>
      <c r="X7" s="35">
        <f t="shared" si="2"/>
        <v>0</v>
      </c>
      <c r="Y7" s="35">
        <f t="shared" si="2"/>
        <v>0</v>
      </c>
      <c r="Z7" s="35">
        <f t="shared" si="2"/>
        <v>0</v>
      </c>
      <c r="AA7" s="35">
        <f t="shared" si="2"/>
        <v>0</v>
      </c>
      <c r="AB7" s="35">
        <f t="shared" si="2"/>
        <v>0</v>
      </c>
      <c r="AC7" s="35">
        <f t="shared" si="2"/>
        <v>0</v>
      </c>
      <c r="AD7" s="35">
        <f t="shared" si="2"/>
        <v>0</v>
      </c>
      <c r="AE7" s="35">
        <f t="shared" si="2"/>
        <v>0</v>
      </c>
      <c r="AF7" s="35">
        <f t="shared" si="0"/>
        <v>0</v>
      </c>
      <c r="AG7" s="35">
        <f t="shared" si="0"/>
        <v>0</v>
      </c>
      <c r="AH7" s="4">
        <f t="shared" si="3"/>
        <v>0</v>
      </c>
    </row>
    <row r="8" spans="1:34">
      <c r="A8" s="2" t="s">
        <v>3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P8" s="15"/>
      <c r="R8" s="2" t="s">
        <v>3</v>
      </c>
      <c r="S8" s="35">
        <f t="shared" si="2"/>
        <v>0</v>
      </c>
      <c r="T8" s="35">
        <f t="shared" si="2"/>
        <v>0</v>
      </c>
      <c r="U8" s="35">
        <f t="shared" si="2"/>
        <v>0</v>
      </c>
      <c r="V8" s="35">
        <f t="shared" si="2"/>
        <v>0</v>
      </c>
      <c r="W8" s="35">
        <f t="shared" si="2"/>
        <v>0</v>
      </c>
      <c r="X8" s="35">
        <f t="shared" si="2"/>
        <v>0</v>
      </c>
      <c r="Y8" s="35">
        <f t="shared" si="2"/>
        <v>0</v>
      </c>
      <c r="Z8" s="35">
        <f t="shared" si="2"/>
        <v>0</v>
      </c>
      <c r="AA8" s="35">
        <f t="shared" si="2"/>
        <v>0</v>
      </c>
      <c r="AB8" s="35">
        <f t="shared" si="2"/>
        <v>0</v>
      </c>
      <c r="AC8" s="35">
        <f t="shared" si="2"/>
        <v>0</v>
      </c>
      <c r="AD8" s="35">
        <f t="shared" si="2"/>
        <v>0</v>
      </c>
      <c r="AE8" s="35">
        <f t="shared" si="2"/>
        <v>0</v>
      </c>
      <c r="AF8" s="35">
        <f>AF78</f>
        <v>0</v>
      </c>
      <c r="AG8" s="35">
        <f>AG78</f>
        <v>0</v>
      </c>
      <c r="AH8" s="4">
        <f t="shared" si="3"/>
        <v>0</v>
      </c>
    </row>
    <row r="9" spans="1:34">
      <c r="A9" s="1" t="s">
        <v>4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P9" s="15"/>
      <c r="R9" s="1" t="s">
        <v>4</v>
      </c>
      <c r="S9" s="35">
        <f t="shared" si="2"/>
        <v>0</v>
      </c>
      <c r="T9" s="35">
        <f t="shared" si="2"/>
        <v>0</v>
      </c>
      <c r="U9" s="35">
        <f t="shared" si="2"/>
        <v>0</v>
      </c>
      <c r="V9" s="35">
        <f t="shared" si="2"/>
        <v>0</v>
      </c>
      <c r="W9" s="35">
        <f t="shared" si="2"/>
        <v>0</v>
      </c>
      <c r="X9" s="35">
        <f t="shared" si="2"/>
        <v>0</v>
      </c>
      <c r="Y9" s="35">
        <f t="shared" si="2"/>
        <v>0</v>
      </c>
      <c r="Z9" s="35">
        <f t="shared" si="2"/>
        <v>0</v>
      </c>
      <c r="AA9" s="35">
        <f t="shared" si="2"/>
        <v>0</v>
      </c>
      <c r="AB9" s="35">
        <f t="shared" si="2"/>
        <v>0</v>
      </c>
      <c r="AC9" s="35">
        <f t="shared" si="2"/>
        <v>0</v>
      </c>
      <c r="AD9" s="35">
        <f t="shared" si="2"/>
        <v>0</v>
      </c>
      <c r="AE9" s="35">
        <f t="shared" si="2"/>
        <v>0</v>
      </c>
      <c r="AF9" s="35">
        <f t="shared" si="0"/>
        <v>0</v>
      </c>
      <c r="AG9" s="35">
        <f t="shared" si="0"/>
        <v>0</v>
      </c>
      <c r="AH9" s="4">
        <f t="shared" si="3"/>
        <v>0</v>
      </c>
    </row>
    <row r="10" spans="1:34">
      <c r="A10" s="1" t="s">
        <v>5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P10" s="15"/>
      <c r="R10" s="1" t="s">
        <v>5</v>
      </c>
      <c r="S10" s="35">
        <f t="shared" si="2"/>
        <v>0</v>
      </c>
      <c r="T10" s="35">
        <f t="shared" si="2"/>
        <v>0</v>
      </c>
      <c r="U10" s="35">
        <f t="shared" si="2"/>
        <v>0</v>
      </c>
      <c r="V10" s="35">
        <f t="shared" si="2"/>
        <v>0</v>
      </c>
      <c r="W10" s="35">
        <f t="shared" si="2"/>
        <v>0</v>
      </c>
      <c r="X10" s="35">
        <f t="shared" si="2"/>
        <v>0</v>
      </c>
      <c r="Y10" s="35">
        <f t="shared" si="2"/>
        <v>0</v>
      </c>
      <c r="Z10" s="35">
        <f t="shared" si="2"/>
        <v>0</v>
      </c>
      <c r="AA10" s="35">
        <f t="shared" si="2"/>
        <v>0</v>
      </c>
      <c r="AB10" s="35">
        <f t="shared" si="2"/>
        <v>0</v>
      </c>
      <c r="AC10" s="35">
        <f t="shared" si="2"/>
        <v>0</v>
      </c>
      <c r="AD10" s="35">
        <f t="shared" si="2"/>
        <v>0</v>
      </c>
      <c r="AE10" s="35">
        <f t="shared" si="2"/>
        <v>0</v>
      </c>
      <c r="AF10" s="35">
        <f t="shared" si="0"/>
        <v>0</v>
      </c>
      <c r="AG10" s="35">
        <f t="shared" si="0"/>
        <v>0</v>
      </c>
      <c r="AH10" s="4">
        <f t="shared" si="3"/>
        <v>0</v>
      </c>
    </row>
    <row r="11" spans="1:34">
      <c r="A11" s="1" t="s">
        <v>6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0</v>
      </c>
      <c r="P11" s="15"/>
      <c r="R11" s="1" t="s">
        <v>6</v>
      </c>
      <c r="S11" s="35">
        <f t="shared" si="2"/>
        <v>0</v>
      </c>
      <c r="T11" s="35">
        <f t="shared" si="2"/>
        <v>0</v>
      </c>
      <c r="U11" s="35">
        <f t="shared" si="2"/>
        <v>0</v>
      </c>
      <c r="V11" s="35">
        <f t="shared" si="2"/>
        <v>0</v>
      </c>
      <c r="W11" s="35">
        <f t="shared" si="2"/>
        <v>0</v>
      </c>
      <c r="X11" s="35">
        <f t="shared" si="2"/>
        <v>0</v>
      </c>
      <c r="Y11" s="35">
        <f t="shared" si="2"/>
        <v>0</v>
      </c>
      <c r="Z11" s="35">
        <f t="shared" si="2"/>
        <v>0</v>
      </c>
      <c r="AA11" s="35">
        <f t="shared" si="2"/>
        <v>0</v>
      </c>
      <c r="AB11" s="35">
        <f t="shared" si="2"/>
        <v>0</v>
      </c>
      <c r="AC11" s="35">
        <f t="shared" si="2"/>
        <v>0</v>
      </c>
      <c r="AD11" s="35">
        <f t="shared" si="2"/>
        <v>0</v>
      </c>
      <c r="AE11" s="35">
        <f t="shared" si="2"/>
        <v>0</v>
      </c>
      <c r="AF11" s="35">
        <f t="shared" si="0"/>
        <v>0</v>
      </c>
      <c r="AG11" s="35">
        <f t="shared" si="0"/>
        <v>0</v>
      </c>
      <c r="AH11" s="4">
        <f t="shared" si="3"/>
        <v>0</v>
      </c>
    </row>
    <row r="12" spans="1:34">
      <c r="A12" s="1" t="s">
        <v>7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P12" s="15"/>
      <c r="R12" s="1" t="s">
        <v>7</v>
      </c>
      <c r="S12" s="35">
        <f t="shared" si="2"/>
        <v>0</v>
      </c>
      <c r="T12" s="35">
        <f t="shared" si="2"/>
        <v>0</v>
      </c>
      <c r="U12" s="35">
        <f t="shared" si="2"/>
        <v>0</v>
      </c>
      <c r="V12" s="35">
        <f t="shared" si="2"/>
        <v>0</v>
      </c>
      <c r="W12" s="35">
        <f t="shared" si="2"/>
        <v>0</v>
      </c>
      <c r="X12" s="35">
        <f t="shared" si="2"/>
        <v>0</v>
      </c>
      <c r="Y12" s="35">
        <f t="shared" si="2"/>
        <v>0</v>
      </c>
      <c r="Z12" s="35">
        <f t="shared" si="2"/>
        <v>0</v>
      </c>
      <c r="AA12" s="35">
        <f t="shared" si="2"/>
        <v>0</v>
      </c>
      <c r="AB12" s="35">
        <f t="shared" si="2"/>
        <v>0</v>
      </c>
      <c r="AC12" s="35">
        <f t="shared" si="2"/>
        <v>0</v>
      </c>
      <c r="AD12" s="35">
        <f t="shared" si="2"/>
        <v>0</v>
      </c>
      <c r="AE12" s="35">
        <f t="shared" si="2"/>
        <v>0</v>
      </c>
      <c r="AF12" s="35">
        <f t="shared" si="0"/>
        <v>0</v>
      </c>
      <c r="AG12" s="35">
        <f t="shared" si="0"/>
        <v>0</v>
      </c>
      <c r="AH12" s="4">
        <f t="shared" si="3"/>
        <v>0</v>
      </c>
    </row>
    <row r="13" spans="1:34">
      <c r="A13" s="1" t="s">
        <v>8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P13" s="15"/>
      <c r="R13" s="1" t="s">
        <v>8</v>
      </c>
      <c r="S13" s="35">
        <f t="shared" si="2"/>
        <v>0</v>
      </c>
      <c r="T13" s="35">
        <f t="shared" si="2"/>
        <v>0</v>
      </c>
      <c r="U13" s="35">
        <f t="shared" si="2"/>
        <v>0</v>
      </c>
      <c r="V13" s="35">
        <f t="shared" si="2"/>
        <v>0</v>
      </c>
      <c r="W13" s="35">
        <f t="shared" si="2"/>
        <v>0</v>
      </c>
      <c r="X13" s="35">
        <f t="shared" si="2"/>
        <v>0</v>
      </c>
      <c r="Y13" s="35">
        <f t="shared" si="2"/>
        <v>0</v>
      </c>
      <c r="Z13" s="35">
        <f t="shared" si="2"/>
        <v>0</v>
      </c>
      <c r="AA13" s="35">
        <f t="shared" si="2"/>
        <v>0</v>
      </c>
      <c r="AB13" s="35">
        <f t="shared" si="2"/>
        <v>0</v>
      </c>
      <c r="AC13" s="35">
        <f t="shared" si="2"/>
        <v>0</v>
      </c>
      <c r="AD13" s="35">
        <f t="shared" si="2"/>
        <v>0</v>
      </c>
      <c r="AE13" s="35">
        <f t="shared" si="2"/>
        <v>0</v>
      </c>
      <c r="AF13" s="35">
        <f t="shared" si="0"/>
        <v>0</v>
      </c>
      <c r="AG13" s="35">
        <f t="shared" si="0"/>
        <v>0</v>
      </c>
      <c r="AH13" s="4">
        <f t="shared" si="3"/>
        <v>0</v>
      </c>
    </row>
    <row r="14" spans="1:34">
      <c r="A14" s="2" t="s">
        <v>9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P14" s="15"/>
      <c r="R14" s="2" t="s">
        <v>9</v>
      </c>
      <c r="S14" s="35">
        <f t="shared" si="2"/>
        <v>0</v>
      </c>
      <c r="T14" s="35">
        <f t="shared" si="2"/>
        <v>0</v>
      </c>
      <c r="U14" s="35">
        <f t="shared" si="2"/>
        <v>0</v>
      </c>
      <c r="V14" s="35">
        <f t="shared" si="2"/>
        <v>0</v>
      </c>
      <c r="W14" s="35">
        <f t="shared" si="2"/>
        <v>0</v>
      </c>
      <c r="X14" s="35">
        <f t="shared" si="2"/>
        <v>0</v>
      </c>
      <c r="Y14" s="35">
        <f t="shared" si="2"/>
        <v>0</v>
      </c>
      <c r="Z14" s="35">
        <f t="shared" si="2"/>
        <v>0</v>
      </c>
      <c r="AA14" s="35">
        <f t="shared" si="2"/>
        <v>0</v>
      </c>
      <c r="AB14" s="35">
        <f t="shared" si="2"/>
        <v>0</v>
      </c>
      <c r="AC14" s="35">
        <f t="shared" si="2"/>
        <v>0</v>
      </c>
      <c r="AD14" s="35">
        <f t="shared" si="2"/>
        <v>0</v>
      </c>
      <c r="AE14" s="35">
        <f t="shared" si="2"/>
        <v>0</v>
      </c>
      <c r="AF14" s="35">
        <f t="shared" si="0"/>
        <v>0</v>
      </c>
      <c r="AG14" s="35">
        <f t="shared" si="0"/>
        <v>0</v>
      </c>
      <c r="AH14" s="4">
        <f t="shared" si="3"/>
        <v>0</v>
      </c>
    </row>
    <row r="15" spans="1:34">
      <c r="A15" s="18" t="s">
        <v>10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0</v>
      </c>
      <c r="P15" s="15"/>
      <c r="R15" s="18" t="s">
        <v>10</v>
      </c>
      <c r="S15" s="35">
        <f t="shared" si="2"/>
        <v>0</v>
      </c>
      <c r="T15" s="35">
        <f t="shared" si="2"/>
        <v>0</v>
      </c>
      <c r="U15" s="35">
        <f t="shared" si="2"/>
        <v>0</v>
      </c>
      <c r="V15" s="35">
        <f t="shared" si="2"/>
        <v>0</v>
      </c>
      <c r="W15" s="35">
        <f t="shared" si="2"/>
        <v>0</v>
      </c>
      <c r="X15" s="35">
        <f t="shared" si="2"/>
        <v>0</v>
      </c>
      <c r="Y15" s="35">
        <f t="shared" si="2"/>
        <v>0</v>
      </c>
      <c r="Z15" s="35">
        <f t="shared" si="2"/>
        <v>0</v>
      </c>
      <c r="AA15" s="35">
        <f t="shared" si="2"/>
        <v>0</v>
      </c>
      <c r="AB15" s="35">
        <f t="shared" si="2"/>
        <v>0</v>
      </c>
      <c r="AC15" s="35">
        <f t="shared" si="2"/>
        <v>0</v>
      </c>
      <c r="AD15" s="35">
        <f t="shared" si="2"/>
        <v>0</v>
      </c>
      <c r="AE15" s="35">
        <f t="shared" si="2"/>
        <v>0</v>
      </c>
      <c r="AF15" s="35">
        <f t="shared" si="0"/>
        <v>0</v>
      </c>
      <c r="AG15" s="35">
        <f t="shared" si="0"/>
        <v>0</v>
      </c>
      <c r="AH15" s="4">
        <f t="shared" si="3"/>
        <v>0</v>
      </c>
    </row>
    <row r="16" spans="1:34">
      <c r="A16" s="1" t="s">
        <v>11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P16" s="15"/>
      <c r="R16" s="1" t="s">
        <v>11</v>
      </c>
      <c r="S16" s="35">
        <f t="shared" si="2"/>
        <v>0</v>
      </c>
      <c r="T16" s="35">
        <f t="shared" si="2"/>
        <v>0</v>
      </c>
      <c r="U16" s="35">
        <f t="shared" si="2"/>
        <v>0</v>
      </c>
      <c r="V16" s="35">
        <f t="shared" si="2"/>
        <v>0</v>
      </c>
      <c r="W16" s="35">
        <f t="shared" si="2"/>
        <v>0</v>
      </c>
      <c r="X16" s="35">
        <f t="shared" si="2"/>
        <v>0</v>
      </c>
      <c r="Y16" s="35">
        <f t="shared" si="2"/>
        <v>0</v>
      </c>
      <c r="Z16" s="35">
        <f t="shared" si="2"/>
        <v>0</v>
      </c>
      <c r="AA16" s="35">
        <f t="shared" si="2"/>
        <v>0</v>
      </c>
      <c r="AB16" s="35">
        <f t="shared" si="2"/>
        <v>0</v>
      </c>
      <c r="AC16" s="35">
        <f t="shared" si="2"/>
        <v>0</v>
      </c>
      <c r="AD16" s="35">
        <f t="shared" si="2"/>
        <v>0</v>
      </c>
      <c r="AE16" s="35">
        <f t="shared" si="2"/>
        <v>0</v>
      </c>
      <c r="AF16" s="35">
        <f t="shared" si="0"/>
        <v>0</v>
      </c>
      <c r="AG16" s="35">
        <f t="shared" si="0"/>
        <v>0</v>
      </c>
      <c r="AH16" s="4">
        <f t="shared" si="3"/>
        <v>0</v>
      </c>
    </row>
    <row r="17" spans="1:34">
      <c r="A17" s="1" t="s">
        <v>12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0</v>
      </c>
      <c r="P17" s="15"/>
      <c r="R17" s="1" t="s">
        <v>12</v>
      </c>
      <c r="S17" s="35">
        <f t="shared" si="2"/>
        <v>0</v>
      </c>
      <c r="T17" s="35">
        <f t="shared" si="2"/>
        <v>0</v>
      </c>
      <c r="U17" s="35">
        <f t="shared" si="2"/>
        <v>0</v>
      </c>
      <c r="V17" s="35">
        <f t="shared" si="2"/>
        <v>0</v>
      </c>
      <c r="W17" s="35">
        <f t="shared" si="2"/>
        <v>0</v>
      </c>
      <c r="X17" s="35">
        <f t="shared" si="2"/>
        <v>0</v>
      </c>
      <c r="Y17" s="35">
        <f t="shared" si="2"/>
        <v>0</v>
      </c>
      <c r="Z17" s="35">
        <f t="shared" si="2"/>
        <v>0</v>
      </c>
      <c r="AA17" s="35">
        <f t="shared" si="2"/>
        <v>0</v>
      </c>
      <c r="AB17" s="35">
        <f t="shared" si="2"/>
        <v>0</v>
      </c>
      <c r="AC17" s="35">
        <f t="shared" si="2"/>
        <v>0</v>
      </c>
      <c r="AD17" s="35">
        <f t="shared" si="2"/>
        <v>0</v>
      </c>
      <c r="AE17" s="35">
        <f t="shared" si="2"/>
        <v>0</v>
      </c>
      <c r="AF17" s="35">
        <f t="shared" si="0"/>
        <v>0</v>
      </c>
      <c r="AG17" s="35">
        <f t="shared" si="0"/>
        <v>0</v>
      </c>
      <c r="AH17" s="4">
        <f t="shared" si="3"/>
        <v>0</v>
      </c>
    </row>
    <row r="18" spans="1:34">
      <c r="A18" s="1" t="s">
        <v>15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P18" s="15"/>
      <c r="R18" s="1" t="s">
        <v>15</v>
      </c>
      <c r="S18" s="35">
        <f t="shared" si="2"/>
        <v>0</v>
      </c>
      <c r="T18" s="35">
        <f t="shared" si="2"/>
        <v>0</v>
      </c>
      <c r="U18" s="35">
        <f t="shared" si="2"/>
        <v>0</v>
      </c>
      <c r="V18" s="35">
        <f t="shared" si="2"/>
        <v>0</v>
      </c>
      <c r="W18" s="35">
        <f t="shared" si="2"/>
        <v>0</v>
      </c>
      <c r="X18" s="35">
        <f t="shared" si="2"/>
        <v>0</v>
      </c>
      <c r="Y18" s="35">
        <f t="shared" si="2"/>
        <v>0</v>
      </c>
      <c r="Z18" s="35">
        <f t="shared" si="2"/>
        <v>0</v>
      </c>
      <c r="AA18" s="35">
        <f t="shared" si="2"/>
        <v>0</v>
      </c>
      <c r="AB18" s="35">
        <f t="shared" si="2"/>
        <v>0</v>
      </c>
      <c r="AC18" s="35">
        <f t="shared" si="2"/>
        <v>0</v>
      </c>
      <c r="AD18" s="35">
        <f t="shared" si="2"/>
        <v>0</v>
      </c>
      <c r="AE18" s="35">
        <f t="shared" si="2"/>
        <v>0</v>
      </c>
      <c r="AF18" s="35">
        <f t="shared" si="0"/>
        <v>0</v>
      </c>
      <c r="AG18" s="35">
        <f t="shared" si="0"/>
        <v>0</v>
      </c>
      <c r="AH18" s="4">
        <f t="shared" si="3"/>
        <v>0</v>
      </c>
    </row>
    <row r="19" spans="1:34">
      <c r="A19" s="1" t="s">
        <v>14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0</v>
      </c>
      <c r="P19" s="15"/>
      <c r="R19" s="1" t="s">
        <v>14</v>
      </c>
      <c r="S19" s="35">
        <f t="shared" si="2"/>
        <v>0</v>
      </c>
      <c r="T19" s="35">
        <f t="shared" si="2"/>
        <v>0</v>
      </c>
      <c r="U19" s="35">
        <f t="shared" si="2"/>
        <v>0</v>
      </c>
      <c r="V19" s="35">
        <f t="shared" si="2"/>
        <v>0</v>
      </c>
      <c r="W19" s="35">
        <f t="shared" si="2"/>
        <v>0</v>
      </c>
      <c r="X19" s="35">
        <f t="shared" si="2"/>
        <v>0</v>
      </c>
      <c r="Y19" s="35">
        <f t="shared" si="2"/>
        <v>0</v>
      </c>
      <c r="Z19" s="35">
        <f t="shared" si="2"/>
        <v>0</v>
      </c>
      <c r="AA19" s="35">
        <f t="shared" si="2"/>
        <v>0</v>
      </c>
      <c r="AB19" s="35">
        <f t="shared" si="2"/>
        <v>0</v>
      </c>
      <c r="AC19" s="35">
        <f t="shared" si="2"/>
        <v>0</v>
      </c>
      <c r="AD19" s="35">
        <f t="shared" si="2"/>
        <v>0</v>
      </c>
      <c r="AE19" s="35">
        <f t="shared" si="2"/>
        <v>0</v>
      </c>
      <c r="AF19" s="35">
        <f t="shared" si="0"/>
        <v>0</v>
      </c>
      <c r="AG19" s="35">
        <f t="shared" si="0"/>
        <v>0</v>
      </c>
      <c r="AH19" s="4">
        <f t="shared" si="3"/>
        <v>0</v>
      </c>
    </row>
    <row r="20" spans="1:34">
      <c r="A20" s="18" t="s">
        <v>13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P20" s="15"/>
      <c r="R20" s="18" t="s">
        <v>13</v>
      </c>
      <c r="S20" s="35">
        <f t="shared" si="2"/>
        <v>0</v>
      </c>
      <c r="T20" s="35">
        <f t="shared" si="2"/>
        <v>0</v>
      </c>
      <c r="U20" s="35">
        <f t="shared" si="2"/>
        <v>0</v>
      </c>
      <c r="V20" s="35">
        <f t="shared" si="2"/>
        <v>0</v>
      </c>
      <c r="W20" s="35">
        <f t="shared" si="2"/>
        <v>0</v>
      </c>
      <c r="X20" s="35">
        <f t="shared" si="2"/>
        <v>0</v>
      </c>
      <c r="Y20" s="35">
        <f t="shared" si="2"/>
        <v>0</v>
      </c>
      <c r="Z20" s="35">
        <f t="shared" si="2"/>
        <v>0</v>
      </c>
      <c r="AA20" s="35">
        <f t="shared" si="2"/>
        <v>0</v>
      </c>
      <c r="AB20" s="35">
        <f t="shared" si="2"/>
        <v>0</v>
      </c>
      <c r="AC20" s="35">
        <f t="shared" si="2"/>
        <v>0</v>
      </c>
      <c r="AD20" s="35">
        <f t="shared" si="2"/>
        <v>0</v>
      </c>
      <c r="AE20" s="35">
        <f t="shared" si="2"/>
        <v>0</v>
      </c>
      <c r="AF20" s="35">
        <f t="shared" si="0"/>
        <v>0</v>
      </c>
      <c r="AG20" s="35">
        <f t="shared" si="0"/>
        <v>0</v>
      </c>
      <c r="AH20" s="4">
        <f t="shared" si="3"/>
        <v>0</v>
      </c>
    </row>
    <row r="21" spans="1:34">
      <c r="A21" s="1" t="s">
        <v>16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P21" s="15"/>
      <c r="R21" s="1" t="s">
        <v>16</v>
      </c>
      <c r="S21" s="35">
        <f t="shared" si="2"/>
        <v>0</v>
      </c>
      <c r="T21" s="35">
        <f t="shared" si="2"/>
        <v>0</v>
      </c>
      <c r="U21" s="35">
        <f t="shared" si="2"/>
        <v>0</v>
      </c>
      <c r="V21" s="35">
        <f t="shared" si="2"/>
        <v>0</v>
      </c>
      <c r="W21" s="35">
        <f t="shared" si="2"/>
        <v>0</v>
      </c>
      <c r="X21" s="35">
        <f t="shared" si="2"/>
        <v>0</v>
      </c>
      <c r="Y21" s="35">
        <f t="shared" si="2"/>
        <v>0</v>
      </c>
      <c r="Z21" s="35">
        <f t="shared" si="2"/>
        <v>0</v>
      </c>
      <c r="AA21" s="35">
        <f t="shared" si="2"/>
        <v>0</v>
      </c>
      <c r="AB21" s="35">
        <f t="shared" si="2"/>
        <v>0</v>
      </c>
      <c r="AC21" s="35">
        <f t="shared" si="2"/>
        <v>0</v>
      </c>
      <c r="AD21" s="35">
        <f t="shared" si="2"/>
        <v>0</v>
      </c>
      <c r="AE21" s="35">
        <f t="shared" si="2"/>
        <v>0</v>
      </c>
      <c r="AF21" s="35">
        <f t="shared" si="2"/>
        <v>0</v>
      </c>
      <c r="AG21" s="35">
        <f t="shared" si="2"/>
        <v>0</v>
      </c>
      <c r="AH21" s="4">
        <f t="shared" si="3"/>
        <v>0</v>
      </c>
    </row>
    <row r="22" spans="1:34">
      <c r="A22" s="1" t="s">
        <v>17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P22" s="15"/>
      <c r="R22" s="1" t="s">
        <v>17</v>
      </c>
      <c r="S22" s="35">
        <f t="shared" ref="S22:AG31" si="4">S92*0.8</f>
        <v>0</v>
      </c>
      <c r="T22" s="35">
        <f t="shared" si="4"/>
        <v>0</v>
      </c>
      <c r="U22" s="35">
        <f t="shared" si="4"/>
        <v>0</v>
      </c>
      <c r="V22" s="35">
        <f t="shared" si="4"/>
        <v>0</v>
      </c>
      <c r="W22" s="35">
        <f t="shared" si="4"/>
        <v>0</v>
      </c>
      <c r="X22" s="35">
        <f t="shared" si="4"/>
        <v>0</v>
      </c>
      <c r="Y22" s="35">
        <f t="shared" si="4"/>
        <v>0</v>
      </c>
      <c r="Z22" s="35">
        <f t="shared" si="4"/>
        <v>0</v>
      </c>
      <c r="AA22" s="35">
        <f t="shared" si="4"/>
        <v>0</v>
      </c>
      <c r="AB22" s="35">
        <f t="shared" si="4"/>
        <v>0</v>
      </c>
      <c r="AC22" s="35">
        <f t="shared" si="4"/>
        <v>0</v>
      </c>
      <c r="AD22" s="35">
        <f t="shared" si="4"/>
        <v>0</v>
      </c>
      <c r="AE22" s="35">
        <f t="shared" si="4"/>
        <v>0</v>
      </c>
      <c r="AF22" s="35">
        <f t="shared" si="4"/>
        <v>0</v>
      </c>
      <c r="AG22" s="35">
        <f t="shared" si="4"/>
        <v>0</v>
      </c>
      <c r="AH22" s="4">
        <f t="shared" si="3"/>
        <v>0</v>
      </c>
    </row>
    <row r="23" spans="1:34">
      <c r="A23" s="1" t="s">
        <v>18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0</v>
      </c>
      <c r="P23" s="15"/>
      <c r="R23" s="1" t="s">
        <v>18</v>
      </c>
      <c r="S23" s="35">
        <f t="shared" si="4"/>
        <v>0</v>
      </c>
      <c r="T23" s="35">
        <f t="shared" si="4"/>
        <v>0</v>
      </c>
      <c r="U23" s="35">
        <f t="shared" si="4"/>
        <v>0</v>
      </c>
      <c r="V23" s="35">
        <f t="shared" si="4"/>
        <v>0</v>
      </c>
      <c r="W23" s="35">
        <f t="shared" si="4"/>
        <v>0</v>
      </c>
      <c r="X23" s="35">
        <f t="shared" si="4"/>
        <v>0</v>
      </c>
      <c r="Y23" s="35">
        <f t="shared" si="4"/>
        <v>0</v>
      </c>
      <c r="Z23" s="35">
        <f t="shared" si="4"/>
        <v>0</v>
      </c>
      <c r="AA23" s="35">
        <f t="shared" si="4"/>
        <v>0</v>
      </c>
      <c r="AB23" s="35">
        <f t="shared" si="4"/>
        <v>0</v>
      </c>
      <c r="AC23" s="35">
        <f t="shared" si="4"/>
        <v>0</v>
      </c>
      <c r="AD23" s="35">
        <f t="shared" si="4"/>
        <v>0</v>
      </c>
      <c r="AE23" s="35">
        <f t="shared" si="4"/>
        <v>0</v>
      </c>
      <c r="AF23" s="35">
        <f t="shared" si="4"/>
        <v>0</v>
      </c>
      <c r="AG23" s="35">
        <f t="shared" si="4"/>
        <v>0</v>
      </c>
      <c r="AH23" s="4">
        <f t="shared" si="3"/>
        <v>0</v>
      </c>
    </row>
    <row r="24" spans="1:34">
      <c r="A24" s="1" t="s">
        <v>20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0</v>
      </c>
      <c r="P24" s="15"/>
      <c r="R24" s="1" t="s">
        <v>20</v>
      </c>
      <c r="S24" s="35">
        <f t="shared" si="4"/>
        <v>0</v>
      </c>
      <c r="T24" s="35">
        <f t="shared" si="4"/>
        <v>0</v>
      </c>
      <c r="U24" s="35">
        <f t="shared" si="4"/>
        <v>0</v>
      </c>
      <c r="V24" s="35">
        <f t="shared" si="4"/>
        <v>0</v>
      </c>
      <c r="W24" s="35">
        <f t="shared" si="4"/>
        <v>0</v>
      </c>
      <c r="X24" s="35">
        <f t="shared" si="4"/>
        <v>0</v>
      </c>
      <c r="Y24" s="35">
        <f t="shared" si="4"/>
        <v>0</v>
      </c>
      <c r="Z24" s="35">
        <f t="shared" si="4"/>
        <v>0</v>
      </c>
      <c r="AA24" s="35">
        <f t="shared" si="4"/>
        <v>0</v>
      </c>
      <c r="AB24" s="35">
        <f t="shared" si="4"/>
        <v>0</v>
      </c>
      <c r="AC24" s="35">
        <f t="shared" si="4"/>
        <v>0</v>
      </c>
      <c r="AD24" s="35">
        <f t="shared" si="4"/>
        <v>0</v>
      </c>
      <c r="AE24" s="35">
        <f t="shared" si="4"/>
        <v>0</v>
      </c>
      <c r="AF24" s="35">
        <f t="shared" si="4"/>
        <v>0</v>
      </c>
      <c r="AG24" s="35">
        <f t="shared" si="4"/>
        <v>0</v>
      </c>
      <c r="AH24" s="4">
        <f t="shared" si="3"/>
        <v>0</v>
      </c>
    </row>
    <row r="25" spans="1:34">
      <c r="A25" s="1" t="s">
        <v>19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>SUM(B25:N25)</f>
        <v>0</v>
      </c>
      <c r="P25" s="15"/>
      <c r="R25" s="1" t="s">
        <v>19</v>
      </c>
      <c r="S25" s="35">
        <f t="shared" si="4"/>
        <v>0</v>
      </c>
      <c r="T25" s="35">
        <f t="shared" si="4"/>
        <v>0</v>
      </c>
      <c r="U25" s="35">
        <f t="shared" si="4"/>
        <v>0</v>
      </c>
      <c r="V25" s="35">
        <f t="shared" si="4"/>
        <v>0</v>
      </c>
      <c r="W25" s="35">
        <f t="shared" si="4"/>
        <v>0</v>
      </c>
      <c r="X25" s="35">
        <f t="shared" si="4"/>
        <v>0</v>
      </c>
      <c r="Y25" s="35">
        <f t="shared" si="4"/>
        <v>0</v>
      </c>
      <c r="Z25" s="35">
        <f t="shared" si="4"/>
        <v>0</v>
      </c>
      <c r="AA25" s="35">
        <f t="shared" si="4"/>
        <v>0</v>
      </c>
      <c r="AB25" s="35">
        <f t="shared" si="4"/>
        <v>0</v>
      </c>
      <c r="AC25" s="35">
        <f t="shared" si="4"/>
        <v>0</v>
      </c>
      <c r="AD25" s="35">
        <f t="shared" si="4"/>
        <v>0</v>
      </c>
      <c r="AE25" s="35">
        <f t="shared" si="4"/>
        <v>0</v>
      </c>
      <c r="AF25" s="35">
        <f t="shared" si="4"/>
        <v>0</v>
      </c>
      <c r="AG25" s="35">
        <f t="shared" si="4"/>
        <v>0</v>
      </c>
      <c r="AH25" s="4">
        <f t="shared" si="3"/>
        <v>0</v>
      </c>
    </row>
    <row r="26" spans="1:34">
      <c r="A26" s="1" t="s">
        <v>21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P26" s="15"/>
      <c r="R26" s="1" t="s">
        <v>21</v>
      </c>
      <c r="S26" s="35">
        <f t="shared" si="4"/>
        <v>0</v>
      </c>
      <c r="T26" s="35">
        <f t="shared" si="4"/>
        <v>0</v>
      </c>
      <c r="U26" s="35">
        <f t="shared" si="4"/>
        <v>0</v>
      </c>
      <c r="V26" s="35">
        <f t="shared" si="4"/>
        <v>0</v>
      </c>
      <c r="W26" s="35">
        <f t="shared" si="4"/>
        <v>0</v>
      </c>
      <c r="X26" s="35">
        <f t="shared" si="4"/>
        <v>0</v>
      </c>
      <c r="Y26" s="35">
        <f t="shared" si="4"/>
        <v>0</v>
      </c>
      <c r="Z26" s="35">
        <f t="shared" si="4"/>
        <v>0</v>
      </c>
      <c r="AA26" s="35">
        <f t="shared" si="4"/>
        <v>0</v>
      </c>
      <c r="AB26" s="35">
        <f t="shared" si="4"/>
        <v>0</v>
      </c>
      <c r="AC26" s="35">
        <f t="shared" si="4"/>
        <v>0</v>
      </c>
      <c r="AD26" s="35">
        <f t="shared" si="4"/>
        <v>0</v>
      </c>
      <c r="AE26" s="35">
        <f t="shared" si="4"/>
        <v>0</v>
      </c>
      <c r="AF26" s="35">
        <f t="shared" si="4"/>
        <v>0</v>
      </c>
      <c r="AG26" s="35">
        <f t="shared" si="4"/>
        <v>0</v>
      </c>
      <c r="AH26" s="4">
        <f t="shared" si="3"/>
        <v>0</v>
      </c>
    </row>
    <row r="27" spans="1:34">
      <c r="A27" s="2" t="s">
        <v>22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P27" s="15"/>
      <c r="R27" s="2" t="s">
        <v>22</v>
      </c>
      <c r="S27" s="35">
        <f t="shared" si="4"/>
        <v>0</v>
      </c>
      <c r="T27" s="35">
        <f t="shared" si="4"/>
        <v>0</v>
      </c>
      <c r="U27" s="35">
        <f t="shared" si="4"/>
        <v>0</v>
      </c>
      <c r="V27" s="35">
        <f t="shared" si="4"/>
        <v>0</v>
      </c>
      <c r="W27" s="35">
        <f t="shared" si="4"/>
        <v>0</v>
      </c>
      <c r="X27" s="35">
        <f t="shared" si="4"/>
        <v>0</v>
      </c>
      <c r="Y27" s="35">
        <f t="shared" si="4"/>
        <v>0</v>
      </c>
      <c r="Z27" s="35">
        <f t="shared" si="4"/>
        <v>0</v>
      </c>
      <c r="AA27" s="35">
        <f t="shared" si="4"/>
        <v>0</v>
      </c>
      <c r="AB27" s="35">
        <f t="shared" si="4"/>
        <v>0</v>
      </c>
      <c r="AC27" s="35">
        <f t="shared" si="4"/>
        <v>0</v>
      </c>
      <c r="AD27" s="35">
        <f t="shared" si="4"/>
        <v>0</v>
      </c>
      <c r="AE27" s="35">
        <f t="shared" si="4"/>
        <v>0</v>
      </c>
      <c r="AF27" s="35">
        <f t="shared" si="4"/>
        <v>0</v>
      </c>
      <c r="AG27" s="35">
        <f t="shared" si="4"/>
        <v>0</v>
      </c>
      <c r="AH27" s="4">
        <f t="shared" si="3"/>
        <v>0</v>
      </c>
    </row>
    <row r="28" spans="1:34">
      <c r="A28" s="1" t="s">
        <v>23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P28" s="15"/>
      <c r="R28" s="1" t="s">
        <v>23</v>
      </c>
      <c r="S28" s="35">
        <f t="shared" si="4"/>
        <v>0</v>
      </c>
      <c r="T28" s="35">
        <f t="shared" si="4"/>
        <v>0</v>
      </c>
      <c r="U28" s="35">
        <f t="shared" si="4"/>
        <v>0</v>
      </c>
      <c r="V28" s="35">
        <f t="shared" si="4"/>
        <v>0</v>
      </c>
      <c r="W28" s="35">
        <f t="shared" si="4"/>
        <v>0</v>
      </c>
      <c r="X28" s="35">
        <f t="shared" si="4"/>
        <v>0</v>
      </c>
      <c r="Y28" s="35">
        <f t="shared" si="4"/>
        <v>0</v>
      </c>
      <c r="Z28" s="35">
        <f t="shared" si="4"/>
        <v>0</v>
      </c>
      <c r="AA28" s="35">
        <f t="shared" si="4"/>
        <v>0</v>
      </c>
      <c r="AB28" s="35">
        <f t="shared" si="4"/>
        <v>0</v>
      </c>
      <c r="AC28" s="35">
        <f t="shared" si="4"/>
        <v>0</v>
      </c>
      <c r="AD28" s="35">
        <f t="shared" si="4"/>
        <v>0</v>
      </c>
      <c r="AE28" s="35">
        <f t="shared" si="4"/>
        <v>0</v>
      </c>
      <c r="AF28" s="35">
        <f t="shared" si="4"/>
        <v>0</v>
      </c>
      <c r="AG28" s="35">
        <f t="shared" si="4"/>
        <v>0</v>
      </c>
      <c r="AH28" s="4">
        <f t="shared" si="3"/>
        <v>0</v>
      </c>
    </row>
    <row r="29" spans="1:34">
      <c r="A29" s="1" t="s">
        <v>25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P29" s="15"/>
      <c r="R29" s="1" t="s">
        <v>25</v>
      </c>
      <c r="S29" s="35">
        <f t="shared" si="4"/>
        <v>0</v>
      </c>
      <c r="T29" s="35">
        <f t="shared" si="4"/>
        <v>0</v>
      </c>
      <c r="U29" s="35">
        <f t="shared" si="4"/>
        <v>0</v>
      </c>
      <c r="V29" s="35">
        <f t="shared" si="4"/>
        <v>0</v>
      </c>
      <c r="W29" s="35">
        <f t="shared" si="4"/>
        <v>0</v>
      </c>
      <c r="X29" s="35">
        <f t="shared" si="4"/>
        <v>0</v>
      </c>
      <c r="Y29" s="35">
        <f t="shared" si="4"/>
        <v>0</v>
      </c>
      <c r="Z29" s="35">
        <f t="shared" si="4"/>
        <v>0</v>
      </c>
      <c r="AA29" s="35">
        <f t="shared" si="4"/>
        <v>0</v>
      </c>
      <c r="AB29" s="35">
        <f t="shared" si="4"/>
        <v>0</v>
      </c>
      <c r="AC29" s="35">
        <f t="shared" si="4"/>
        <v>0</v>
      </c>
      <c r="AD29" s="35">
        <f t="shared" si="4"/>
        <v>0</v>
      </c>
      <c r="AE29" s="35">
        <f t="shared" si="4"/>
        <v>0</v>
      </c>
      <c r="AF29" s="35">
        <f>AF99</f>
        <v>0</v>
      </c>
      <c r="AG29" s="35">
        <f>AG99</f>
        <v>0</v>
      </c>
      <c r="AH29" s="4">
        <f t="shared" si="3"/>
        <v>0</v>
      </c>
    </row>
    <row r="30" spans="1:34">
      <c r="A30" s="1" t="s">
        <v>24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15"/>
      <c r="R30" s="1" t="s">
        <v>24</v>
      </c>
      <c r="S30" s="35">
        <f t="shared" si="4"/>
        <v>0</v>
      </c>
      <c r="T30" s="35">
        <f t="shared" si="4"/>
        <v>0</v>
      </c>
      <c r="U30" s="35">
        <f t="shared" si="4"/>
        <v>0</v>
      </c>
      <c r="V30" s="35">
        <f t="shared" si="4"/>
        <v>0</v>
      </c>
      <c r="W30" s="35">
        <f t="shared" si="4"/>
        <v>0</v>
      </c>
      <c r="X30" s="35">
        <f t="shared" si="4"/>
        <v>0</v>
      </c>
      <c r="Y30" s="35">
        <f t="shared" si="4"/>
        <v>0</v>
      </c>
      <c r="Z30" s="35">
        <f t="shared" si="4"/>
        <v>0</v>
      </c>
      <c r="AA30" s="35">
        <f t="shared" si="4"/>
        <v>0</v>
      </c>
      <c r="AB30" s="35">
        <f t="shared" si="4"/>
        <v>0</v>
      </c>
      <c r="AC30" s="35">
        <f t="shared" si="4"/>
        <v>0</v>
      </c>
      <c r="AD30" s="35">
        <f t="shared" si="4"/>
        <v>0</v>
      </c>
      <c r="AE30" s="35">
        <f t="shared" si="4"/>
        <v>0</v>
      </c>
      <c r="AF30" s="35">
        <f t="shared" si="4"/>
        <v>0</v>
      </c>
      <c r="AG30" s="35">
        <f t="shared" si="4"/>
        <v>0</v>
      </c>
      <c r="AH30" s="4">
        <f t="shared" si="3"/>
        <v>0</v>
      </c>
    </row>
    <row r="31" spans="1:34">
      <c r="A31" s="1" t="s">
        <v>26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P31" s="15"/>
      <c r="R31" s="1" t="s">
        <v>26</v>
      </c>
      <c r="S31" s="35">
        <f t="shared" si="4"/>
        <v>0</v>
      </c>
      <c r="T31" s="35">
        <f t="shared" si="4"/>
        <v>0</v>
      </c>
      <c r="U31" s="35">
        <f t="shared" si="4"/>
        <v>0</v>
      </c>
      <c r="V31" s="35">
        <f t="shared" si="4"/>
        <v>0</v>
      </c>
      <c r="W31" s="35">
        <f t="shared" si="4"/>
        <v>0</v>
      </c>
      <c r="X31" s="35">
        <f t="shared" si="4"/>
        <v>0</v>
      </c>
      <c r="Y31" s="35">
        <f t="shared" si="4"/>
        <v>0</v>
      </c>
      <c r="Z31" s="35">
        <f t="shared" si="4"/>
        <v>0</v>
      </c>
      <c r="AA31" s="35">
        <f t="shared" si="4"/>
        <v>0</v>
      </c>
      <c r="AB31" s="35">
        <f t="shared" si="4"/>
        <v>0</v>
      </c>
      <c r="AC31" s="35">
        <f t="shared" si="4"/>
        <v>0</v>
      </c>
      <c r="AD31" s="35">
        <f t="shared" si="4"/>
        <v>0</v>
      </c>
      <c r="AE31" s="35">
        <f t="shared" si="4"/>
        <v>0</v>
      </c>
      <c r="AF31" s="35">
        <f t="shared" si="4"/>
        <v>0</v>
      </c>
      <c r="AG31" s="35">
        <f t="shared" si="4"/>
        <v>0</v>
      </c>
      <c r="AH31" s="4">
        <f t="shared" si="3"/>
        <v>0</v>
      </c>
    </row>
    <row r="32" spans="1:34">
      <c r="A32" s="6" t="s">
        <v>37</v>
      </c>
      <c r="B32" s="7">
        <f>SUM(B5:B31)</f>
        <v>0</v>
      </c>
      <c r="C32" s="7">
        <f>SUM(C5:C31)</f>
        <v>0</v>
      </c>
      <c r="D32" s="7">
        <f>SUM(D5:D31)</f>
        <v>0</v>
      </c>
      <c r="E32" s="7">
        <f>SUM(E5:E31)</f>
        <v>0</v>
      </c>
      <c r="F32" s="7">
        <f t="shared" ref="F32:N32" si="5">SUM(F5:F31)</f>
        <v>0</v>
      </c>
      <c r="G32" s="7">
        <f t="shared" si="5"/>
        <v>0</v>
      </c>
      <c r="H32" s="7">
        <f t="shared" si="5"/>
        <v>0</v>
      </c>
      <c r="I32" s="7">
        <f t="shared" si="5"/>
        <v>0</v>
      </c>
      <c r="J32" s="7">
        <f t="shared" si="5"/>
        <v>0</v>
      </c>
      <c r="K32" s="7">
        <f t="shared" si="5"/>
        <v>0</v>
      </c>
      <c r="L32" s="7">
        <f t="shared" si="5"/>
        <v>0</v>
      </c>
      <c r="M32" s="7">
        <f t="shared" si="5"/>
        <v>0</v>
      </c>
      <c r="N32" s="7">
        <f t="shared" si="5"/>
        <v>0</v>
      </c>
      <c r="O32" s="7">
        <f>SUM(O5:O31)</f>
        <v>0</v>
      </c>
      <c r="R32" s="6" t="s">
        <v>37</v>
      </c>
      <c r="S32" s="7">
        <f>SUM(S5:S31)</f>
        <v>0</v>
      </c>
      <c r="T32" s="7">
        <f>SUM(T5:T31)</f>
        <v>0</v>
      </c>
      <c r="U32" s="7">
        <f>SUM(U5:U31)</f>
        <v>0</v>
      </c>
      <c r="V32" s="7">
        <f>SUM(V5:V31)</f>
        <v>0</v>
      </c>
      <c r="W32" s="7">
        <f t="shared" ref="W32:AG32" si="6">SUM(W5:W31)</f>
        <v>0</v>
      </c>
      <c r="X32" s="7">
        <f t="shared" si="6"/>
        <v>0</v>
      </c>
      <c r="Y32" s="7">
        <f t="shared" si="6"/>
        <v>0</v>
      </c>
      <c r="Z32" s="7">
        <f t="shared" si="6"/>
        <v>0</v>
      </c>
      <c r="AA32" s="7">
        <f t="shared" si="6"/>
        <v>0</v>
      </c>
      <c r="AB32" s="7">
        <f t="shared" si="6"/>
        <v>0</v>
      </c>
      <c r="AC32" s="7">
        <f t="shared" si="6"/>
        <v>0</v>
      </c>
      <c r="AD32" s="7">
        <f t="shared" si="6"/>
        <v>0</v>
      </c>
      <c r="AE32" s="7">
        <f t="shared" si="6"/>
        <v>0</v>
      </c>
      <c r="AF32" s="7">
        <f t="shared" si="6"/>
        <v>0</v>
      </c>
      <c r="AG32" s="7">
        <f t="shared" si="6"/>
        <v>0</v>
      </c>
      <c r="AH32" s="7">
        <f>SUM(AH5:AH31)</f>
        <v>0</v>
      </c>
    </row>
    <row r="33" spans="1:34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2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</row>
    <row r="34" spans="1:34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</row>
    <row r="35" spans="1:34">
      <c r="A35" s="31"/>
      <c r="B35" s="31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</row>
    <row r="36" spans="1:34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</row>
    <row r="37" spans="1:34" ht="46.5">
      <c r="A37" s="292" t="s">
        <v>74</v>
      </c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4"/>
      <c r="R37" s="292" t="s">
        <v>76</v>
      </c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4"/>
    </row>
    <row r="38" spans="1:34" ht="21.75" customHeight="1">
      <c r="A38" s="290" t="s">
        <v>33</v>
      </c>
      <c r="B38" s="287" t="s">
        <v>27</v>
      </c>
      <c r="C38" s="288"/>
      <c r="D38" s="287" t="s">
        <v>29</v>
      </c>
      <c r="E38" s="288"/>
      <c r="F38" s="285" t="s">
        <v>28</v>
      </c>
      <c r="G38" s="285" t="s">
        <v>36</v>
      </c>
      <c r="H38" s="285" t="s">
        <v>30</v>
      </c>
      <c r="I38" s="285" t="s">
        <v>31</v>
      </c>
      <c r="J38" s="285" t="s">
        <v>41</v>
      </c>
      <c r="K38" s="285" t="s">
        <v>35</v>
      </c>
      <c r="L38" s="285" t="s">
        <v>40</v>
      </c>
      <c r="M38" s="285" t="s">
        <v>42</v>
      </c>
      <c r="N38" s="285" t="s">
        <v>45</v>
      </c>
      <c r="O38" s="285" t="s">
        <v>34</v>
      </c>
      <c r="R38" s="290" t="s">
        <v>33</v>
      </c>
      <c r="S38" s="287" t="s">
        <v>27</v>
      </c>
      <c r="T38" s="288"/>
      <c r="U38" s="287" t="s">
        <v>29</v>
      </c>
      <c r="V38" s="288"/>
      <c r="W38" s="285" t="s">
        <v>28</v>
      </c>
      <c r="X38" s="285" t="s">
        <v>36</v>
      </c>
      <c r="Y38" s="285" t="s">
        <v>30</v>
      </c>
      <c r="Z38" s="285" t="s">
        <v>31</v>
      </c>
      <c r="AA38" s="285" t="s">
        <v>41</v>
      </c>
      <c r="AB38" s="285" t="s">
        <v>35</v>
      </c>
      <c r="AC38" s="285" t="s">
        <v>40</v>
      </c>
      <c r="AD38" s="285" t="s">
        <v>42</v>
      </c>
      <c r="AE38" s="285" t="s">
        <v>45</v>
      </c>
      <c r="AF38" s="287" t="s">
        <v>52</v>
      </c>
      <c r="AG38" s="288"/>
      <c r="AH38" s="285" t="s">
        <v>34</v>
      </c>
    </row>
    <row r="39" spans="1:34" ht="39.75" customHeight="1">
      <c r="A39" s="291"/>
      <c r="B39" s="56" t="s">
        <v>43</v>
      </c>
      <c r="C39" s="56" t="s">
        <v>44</v>
      </c>
      <c r="D39" s="56" t="s">
        <v>43</v>
      </c>
      <c r="E39" s="56" t="s">
        <v>44</v>
      </c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R39" s="291"/>
      <c r="S39" s="56" t="s">
        <v>43</v>
      </c>
      <c r="T39" s="56" t="s">
        <v>44</v>
      </c>
      <c r="U39" s="56" t="s">
        <v>43</v>
      </c>
      <c r="V39" s="56" t="s">
        <v>44</v>
      </c>
      <c r="W39" s="286"/>
      <c r="X39" s="286"/>
      <c r="Y39" s="286"/>
      <c r="Z39" s="286"/>
      <c r="AA39" s="286"/>
      <c r="AB39" s="286"/>
      <c r="AC39" s="286"/>
      <c r="AD39" s="286"/>
      <c r="AE39" s="286"/>
      <c r="AF39" s="55" t="s">
        <v>53</v>
      </c>
      <c r="AG39" s="55" t="s">
        <v>54</v>
      </c>
      <c r="AH39" s="286"/>
    </row>
    <row r="40" spans="1:34">
      <c r="A40" s="1" t="s">
        <v>0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35">
        <f>S75*0.2</f>
        <v>0</v>
      </c>
      <c r="T40" s="35">
        <f t="shared" ref="T40:AG55" si="7">T75*0.2</f>
        <v>0</v>
      </c>
      <c r="U40" s="35">
        <f t="shared" si="7"/>
        <v>0</v>
      </c>
      <c r="V40" s="35">
        <f t="shared" si="7"/>
        <v>0</v>
      </c>
      <c r="W40" s="35">
        <f t="shared" si="7"/>
        <v>0</v>
      </c>
      <c r="X40" s="35">
        <f t="shared" si="7"/>
        <v>0</v>
      </c>
      <c r="Y40" s="35">
        <f t="shared" si="7"/>
        <v>0</v>
      </c>
      <c r="Z40" s="35">
        <f t="shared" si="7"/>
        <v>0</v>
      </c>
      <c r="AA40" s="35">
        <f t="shared" si="7"/>
        <v>0</v>
      </c>
      <c r="AB40" s="35">
        <f t="shared" si="7"/>
        <v>0</v>
      </c>
      <c r="AC40" s="35">
        <f t="shared" si="7"/>
        <v>0</v>
      </c>
      <c r="AD40" s="35">
        <f t="shared" si="7"/>
        <v>0</v>
      </c>
      <c r="AE40" s="35">
        <f t="shared" si="7"/>
        <v>0</v>
      </c>
      <c r="AF40" s="35">
        <f t="shared" si="7"/>
        <v>0</v>
      </c>
      <c r="AG40" s="35">
        <f t="shared" si="7"/>
        <v>0</v>
      </c>
      <c r="AH40" s="4">
        <f>SUM(S40:AG40)</f>
        <v>0</v>
      </c>
    </row>
    <row r="41" spans="1:34">
      <c r="A41" s="1" t="s">
        <v>1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8">SUM(B41:N41)</f>
        <v>0</v>
      </c>
      <c r="R41" s="1" t="s">
        <v>1</v>
      </c>
      <c r="S41" s="35">
        <f t="shared" ref="S41:AG56" si="9">S76*0.2</f>
        <v>0</v>
      </c>
      <c r="T41" s="35">
        <f t="shared" si="9"/>
        <v>0</v>
      </c>
      <c r="U41" s="35">
        <f t="shared" si="9"/>
        <v>0</v>
      </c>
      <c r="V41" s="35">
        <f t="shared" si="9"/>
        <v>0</v>
      </c>
      <c r="W41" s="35">
        <f t="shared" si="9"/>
        <v>0</v>
      </c>
      <c r="X41" s="35">
        <f t="shared" si="9"/>
        <v>0</v>
      </c>
      <c r="Y41" s="35">
        <f t="shared" si="9"/>
        <v>0</v>
      </c>
      <c r="Z41" s="35">
        <f t="shared" si="9"/>
        <v>0</v>
      </c>
      <c r="AA41" s="35">
        <f t="shared" si="9"/>
        <v>0</v>
      </c>
      <c r="AB41" s="35">
        <f t="shared" si="9"/>
        <v>0</v>
      </c>
      <c r="AC41" s="35">
        <f t="shared" si="9"/>
        <v>0</v>
      </c>
      <c r="AD41" s="35">
        <f t="shared" si="9"/>
        <v>0</v>
      </c>
      <c r="AE41" s="35">
        <f t="shared" si="9"/>
        <v>0</v>
      </c>
      <c r="AF41" s="35">
        <f t="shared" si="7"/>
        <v>0</v>
      </c>
      <c r="AG41" s="35">
        <f t="shared" si="7"/>
        <v>0</v>
      </c>
      <c r="AH41" s="4">
        <f t="shared" ref="AH41:AH66" si="10">SUM(S41:AG41)</f>
        <v>0</v>
      </c>
    </row>
    <row r="42" spans="1:34">
      <c r="A42" s="18" t="s">
        <v>2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8"/>
        <v>0</v>
      </c>
      <c r="R42" s="18" t="s">
        <v>2</v>
      </c>
      <c r="S42" s="35">
        <f t="shared" si="9"/>
        <v>0</v>
      </c>
      <c r="T42" s="35">
        <f t="shared" si="9"/>
        <v>0</v>
      </c>
      <c r="U42" s="35">
        <f t="shared" si="9"/>
        <v>0</v>
      </c>
      <c r="V42" s="35">
        <f t="shared" si="9"/>
        <v>0</v>
      </c>
      <c r="W42" s="35">
        <f t="shared" si="9"/>
        <v>0</v>
      </c>
      <c r="X42" s="35">
        <f t="shared" si="9"/>
        <v>0</v>
      </c>
      <c r="Y42" s="35">
        <f t="shared" si="9"/>
        <v>0</v>
      </c>
      <c r="Z42" s="35">
        <f t="shared" si="9"/>
        <v>0</v>
      </c>
      <c r="AA42" s="35">
        <f t="shared" si="9"/>
        <v>0</v>
      </c>
      <c r="AB42" s="35">
        <f t="shared" si="9"/>
        <v>0</v>
      </c>
      <c r="AC42" s="35">
        <f t="shared" si="9"/>
        <v>0</v>
      </c>
      <c r="AD42" s="35">
        <f t="shared" si="9"/>
        <v>0</v>
      </c>
      <c r="AE42" s="35">
        <f t="shared" si="9"/>
        <v>0</v>
      </c>
      <c r="AF42" s="35">
        <f t="shared" si="7"/>
        <v>0</v>
      </c>
      <c r="AG42" s="35">
        <f t="shared" si="7"/>
        <v>0</v>
      </c>
      <c r="AH42" s="4">
        <f t="shared" si="10"/>
        <v>0</v>
      </c>
    </row>
    <row r="43" spans="1:34">
      <c r="A43" s="2" t="s">
        <v>3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8"/>
        <v>0</v>
      </c>
      <c r="R43" s="2" t="s">
        <v>3</v>
      </c>
      <c r="S43" s="35">
        <f t="shared" si="9"/>
        <v>0</v>
      </c>
      <c r="T43" s="35">
        <f t="shared" si="9"/>
        <v>0</v>
      </c>
      <c r="U43" s="35">
        <f t="shared" si="9"/>
        <v>0</v>
      </c>
      <c r="V43" s="35">
        <f t="shared" si="9"/>
        <v>0</v>
      </c>
      <c r="W43" s="35">
        <f t="shared" si="9"/>
        <v>0</v>
      </c>
      <c r="X43" s="35">
        <f t="shared" si="9"/>
        <v>0</v>
      </c>
      <c r="Y43" s="35">
        <f t="shared" si="9"/>
        <v>0</v>
      </c>
      <c r="Z43" s="35">
        <f t="shared" si="9"/>
        <v>0</v>
      </c>
      <c r="AA43" s="35">
        <f t="shared" si="9"/>
        <v>0</v>
      </c>
      <c r="AB43" s="35">
        <f t="shared" si="9"/>
        <v>0</v>
      </c>
      <c r="AC43" s="35">
        <f t="shared" si="9"/>
        <v>0</v>
      </c>
      <c r="AD43" s="35">
        <f t="shared" si="9"/>
        <v>0</v>
      </c>
      <c r="AE43" s="35">
        <f t="shared" si="9"/>
        <v>0</v>
      </c>
      <c r="AF43" s="35">
        <v>0</v>
      </c>
      <c r="AG43" s="35">
        <v>0</v>
      </c>
      <c r="AH43" s="4">
        <f t="shared" si="10"/>
        <v>0</v>
      </c>
    </row>
    <row r="44" spans="1:34">
      <c r="A44" s="1" t="s">
        <v>4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8"/>
        <v>0</v>
      </c>
      <c r="R44" s="1" t="s">
        <v>4</v>
      </c>
      <c r="S44" s="35">
        <f t="shared" si="9"/>
        <v>0</v>
      </c>
      <c r="T44" s="35">
        <f t="shared" si="9"/>
        <v>0</v>
      </c>
      <c r="U44" s="35">
        <f t="shared" si="9"/>
        <v>0</v>
      </c>
      <c r="V44" s="35">
        <f t="shared" si="9"/>
        <v>0</v>
      </c>
      <c r="W44" s="35">
        <f t="shared" si="9"/>
        <v>0</v>
      </c>
      <c r="X44" s="35">
        <f t="shared" si="9"/>
        <v>0</v>
      </c>
      <c r="Y44" s="35">
        <f t="shared" si="9"/>
        <v>0</v>
      </c>
      <c r="Z44" s="35">
        <f t="shared" si="9"/>
        <v>0</v>
      </c>
      <c r="AA44" s="35">
        <f t="shared" si="9"/>
        <v>0</v>
      </c>
      <c r="AB44" s="35">
        <f t="shared" si="9"/>
        <v>0</v>
      </c>
      <c r="AC44" s="35">
        <f t="shared" si="9"/>
        <v>0</v>
      </c>
      <c r="AD44" s="35">
        <f t="shared" si="9"/>
        <v>0</v>
      </c>
      <c r="AE44" s="35">
        <f t="shared" si="9"/>
        <v>0</v>
      </c>
      <c r="AF44" s="35">
        <f t="shared" si="7"/>
        <v>0</v>
      </c>
      <c r="AG44" s="35">
        <f t="shared" si="7"/>
        <v>0</v>
      </c>
      <c r="AH44" s="4">
        <f t="shared" si="10"/>
        <v>0</v>
      </c>
    </row>
    <row r="45" spans="1:34">
      <c r="A45" s="1" t="s">
        <v>5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8"/>
        <v>0</v>
      </c>
      <c r="R45" s="1" t="s">
        <v>5</v>
      </c>
      <c r="S45" s="35">
        <f t="shared" si="9"/>
        <v>0</v>
      </c>
      <c r="T45" s="35">
        <f t="shared" si="9"/>
        <v>0</v>
      </c>
      <c r="U45" s="35">
        <f t="shared" si="9"/>
        <v>0</v>
      </c>
      <c r="V45" s="35">
        <f t="shared" si="9"/>
        <v>0</v>
      </c>
      <c r="W45" s="35">
        <f t="shared" si="9"/>
        <v>0</v>
      </c>
      <c r="X45" s="35">
        <f t="shared" si="9"/>
        <v>0</v>
      </c>
      <c r="Y45" s="35">
        <f t="shared" si="9"/>
        <v>0</v>
      </c>
      <c r="Z45" s="35">
        <f t="shared" si="9"/>
        <v>0</v>
      </c>
      <c r="AA45" s="35">
        <f t="shared" si="9"/>
        <v>0</v>
      </c>
      <c r="AB45" s="35">
        <f t="shared" si="9"/>
        <v>0</v>
      </c>
      <c r="AC45" s="35">
        <f t="shared" si="9"/>
        <v>0</v>
      </c>
      <c r="AD45" s="35">
        <f t="shared" si="9"/>
        <v>0</v>
      </c>
      <c r="AE45" s="35">
        <f t="shared" si="9"/>
        <v>0</v>
      </c>
      <c r="AF45" s="35">
        <f t="shared" si="7"/>
        <v>0</v>
      </c>
      <c r="AG45" s="35">
        <f t="shared" si="7"/>
        <v>0</v>
      </c>
      <c r="AH45" s="4">
        <f t="shared" si="10"/>
        <v>0</v>
      </c>
    </row>
    <row r="46" spans="1:34">
      <c r="A46" s="1" t="s">
        <v>6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8"/>
        <v>0</v>
      </c>
      <c r="R46" s="1" t="s">
        <v>6</v>
      </c>
      <c r="S46" s="35">
        <f t="shared" si="9"/>
        <v>0</v>
      </c>
      <c r="T46" s="35">
        <f t="shared" si="9"/>
        <v>0</v>
      </c>
      <c r="U46" s="35">
        <f t="shared" si="9"/>
        <v>0</v>
      </c>
      <c r="V46" s="35">
        <f t="shared" si="9"/>
        <v>0</v>
      </c>
      <c r="W46" s="35">
        <f t="shared" si="9"/>
        <v>0</v>
      </c>
      <c r="X46" s="35">
        <f t="shared" si="9"/>
        <v>0</v>
      </c>
      <c r="Y46" s="35">
        <f t="shared" si="9"/>
        <v>0</v>
      </c>
      <c r="Z46" s="35">
        <f t="shared" si="9"/>
        <v>0</v>
      </c>
      <c r="AA46" s="35">
        <f t="shared" si="9"/>
        <v>0</v>
      </c>
      <c r="AB46" s="35">
        <f t="shared" si="9"/>
        <v>0</v>
      </c>
      <c r="AC46" s="35">
        <f t="shared" si="9"/>
        <v>0</v>
      </c>
      <c r="AD46" s="35">
        <f t="shared" si="9"/>
        <v>0</v>
      </c>
      <c r="AE46" s="35">
        <f t="shared" si="9"/>
        <v>0</v>
      </c>
      <c r="AF46" s="35">
        <f t="shared" si="7"/>
        <v>0</v>
      </c>
      <c r="AG46" s="35">
        <f t="shared" si="7"/>
        <v>0</v>
      </c>
      <c r="AH46" s="4">
        <f t="shared" si="10"/>
        <v>0</v>
      </c>
    </row>
    <row r="47" spans="1:34">
      <c r="A47" s="1" t="s">
        <v>7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8"/>
        <v>0</v>
      </c>
      <c r="R47" s="1" t="s">
        <v>7</v>
      </c>
      <c r="S47" s="35">
        <f t="shared" si="9"/>
        <v>0</v>
      </c>
      <c r="T47" s="35">
        <f t="shared" si="9"/>
        <v>0</v>
      </c>
      <c r="U47" s="35">
        <f t="shared" si="9"/>
        <v>0</v>
      </c>
      <c r="V47" s="35">
        <f t="shared" si="9"/>
        <v>0</v>
      </c>
      <c r="W47" s="35">
        <f t="shared" si="9"/>
        <v>0</v>
      </c>
      <c r="X47" s="35">
        <f t="shared" si="9"/>
        <v>0</v>
      </c>
      <c r="Y47" s="35">
        <f t="shared" si="9"/>
        <v>0</v>
      </c>
      <c r="Z47" s="35">
        <f t="shared" si="9"/>
        <v>0</v>
      </c>
      <c r="AA47" s="35">
        <f t="shared" si="9"/>
        <v>0</v>
      </c>
      <c r="AB47" s="35">
        <f t="shared" si="9"/>
        <v>0</v>
      </c>
      <c r="AC47" s="35">
        <f t="shared" si="9"/>
        <v>0</v>
      </c>
      <c r="AD47" s="35">
        <f t="shared" si="9"/>
        <v>0</v>
      </c>
      <c r="AE47" s="35">
        <f t="shared" si="9"/>
        <v>0</v>
      </c>
      <c r="AF47" s="35">
        <f t="shared" si="7"/>
        <v>0</v>
      </c>
      <c r="AG47" s="35">
        <f t="shared" si="7"/>
        <v>0</v>
      </c>
      <c r="AH47" s="4">
        <f t="shared" si="10"/>
        <v>0</v>
      </c>
    </row>
    <row r="48" spans="1:34">
      <c r="A48" s="1" t="s">
        <v>8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8"/>
        <v>0</v>
      </c>
      <c r="R48" s="1" t="s">
        <v>8</v>
      </c>
      <c r="S48" s="35">
        <f t="shared" si="9"/>
        <v>0</v>
      </c>
      <c r="T48" s="35">
        <f t="shared" si="9"/>
        <v>0</v>
      </c>
      <c r="U48" s="35">
        <f t="shared" si="9"/>
        <v>0</v>
      </c>
      <c r="V48" s="35">
        <f t="shared" si="9"/>
        <v>0</v>
      </c>
      <c r="W48" s="35">
        <f t="shared" si="9"/>
        <v>0</v>
      </c>
      <c r="X48" s="35">
        <f t="shared" si="9"/>
        <v>0</v>
      </c>
      <c r="Y48" s="35">
        <f t="shared" si="9"/>
        <v>0</v>
      </c>
      <c r="Z48" s="35">
        <f t="shared" si="9"/>
        <v>0</v>
      </c>
      <c r="AA48" s="35">
        <f t="shared" si="9"/>
        <v>0</v>
      </c>
      <c r="AB48" s="35">
        <f t="shared" si="9"/>
        <v>0</v>
      </c>
      <c r="AC48" s="35">
        <f t="shared" si="9"/>
        <v>0</v>
      </c>
      <c r="AD48" s="35">
        <f t="shared" si="9"/>
        <v>0</v>
      </c>
      <c r="AE48" s="35">
        <f t="shared" si="9"/>
        <v>0</v>
      </c>
      <c r="AF48" s="35">
        <f t="shared" si="7"/>
        <v>0</v>
      </c>
      <c r="AG48" s="35">
        <f t="shared" si="7"/>
        <v>0</v>
      </c>
      <c r="AH48" s="4">
        <f t="shared" si="10"/>
        <v>0</v>
      </c>
    </row>
    <row r="49" spans="1:34">
      <c r="A49" s="2" t="s">
        <v>9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8"/>
        <v>0</v>
      </c>
      <c r="R49" s="2" t="s">
        <v>9</v>
      </c>
      <c r="S49" s="35">
        <f t="shared" si="9"/>
        <v>0</v>
      </c>
      <c r="T49" s="35">
        <f t="shared" si="9"/>
        <v>0</v>
      </c>
      <c r="U49" s="35">
        <f t="shared" si="9"/>
        <v>0</v>
      </c>
      <c r="V49" s="35">
        <f t="shared" si="9"/>
        <v>0</v>
      </c>
      <c r="W49" s="35">
        <f t="shared" si="9"/>
        <v>0</v>
      </c>
      <c r="X49" s="35">
        <f t="shared" si="9"/>
        <v>0</v>
      </c>
      <c r="Y49" s="35">
        <f t="shared" si="9"/>
        <v>0</v>
      </c>
      <c r="Z49" s="35">
        <f t="shared" si="9"/>
        <v>0</v>
      </c>
      <c r="AA49" s="35">
        <f t="shared" si="9"/>
        <v>0</v>
      </c>
      <c r="AB49" s="35">
        <f t="shared" si="9"/>
        <v>0</v>
      </c>
      <c r="AC49" s="35">
        <f t="shared" si="9"/>
        <v>0</v>
      </c>
      <c r="AD49" s="35">
        <f t="shared" si="9"/>
        <v>0</v>
      </c>
      <c r="AE49" s="35">
        <f t="shared" si="9"/>
        <v>0</v>
      </c>
      <c r="AF49" s="35">
        <f t="shared" si="7"/>
        <v>0</v>
      </c>
      <c r="AG49" s="35">
        <f t="shared" si="7"/>
        <v>0</v>
      </c>
      <c r="AH49" s="4">
        <f t="shared" si="10"/>
        <v>0</v>
      </c>
    </row>
    <row r="50" spans="1:34">
      <c r="A50" s="18" t="s">
        <v>10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8"/>
        <v>0</v>
      </c>
      <c r="R50" s="18" t="s">
        <v>10</v>
      </c>
      <c r="S50" s="35">
        <f t="shared" si="9"/>
        <v>0</v>
      </c>
      <c r="T50" s="35">
        <f t="shared" si="9"/>
        <v>0</v>
      </c>
      <c r="U50" s="35">
        <f t="shared" si="9"/>
        <v>0</v>
      </c>
      <c r="V50" s="35">
        <f t="shared" si="9"/>
        <v>0</v>
      </c>
      <c r="W50" s="35">
        <f t="shared" si="9"/>
        <v>0</v>
      </c>
      <c r="X50" s="35">
        <f t="shared" si="9"/>
        <v>0</v>
      </c>
      <c r="Y50" s="35">
        <f t="shared" si="9"/>
        <v>0</v>
      </c>
      <c r="Z50" s="35">
        <f t="shared" si="9"/>
        <v>0</v>
      </c>
      <c r="AA50" s="35">
        <f t="shared" si="9"/>
        <v>0</v>
      </c>
      <c r="AB50" s="35">
        <f t="shared" si="9"/>
        <v>0</v>
      </c>
      <c r="AC50" s="35">
        <f t="shared" si="9"/>
        <v>0</v>
      </c>
      <c r="AD50" s="35">
        <f t="shared" si="9"/>
        <v>0</v>
      </c>
      <c r="AE50" s="35">
        <f t="shared" si="9"/>
        <v>0</v>
      </c>
      <c r="AF50" s="35">
        <f t="shared" si="7"/>
        <v>0</v>
      </c>
      <c r="AG50" s="35">
        <f t="shared" si="7"/>
        <v>0</v>
      </c>
      <c r="AH50" s="4">
        <f t="shared" si="10"/>
        <v>0</v>
      </c>
    </row>
    <row r="51" spans="1:34">
      <c r="A51" s="1" t="s">
        <v>11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8"/>
        <v>0</v>
      </c>
      <c r="R51" s="1" t="s">
        <v>11</v>
      </c>
      <c r="S51" s="35">
        <f t="shared" si="9"/>
        <v>0</v>
      </c>
      <c r="T51" s="35">
        <f t="shared" si="9"/>
        <v>0</v>
      </c>
      <c r="U51" s="35">
        <f t="shared" si="9"/>
        <v>0</v>
      </c>
      <c r="V51" s="35">
        <f t="shared" si="9"/>
        <v>0</v>
      </c>
      <c r="W51" s="35">
        <f t="shared" si="9"/>
        <v>0</v>
      </c>
      <c r="X51" s="35">
        <f t="shared" si="9"/>
        <v>0</v>
      </c>
      <c r="Y51" s="35">
        <f t="shared" si="9"/>
        <v>0</v>
      </c>
      <c r="Z51" s="35">
        <f t="shared" si="9"/>
        <v>0</v>
      </c>
      <c r="AA51" s="35">
        <f t="shared" si="9"/>
        <v>0</v>
      </c>
      <c r="AB51" s="35">
        <f t="shared" si="9"/>
        <v>0</v>
      </c>
      <c r="AC51" s="35">
        <f t="shared" si="9"/>
        <v>0</v>
      </c>
      <c r="AD51" s="35">
        <f t="shared" si="9"/>
        <v>0</v>
      </c>
      <c r="AE51" s="35">
        <f t="shared" si="9"/>
        <v>0</v>
      </c>
      <c r="AF51" s="35">
        <f t="shared" si="7"/>
        <v>0</v>
      </c>
      <c r="AG51" s="35">
        <f t="shared" si="7"/>
        <v>0</v>
      </c>
      <c r="AH51" s="4">
        <f t="shared" si="10"/>
        <v>0</v>
      </c>
    </row>
    <row r="52" spans="1:34">
      <c r="A52" s="1" t="s">
        <v>12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8"/>
        <v>0</v>
      </c>
      <c r="R52" s="1" t="s">
        <v>12</v>
      </c>
      <c r="S52" s="35">
        <f t="shared" si="9"/>
        <v>0</v>
      </c>
      <c r="T52" s="35">
        <f t="shared" si="9"/>
        <v>0</v>
      </c>
      <c r="U52" s="35">
        <f t="shared" si="9"/>
        <v>0</v>
      </c>
      <c r="V52" s="35">
        <f t="shared" si="9"/>
        <v>0</v>
      </c>
      <c r="W52" s="35">
        <f t="shared" si="9"/>
        <v>0</v>
      </c>
      <c r="X52" s="35">
        <f t="shared" si="9"/>
        <v>0</v>
      </c>
      <c r="Y52" s="35">
        <f t="shared" si="9"/>
        <v>0</v>
      </c>
      <c r="Z52" s="35">
        <f t="shared" si="9"/>
        <v>0</v>
      </c>
      <c r="AA52" s="35">
        <f t="shared" si="9"/>
        <v>0</v>
      </c>
      <c r="AB52" s="35">
        <f t="shared" si="9"/>
        <v>0</v>
      </c>
      <c r="AC52" s="35">
        <f t="shared" si="9"/>
        <v>0</v>
      </c>
      <c r="AD52" s="35">
        <f t="shared" si="9"/>
        <v>0</v>
      </c>
      <c r="AE52" s="35">
        <f t="shared" si="9"/>
        <v>0</v>
      </c>
      <c r="AF52" s="35">
        <f t="shared" si="7"/>
        <v>0</v>
      </c>
      <c r="AG52" s="35">
        <f t="shared" si="7"/>
        <v>0</v>
      </c>
      <c r="AH52" s="4">
        <f t="shared" si="10"/>
        <v>0</v>
      </c>
    </row>
    <row r="53" spans="1:34">
      <c r="A53" s="1" t="s">
        <v>15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8"/>
        <v>0</v>
      </c>
      <c r="R53" s="1" t="s">
        <v>15</v>
      </c>
      <c r="S53" s="35">
        <f t="shared" si="9"/>
        <v>0</v>
      </c>
      <c r="T53" s="35">
        <f t="shared" si="9"/>
        <v>0</v>
      </c>
      <c r="U53" s="35">
        <f t="shared" si="9"/>
        <v>0</v>
      </c>
      <c r="V53" s="35">
        <f t="shared" si="9"/>
        <v>0</v>
      </c>
      <c r="W53" s="35">
        <f t="shared" si="9"/>
        <v>0</v>
      </c>
      <c r="X53" s="35">
        <f t="shared" si="9"/>
        <v>0</v>
      </c>
      <c r="Y53" s="35">
        <f t="shared" si="9"/>
        <v>0</v>
      </c>
      <c r="Z53" s="35">
        <f t="shared" si="9"/>
        <v>0</v>
      </c>
      <c r="AA53" s="35">
        <f t="shared" si="9"/>
        <v>0</v>
      </c>
      <c r="AB53" s="35">
        <f t="shared" si="9"/>
        <v>0</v>
      </c>
      <c r="AC53" s="35">
        <f t="shared" si="9"/>
        <v>0</v>
      </c>
      <c r="AD53" s="35">
        <f t="shared" si="9"/>
        <v>0</v>
      </c>
      <c r="AE53" s="35">
        <f t="shared" si="9"/>
        <v>0</v>
      </c>
      <c r="AF53" s="35">
        <f t="shared" si="7"/>
        <v>0</v>
      </c>
      <c r="AG53" s="35">
        <f t="shared" si="7"/>
        <v>0</v>
      </c>
      <c r="AH53" s="4">
        <f t="shared" si="10"/>
        <v>0</v>
      </c>
    </row>
    <row r="54" spans="1:34">
      <c r="A54" s="1" t="s">
        <v>14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8"/>
        <v>0</v>
      </c>
      <c r="R54" s="1" t="s">
        <v>14</v>
      </c>
      <c r="S54" s="35">
        <f t="shared" si="9"/>
        <v>0</v>
      </c>
      <c r="T54" s="35">
        <f t="shared" si="9"/>
        <v>0</v>
      </c>
      <c r="U54" s="35">
        <f t="shared" si="9"/>
        <v>0</v>
      </c>
      <c r="V54" s="35">
        <f t="shared" si="9"/>
        <v>0</v>
      </c>
      <c r="W54" s="35">
        <f t="shared" si="9"/>
        <v>0</v>
      </c>
      <c r="X54" s="35">
        <f t="shared" si="9"/>
        <v>0</v>
      </c>
      <c r="Y54" s="35">
        <f t="shared" si="9"/>
        <v>0</v>
      </c>
      <c r="Z54" s="35">
        <f t="shared" si="9"/>
        <v>0</v>
      </c>
      <c r="AA54" s="35">
        <f t="shared" si="9"/>
        <v>0</v>
      </c>
      <c r="AB54" s="35">
        <f t="shared" si="9"/>
        <v>0</v>
      </c>
      <c r="AC54" s="35">
        <f t="shared" si="9"/>
        <v>0</v>
      </c>
      <c r="AD54" s="35">
        <f t="shared" si="9"/>
        <v>0</v>
      </c>
      <c r="AE54" s="35">
        <f t="shared" si="9"/>
        <v>0</v>
      </c>
      <c r="AF54" s="35">
        <f t="shared" si="7"/>
        <v>0</v>
      </c>
      <c r="AG54" s="35">
        <f t="shared" si="7"/>
        <v>0</v>
      </c>
      <c r="AH54" s="4">
        <f t="shared" si="10"/>
        <v>0</v>
      </c>
    </row>
    <row r="55" spans="1:34">
      <c r="A55" s="18" t="s">
        <v>13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8"/>
        <v>0</v>
      </c>
      <c r="R55" s="18" t="s">
        <v>13</v>
      </c>
      <c r="S55" s="35">
        <f t="shared" si="9"/>
        <v>0</v>
      </c>
      <c r="T55" s="35">
        <f t="shared" si="9"/>
        <v>0</v>
      </c>
      <c r="U55" s="35">
        <f t="shared" si="9"/>
        <v>0</v>
      </c>
      <c r="V55" s="35">
        <f t="shared" si="9"/>
        <v>0</v>
      </c>
      <c r="W55" s="35">
        <f t="shared" si="9"/>
        <v>0</v>
      </c>
      <c r="X55" s="35">
        <f t="shared" si="9"/>
        <v>0</v>
      </c>
      <c r="Y55" s="35">
        <f t="shared" si="9"/>
        <v>0</v>
      </c>
      <c r="Z55" s="35">
        <f t="shared" si="9"/>
        <v>0</v>
      </c>
      <c r="AA55" s="35">
        <f t="shared" si="9"/>
        <v>0</v>
      </c>
      <c r="AB55" s="35">
        <f t="shared" si="9"/>
        <v>0</v>
      </c>
      <c r="AC55" s="35">
        <f t="shared" si="9"/>
        <v>0</v>
      </c>
      <c r="AD55" s="35">
        <f t="shared" si="9"/>
        <v>0</v>
      </c>
      <c r="AE55" s="35">
        <f t="shared" si="9"/>
        <v>0</v>
      </c>
      <c r="AF55" s="35">
        <f t="shared" si="7"/>
        <v>0</v>
      </c>
      <c r="AG55" s="35">
        <f t="shared" si="7"/>
        <v>0</v>
      </c>
      <c r="AH55" s="4">
        <f t="shared" si="10"/>
        <v>0</v>
      </c>
    </row>
    <row r="56" spans="1:34">
      <c r="A56" s="1" t="s">
        <v>16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8"/>
        <v>0</v>
      </c>
      <c r="R56" s="1" t="s">
        <v>16</v>
      </c>
      <c r="S56" s="35">
        <f t="shared" si="9"/>
        <v>0</v>
      </c>
      <c r="T56" s="35">
        <f t="shared" si="9"/>
        <v>0</v>
      </c>
      <c r="U56" s="35">
        <f t="shared" si="9"/>
        <v>0</v>
      </c>
      <c r="V56" s="35">
        <f t="shared" si="9"/>
        <v>0</v>
      </c>
      <c r="W56" s="35">
        <f t="shared" si="9"/>
        <v>0</v>
      </c>
      <c r="X56" s="35">
        <f t="shared" si="9"/>
        <v>0</v>
      </c>
      <c r="Y56" s="35">
        <f t="shared" si="9"/>
        <v>0</v>
      </c>
      <c r="Z56" s="35">
        <f t="shared" si="9"/>
        <v>0</v>
      </c>
      <c r="AA56" s="35">
        <f t="shared" si="9"/>
        <v>0</v>
      </c>
      <c r="AB56" s="35">
        <f t="shared" si="9"/>
        <v>0</v>
      </c>
      <c r="AC56" s="35">
        <f t="shared" si="9"/>
        <v>0</v>
      </c>
      <c r="AD56" s="35">
        <f t="shared" si="9"/>
        <v>0</v>
      </c>
      <c r="AE56" s="35">
        <f t="shared" si="9"/>
        <v>0</v>
      </c>
      <c r="AF56" s="35">
        <f t="shared" si="9"/>
        <v>0</v>
      </c>
      <c r="AG56" s="35">
        <f t="shared" si="9"/>
        <v>0</v>
      </c>
      <c r="AH56" s="4">
        <f t="shared" si="10"/>
        <v>0</v>
      </c>
    </row>
    <row r="57" spans="1:34">
      <c r="A57" s="1" t="s">
        <v>17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8"/>
        <v>0</v>
      </c>
      <c r="R57" s="1" t="s">
        <v>17</v>
      </c>
      <c r="S57" s="35">
        <f t="shared" ref="S57:AG66" si="11">S92*0.2</f>
        <v>0</v>
      </c>
      <c r="T57" s="35">
        <f t="shared" si="11"/>
        <v>0</v>
      </c>
      <c r="U57" s="35">
        <f t="shared" si="11"/>
        <v>0</v>
      </c>
      <c r="V57" s="35">
        <f t="shared" si="11"/>
        <v>0</v>
      </c>
      <c r="W57" s="35">
        <f t="shared" si="11"/>
        <v>0</v>
      </c>
      <c r="X57" s="35">
        <f t="shared" si="11"/>
        <v>0</v>
      </c>
      <c r="Y57" s="35">
        <f t="shared" si="11"/>
        <v>0</v>
      </c>
      <c r="Z57" s="35">
        <f t="shared" si="11"/>
        <v>0</v>
      </c>
      <c r="AA57" s="35">
        <f t="shared" si="11"/>
        <v>0</v>
      </c>
      <c r="AB57" s="35">
        <f t="shared" si="11"/>
        <v>0</v>
      </c>
      <c r="AC57" s="35">
        <f t="shared" si="11"/>
        <v>0</v>
      </c>
      <c r="AD57" s="35">
        <f t="shared" si="11"/>
        <v>0</v>
      </c>
      <c r="AE57" s="35">
        <f t="shared" si="11"/>
        <v>0</v>
      </c>
      <c r="AF57" s="35">
        <f t="shared" si="11"/>
        <v>0</v>
      </c>
      <c r="AG57" s="35">
        <f t="shared" si="11"/>
        <v>0</v>
      </c>
      <c r="AH57" s="4">
        <f t="shared" si="10"/>
        <v>0</v>
      </c>
    </row>
    <row r="58" spans="1:34">
      <c r="A58" s="1" t="s">
        <v>18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8"/>
        <v>0</v>
      </c>
      <c r="R58" s="1" t="s">
        <v>18</v>
      </c>
      <c r="S58" s="35">
        <f t="shared" si="11"/>
        <v>0</v>
      </c>
      <c r="T58" s="35">
        <f t="shared" si="11"/>
        <v>0</v>
      </c>
      <c r="U58" s="35">
        <f t="shared" si="11"/>
        <v>0</v>
      </c>
      <c r="V58" s="35">
        <f t="shared" si="11"/>
        <v>0</v>
      </c>
      <c r="W58" s="35">
        <f t="shared" si="11"/>
        <v>0</v>
      </c>
      <c r="X58" s="35">
        <f t="shared" si="11"/>
        <v>0</v>
      </c>
      <c r="Y58" s="35">
        <f t="shared" si="11"/>
        <v>0</v>
      </c>
      <c r="Z58" s="35">
        <f t="shared" si="11"/>
        <v>0</v>
      </c>
      <c r="AA58" s="35">
        <f t="shared" si="11"/>
        <v>0</v>
      </c>
      <c r="AB58" s="35">
        <f t="shared" si="11"/>
        <v>0</v>
      </c>
      <c r="AC58" s="35">
        <f t="shared" si="11"/>
        <v>0</v>
      </c>
      <c r="AD58" s="35">
        <f t="shared" si="11"/>
        <v>0</v>
      </c>
      <c r="AE58" s="35">
        <f t="shared" si="11"/>
        <v>0</v>
      </c>
      <c r="AF58" s="35">
        <f t="shared" si="11"/>
        <v>0</v>
      </c>
      <c r="AG58" s="35">
        <f t="shared" si="11"/>
        <v>0</v>
      </c>
      <c r="AH58" s="4">
        <f t="shared" si="10"/>
        <v>0</v>
      </c>
    </row>
    <row r="59" spans="1:34">
      <c r="A59" s="1" t="s">
        <v>20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8"/>
        <v>0</v>
      </c>
      <c r="R59" s="1" t="s">
        <v>20</v>
      </c>
      <c r="S59" s="35">
        <f t="shared" si="11"/>
        <v>0</v>
      </c>
      <c r="T59" s="35">
        <f t="shared" si="11"/>
        <v>0</v>
      </c>
      <c r="U59" s="35">
        <f t="shared" si="11"/>
        <v>0</v>
      </c>
      <c r="V59" s="35">
        <f t="shared" si="11"/>
        <v>0</v>
      </c>
      <c r="W59" s="35">
        <f t="shared" si="11"/>
        <v>0</v>
      </c>
      <c r="X59" s="35">
        <f t="shared" si="11"/>
        <v>0</v>
      </c>
      <c r="Y59" s="35">
        <f t="shared" si="11"/>
        <v>0</v>
      </c>
      <c r="Z59" s="35">
        <f t="shared" si="11"/>
        <v>0</v>
      </c>
      <c r="AA59" s="35">
        <f t="shared" si="11"/>
        <v>0</v>
      </c>
      <c r="AB59" s="35">
        <f t="shared" si="11"/>
        <v>0</v>
      </c>
      <c r="AC59" s="35">
        <f t="shared" si="11"/>
        <v>0</v>
      </c>
      <c r="AD59" s="35">
        <f t="shared" si="11"/>
        <v>0</v>
      </c>
      <c r="AE59" s="35">
        <f t="shared" si="11"/>
        <v>0</v>
      </c>
      <c r="AF59" s="35">
        <f t="shared" si="11"/>
        <v>0</v>
      </c>
      <c r="AG59" s="35">
        <f t="shared" si="11"/>
        <v>0</v>
      </c>
      <c r="AH59" s="4">
        <f t="shared" si="10"/>
        <v>0</v>
      </c>
    </row>
    <row r="60" spans="1:34">
      <c r="A60" s="1" t="s">
        <v>19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8"/>
        <v>0</v>
      </c>
      <c r="R60" s="1" t="s">
        <v>19</v>
      </c>
      <c r="S60" s="35">
        <f t="shared" si="11"/>
        <v>0</v>
      </c>
      <c r="T60" s="35">
        <f t="shared" si="11"/>
        <v>0</v>
      </c>
      <c r="U60" s="35">
        <f t="shared" si="11"/>
        <v>0</v>
      </c>
      <c r="V60" s="35">
        <f t="shared" si="11"/>
        <v>0</v>
      </c>
      <c r="W60" s="35">
        <f t="shared" si="11"/>
        <v>0</v>
      </c>
      <c r="X60" s="35">
        <f t="shared" si="11"/>
        <v>0</v>
      </c>
      <c r="Y60" s="35">
        <f t="shared" si="11"/>
        <v>0</v>
      </c>
      <c r="Z60" s="35">
        <f t="shared" si="11"/>
        <v>0</v>
      </c>
      <c r="AA60" s="35">
        <f t="shared" si="11"/>
        <v>0</v>
      </c>
      <c r="AB60" s="35">
        <f t="shared" si="11"/>
        <v>0</v>
      </c>
      <c r="AC60" s="35">
        <f t="shared" si="11"/>
        <v>0</v>
      </c>
      <c r="AD60" s="35">
        <f t="shared" si="11"/>
        <v>0</v>
      </c>
      <c r="AE60" s="35">
        <f t="shared" si="11"/>
        <v>0</v>
      </c>
      <c r="AF60" s="35">
        <f t="shared" si="11"/>
        <v>0</v>
      </c>
      <c r="AG60" s="35">
        <f t="shared" si="11"/>
        <v>0</v>
      </c>
      <c r="AH60" s="4">
        <f t="shared" si="10"/>
        <v>0</v>
      </c>
    </row>
    <row r="61" spans="1:34">
      <c r="A61" s="18" t="s">
        <v>21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8"/>
        <v>0</v>
      </c>
      <c r="R61" s="18" t="s">
        <v>21</v>
      </c>
      <c r="S61" s="35">
        <f t="shared" si="11"/>
        <v>0</v>
      </c>
      <c r="T61" s="35">
        <f t="shared" si="11"/>
        <v>0</v>
      </c>
      <c r="U61" s="35">
        <f t="shared" si="11"/>
        <v>0</v>
      </c>
      <c r="V61" s="35">
        <f t="shared" si="11"/>
        <v>0</v>
      </c>
      <c r="W61" s="35">
        <f t="shared" si="11"/>
        <v>0</v>
      </c>
      <c r="X61" s="35">
        <f t="shared" si="11"/>
        <v>0</v>
      </c>
      <c r="Y61" s="35">
        <f t="shared" si="11"/>
        <v>0</v>
      </c>
      <c r="Z61" s="35">
        <f t="shared" si="11"/>
        <v>0</v>
      </c>
      <c r="AA61" s="35">
        <f t="shared" si="11"/>
        <v>0</v>
      </c>
      <c r="AB61" s="35">
        <f t="shared" si="11"/>
        <v>0</v>
      </c>
      <c r="AC61" s="35">
        <f t="shared" si="11"/>
        <v>0</v>
      </c>
      <c r="AD61" s="35">
        <f t="shared" si="11"/>
        <v>0</v>
      </c>
      <c r="AE61" s="35">
        <f t="shared" si="11"/>
        <v>0</v>
      </c>
      <c r="AF61" s="35">
        <f t="shared" si="11"/>
        <v>0</v>
      </c>
      <c r="AG61" s="35">
        <f t="shared" si="11"/>
        <v>0</v>
      </c>
      <c r="AH61" s="4">
        <f t="shared" si="10"/>
        <v>0</v>
      </c>
    </row>
    <row r="62" spans="1:34">
      <c r="A62" s="2" t="s">
        <v>22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8"/>
        <v>0</v>
      </c>
      <c r="R62" s="2" t="s">
        <v>22</v>
      </c>
      <c r="S62" s="35">
        <f t="shared" si="11"/>
        <v>0</v>
      </c>
      <c r="T62" s="35">
        <f t="shared" si="11"/>
        <v>0</v>
      </c>
      <c r="U62" s="35">
        <f t="shared" si="11"/>
        <v>0</v>
      </c>
      <c r="V62" s="35">
        <f t="shared" si="11"/>
        <v>0</v>
      </c>
      <c r="W62" s="35">
        <f t="shared" si="11"/>
        <v>0</v>
      </c>
      <c r="X62" s="35">
        <f t="shared" si="11"/>
        <v>0</v>
      </c>
      <c r="Y62" s="35">
        <f t="shared" si="11"/>
        <v>0</v>
      </c>
      <c r="Z62" s="35">
        <f t="shared" si="11"/>
        <v>0</v>
      </c>
      <c r="AA62" s="35">
        <f t="shared" si="11"/>
        <v>0</v>
      </c>
      <c r="AB62" s="35">
        <f t="shared" si="11"/>
        <v>0</v>
      </c>
      <c r="AC62" s="35">
        <f t="shared" si="11"/>
        <v>0</v>
      </c>
      <c r="AD62" s="35">
        <f t="shared" si="11"/>
        <v>0</v>
      </c>
      <c r="AE62" s="35">
        <f t="shared" si="11"/>
        <v>0</v>
      </c>
      <c r="AF62" s="35">
        <f t="shared" si="11"/>
        <v>0</v>
      </c>
      <c r="AG62" s="35">
        <f t="shared" si="11"/>
        <v>0</v>
      </c>
      <c r="AH62" s="4">
        <f t="shared" si="10"/>
        <v>0</v>
      </c>
    </row>
    <row r="63" spans="1:34">
      <c r="A63" s="1" t="s">
        <v>23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8"/>
        <v>0</v>
      </c>
      <c r="R63" s="1" t="s">
        <v>23</v>
      </c>
      <c r="S63" s="35">
        <f t="shared" si="11"/>
        <v>0</v>
      </c>
      <c r="T63" s="35">
        <f t="shared" si="11"/>
        <v>0</v>
      </c>
      <c r="U63" s="35">
        <f t="shared" si="11"/>
        <v>0</v>
      </c>
      <c r="V63" s="35">
        <f t="shared" si="11"/>
        <v>0</v>
      </c>
      <c r="W63" s="35">
        <f t="shared" si="11"/>
        <v>0</v>
      </c>
      <c r="X63" s="35">
        <f t="shared" si="11"/>
        <v>0</v>
      </c>
      <c r="Y63" s="35">
        <f t="shared" si="11"/>
        <v>0</v>
      </c>
      <c r="Z63" s="35">
        <f t="shared" si="11"/>
        <v>0</v>
      </c>
      <c r="AA63" s="35">
        <f t="shared" si="11"/>
        <v>0</v>
      </c>
      <c r="AB63" s="35">
        <f t="shared" si="11"/>
        <v>0</v>
      </c>
      <c r="AC63" s="35">
        <f t="shared" si="11"/>
        <v>0</v>
      </c>
      <c r="AD63" s="35">
        <f t="shared" si="11"/>
        <v>0</v>
      </c>
      <c r="AE63" s="35">
        <f t="shared" si="11"/>
        <v>0</v>
      </c>
      <c r="AF63" s="35">
        <f t="shared" si="11"/>
        <v>0</v>
      </c>
      <c r="AG63" s="35">
        <f t="shared" si="11"/>
        <v>0</v>
      </c>
      <c r="AH63" s="4">
        <f t="shared" si="10"/>
        <v>0</v>
      </c>
    </row>
    <row r="64" spans="1:34">
      <c r="A64" s="1" t="s">
        <v>25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8"/>
        <v>0</v>
      </c>
      <c r="R64" s="1" t="s">
        <v>25</v>
      </c>
      <c r="S64" s="35">
        <f t="shared" si="11"/>
        <v>0</v>
      </c>
      <c r="T64" s="35">
        <f t="shared" si="11"/>
        <v>0</v>
      </c>
      <c r="U64" s="35">
        <f t="shared" si="11"/>
        <v>0</v>
      </c>
      <c r="V64" s="35">
        <f t="shared" si="11"/>
        <v>0</v>
      </c>
      <c r="W64" s="35">
        <f t="shared" si="11"/>
        <v>0</v>
      </c>
      <c r="X64" s="35">
        <f t="shared" si="11"/>
        <v>0</v>
      </c>
      <c r="Y64" s="35">
        <f t="shared" si="11"/>
        <v>0</v>
      </c>
      <c r="Z64" s="35">
        <f t="shared" si="11"/>
        <v>0</v>
      </c>
      <c r="AA64" s="35">
        <f t="shared" si="11"/>
        <v>0</v>
      </c>
      <c r="AB64" s="35">
        <f t="shared" si="11"/>
        <v>0</v>
      </c>
      <c r="AC64" s="35">
        <f t="shared" si="11"/>
        <v>0</v>
      </c>
      <c r="AD64" s="35">
        <f t="shared" si="11"/>
        <v>0</v>
      </c>
      <c r="AE64" s="35">
        <f t="shared" si="11"/>
        <v>0</v>
      </c>
      <c r="AF64" s="35">
        <v>0</v>
      </c>
      <c r="AG64" s="35">
        <v>0</v>
      </c>
      <c r="AH64" s="4">
        <f t="shared" si="10"/>
        <v>0</v>
      </c>
    </row>
    <row r="65" spans="1:34">
      <c r="A65" s="1" t="s">
        <v>24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8"/>
        <v>0</v>
      </c>
      <c r="R65" s="1" t="s">
        <v>24</v>
      </c>
      <c r="S65" s="35">
        <f t="shared" si="11"/>
        <v>0</v>
      </c>
      <c r="T65" s="35">
        <f t="shared" si="11"/>
        <v>0</v>
      </c>
      <c r="U65" s="35">
        <f t="shared" si="11"/>
        <v>0</v>
      </c>
      <c r="V65" s="35">
        <f t="shared" si="11"/>
        <v>0</v>
      </c>
      <c r="W65" s="35">
        <f t="shared" si="11"/>
        <v>0</v>
      </c>
      <c r="X65" s="35">
        <f t="shared" si="11"/>
        <v>0</v>
      </c>
      <c r="Y65" s="35">
        <f t="shared" si="11"/>
        <v>0</v>
      </c>
      <c r="Z65" s="35">
        <f t="shared" si="11"/>
        <v>0</v>
      </c>
      <c r="AA65" s="35">
        <f t="shared" si="11"/>
        <v>0</v>
      </c>
      <c r="AB65" s="35">
        <f t="shared" si="11"/>
        <v>0</v>
      </c>
      <c r="AC65" s="35">
        <f t="shared" si="11"/>
        <v>0</v>
      </c>
      <c r="AD65" s="35">
        <f t="shared" si="11"/>
        <v>0</v>
      </c>
      <c r="AE65" s="35">
        <f t="shared" si="11"/>
        <v>0</v>
      </c>
      <c r="AF65" s="35">
        <f t="shared" si="11"/>
        <v>0</v>
      </c>
      <c r="AG65" s="35">
        <f t="shared" si="11"/>
        <v>0</v>
      </c>
      <c r="AH65" s="4">
        <f t="shared" si="10"/>
        <v>0</v>
      </c>
    </row>
    <row r="66" spans="1:34">
      <c r="A66" s="1" t="s">
        <v>26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8"/>
        <v>0</v>
      </c>
      <c r="R66" s="1" t="s">
        <v>26</v>
      </c>
      <c r="S66" s="35">
        <f t="shared" si="11"/>
        <v>0</v>
      </c>
      <c r="T66" s="35">
        <f t="shared" si="11"/>
        <v>0</v>
      </c>
      <c r="U66" s="35">
        <f t="shared" si="11"/>
        <v>0</v>
      </c>
      <c r="V66" s="35">
        <f t="shared" si="11"/>
        <v>0</v>
      </c>
      <c r="W66" s="35">
        <f t="shared" si="11"/>
        <v>0</v>
      </c>
      <c r="X66" s="35">
        <f t="shared" si="11"/>
        <v>0</v>
      </c>
      <c r="Y66" s="35">
        <f t="shared" si="11"/>
        <v>0</v>
      </c>
      <c r="Z66" s="35">
        <f t="shared" si="11"/>
        <v>0</v>
      </c>
      <c r="AA66" s="35">
        <f t="shared" si="11"/>
        <v>0</v>
      </c>
      <c r="AB66" s="35">
        <f t="shared" si="11"/>
        <v>0</v>
      </c>
      <c r="AC66" s="35">
        <f t="shared" si="11"/>
        <v>0</v>
      </c>
      <c r="AD66" s="35">
        <f t="shared" si="11"/>
        <v>0</v>
      </c>
      <c r="AE66" s="35">
        <f t="shared" si="11"/>
        <v>0</v>
      </c>
      <c r="AF66" s="35">
        <f t="shared" si="11"/>
        <v>0</v>
      </c>
      <c r="AG66" s="35">
        <f t="shared" si="11"/>
        <v>0</v>
      </c>
      <c r="AH66" s="4">
        <f t="shared" si="10"/>
        <v>0</v>
      </c>
    </row>
    <row r="67" spans="1:34">
      <c r="A67" s="8" t="s">
        <v>37</v>
      </c>
      <c r="B67" s="9">
        <f>SUM(B40:B66)</f>
        <v>0</v>
      </c>
      <c r="C67" s="9">
        <f t="shared" ref="C67:N67" si="12">SUM(C40:C66)</f>
        <v>0</v>
      </c>
      <c r="D67" s="9">
        <f t="shared" si="12"/>
        <v>0</v>
      </c>
      <c r="E67" s="9">
        <f t="shared" si="12"/>
        <v>0</v>
      </c>
      <c r="F67" s="9">
        <f t="shared" si="12"/>
        <v>0</v>
      </c>
      <c r="G67" s="9">
        <f t="shared" si="12"/>
        <v>0</v>
      </c>
      <c r="H67" s="9">
        <f t="shared" si="12"/>
        <v>0</v>
      </c>
      <c r="I67" s="9">
        <f t="shared" si="12"/>
        <v>0</v>
      </c>
      <c r="J67" s="9">
        <f t="shared" si="12"/>
        <v>0</v>
      </c>
      <c r="K67" s="9">
        <f t="shared" si="12"/>
        <v>0</v>
      </c>
      <c r="L67" s="9">
        <f t="shared" si="12"/>
        <v>0</v>
      </c>
      <c r="M67" s="9">
        <f t="shared" si="12"/>
        <v>0</v>
      </c>
      <c r="N67" s="9">
        <f t="shared" si="12"/>
        <v>0</v>
      </c>
      <c r="O67" s="13">
        <f>SUM(O40:O66)</f>
        <v>0</v>
      </c>
      <c r="R67" s="8" t="s">
        <v>37</v>
      </c>
      <c r="S67" s="9">
        <f>SUM(S40:S66)</f>
        <v>0</v>
      </c>
      <c r="T67" s="9">
        <f t="shared" ref="T67:AG67" si="13">SUM(T40:T66)</f>
        <v>0</v>
      </c>
      <c r="U67" s="9">
        <f t="shared" si="13"/>
        <v>0</v>
      </c>
      <c r="V67" s="9">
        <f t="shared" si="13"/>
        <v>0</v>
      </c>
      <c r="W67" s="9">
        <f t="shared" si="13"/>
        <v>0</v>
      </c>
      <c r="X67" s="9">
        <f t="shared" si="13"/>
        <v>0</v>
      </c>
      <c r="Y67" s="9">
        <f t="shared" si="13"/>
        <v>0</v>
      </c>
      <c r="Z67" s="9">
        <f t="shared" si="13"/>
        <v>0</v>
      </c>
      <c r="AA67" s="9">
        <f t="shared" si="13"/>
        <v>0</v>
      </c>
      <c r="AB67" s="9">
        <f t="shared" si="13"/>
        <v>0</v>
      </c>
      <c r="AC67" s="9">
        <f t="shared" si="13"/>
        <v>0</v>
      </c>
      <c r="AD67" s="9">
        <f t="shared" si="13"/>
        <v>0</v>
      </c>
      <c r="AE67" s="9">
        <f t="shared" si="13"/>
        <v>0</v>
      </c>
      <c r="AF67" s="9">
        <f t="shared" si="13"/>
        <v>0</v>
      </c>
      <c r="AG67" s="9">
        <f t="shared" si="13"/>
        <v>0</v>
      </c>
      <c r="AH67" s="13">
        <f>SUM(AH40:AH66)</f>
        <v>0</v>
      </c>
    </row>
    <row r="68" spans="1:34" ht="18.75">
      <c r="O68" s="3"/>
      <c r="R68" s="44" t="s">
        <v>50</v>
      </c>
      <c r="AH68" s="3"/>
    </row>
    <row r="69" spans="1:34" s="34" customFormat="1">
      <c r="A69" s="31"/>
      <c r="B69" s="31"/>
      <c r="C69" s="32"/>
      <c r="D69" s="32"/>
      <c r="E69" s="32"/>
      <c r="F69" s="32"/>
      <c r="G69" s="32"/>
      <c r="H69" s="32"/>
      <c r="I69" s="32"/>
      <c r="J69" s="32"/>
      <c r="K69" s="32"/>
      <c r="O69" s="33"/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</row>
    <row r="70" spans="1:34">
      <c r="L70" s="3"/>
      <c r="M70" s="3"/>
      <c r="N70" s="3"/>
      <c r="R70"/>
      <c r="AC70" s="3"/>
      <c r="AD70" s="3"/>
      <c r="AE70" s="3"/>
      <c r="AF70" s="3"/>
      <c r="AG70" s="3"/>
    </row>
    <row r="71" spans="1:34">
      <c r="R71"/>
    </row>
    <row r="72" spans="1:34" ht="46.5">
      <c r="A72" s="292" t="s">
        <v>38</v>
      </c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  <c r="R72" s="292" t="s">
        <v>48</v>
      </c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4"/>
    </row>
    <row r="73" spans="1:34" ht="21.75" customHeight="1">
      <c r="A73" s="290" t="s">
        <v>33</v>
      </c>
      <c r="B73" s="287" t="s">
        <v>27</v>
      </c>
      <c r="C73" s="288"/>
      <c r="D73" s="287" t="s">
        <v>29</v>
      </c>
      <c r="E73" s="288"/>
      <c r="F73" s="285" t="s">
        <v>28</v>
      </c>
      <c r="G73" s="285" t="s">
        <v>36</v>
      </c>
      <c r="H73" s="285" t="s">
        <v>30</v>
      </c>
      <c r="I73" s="285" t="s">
        <v>31</v>
      </c>
      <c r="J73" s="285" t="s">
        <v>41</v>
      </c>
      <c r="K73" s="285" t="s">
        <v>35</v>
      </c>
      <c r="L73" s="285" t="s">
        <v>40</v>
      </c>
      <c r="M73" s="285" t="s">
        <v>42</v>
      </c>
      <c r="N73" s="285" t="s">
        <v>45</v>
      </c>
      <c r="O73" s="285" t="s">
        <v>34</v>
      </c>
      <c r="R73" s="290" t="s">
        <v>33</v>
      </c>
      <c r="S73" s="287" t="s">
        <v>27</v>
      </c>
      <c r="T73" s="288"/>
      <c r="U73" s="287" t="s">
        <v>29</v>
      </c>
      <c r="V73" s="288"/>
      <c r="W73" s="285" t="s">
        <v>28</v>
      </c>
      <c r="X73" s="285" t="s">
        <v>36</v>
      </c>
      <c r="Y73" s="285" t="s">
        <v>30</v>
      </c>
      <c r="Z73" s="285" t="s">
        <v>31</v>
      </c>
      <c r="AA73" s="285" t="s">
        <v>41</v>
      </c>
      <c r="AB73" s="285" t="s">
        <v>35</v>
      </c>
      <c r="AC73" s="285" t="s">
        <v>40</v>
      </c>
      <c r="AD73" s="285" t="s">
        <v>42</v>
      </c>
      <c r="AE73" s="285" t="s">
        <v>45</v>
      </c>
      <c r="AF73" s="287" t="s">
        <v>52</v>
      </c>
      <c r="AG73" s="288"/>
      <c r="AH73" s="285" t="s">
        <v>34</v>
      </c>
    </row>
    <row r="74" spans="1:34" ht="36.75" customHeight="1">
      <c r="A74" s="291"/>
      <c r="B74" s="56" t="s">
        <v>43</v>
      </c>
      <c r="C74" s="56" t="s">
        <v>44</v>
      </c>
      <c r="D74" s="56" t="s">
        <v>43</v>
      </c>
      <c r="E74" s="56" t="s">
        <v>44</v>
      </c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R74" s="291"/>
      <c r="S74" s="56" t="s">
        <v>43</v>
      </c>
      <c r="T74" s="56" t="s">
        <v>44</v>
      </c>
      <c r="U74" s="56" t="s">
        <v>43</v>
      </c>
      <c r="V74" s="56" t="s">
        <v>44</v>
      </c>
      <c r="W74" s="286"/>
      <c r="X74" s="286"/>
      <c r="Y74" s="286"/>
      <c r="Z74" s="286"/>
      <c r="AA74" s="286"/>
      <c r="AB74" s="286"/>
      <c r="AC74" s="286"/>
      <c r="AD74" s="286"/>
      <c r="AE74" s="286"/>
      <c r="AF74" s="55" t="s">
        <v>53</v>
      </c>
      <c r="AG74" s="55" t="s">
        <v>54</v>
      </c>
      <c r="AH74" s="286"/>
    </row>
    <row r="75" spans="1:34">
      <c r="A75" s="1" t="s">
        <v>0</v>
      </c>
      <c r="B75" s="22">
        <f>B5+B40</f>
        <v>0</v>
      </c>
      <c r="C75" s="22">
        <f t="shared" ref="C75:N75" si="14">C5+C40</f>
        <v>0</v>
      </c>
      <c r="D75" s="22">
        <f t="shared" si="14"/>
        <v>0</v>
      </c>
      <c r="E75" s="22">
        <f t="shared" si="14"/>
        <v>0</v>
      </c>
      <c r="F75" s="22">
        <f t="shared" si="14"/>
        <v>0</v>
      </c>
      <c r="G75" s="22">
        <f t="shared" si="14"/>
        <v>0</v>
      </c>
      <c r="H75" s="22">
        <f t="shared" si="14"/>
        <v>0</v>
      </c>
      <c r="I75" s="22">
        <f t="shared" si="14"/>
        <v>0</v>
      </c>
      <c r="J75" s="22">
        <f t="shared" si="14"/>
        <v>0</v>
      </c>
      <c r="K75" s="22">
        <f t="shared" si="14"/>
        <v>0</v>
      </c>
      <c r="L75" s="22">
        <f t="shared" si="14"/>
        <v>0</v>
      </c>
      <c r="M75" s="22">
        <f t="shared" si="14"/>
        <v>0</v>
      </c>
      <c r="N75" s="22">
        <f t="shared" si="14"/>
        <v>0</v>
      </c>
      <c r="O75" s="12">
        <f>SUM(B75:N75)</f>
        <v>0</v>
      </c>
      <c r="R75" s="2" t="s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12">
        <f>SUM(S75:AG75)</f>
        <v>0</v>
      </c>
    </row>
    <row r="76" spans="1:34">
      <c r="A76" s="1" t="s">
        <v>1</v>
      </c>
      <c r="B76" s="22">
        <f t="shared" ref="B76:N91" si="15">B6+B41</f>
        <v>0</v>
      </c>
      <c r="C76" s="22">
        <f t="shared" si="15"/>
        <v>0</v>
      </c>
      <c r="D76" s="22">
        <f t="shared" si="15"/>
        <v>0</v>
      </c>
      <c r="E76" s="22">
        <f t="shared" si="15"/>
        <v>0</v>
      </c>
      <c r="F76" s="22">
        <f t="shared" si="15"/>
        <v>0</v>
      </c>
      <c r="G76" s="22">
        <f t="shared" si="15"/>
        <v>0</v>
      </c>
      <c r="H76" s="22">
        <f t="shared" si="15"/>
        <v>0</v>
      </c>
      <c r="I76" s="22">
        <f t="shared" si="15"/>
        <v>0</v>
      </c>
      <c r="J76" s="22">
        <f t="shared" si="15"/>
        <v>0</v>
      </c>
      <c r="K76" s="22">
        <f t="shared" si="15"/>
        <v>0</v>
      </c>
      <c r="L76" s="22">
        <f t="shared" si="15"/>
        <v>0</v>
      </c>
      <c r="M76" s="22">
        <f t="shared" si="15"/>
        <v>0</v>
      </c>
      <c r="N76" s="22">
        <f t="shared" si="15"/>
        <v>0</v>
      </c>
      <c r="O76" s="12">
        <f t="shared" ref="O76:O101" si="16">SUM(B76:N76)</f>
        <v>0</v>
      </c>
      <c r="R76" s="2" t="s">
        <v>1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12">
        <f t="shared" ref="AH76:AH101" si="17">SUM(S76:AG76)</f>
        <v>0</v>
      </c>
    </row>
    <row r="77" spans="1:34">
      <c r="A77" s="18" t="s">
        <v>2</v>
      </c>
      <c r="B77" s="22">
        <f t="shared" si="15"/>
        <v>0</v>
      </c>
      <c r="C77" s="22">
        <f t="shared" si="15"/>
        <v>0</v>
      </c>
      <c r="D77" s="22">
        <f t="shared" si="15"/>
        <v>0</v>
      </c>
      <c r="E77" s="22">
        <f t="shared" si="15"/>
        <v>0</v>
      </c>
      <c r="F77" s="22">
        <f t="shared" si="15"/>
        <v>0</v>
      </c>
      <c r="G77" s="22">
        <f t="shared" si="15"/>
        <v>0</v>
      </c>
      <c r="H77" s="22">
        <f t="shared" si="15"/>
        <v>0</v>
      </c>
      <c r="I77" s="22">
        <f t="shared" si="15"/>
        <v>0</v>
      </c>
      <c r="J77" s="22">
        <f t="shared" si="15"/>
        <v>0</v>
      </c>
      <c r="K77" s="22">
        <f t="shared" si="15"/>
        <v>0</v>
      </c>
      <c r="L77" s="22">
        <f t="shared" si="15"/>
        <v>0</v>
      </c>
      <c r="M77" s="22">
        <f t="shared" si="15"/>
        <v>0</v>
      </c>
      <c r="N77" s="22">
        <f t="shared" si="15"/>
        <v>0</v>
      </c>
      <c r="O77" s="12">
        <f t="shared" si="16"/>
        <v>0</v>
      </c>
      <c r="R77" s="2" t="s">
        <v>2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12">
        <f t="shared" si="17"/>
        <v>0</v>
      </c>
    </row>
    <row r="78" spans="1:34">
      <c r="A78" s="2" t="s">
        <v>3</v>
      </c>
      <c r="B78" s="22">
        <f t="shared" si="15"/>
        <v>0</v>
      </c>
      <c r="C78" s="22">
        <f t="shared" si="15"/>
        <v>0</v>
      </c>
      <c r="D78" s="22">
        <f t="shared" si="15"/>
        <v>0</v>
      </c>
      <c r="E78" s="22">
        <f t="shared" si="15"/>
        <v>0</v>
      </c>
      <c r="F78" s="22">
        <f t="shared" si="15"/>
        <v>0</v>
      </c>
      <c r="G78" s="22">
        <f t="shared" si="15"/>
        <v>0</v>
      </c>
      <c r="H78" s="22">
        <f t="shared" si="15"/>
        <v>0</v>
      </c>
      <c r="I78" s="22">
        <f t="shared" si="15"/>
        <v>0</v>
      </c>
      <c r="J78" s="22">
        <f t="shared" si="15"/>
        <v>0</v>
      </c>
      <c r="K78" s="22">
        <f t="shared" si="15"/>
        <v>0</v>
      </c>
      <c r="L78" s="22">
        <f t="shared" si="15"/>
        <v>0</v>
      </c>
      <c r="M78" s="22">
        <f t="shared" si="15"/>
        <v>0</v>
      </c>
      <c r="N78" s="22">
        <f t="shared" si="15"/>
        <v>0</v>
      </c>
      <c r="O78" s="12">
        <f t="shared" si="16"/>
        <v>0</v>
      </c>
      <c r="R78" s="2" t="s">
        <v>3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12">
        <f t="shared" si="17"/>
        <v>0</v>
      </c>
    </row>
    <row r="79" spans="1:34">
      <c r="A79" s="1" t="s">
        <v>4</v>
      </c>
      <c r="B79" s="22">
        <f t="shared" si="15"/>
        <v>0</v>
      </c>
      <c r="C79" s="22">
        <f t="shared" si="15"/>
        <v>0</v>
      </c>
      <c r="D79" s="22">
        <f t="shared" si="15"/>
        <v>0</v>
      </c>
      <c r="E79" s="22">
        <f t="shared" si="15"/>
        <v>0</v>
      </c>
      <c r="F79" s="22">
        <f t="shared" si="15"/>
        <v>0</v>
      </c>
      <c r="G79" s="22">
        <f t="shared" si="15"/>
        <v>0</v>
      </c>
      <c r="H79" s="22">
        <f t="shared" si="15"/>
        <v>0</v>
      </c>
      <c r="I79" s="22">
        <f t="shared" si="15"/>
        <v>0</v>
      </c>
      <c r="J79" s="22">
        <f t="shared" si="15"/>
        <v>0</v>
      </c>
      <c r="K79" s="22">
        <f t="shared" si="15"/>
        <v>0</v>
      </c>
      <c r="L79" s="22">
        <f t="shared" si="15"/>
        <v>0</v>
      </c>
      <c r="M79" s="22">
        <f t="shared" si="15"/>
        <v>0</v>
      </c>
      <c r="N79" s="22">
        <f t="shared" si="15"/>
        <v>0</v>
      </c>
      <c r="O79" s="12">
        <f t="shared" si="16"/>
        <v>0</v>
      </c>
      <c r="R79" s="2" t="s">
        <v>4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12">
        <f t="shared" si="17"/>
        <v>0</v>
      </c>
    </row>
    <row r="80" spans="1:34">
      <c r="A80" s="1" t="s">
        <v>5</v>
      </c>
      <c r="B80" s="22">
        <f t="shared" si="15"/>
        <v>0</v>
      </c>
      <c r="C80" s="22">
        <f t="shared" si="15"/>
        <v>0</v>
      </c>
      <c r="D80" s="22">
        <f t="shared" si="15"/>
        <v>0</v>
      </c>
      <c r="E80" s="22">
        <f t="shared" si="15"/>
        <v>0</v>
      </c>
      <c r="F80" s="22">
        <f t="shared" si="15"/>
        <v>0</v>
      </c>
      <c r="G80" s="22">
        <f t="shared" si="15"/>
        <v>0</v>
      </c>
      <c r="H80" s="22">
        <f t="shared" si="15"/>
        <v>0</v>
      </c>
      <c r="I80" s="22">
        <f t="shared" si="15"/>
        <v>0</v>
      </c>
      <c r="J80" s="22">
        <f t="shared" si="15"/>
        <v>0</v>
      </c>
      <c r="K80" s="22">
        <f t="shared" si="15"/>
        <v>0</v>
      </c>
      <c r="L80" s="22">
        <f t="shared" si="15"/>
        <v>0</v>
      </c>
      <c r="M80" s="22">
        <f t="shared" si="15"/>
        <v>0</v>
      </c>
      <c r="N80" s="22">
        <f t="shared" si="15"/>
        <v>0</v>
      </c>
      <c r="O80" s="12">
        <f t="shared" si="16"/>
        <v>0</v>
      </c>
      <c r="R80" s="2" t="s">
        <v>5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12">
        <f t="shared" si="17"/>
        <v>0</v>
      </c>
    </row>
    <row r="81" spans="1:34">
      <c r="A81" s="1" t="s">
        <v>6</v>
      </c>
      <c r="B81" s="22">
        <f t="shared" si="15"/>
        <v>0</v>
      </c>
      <c r="C81" s="22">
        <f t="shared" si="15"/>
        <v>0</v>
      </c>
      <c r="D81" s="22">
        <f t="shared" si="15"/>
        <v>0</v>
      </c>
      <c r="E81" s="22">
        <f t="shared" si="15"/>
        <v>0</v>
      </c>
      <c r="F81" s="22">
        <f t="shared" si="15"/>
        <v>0</v>
      </c>
      <c r="G81" s="22">
        <f t="shared" si="15"/>
        <v>0</v>
      </c>
      <c r="H81" s="22">
        <f t="shared" si="15"/>
        <v>0</v>
      </c>
      <c r="I81" s="22">
        <f t="shared" si="15"/>
        <v>0</v>
      </c>
      <c r="J81" s="22">
        <f t="shared" si="15"/>
        <v>0</v>
      </c>
      <c r="K81" s="22">
        <f t="shared" si="15"/>
        <v>0</v>
      </c>
      <c r="L81" s="22">
        <f t="shared" si="15"/>
        <v>0</v>
      </c>
      <c r="M81" s="22">
        <f t="shared" si="15"/>
        <v>0</v>
      </c>
      <c r="N81" s="22">
        <f t="shared" si="15"/>
        <v>0</v>
      </c>
      <c r="O81" s="12">
        <f t="shared" si="16"/>
        <v>0</v>
      </c>
      <c r="R81" s="2" t="s">
        <v>6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12">
        <f t="shared" si="17"/>
        <v>0</v>
      </c>
    </row>
    <row r="82" spans="1:34">
      <c r="A82" s="1" t="s">
        <v>7</v>
      </c>
      <c r="B82" s="22">
        <f t="shared" si="15"/>
        <v>0</v>
      </c>
      <c r="C82" s="22">
        <f t="shared" si="15"/>
        <v>0</v>
      </c>
      <c r="D82" s="22">
        <f t="shared" si="15"/>
        <v>0</v>
      </c>
      <c r="E82" s="22">
        <f t="shared" si="15"/>
        <v>0</v>
      </c>
      <c r="F82" s="22">
        <f t="shared" si="15"/>
        <v>0</v>
      </c>
      <c r="G82" s="22">
        <f t="shared" si="15"/>
        <v>0</v>
      </c>
      <c r="H82" s="22">
        <f t="shared" si="15"/>
        <v>0</v>
      </c>
      <c r="I82" s="22">
        <f t="shared" si="15"/>
        <v>0</v>
      </c>
      <c r="J82" s="22">
        <f>J12+J47</f>
        <v>0</v>
      </c>
      <c r="K82" s="22">
        <f t="shared" si="15"/>
        <v>0</v>
      </c>
      <c r="L82" s="22">
        <f t="shared" si="15"/>
        <v>0</v>
      </c>
      <c r="M82" s="22">
        <f t="shared" si="15"/>
        <v>0</v>
      </c>
      <c r="N82" s="22">
        <f t="shared" si="15"/>
        <v>0</v>
      </c>
      <c r="O82" s="12">
        <f t="shared" si="16"/>
        <v>0</v>
      </c>
      <c r="R82" s="2" t="s">
        <v>7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12">
        <f t="shared" si="17"/>
        <v>0</v>
      </c>
    </row>
    <row r="83" spans="1:34">
      <c r="A83" s="1" t="s">
        <v>8</v>
      </c>
      <c r="B83" s="22">
        <f t="shared" si="15"/>
        <v>0</v>
      </c>
      <c r="C83" s="22">
        <f t="shared" si="15"/>
        <v>0</v>
      </c>
      <c r="D83" s="22">
        <f t="shared" si="15"/>
        <v>0</v>
      </c>
      <c r="E83" s="22">
        <f t="shared" si="15"/>
        <v>0</v>
      </c>
      <c r="F83" s="22">
        <f t="shared" si="15"/>
        <v>0</v>
      </c>
      <c r="G83" s="22">
        <f t="shared" si="15"/>
        <v>0</v>
      </c>
      <c r="H83" s="22">
        <f t="shared" si="15"/>
        <v>0</v>
      </c>
      <c r="I83" s="22">
        <f t="shared" si="15"/>
        <v>0</v>
      </c>
      <c r="J83" s="22">
        <f t="shared" si="15"/>
        <v>0</v>
      </c>
      <c r="K83" s="22">
        <f t="shared" si="15"/>
        <v>0</v>
      </c>
      <c r="L83" s="22">
        <f t="shared" si="15"/>
        <v>0</v>
      </c>
      <c r="M83" s="22">
        <f t="shared" si="15"/>
        <v>0</v>
      </c>
      <c r="N83" s="22">
        <f t="shared" si="15"/>
        <v>0</v>
      </c>
      <c r="O83" s="12">
        <f t="shared" si="16"/>
        <v>0</v>
      </c>
      <c r="R83" s="2" t="s">
        <v>8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12">
        <f t="shared" si="17"/>
        <v>0</v>
      </c>
    </row>
    <row r="84" spans="1:34">
      <c r="A84" s="2" t="s">
        <v>9</v>
      </c>
      <c r="B84" s="22">
        <f t="shared" si="15"/>
        <v>0</v>
      </c>
      <c r="C84" s="22">
        <f t="shared" si="15"/>
        <v>0</v>
      </c>
      <c r="D84" s="22">
        <f t="shared" si="15"/>
        <v>0</v>
      </c>
      <c r="E84" s="22">
        <f t="shared" si="15"/>
        <v>0</v>
      </c>
      <c r="F84" s="22">
        <f t="shared" si="15"/>
        <v>0</v>
      </c>
      <c r="G84" s="22">
        <f t="shared" si="15"/>
        <v>0</v>
      </c>
      <c r="H84" s="22">
        <f t="shared" si="15"/>
        <v>0</v>
      </c>
      <c r="I84" s="22">
        <f t="shared" si="15"/>
        <v>0</v>
      </c>
      <c r="J84" s="22">
        <f t="shared" si="15"/>
        <v>0</v>
      </c>
      <c r="K84" s="22">
        <f t="shared" si="15"/>
        <v>0</v>
      </c>
      <c r="L84" s="22">
        <f t="shared" si="15"/>
        <v>0</v>
      </c>
      <c r="M84" s="22">
        <f t="shared" si="15"/>
        <v>0</v>
      </c>
      <c r="N84" s="22">
        <f t="shared" si="15"/>
        <v>0</v>
      </c>
      <c r="O84" s="12">
        <f t="shared" si="16"/>
        <v>0</v>
      </c>
      <c r="R84" s="2" t="s">
        <v>9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12">
        <f t="shared" si="17"/>
        <v>0</v>
      </c>
    </row>
    <row r="85" spans="1:34">
      <c r="A85" s="18" t="s">
        <v>10</v>
      </c>
      <c r="B85" s="22">
        <f t="shared" si="15"/>
        <v>0</v>
      </c>
      <c r="C85" s="22">
        <f t="shared" si="15"/>
        <v>0</v>
      </c>
      <c r="D85" s="22">
        <f t="shared" si="15"/>
        <v>0</v>
      </c>
      <c r="E85" s="22">
        <f t="shared" si="15"/>
        <v>0</v>
      </c>
      <c r="F85" s="22">
        <f t="shared" si="15"/>
        <v>0</v>
      </c>
      <c r="G85" s="22">
        <f t="shared" si="15"/>
        <v>0</v>
      </c>
      <c r="H85" s="22">
        <f t="shared" si="15"/>
        <v>0</v>
      </c>
      <c r="I85" s="22">
        <f t="shared" si="15"/>
        <v>0</v>
      </c>
      <c r="J85" s="22">
        <f t="shared" si="15"/>
        <v>0</v>
      </c>
      <c r="K85" s="22">
        <f t="shared" si="15"/>
        <v>0</v>
      </c>
      <c r="L85" s="22">
        <f t="shared" si="15"/>
        <v>0</v>
      </c>
      <c r="M85" s="22">
        <f t="shared" si="15"/>
        <v>0</v>
      </c>
      <c r="N85" s="22">
        <f t="shared" si="15"/>
        <v>0</v>
      </c>
      <c r="O85" s="12">
        <f t="shared" si="16"/>
        <v>0</v>
      </c>
      <c r="R85" s="2" t="s">
        <v>10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12">
        <f t="shared" si="17"/>
        <v>0</v>
      </c>
    </row>
    <row r="86" spans="1:34">
      <c r="A86" s="1" t="s">
        <v>11</v>
      </c>
      <c r="B86" s="22">
        <f t="shared" si="15"/>
        <v>0</v>
      </c>
      <c r="C86" s="22">
        <f t="shared" si="15"/>
        <v>0</v>
      </c>
      <c r="D86" s="22">
        <f t="shared" si="15"/>
        <v>0</v>
      </c>
      <c r="E86" s="22">
        <f t="shared" si="15"/>
        <v>0</v>
      </c>
      <c r="F86" s="22">
        <f t="shared" si="15"/>
        <v>0</v>
      </c>
      <c r="G86" s="22">
        <f t="shared" si="15"/>
        <v>0</v>
      </c>
      <c r="H86" s="22">
        <f t="shared" si="15"/>
        <v>0</v>
      </c>
      <c r="I86" s="22">
        <f t="shared" si="15"/>
        <v>0</v>
      </c>
      <c r="J86" s="22">
        <f t="shared" si="15"/>
        <v>0</v>
      </c>
      <c r="K86" s="22">
        <f t="shared" si="15"/>
        <v>0</v>
      </c>
      <c r="L86" s="22">
        <f t="shared" si="15"/>
        <v>0</v>
      </c>
      <c r="M86" s="22">
        <f t="shared" si="15"/>
        <v>0</v>
      </c>
      <c r="N86" s="22">
        <f t="shared" si="15"/>
        <v>0</v>
      </c>
      <c r="O86" s="12">
        <f t="shared" si="16"/>
        <v>0</v>
      </c>
      <c r="R86" s="2" t="s">
        <v>11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12">
        <f t="shared" si="17"/>
        <v>0</v>
      </c>
    </row>
    <row r="87" spans="1:34">
      <c r="A87" s="1" t="s">
        <v>12</v>
      </c>
      <c r="B87" s="22">
        <f t="shared" si="15"/>
        <v>0</v>
      </c>
      <c r="C87" s="22">
        <f t="shared" si="15"/>
        <v>0</v>
      </c>
      <c r="D87" s="22">
        <f t="shared" si="15"/>
        <v>0</v>
      </c>
      <c r="E87" s="22">
        <f t="shared" si="15"/>
        <v>0</v>
      </c>
      <c r="F87" s="22">
        <f t="shared" si="15"/>
        <v>0</v>
      </c>
      <c r="G87" s="22">
        <f t="shared" si="15"/>
        <v>0</v>
      </c>
      <c r="H87" s="22">
        <f t="shared" si="15"/>
        <v>0</v>
      </c>
      <c r="I87" s="22">
        <f t="shared" si="15"/>
        <v>0</v>
      </c>
      <c r="J87" s="22">
        <f t="shared" si="15"/>
        <v>0</v>
      </c>
      <c r="K87" s="22">
        <f t="shared" si="15"/>
        <v>0</v>
      </c>
      <c r="L87" s="22">
        <f t="shared" si="15"/>
        <v>0</v>
      </c>
      <c r="M87" s="22">
        <f t="shared" si="15"/>
        <v>0</v>
      </c>
      <c r="N87" s="22">
        <f t="shared" si="15"/>
        <v>0</v>
      </c>
      <c r="O87" s="12">
        <f t="shared" si="16"/>
        <v>0</v>
      </c>
      <c r="R87" s="2" t="s">
        <v>12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12">
        <f t="shared" si="17"/>
        <v>0</v>
      </c>
    </row>
    <row r="88" spans="1:34">
      <c r="A88" s="1" t="s">
        <v>15</v>
      </c>
      <c r="B88" s="22">
        <f t="shared" si="15"/>
        <v>0</v>
      </c>
      <c r="C88" s="22">
        <f t="shared" si="15"/>
        <v>0</v>
      </c>
      <c r="D88" s="22">
        <f t="shared" si="15"/>
        <v>0</v>
      </c>
      <c r="E88" s="22">
        <f t="shared" si="15"/>
        <v>0</v>
      </c>
      <c r="F88" s="22">
        <f t="shared" si="15"/>
        <v>0</v>
      </c>
      <c r="G88" s="22">
        <f t="shared" si="15"/>
        <v>0</v>
      </c>
      <c r="H88" s="22">
        <f t="shared" si="15"/>
        <v>0</v>
      </c>
      <c r="I88" s="22">
        <f t="shared" si="15"/>
        <v>0</v>
      </c>
      <c r="J88" s="22">
        <f t="shared" si="15"/>
        <v>0</v>
      </c>
      <c r="K88" s="22">
        <f t="shared" si="15"/>
        <v>0</v>
      </c>
      <c r="L88" s="22">
        <f t="shared" si="15"/>
        <v>0</v>
      </c>
      <c r="M88" s="22">
        <f t="shared" si="15"/>
        <v>0</v>
      </c>
      <c r="N88" s="22">
        <f t="shared" si="15"/>
        <v>0</v>
      </c>
      <c r="O88" s="12">
        <f t="shared" si="16"/>
        <v>0</v>
      </c>
      <c r="R88" s="2" t="s">
        <v>15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12">
        <f t="shared" si="17"/>
        <v>0</v>
      </c>
    </row>
    <row r="89" spans="1:34">
      <c r="A89" s="1" t="s">
        <v>14</v>
      </c>
      <c r="B89" s="22">
        <f t="shared" si="15"/>
        <v>0</v>
      </c>
      <c r="C89" s="22">
        <f t="shared" si="15"/>
        <v>0</v>
      </c>
      <c r="D89" s="22">
        <f t="shared" si="15"/>
        <v>0</v>
      </c>
      <c r="E89" s="22">
        <f t="shared" si="15"/>
        <v>0</v>
      </c>
      <c r="F89" s="22">
        <f t="shared" si="15"/>
        <v>0</v>
      </c>
      <c r="G89" s="22">
        <f t="shared" si="15"/>
        <v>0</v>
      </c>
      <c r="H89" s="22">
        <f t="shared" si="15"/>
        <v>0</v>
      </c>
      <c r="I89" s="22">
        <f t="shared" si="15"/>
        <v>0</v>
      </c>
      <c r="J89" s="22">
        <f t="shared" si="15"/>
        <v>0</v>
      </c>
      <c r="K89" s="22">
        <f t="shared" si="15"/>
        <v>0</v>
      </c>
      <c r="L89" s="22">
        <f t="shared" si="15"/>
        <v>0</v>
      </c>
      <c r="M89" s="22">
        <f t="shared" si="15"/>
        <v>0</v>
      </c>
      <c r="N89" s="22">
        <f t="shared" si="15"/>
        <v>0</v>
      </c>
      <c r="O89" s="12">
        <f t="shared" si="16"/>
        <v>0</v>
      </c>
      <c r="R89" s="2" t="s">
        <v>14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12">
        <f t="shared" si="17"/>
        <v>0</v>
      </c>
    </row>
    <row r="90" spans="1:34">
      <c r="A90" s="18" t="s">
        <v>13</v>
      </c>
      <c r="B90" s="22">
        <f t="shared" si="15"/>
        <v>0</v>
      </c>
      <c r="C90" s="22">
        <f t="shared" si="15"/>
        <v>0</v>
      </c>
      <c r="D90" s="22">
        <f t="shared" si="15"/>
        <v>0</v>
      </c>
      <c r="E90" s="22">
        <f t="shared" si="15"/>
        <v>0</v>
      </c>
      <c r="F90" s="22">
        <f t="shared" si="15"/>
        <v>0</v>
      </c>
      <c r="G90" s="22">
        <f t="shared" si="15"/>
        <v>0</v>
      </c>
      <c r="H90" s="22">
        <f t="shared" si="15"/>
        <v>0</v>
      </c>
      <c r="I90" s="22">
        <f t="shared" si="15"/>
        <v>0</v>
      </c>
      <c r="J90" s="22">
        <f t="shared" si="15"/>
        <v>0</v>
      </c>
      <c r="K90" s="22">
        <f t="shared" si="15"/>
        <v>0</v>
      </c>
      <c r="L90" s="22">
        <f t="shared" si="15"/>
        <v>0</v>
      </c>
      <c r="M90" s="22">
        <f t="shared" si="15"/>
        <v>0</v>
      </c>
      <c r="N90" s="22">
        <f t="shared" si="15"/>
        <v>0</v>
      </c>
      <c r="O90" s="12">
        <f t="shared" si="16"/>
        <v>0</v>
      </c>
      <c r="R90" s="2" t="s">
        <v>13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12">
        <f t="shared" si="17"/>
        <v>0</v>
      </c>
    </row>
    <row r="91" spans="1:34">
      <c r="A91" s="1" t="s">
        <v>16</v>
      </c>
      <c r="B91" s="22">
        <f t="shared" si="15"/>
        <v>0</v>
      </c>
      <c r="C91" s="22">
        <f t="shared" si="15"/>
        <v>0</v>
      </c>
      <c r="D91" s="22">
        <f t="shared" si="15"/>
        <v>0</v>
      </c>
      <c r="E91" s="22">
        <f t="shared" si="15"/>
        <v>0</v>
      </c>
      <c r="F91" s="22">
        <f t="shared" si="15"/>
        <v>0</v>
      </c>
      <c r="G91" s="22">
        <f t="shared" si="15"/>
        <v>0</v>
      </c>
      <c r="H91" s="22">
        <f t="shared" si="15"/>
        <v>0</v>
      </c>
      <c r="I91" s="22">
        <f t="shared" si="15"/>
        <v>0</v>
      </c>
      <c r="J91" s="22">
        <f t="shared" si="15"/>
        <v>0</v>
      </c>
      <c r="K91" s="22">
        <f t="shared" si="15"/>
        <v>0</v>
      </c>
      <c r="L91" s="22">
        <f t="shared" si="15"/>
        <v>0</v>
      </c>
      <c r="M91" s="22">
        <f t="shared" si="15"/>
        <v>0</v>
      </c>
      <c r="N91" s="22">
        <f t="shared" si="15"/>
        <v>0</v>
      </c>
      <c r="O91" s="12">
        <f t="shared" si="16"/>
        <v>0</v>
      </c>
      <c r="R91" s="2" t="s">
        <v>16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12">
        <f t="shared" si="17"/>
        <v>0</v>
      </c>
    </row>
    <row r="92" spans="1:34">
      <c r="A92" s="1" t="s">
        <v>17</v>
      </c>
      <c r="B92" s="22">
        <f t="shared" ref="B92:N101" si="18">B22+B57</f>
        <v>0</v>
      </c>
      <c r="C92" s="22">
        <f t="shared" si="18"/>
        <v>0</v>
      </c>
      <c r="D92" s="22">
        <f t="shared" si="18"/>
        <v>0</v>
      </c>
      <c r="E92" s="22">
        <f t="shared" si="18"/>
        <v>0</v>
      </c>
      <c r="F92" s="22">
        <f t="shared" si="18"/>
        <v>0</v>
      </c>
      <c r="G92" s="22">
        <f t="shared" si="18"/>
        <v>0</v>
      </c>
      <c r="H92" s="22">
        <f t="shared" si="18"/>
        <v>0</v>
      </c>
      <c r="I92" s="22">
        <f t="shared" si="18"/>
        <v>0</v>
      </c>
      <c r="J92" s="22">
        <f t="shared" si="18"/>
        <v>0</v>
      </c>
      <c r="K92" s="22">
        <f t="shared" si="18"/>
        <v>0</v>
      </c>
      <c r="L92" s="22">
        <f t="shared" si="18"/>
        <v>0</v>
      </c>
      <c r="M92" s="22">
        <f t="shared" si="18"/>
        <v>0</v>
      </c>
      <c r="N92" s="22">
        <f t="shared" si="18"/>
        <v>0</v>
      </c>
      <c r="O92" s="12">
        <f t="shared" si="16"/>
        <v>0</v>
      </c>
      <c r="R92" s="2" t="s">
        <v>17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12">
        <f t="shared" si="17"/>
        <v>0</v>
      </c>
    </row>
    <row r="93" spans="1:34">
      <c r="A93" s="1" t="s">
        <v>18</v>
      </c>
      <c r="B93" s="22">
        <f t="shared" si="18"/>
        <v>0</v>
      </c>
      <c r="C93" s="22">
        <f t="shared" si="18"/>
        <v>0</v>
      </c>
      <c r="D93" s="22">
        <f t="shared" si="18"/>
        <v>0</v>
      </c>
      <c r="E93" s="22">
        <f t="shared" si="18"/>
        <v>0</v>
      </c>
      <c r="F93" s="22">
        <f t="shared" si="18"/>
        <v>0</v>
      </c>
      <c r="G93" s="22">
        <f t="shared" si="18"/>
        <v>0</v>
      </c>
      <c r="H93" s="22">
        <f t="shared" si="18"/>
        <v>0</v>
      </c>
      <c r="I93" s="22">
        <f t="shared" si="18"/>
        <v>0</v>
      </c>
      <c r="J93" s="22">
        <f t="shared" si="18"/>
        <v>0</v>
      </c>
      <c r="K93" s="22">
        <f t="shared" si="18"/>
        <v>0</v>
      </c>
      <c r="L93" s="22">
        <f t="shared" si="18"/>
        <v>0</v>
      </c>
      <c r="M93" s="22">
        <f t="shared" si="18"/>
        <v>0</v>
      </c>
      <c r="N93" s="22">
        <f t="shared" si="18"/>
        <v>0</v>
      </c>
      <c r="O93" s="12">
        <f t="shared" si="16"/>
        <v>0</v>
      </c>
      <c r="R93" s="2" t="s">
        <v>18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12">
        <f t="shared" si="17"/>
        <v>0</v>
      </c>
    </row>
    <row r="94" spans="1:34">
      <c r="A94" s="1" t="s">
        <v>20</v>
      </c>
      <c r="B94" s="22">
        <f t="shared" si="18"/>
        <v>0</v>
      </c>
      <c r="C94" s="22">
        <f t="shared" si="18"/>
        <v>0</v>
      </c>
      <c r="D94" s="22">
        <f t="shared" si="18"/>
        <v>0</v>
      </c>
      <c r="E94" s="22">
        <f t="shared" si="18"/>
        <v>0</v>
      </c>
      <c r="F94" s="22">
        <f t="shared" si="18"/>
        <v>0</v>
      </c>
      <c r="G94" s="22">
        <f t="shared" si="18"/>
        <v>0</v>
      </c>
      <c r="H94" s="22">
        <f t="shared" si="18"/>
        <v>0</v>
      </c>
      <c r="I94" s="22">
        <f t="shared" si="18"/>
        <v>0</v>
      </c>
      <c r="J94" s="22">
        <f t="shared" si="18"/>
        <v>0</v>
      </c>
      <c r="K94" s="22">
        <f t="shared" si="18"/>
        <v>0</v>
      </c>
      <c r="L94" s="22">
        <f t="shared" si="18"/>
        <v>0</v>
      </c>
      <c r="M94" s="22">
        <f t="shared" si="18"/>
        <v>0</v>
      </c>
      <c r="N94" s="22">
        <f t="shared" si="18"/>
        <v>0</v>
      </c>
      <c r="O94" s="12">
        <f t="shared" si="16"/>
        <v>0</v>
      </c>
      <c r="R94" s="2" t="s">
        <v>20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12">
        <f t="shared" si="17"/>
        <v>0</v>
      </c>
    </row>
    <row r="95" spans="1:34">
      <c r="A95" s="1" t="s">
        <v>19</v>
      </c>
      <c r="B95" s="22">
        <f t="shared" si="18"/>
        <v>0</v>
      </c>
      <c r="C95" s="22">
        <f t="shared" si="18"/>
        <v>0</v>
      </c>
      <c r="D95" s="22">
        <f t="shared" si="18"/>
        <v>0</v>
      </c>
      <c r="E95" s="22">
        <f t="shared" si="18"/>
        <v>0</v>
      </c>
      <c r="F95" s="22">
        <f t="shared" si="18"/>
        <v>0</v>
      </c>
      <c r="G95" s="22">
        <f t="shared" si="18"/>
        <v>0</v>
      </c>
      <c r="H95" s="22">
        <f t="shared" si="18"/>
        <v>0</v>
      </c>
      <c r="I95" s="22">
        <f t="shared" si="18"/>
        <v>0</v>
      </c>
      <c r="J95" s="22">
        <f t="shared" si="18"/>
        <v>0</v>
      </c>
      <c r="K95" s="22">
        <f t="shared" si="18"/>
        <v>0</v>
      </c>
      <c r="L95" s="22">
        <f t="shared" si="18"/>
        <v>0</v>
      </c>
      <c r="M95" s="22">
        <f t="shared" si="18"/>
        <v>0</v>
      </c>
      <c r="N95" s="22">
        <f t="shared" si="18"/>
        <v>0</v>
      </c>
      <c r="O95" s="12">
        <f t="shared" si="16"/>
        <v>0</v>
      </c>
      <c r="R95" s="2" t="s">
        <v>19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12">
        <f t="shared" si="17"/>
        <v>0</v>
      </c>
    </row>
    <row r="96" spans="1:34">
      <c r="A96" s="18" t="s">
        <v>21</v>
      </c>
      <c r="B96" s="22">
        <f t="shared" si="18"/>
        <v>0</v>
      </c>
      <c r="C96" s="22">
        <f t="shared" si="18"/>
        <v>0</v>
      </c>
      <c r="D96" s="22">
        <f t="shared" si="18"/>
        <v>0</v>
      </c>
      <c r="E96" s="22">
        <f t="shared" si="18"/>
        <v>0</v>
      </c>
      <c r="F96" s="22">
        <f t="shared" si="18"/>
        <v>0</v>
      </c>
      <c r="G96" s="22">
        <f t="shared" si="18"/>
        <v>0</v>
      </c>
      <c r="H96" s="22">
        <f t="shared" si="18"/>
        <v>0</v>
      </c>
      <c r="I96" s="22">
        <f t="shared" si="18"/>
        <v>0</v>
      </c>
      <c r="J96" s="22">
        <f t="shared" si="18"/>
        <v>0</v>
      </c>
      <c r="K96" s="22">
        <f t="shared" si="18"/>
        <v>0</v>
      </c>
      <c r="L96" s="22">
        <f t="shared" si="18"/>
        <v>0</v>
      </c>
      <c r="M96" s="22">
        <f t="shared" si="18"/>
        <v>0</v>
      </c>
      <c r="N96" s="22">
        <f t="shared" si="18"/>
        <v>0</v>
      </c>
      <c r="O96" s="12">
        <f t="shared" si="16"/>
        <v>0</v>
      </c>
      <c r="R96" s="2" t="s">
        <v>21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12">
        <f t="shared" si="17"/>
        <v>0</v>
      </c>
    </row>
    <row r="97" spans="1:34">
      <c r="A97" s="2" t="s">
        <v>22</v>
      </c>
      <c r="B97" s="22">
        <f t="shared" si="18"/>
        <v>0</v>
      </c>
      <c r="C97" s="22">
        <f t="shared" si="18"/>
        <v>0</v>
      </c>
      <c r="D97" s="22">
        <f t="shared" si="18"/>
        <v>0</v>
      </c>
      <c r="E97" s="22">
        <f t="shared" si="18"/>
        <v>0</v>
      </c>
      <c r="F97" s="22">
        <f t="shared" si="18"/>
        <v>0</v>
      </c>
      <c r="G97" s="22">
        <f t="shared" si="18"/>
        <v>0</v>
      </c>
      <c r="H97" s="22">
        <f t="shared" si="18"/>
        <v>0</v>
      </c>
      <c r="I97" s="22">
        <f t="shared" si="18"/>
        <v>0</v>
      </c>
      <c r="J97" s="22">
        <f t="shared" si="18"/>
        <v>0</v>
      </c>
      <c r="K97" s="22">
        <f t="shared" si="18"/>
        <v>0</v>
      </c>
      <c r="L97" s="22">
        <f t="shared" si="18"/>
        <v>0</v>
      </c>
      <c r="M97" s="22">
        <f t="shared" si="18"/>
        <v>0</v>
      </c>
      <c r="N97" s="22">
        <f t="shared" si="18"/>
        <v>0</v>
      </c>
      <c r="O97" s="12">
        <f t="shared" si="16"/>
        <v>0</v>
      </c>
      <c r="R97" s="2" t="s">
        <v>22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12">
        <f t="shared" si="17"/>
        <v>0</v>
      </c>
    </row>
    <row r="98" spans="1:34">
      <c r="A98" s="1" t="s">
        <v>23</v>
      </c>
      <c r="B98" s="22">
        <f t="shared" si="18"/>
        <v>0</v>
      </c>
      <c r="C98" s="22">
        <f t="shared" si="18"/>
        <v>0</v>
      </c>
      <c r="D98" s="22">
        <f t="shared" si="18"/>
        <v>0</v>
      </c>
      <c r="E98" s="22">
        <f t="shared" si="18"/>
        <v>0</v>
      </c>
      <c r="F98" s="22">
        <f t="shared" si="18"/>
        <v>0</v>
      </c>
      <c r="G98" s="22">
        <f t="shared" si="18"/>
        <v>0</v>
      </c>
      <c r="H98" s="22">
        <f t="shared" si="18"/>
        <v>0</v>
      </c>
      <c r="I98" s="22">
        <f t="shared" si="18"/>
        <v>0</v>
      </c>
      <c r="J98" s="22">
        <f t="shared" si="18"/>
        <v>0</v>
      </c>
      <c r="K98" s="22">
        <f t="shared" si="18"/>
        <v>0</v>
      </c>
      <c r="L98" s="22">
        <f t="shared" si="18"/>
        <v>0</v>
      </c>
      <c r="M98" s="22">
        <f t="shared" si="18"/>
        <v>0</v>
      </c>
      <c r="N98" s="22">
        <f t="shared" si="18"/>
        <v>0</v>
      </c>
      <c r="O98" s="12">
        <f t="shared" si="16"/>
        <v>0</v>
      </c>
      <c r="R98" s="2" t="s">
        <v>23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12">
        <f t="shared" si="17"/>
        <v>0</v>
      </c>
    </row>
    <row r="99" spans="1:34">
      <c r="A99" s="1" t="s">
        <v>25</v>
      </c>
      <c r="B99" s="22">
        <f t="shared" si="18"/>
        <v>0</v>
      </c>
      <c r="C99" s="22">
        <f t="shared" si="18"/>
        <v>0</v>
      </c>
      <c r="D99" s="22">
        <f t="shared" si="18"/>
        <v>0</v>
      </c>
      <c r="E99" s="22">
        <f t="shared" si="18"/>
        <v>0</v>
      </c>
      <c r="F99" s="22">
        <f t="shared" si="18"/>
        <v>0</v>
      </c>
      <c r="G99" s="22">
        <f t="shared" si="18"/>
        <v>0</v>
      </c>
      <c r="H99" s="22">
        <f t="shared" si="18"/>
        <v>0</v>
      </c>
      <c r="I99" s="22">
        <f t="shared" si="18"/>
        <v>0</v>
      </c>
      <c r="J99" s="22">
        <f t="shared" si="18"/>
        <v>0</v>
      </c>
      <c r="K99" s="22">
        <f t="shared" si="18"/>
        <v>0</v>
      </c>
      <c r="L99" s="22">
        <f t="shared" si="18"/>
        <v>0</v>
      </c>
      <c r="M99" s="22">
        <f t="shared" si="18"/>
        <v>0</v>
      </c>
      <c r="N99" s="22">
        <f t="shared" si="18"/>
        <v>0</v>
      </c>
      <c r="O99" s="12">
        <f t="shared" si="16"/>
        <v>0</v>
      </c>
      <c r="R99" s="2" t="s">
        <v>25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12">
        <f t="shared" si="17"/>
        <v>0</v>
      </c>
    </row>
    <row r="100" spans="1:34">
      <c r="A100" s="1" t="s">
        <v>24</v>
      </c>
      <c r="B100" s="22">
        <f t="shared" si="18"/>
        <v>0</v>
      </c>
      <c r="C100" s="22">
        <f t="shared" si="18"/>
        <v>0</v>
      </c>
      <c r="D100" s="22">
        <f t="shared" si="18"/>
        <v>0</v>
      </c>
      <c r="E100" s="22">
        <f t="shared" si="18"/>
        <v>0</v>
      </c>
      <c r="F100" s="22">
        <f t="shared" si="18"/>
        <v>0</v>
      </c>
      <c r="G100" s="22">
        <f t="shared" si="18"/>
        <v>0</v>
      </c>
      <c r="H100" s="22">
        <f t="shared" si="18"/>
        <v>0</v>
      </c>
      <c r="I100" s="22">
        <f t="shared" si="18"/>
        <v>0</v>
      </c>
      <c r="J100" s="22">
        <f t="shared" si="18"/>
        <v>0</v>
      </c>
      <c r="K100" s="22">
        <f t="shared" si="18"/>
        <v>0</v>
      </c>
      <c r="L100" s="22">
        <f t="shared" si="18"/>
        <v>0</v>
      </c>
      <c r="M100" s="22">
        <f t="shared" si="18"/>
        <v>0</v>
      </c>
      <c r="N100" s="22">
        <f t="shared" si="18"/>
        <v>0</v>
      </c>
      <c r="O100" s="12">
        <f t="shared" si="16"/>
        <v>0</v>
      </c>
      <c r="R100" s="2" t="s">
        <v>24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12">
        <f>SUM(S100:AG100)</f>
        <v>0</v>
      </c>
    </row>
    <row r="101" spans="1:34">
      <c r="A101" s="1" t="s">
        <v>26</v>
      </c>
      <c r="B101" s="22">
        <f t="shared" si="18"/>
        <v>0</v>
      </c>
      <c r="C101" s="22">
        <f t="shared" si="18"/>
        <v>0</v>
      </c>
      <c r="D101" s="22">
        <f t="shared" si="18"/>
        <v>0</v>
      </c>
      <c r="E101" s="22">
        <f t="shared" si="18"/>
        <v>0</v>
      </c>
      <c r="F101" s="22">
        <f t="shared" si="18"/>
        <v>0</v>
      </c>
      <c r="G101" s="22">
        <f t="shared" si="18"/>
        <v>0</v>
      </c>
      <c r="H101" s="22">
        <f t="shared" si="18"/>
        <v>0</v>
      </c>
      <c r="I101" s="22">
        <f t="shared" si="18"/>
        <v>0</v>
      </c>
      <c r="J101" s="22">
        <f t="shared" si="18"/>
        <v>0</v>
      </c>
      <c r="K101" s="22">
        <f t="shared" si="18"/>
        <v>0</v>
      </c>
      <c r="L101" s="22">
        <f t="shared" si="18"/>
        <v>0</v>
      </c>
      <c r="M101" s="22">
        <f t="shared" si="18"/>
        <v>0</v>
      </c>
      <c r="N101" s="22">
        <f t="shared" si="18"/>
        <v>0</v>
      </c>
      <c r="O101" s="12">
        <f t="shared" si="16"/>
        <v>0</v>
      </c>
      <c r="R101" s="2" t="s">
        <v>26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12">
        <f t="shared" si="17"/>
        <v>0</v>
      </c>
    </row>
    <row r="102" spans="1:34">
      <c r="A102" s="8" t="s">
        <v>37</v>
      </c>
      <c r="B102" s="16">
        <f t="shared" ref="B102:O102" si="19">SUM(B75:B101)</f>
        <v>0</v>
      </c>
      <c r="C102" s="16">
        <f t="shared" si="19"/>
        <v>0</v>
      </c>
      <c r="D102" s="16">
        <f t="shared" si="19"/>
        <v>0</v>
      </c>
      <c r="E102" s="16">
        <f t="shared" si="19"/>
        <v>0</v>
      </c>
      <c r="F102" s="16">
        <f t="shared" si="19"/>
        <v>0</v>
      </c>
      <c r="G102" s="16">
        <f t="shared" si="19"/>
        <v>0</v>
      </c>
      <c r="H102" s="16">
        <f t="shared" si="19"/>
        <v>0</v>
      </c>
      <c r="I102" s="16">
        <f t="shared" si="19"/>
        <v>0</v>
      </c>
      <c r="J102" s="16">
        <f t="shared" si="19"/>
        <v>0</v>
      </c>
      <c r="K102" s="16">
        <f t="shared" si="19"/>
        <v>0</v>
      </c>
      <c r="L102" s="16">
        <f t="shared" si="19"/>
        <v>0</v>
      </c>
      <c r="M102" s="16">
        <f t="shared" si="19"/>
        <v>0</v>
      </c>
      <c r="N102" s="16">
        <f t="shared" si="19"/>
        <v>0</v>
      </c>
      <c r="O102" s="7">
        <f t="shared" si="19"/>
        <v>0</v>
      </c>
      <c r="R102" s="8" t="s">
        <v>37</v>
      </c>
      <c r="S102" s="7">
        <f t="shared" ref="S102:AH102" si="20">SUM(S75:S101)</f>
        <v>0</v>
      </c>
      <c r="T102" s="7">
        <f t="shared" si="20"/>
        <v>0</v>
      </c>
      <c r="U102" s="7">
        <f t="shared" si="20"/>
        <v>0</v>
      </c>
      <c r="V102" s="7">
        <f t="shared" si="20"/>
        <v>0</v>
      </c>
      <c r="W102" s="7">
        <f t="shared" si="20"/>
        <v>0</v>
      </c>
      <c r="X102" s="7">
        <f t="shared" si="20"/>
        <v>0</v>
      </c>
      <c r="Y102" s="7">
        <f t="shared" si="20"/>
        <v>0</v>
      </c>
      <c r="Z102" s="7">
        <f t="shared" si="20"/>
        <v>0</v>
      </c>
      <c r="AA102" s="7">
        <f t="shared" si="20"/>
        <v>0</v>
      </c>
      <c r="AB102" s="7">
        <f t="shared" si="20"/>
        <v>0</v>
      </c>
      <c r="AC102" s="7">
        <f t="shared" si="20"/>
        <v>0</v>
      </c>
      <c r="AD102" s="7">
        <f t="shared" si="20"/>
        <v>0</v>
      </c>
      <c r="AE102" s="7">
        <f t="shared" si="20"/>
        <v>0</v>
      </c>
      <c r="AF102" s="7">
        <f t="shared" si="20"/>
        <v>0</v>
      </c>
      <c r="AG102" s="7">
        <f t="shared" si="20"/>
        <v>0</v>
      </c>
      <c r="AH102" s="7">
        <f t="shared" si="20"/>
        <v>0</v>
      </c>
    </row>
    <row r="103" spans="1:34">
      <c r="AH103" s="15"/>
    </row>
    <row r="104" spans="1:34">
      <c r="O104" s="15" t="e">
        <f>O102+#REF!+#REF!+#REF!+#REF!</f>
        <v>#REF!</v>
      </c>
    </row>
    <row r="105" spans="1:34" ht="46.5">
      <c r="K105" s="289" t="s">
        <v>49</v>
      </c>
      <c r="L105" s="28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</row>
    <row r="106" spans="1:34">
      <c r="K106" s="290" t="s">
        <v>33</v>
      </c>
      <c r="L106" s="287" t="s">
        <v>27</v>
      </c>
      <c r="M106" s="288"/>
      <c r="N106" s="287" t="s">
        <v>29</v>
      </c>
      <c r="O106" s="288"/>
      <c r="P106" s="285" t="s">
        <v>28</v>
      </c>
      <c r="Q106" s="285" t="s">
        <v>36</v>
      </c>
      <c r="R106" s="285" t="s">
        <v>30</v>
      </c>
      <c r="S106" s="285" t="s">
        <v>31</v>
      </c>
      <c r="T106" s="285" t="s">
        <v>41</v>
      </c>
      <c r="U106" s="285" t="s">
        <v>35</v>
      </c>
      <c r="V106" s="285" t="s">
        <v>40</v>
      </c>
      <c r="W106" s="285" t="s">
        <v>42</v>
      </c>
      <c r="X106" s="285" t="s">
        <v>45</v>
      </c>
      <c r="Y106" s="287" t="s">
        <v>52</v>
      </c>
      <c r="Z106" s="288"/>
      <c r="AA106" s="285" t="s">
        <v>34</v>
      </c>
    </row>
    <row r="107" spans="1:34" ht="30">
      <c r="K107" s="291"/>
      <c r="L107" s="56" t="s">
        <v>43</v>
      </c>
      <c r="M107" s="56" t="s">
        <v>44</v>
      </c>
      <c r="N107" s="56" t="s">
        <v>43</v>
      </c>
      <c r="O107" s="56" t="s">
        <v>44</v>
      </c>
      <c r="P107" s="286"/>
      <c r="Q107" s="286"/>
      <c r="R107" s="286"/>
      <c r="S107" s="286"/>
      <c r="T107" s="286"/>
      <c r="U107" s="286"/>
      <c r="V107" s="286"/>
      <c r="W107" s="286"/>
      <c r="X107" s="286"/>
      <c r="Y107" s="55" t="s">
        <v>53</v>
      </c>
      <c r="Z107" s="55" t="s">
        <v>54</v>
      </c>
      <c r="AA107" s="286"/>
    </row>
    <row r="108" spans="1:34">
      <c r="K108" s="1" t="s">
        <v>0</v>
      </c>
      <c r="L108" s="22">
        <f>B75+S75</f>
        <v>0</v>
      </c>
      <c r="M108" s="22">
        <f t="shared" ref="M108:X123" si="21">C75+T75</f>
        <v>0</v>
      </c>
      <c r="N108" s="22">
        <f t="shared" si="21"/>
        <v>0</v>
      </c>
      <c r="O108" s="22">
        <f t="shared" si="21"/>
        <v>0</v>
      </c>
      <c r="P108" s="22">
        <f t="shared" si="21"/>
        <v>0</v>
      </c>
      <c r="Q108" s="22">
        <f t="shared" si="21"/>
        <v>0</v>
      </c>
      <c r="R108" s="22">
        <f t="shared" si="21"/>
        <v>0</v>
      </c>
      <c r="S108" s="22">
        <f t="shared" si="21"/>
        <v>0</v>
      </c>
      <c r="T108" s="22">
        <f t="shared" si="21"/>
        <v>0</v>
      </c>
      <c r="U108" s="22">
        <f t="shared" si="21"/>
        <v>0</v>
      </c>
      <c r="V108" s="22">
        <f t="shared" si="21"/>
        <v>0</v>
      </c>
      <c r="W108" s="22">
        <f t="shared" si="21"/>
        <v>0</v>
      </c>
      <c r="X108" s="22">
        <f t="shared" si="21"/>
        <v>0</v>
      </c>
      <c r="Y108" s="22">
        <f>AF75</f>
        <v>0</v>
      </c>
      <c r="Z108" s="22">
        <f>AG75</f>
        <v>0</v>
      </c>
      <c r="AA108" s="12">
        <f>SUM(L108:Z108)</f>
        <v>0</v>
      </c>
    </row>
    <row r="109" spans="1:34">
      <c r="K109" s="1" t="s">
        <v>1</v>
      </c>
      <c r="L109" s="22">
        <f t="shared" ref="L109:X134" si="22">B76+S76</f>
        <v>0</v>
      </c>
      <c r="M109" s="22">
        <f t="shared" si="21"/>
        <v>0</v>
      </c>
      <c r="N109" s="22">
        <f t="shared" si="21"/>
        <v>0</v>
      </c>
      <c r="O109" s="22">
        <f t="shared" si="21"/>
        <v>0</v>
      </c>
      <c r="P109" s="22">
        <f t="shared" si="21"/>
        <v>0</v>
      </c>
      <c r="Q109" s="22">
        <f t="shared" si="21"/>
        <v>0</v>
      </c>
      <c r="R109" s="22">
        <f t="shared" si="21"/>
        <v>0</v>
      </c>
      <c r="S109" s="22">
        <f t="shared" si="21"/>
        <v>0</v>
      </c>
      <c r="T109" s="22">
        <f t="shared" si="21"/>
        <v>0</v>
      </c>
      <c r="U109" s="22">
        <f t="shared" si="21"/>
        <v>0</v>
      </c>
      <c r="V109" s="22">
        <f t="shared" si="21"/>
        <v>0</v>
      </c>
      <c r="W109" s="22">
        <f t="shared" si="21"/>
        <v>0</v>
      </c>
      <c r="X109" s="22">
        <f t="shared" si="21"/>
        <v>0</v>
      </c>
      <c r="Y109" s="22">
        <f t="shared" ref="Y109:Z124" si="23">AF76</f>
        <v>0</v>
      </c>
      <c r="Z109" s="22">
        <f t="shared" si="23"/>
        <v>0</v>
      </c>
      <c r="AA109" s="12">
        <f t="shared" ref="AA109:AA134" si="24">SUM(L109:Z109)</f>
        <v>0</v>
      </c>
    </row>
    <row r="110" spans="1:34">
      <c r="K110" s="18" t="s">
        <v>2</v>
      </c>
      <c r="L110" s="22">
        <f t="shared" si="22"/>
        <v>0</v>
      </c>
      <c r="M110" s="22">
        <f t="shared" si="21"/>
        <v>0</v>
      </c>
      <c r="N110" s="22">
        <f t="shared" si="21"/>
        <v>0</v>
      </c>
      <c r="O110" s="22">
        <f t="shared" si="21"/>
        <v>0</v>
      </c>
      <c r="P110" s="22">
        <f t="shared" si="21"/>
        <v>0</v>
      </c>
      <c r="Q110" s="22">
        <f t="shared" si="21"/>
        <v>0</v>
      </c>
      <c r="R110" s="22">
        <f t="shared" si="21"/>
        <v>0</v>
      </c>
      <c r="S110" s="22">
        <f t="shared" si="21"/>
        <v>0</v>
      </c>
      <c r="T110" s="22">
        <f t="shared" si="21"/>
        <v>0</v>
      </c>
      <c r="U110" s="22">
        <f t="shared" si="21"/>
        <v>0</v>
      </c>
      <c r="V110" s="22">
        <f t="shared" si="21"/>
        <v>0</v>
      </c>
      <c r="W110" s="22">
        <f t="shared" si="21"/>
        <v>0</v>
      </c>
      <c r="X110" s="22">
        <f t="shared" si="21"/>
        <v>0</v>
      </c>
      <c r="Y110" s="22">
        <f t="shared" si="23"/>
        <v>0</v>
      </c>
      <c r="Z110" s="22">
        <f t="shared" si="23"/>
        <v>0</v>
      </c>
      <c r="AA110" s="12">
        <f t="shared" si="24"/>
        <v>0</v>
      </c>
    </row>
    <row r="111" spans="1:34">
      <c r="K111" s="2" t="s">
        <v>3</v>
      </c>
      <c r="L111" s="22">
        <f t="shared" si="22"/>
        <v>0</v>
      </c>
      <c r="M111" s="22">
        <f t="shared" si="21"/>
        <v>0</v>
      </c>
      <c r="N111" s="22">
        <f t="shared" si="21"/>
        <v>0</v>
      </c>
      <c r="O111" s="22">
        <f t="shared" si="21"/>
        <v>0</v>
      </c>
      <c r="P111" s="22">
        <f t="shared" si="21"/>
        <v>0</v>
      </c>
      <c r="Q111" s="22">
        <f t="shared" si="21"/>
        <v>0</v>
      </c>
      <c r="R111" s="22">
        <f t="shared" si="21"/>
        <v>0</v>
      </c>
      <c r="S111" s="22">
        <f t="shared" si="21"/>
        <v>0</v>
      </c>
      <c r="T111" s="22">
        <f t="shared" si="21"/>
        <v>0</v>
      </c>
      <c r="U111" s="22">
        <f t="shared" si="21"/>
        <v>0</v>
      </c>
      <c r="V111" s="22">
        <f t="shared" si="21"/>
        <v>0</v>
      </c>
      <c r="W111" s="22">
        <f t="shared" si="21"/>
        <v>0</v>
      </c>
      <c r="X111" s="22">
        <f t="shared" si="21"/>
        <v>0</v>
      </c>
      <c r="Y111" s="22">
        <f t="shared" si="23"/>
        <v>0</v>
      </c>
      <c r="Z111" s="22">
        <f t="shared" si="23"/>
        <v>0</v>
      </c>
      <c r="AA111" s="12">
        <f t="shared" si="24"/>
        <v>0</v>
      </c>
    </row>
    <row r="112" spans="1:34">
      <c r="K112" s="1" t="s">
        <v>4</v>
      </c>
      <c r="L112" s="22">
        <f t="shared" si="22"/>
        <v>0</v>
      </c>
      <c r="M112" s="22">
        <f t="shared" si="21"/>
        <v>0</v>
      </c>
      <c r="N112" s="22">
        <f t="shared" si="21"/>
        <v>0</v>
      </c>
      <c r="O112" s="22">
        <f t="shared" si="21"/>
        <v>0</v>
      </c>
      <c r="P112" s="22">
        <f t="shared" si="21"/>
        <v>0</v>
      </c>
      <c r="Q112" s="22">
        <f t="shared" si="21"/>
        <v>0</v>
      </c>
      <c r="R112" s="22">
        <f t="shared" si="21"/>
        <v>0</v>
      </c>
      <c r="S112" s="22">
        <f t="shared" si="21"/>
        <v>0</v>
      </c>
      <c r="T112" s="22">
        <f t="shared" si="21"/>
        <v>0</v>
      </c>
      <c r="U112" s="22">
        <f t="shared" si="21"/>
        <v>0</v>
      </c>
      <c r="V112" s="22">
        <f t="shared" si="21"/>
        <v>0</v>
      </c>
      <c r="W112" s="22">
        <f t="shared" si="21"/>
        <v>0</v>
      </c>
      <c r="X112" s="22">
        <f t="shared" si="21"/>
        <v>0</v>
      </c>
      <c r="Y112" s="22">
        <f t="shared" si="23"/>
        <v>0</v>
      </c>
      <c r="Z112" s="22">
        <f t="shared" si="23"/>
        <v>0</v>
      </c>
      <c r="AA112" s="12">
        <f t="shared" si="24"/>
        <v>0</v>
      </c>
    </row>
    <row r="113" spans="11:27">
      <c r="K113" s="1" t="s">
        <v>5</v>
      </c>
      <c r="L113" s="22">
        <f t="shared" si="22"/>
        <v>0</v>
      </c>
      <c r="M113" s="22">
        <f t="shared" si="21"/>
        <v>0</v>
      </c>
      <c r="N113" s="22">
        <f t="shared" si="21"/>
        <v>0</v>
      </c>
      <c r="O113" s="22">
        <f t="shared" si="21"/>
        <v>0</v>
      </c>
      <c r="P113" s="22">
        <f t="shared" si="21"/>
        <v>0</v>
      </c>
      <c r="Q113" s="22">
        <f t="shared" si="21"/>
        <v>0</v>
      </c>
      <c r="R113" s="22">
        <f t="shared" si="21"/>
        <v>0</v>
      </c>
      <c r="S113" s="22">
        <f t="shared" si="21"/>
        <v>0</v>
      </c>
      <c r="T113" s="22">
        <f t="shared" si="21"/>
        <v>0</v>
      </c>
      <c r="U113" s="22">
        <f t="shared" si="21"/>
        <v>0</v>
      </c>
      <c r="V113" s="22">
        <f t="shared" si="21"/>
        <v>0</v>
      </c>
      <c r="W113" s="22">
        <f t="shared" si="21"/>
        <v>0</v>
      </c>
      <c r="X113" s="22">
        <f t="shared" si="21"/>
        <v>0</v>
      </c>
      <c r="Y113" s="22">
        <f t="shared" si="23"/>
        <v>0</v>
      </c>
      <c r="Z113" s="22">
        <f t="shared" si="23"/>
        <v>0</v>
      </c>
      <c r="AA113" s="12">
        <f t="shared" si="24"/>
        <v>0</v>
      </c>
    </row>
    <row r="114" spans="11:27">
      <c r="K114" s="1" t="s">
        <v>6</v>
      </c>
      <c r="L114" s="22">
        <f t="shared" si="22"/>
        <v>0</v>
      </c>
      <c r="M114" s="22">
        <f t="shared" si="21"/>
        <v>0</v>
      </c>
      <c r="N114" s="22">
        <f t="shared" si="21"/>
        <v>0</v>
      </c>
      <c r="O114" s="22">
        <f t="shared" si="21"/>
        <v>0</v>
      </c>
      <c r="P114" s="22">
        <f t="shared" si="21"/>
        <v>0</v>
      </c>
      <c r="Q114" s="22">
        <f t="shared" si="21"/>
        <v>0</v>
      </c>
      <c r="R114" s="22">
        <f t="shared" si="21"/>
        <v>0</v>
      </c>
      <c r="S114" s="22">
        <f t="shared" si="21"/>
        <v>0</v>
      </c>
      <c r="T114" s="22">
        <f t="shared" si="21"/>
        <v>0</v>
      </c>
      <c r="U114" s="22">
        <f t="shared" si="21"/>
        <v>0</v>
      </c>
      <c r="V114" s="22">
        <f t="shared" si="21"/>
        <v>0</v>
      </c>
      <c r="W114" s="22">
        <f t="shared" si="21"/>
        <v>0</v>
      </c>
      <c r="X114" s="22">
        <f t="shared" si="21"/>
        <v>0</v>
      </c>
      <c r="Y114" s="22">
        <f t="shared" si="23"/>
        <v>0</v>
      </c>
      <c r="Z114" s="22">
        <f t="shared" si="23"/>
        <v>0</v>
      </c>
      <c r="AA114" s="12">
        <f t="shared" si="24"/>
        <v>0</v>
      </c>
    </row>
    <row r="115" spans="11:27">
      <c r="K115" s="1" t="s">
        <v>7</v>
      </c>
      <c r="L115" s="22">
        <f t="shared" si="22"/>
        <v>0</v>
      </c>
      <c r="M115" s="22">
        <f t="shared" si="21"/>
        <v>0</v>
      </c>
      <c r="N115" s="22">
        <f t="shared" si="21"/>
        <v>0</v>
      </c>
      <c r="O115" s="22">
        <f t="shared" si="21"/>
        <v>0</v>
      </c>
      <c r="P115" s="22">
        <f t="shared" si="21"/>
        <v>0</v>
      </c>
      <c r="Q115" s="22">
        <f t="shared" si="21"/>
        <v>0</v>
      </c>
      <c r="R115" s="22">
        <f t="shared" si="21"/>
        <v>0</v>
      </c>
      <c r="S115" s="22">
        <f t="shared" si="21"/>
        <v>0</v>
      </c>
      <c r="T115" s="22">
        <f t="shared" si="21"/>
        <v>0</v>
      </c>
      <c r="U115" s="22">
        <f t="shared" si="21"/>
        <v>0</v>
      </c>
      <c r="V115" s="22">
        <f t="shared" si="21"/>
        <v>0</v>
      </c>
      <c r="W115" s="22">
        <f t="shared" si="21"/>
        <v>0</v>
      </c>
      <c r="X115" s="22">
        <f t="shared" si="21"/>
        <v>0</v>
      </c>
      <c r="Y115" s="22">
        <f t="shared" si="23"/>
        <v>0</v>
      </c>
      <c r="Z115" s="22">
        <f t="shared" si="23"/>
        <v>0</v>
      </c>
      <c r="AA115" s="12">
        <f t="shared" si="24"/>
        <v>0</v>
      </c>
    </row>
    <row r="116" spans="11:27">
      <c r="K116" s="1" t="s">
        <v>8</v>
      </c>
      <c r="L116" s="22">
        <f t="shared" si="22"/>
        <v>0</v>
      </c>
      <c r="M116" s="22">
        <f t="shared" si="21"/>
        <v>0</v>
      </c>
      <c r="N116" s="22">
        <f t="shared" si="21"/>
        <v>0</v>
      </c>
      <c r="O116" s="22">
        <f t="shared" si="21"/>
        <v>0</v>
      </c>
      <c r="P116" s="22">
        <f t="shared" si="21"/>
        <v>0</v>
      </c>
      <c r="Q116" s="22">
        <f t="shared" si="21"/>
        <v>0</v>
      </c>
      <c r="R116" s="22">
        <f t="shared" si="21"/>
        <v>0</v>
      </c>
      <c r="S116" s="22">
        <f t="shared" si="21"/>
        <v>0</v>
      </c>
      <c r="T116" s="22">
        <f t="shared" si="21"/>
        <v>0</v>
      </c>
      <c r="U116" s="22">
        <f t="shared" si="21"/>
        <v>0</v>
      </c>
      <c r="V116" s="22">
        <f t="shared" si="21"/>
        <v>0</v>
      </c>
      <c r="W116" s="22">
        <f t="shared" si="21"/>
        <v>0</v>
      </c>
      <c r="X116" s="22">
        <f t="shared" si="21"/>
        <v>0</v>
      </c>
      <c r="Y116" s="22">
        <f t="shared" si="23"/>
        <v>0</v>
      </c>
      <c r="Z116" s="22">
        <f t="shared" si="23"/>
        <v>0</v>
      </c>
      <c r="AA116" s="12">
        <f t="shared" si="24"/>
        <v>0</v>
      </c>
    </row>
    <row r="117" spans="11:27">
      <c r="K117" s="2" t="s">
        <v>9</v>
      </c>
      <c r="L117" s="22">
        <f t="shared" si="22"/>
        <v>0</v>
      </c>
      <c r="M117" s="22">
        <f t="shared" si="21"/>
        <v>0</v>
      </c>
      <c r="N117" s="22">
        <f t="shared" si="21"/>
        <v>0</v>
      </c>
      <c r="O117" s="22">
        <f t="shared" si="21"/>
        <v>0</v>
      </c>
      <c r="P117" s="22">
        <f t="shared" si="21"/>
        <v>0</v>
      </c>
      <c r="Q117" s="22">
        <f t="shared" si="21"/>
        <v>0</v>
      </c>
      <c r="R117" s="22">
        <f t="shared" si="21"/>
        <v>0</v>
      </c>
      <c r="S117" s="22">
        <f t="shared" si="21"/>
        <v>0</v>
      </c>
      <c r="T117" s="22">
        <f t="shared" si="21"/>
        <v>0</v>
      </c>
      <c r="U117" s="22">
        <f t="shared" si="21"/>
        <v>0</v>
      </c>
      <c r="V117" s="22">
        <f t="shared" si="21"/>
        <v>0</v>
      </c>
      <c r="W117" s="22">
        <f t="shared" si="21"/>
        <v>0</v>
      </c>
      <c r="X117" s="22">
        <f t="shared" si="21"/>
        <v>0</v>
      </c>
      <c r="Y117" s="22">
        <f t="shared" si="23"/>
        <v>0</v>
      </c>
      <c r="Z117" s="22">
        <f t="shared" si="23"/>
        <v>0</v>
      </c>
      <c r="AA117" s="12">
        <f t="shared" si="24"/>
        <v>0</v>
      </c>
    </row>
    <row r="118" spans="11:27">
      <c r="K118" s="18" t="s">
        <v>10</v>
      </c>
      <c r="L118" s="22">
        <f t="shared" si="22"/>
        <v>0</v>
      </c>
      <c r="M118" s="22">
        <f t="shared" si="21"/>
        <v>0</v>
      </c>
      <c r="N118" s="22">
        <f t="shared" si="21"/>
        <v>0</v>
      </c>
      <c r="O118" s="22">
        <f t="shared" si="21"/>
        <v>0</v>
      </c>
      <c r="P118" s="22">
        <f t="shared" si="21"/>
        <v>0</v>
      </c>
      <c r="Q118" s="22">
        <f t="shared" si="21"/>
        <v>0</v>
      </c>
      <c r="R118" s="22">
        <f t="shared" si="21"/>
        <v>0</v>
      </c>
      <c r="S118" s="22">
        <f t="shared" si="21"/>
        <v>0</v>
      </c>
      <c r="T118" s="22">
        <f t="shared" si="21"/>
        <v>0</v>
      </c>
      <c r="U118" s="22">
        <f t="shared" si="21"/>
        <v>0</v>
      </c>
      <c r="V118" s="22">
        <f t="shared" si="21"/>
        <v>0</v>
      </c>
      <c r="W118" s="22">
        <f t="shared" si="21"/>
        <v>0</v>
      </c>
      <c r="X118" s="22">
        <f t="shared" si="21"/>
        <v>0</v>
      </c>
      <c r="Y118" s="22">
        <f t="shared" si="23"/>
        <v>0</v>
      </c>
      <c r="Z118" s="22">
        <f t="shared" si="23"/>
        <v>0</v>
      </c>
      <c r="AA118" s="12">
        <f t="shared" si="24"/>
        <v>0</v>
      </c>
    </row>
    <row r="119" spans="11:27">
      <c r="K119" s="1" t="s">
        <v>11</v>
      </c>
      <c r="L119" s="22">
        <f t="shared" si="22"/>
        <v>0</v>
      </c>
      <c r="M119" s="22">
        <f t="shared" si="21"/>
        <v>0</v>
      </c>
      <c r="N119" s="22">
        <f t="shared" si="21"/>
        <v>0</v>
      </c>
      <c r="O119" s="22">
        <f t="shared" si="21"/>
        <v>0</v>
      </c>
      <c r="P119" s="22">
        <f t="shared" si="21"/>
        <v>0</v>
      </c>
      <c r="Q119" s="22">
        <f t="shared" si="21"/>
        <v>0</v>
      </c>
      <c r="R119" s="22">
        <f t="shared" si="21"/>
        <v>0</v>
      </c>
      <c r="S119" s="22">
        <f t="shared" si="21"/>
        <v>0</v>
      </c>
      <c r="T119" s="22">
        <f t="shared" si="21"/>
        <v>0</v>
      </c>
      <c r="U119" s="22">
        <f t="shared" si="21"/>
        <v>0</v>
      </c>
      <c r="V119" s="22">
        <f t="shared" si="21"/>
        <v>0</v>
      </c>
      <c r="W119" s="22">
        <f t="shared" si="21"/>
        <v>0</v>
      </c>
      <c r="X119" s="22">
        <f t="shared" si="21"/>
        <v>0</v>
      </c>
      <c r="Y119" s="22">
        <f t="shared" si="23"/>
        <v>0</v>
      </c>
      <c r="Z119" s="22">
        <f t="shared" si="23"/>
        <v>0</v>
      </c>
      <c r="AA119" s="12">
        <f t="shared" si="24"/>
        <v>0</v>
      </c>
    </row>
    <row r="120" spans="11:27">
      <c r="K120" s="1" t="s">
        <v>12</v>
      </c>
      <c r="L120" s="22">
        <f t="shared" si="22"/>
        <v>0</v>
      </c>
      <c r="M120" s="22">
        <f t="shared" si="21"/>
        <v>0</v>
      </c>
      <c r="N120" s="22">
        <f t="shared" si="21"/>
        <v>0</v>
      </c>
      <c r="O120" s="22">
        <f t="shared" si="21"/>
        <v>0</v>
      </c>
      <c r="P120" s="22">
        <f t="shared" si="21"/>
        <v>0</v>
      </c>
      <c r="Q120" s="22">
        <f t="shared" si="21"/>
        <v>0</v>
      </c>
      <c r="R120" s="22">
        <f t="shared" si="21"/>
        <v>0</v>
      </c>
      <c r="S120" s="22">
        <f t="shared" si="21"/>
        <v>0</v>
      </c>
      <c r="T120" s="22">
        <f t="shared" si="21"/>
        <v>0</v>
      </c>
      <c r="U120" s="22">
        <f t="shared" si="21"/>
        <v>0</v>
      </c>
      <c r="V120" s="22">
        <f t="shared" si="21"/>
        <v>0</v>
      </c>
      <c r="W120" s="22">
        <f t="shared" si="21"/>
        <v>0</v>
      </c>
      <c r="X120" s="22">
        <f t="shared" si="21"/>
        <v>0</v>
      </c>
      <c r="Y120" s="22">
        <f t="shared" si="23"/>
        <v>0</v>
      </c>
      <c r="Z120" s="22">
        <f t="shared" si="23"/>
        <v>0</v>
      </c>
      <c r="AA120" s="12">
        <f t="shared" si="24"/>
        <v>0</v>
      </c>
    </row>
    <row r="121" spans="11:27">
      <c r="K121" s="1" t="s">
        <v>15</v>
      </c>
      <c r="L121" s="22">
        <f t="shared" si="22"/>
        <v>0</v>
      </c>
      <c r="M121" s="22">
        <f t="shared" si="21"/>
        <v>0</v>
      </c>
      <c r="N121" s="22">
        <f t="shared" si="21"/>
        <v>0</v>
      </c>
      <c r="O121" s="22">
        <f t="shared" si="21"/>
        <v>0</v>
      </c>
      <c r="P121" s="22">
        <f t="shared" si="21"/>
        <v>0</v>
      </c>
      <c r="Q121" s="22">
        <f t="shared" si="21"/>
        <v>0</v>
      </c>
      <c r="R121" s="22">
        <f t="shared" si="21"/>
        <v>0</v>
      </c>
      <c r="S121" s="22">
        <f t="shared" si="21"/>
        <v>0</v>
      </c>
      <c r="T121" s="22">
        <f t="shared" si="21"/>
        <v>0</v>
      </c>
      <c r="U121" s="22">
        <f t="shared" si="21"/>
        <v>0</v>
      </c>
      <c r="V121" s="22">
        <f t="shared" si="21"/>
        <v>0</v>
      </c>
      <c r="W121" s="22">
        <f t="shared" si="21"/>
        <v>0</v>
      </c>
      <c r="X121" s="22">
        <f t="shared" si="21"/>
        <v>0</v>
      </c>
      <c r="Y121" s="22">
        <f t="shared" si="23"/>
        <v>0</v>
      </c>
      <c r="Z121" s="22">
        <f t="shared" si="23"/>
        <v>0</v>
      </c>
      <c r="AA121" s="12">
        <f t="shared" si="24"/>
        <v>0</v>
      </c>
    </row>
    <row r="122" spans="11:27">
      <c r="K122" s="1" t="s">
        <v>14</v>
      </c>
      <c r="L122" s="22">
        <f t="shared" si="22"/>
        <v>0</v>
      </c>
      <c r="M122" s="22">
        <f t="shared" si="21"/>
        <v>0</v>
      </c>
      <c r="N122" s="22">
        <f t="shared" si="21"/>
        <v>0</v>
      </c>
      <c r="O122" s="22">
        <f t="shared" si="21"/>
        <v>0</v>
      </c>
      <c r="P122" s="22">
        <f t="shared" si="21"/>
        <v>0</v>
      </c>
      <c r="Q122" s="22">
        <f t="shared" si="21"/>
        <v>0</v>
      </c>
      <c r="R122" s="22">
        <f t="shared" si="21"/>
        <v>0</v>
      </c>
      <c r="S122" s="22">
        <f t="shared" si="21"/>
        <v>0</v>
      </c>
      <c r="T122" s="22">
        <f t="shared" si="21"/>
        <v>0</v>
      </c>
      <c r="U122" s="22">
        <f t="shared" si="21"/>
        <v>0</v>
      </c>
      <c r="V122" s="22">
        <f t="shared" si="21"/>
        <v>0</v>
      </c>
      <c r="W122" s="22">
        <f t="shared" si="21"/>
        <v>0</v>
      </c>
      <c r="X122" s="22">
        <f t="shared" si="21"/>
        <v>0</v>
      </c>
      <c r="Y122" s="22">
        <f t="shared" si="23"/>
        <v>0</v>
      </c>
      <c r="Z122" s="22">
        <f t="shared" si="23"/>
        <v>0</v>
      </c>
      <c r="AA122" s="12">
        <f t="shared" si="24"/>
        <v>0</v>
      </c>
    </row>
    <row r="123" spans="11:27">
      <c r="K123" s="18" t="s">
        <v>13</v>
      </c>
      <c r="L123" s="22">
        <f t="shared" si="22"/>
        <v>0</v>
      </c>
      <c r="M123" s="22">
        <f t="shared" si="21"/>
        <v>0</v>
      </c>
      <c r="N123" s="22">
        <f t="shared" si="21"/>
        <v>0</v>
      </c>
      <c r="O123" s="22">
        <f t="shared" si="21"/>
        <v>0</v>
      </c>
      <c r="P123" s="22">
        <f t="shared" si="21"/>
        <v>0</v>
      </c>
      <c r="Q123" s="22">
        <f t="shared" si="21"/>
        <v>0</v>
      </c>
      <c r="R123" s="22">
        <f t="shared" si="21"/>
        <v>0</v>
      </c>
      <c r="S123" s="22">
        <f t="shared" si="21"/>
        <v>0</v>
      </c>
      <c r="T123" s="22">
        <f t="shared" si="21"/>
        <v>0</v>
      </c>
      <c r="U123" s="22">
        <f t="shared" si="21"/>
        <v>0</v>
      </c>
      <c r="V123" s="22">
        <f t="shared" si="21"/>
        <v>0</v>
      </c>
      <c r="W123" s="22">
        <f t="shared" si="21"/>
        <v>0</v>
      </c>
      <c r="X123" s="22">
        <f t="shared" si="21"/>
        <v>0</v>
      </c>
      <c r="Y123" s="22">
        <f t="shared" si="23"/>
        <v>0</v>
      </c>
      <c r="Z123" s="22">
        <f t="shared" si="23"/>
        <v>0</v>
      </c>
      <c r="AA123" s="12">
        <f t="shared" si="24"/>
        <v>0</v>
      </c>
    </row>
    <row r="124" spans="11:27">
      <c r="K124" s="1" t="s">
        <v>16</v>
      </c>
      <c r="L124" s="22">
        <f t="shared" si="22"/>
        <v>0</v>
      </c>
      <c r="M124" s="22">
        <f t="shared" si="22"/>
        <v>0</v>
      </c>
      <c r="N124" s="22">
        <f t="shared" si="22"/>
        <v>0</v>
      </c>
      <c r="O124" s="22">
        <f t="shared" si="22"/>
        <v>0</v>
      </c>
      <c r="P124" s="22">
        <f t="shared" si="22"/>
        <v>0</v>
      </c>
      <c r="Q124" s="22">
        <f t="shared" si="22"/>
        <v>0</v>
      </c>
      <c r="R124" s="22">
        <f t="shared" si="22"/>
        <v>0</v>
      </c>
      <c r="S124" s="22">
        <f t="shared" si="22"/>
        <v>0</v>
      </c>
      <c r="T124" s="22">
        <f t="shared" si="22"/>
        <v>0</v>
      </c>
      <c r="U124" s="22">
        <f t="shared" si="22"/>
        <v>0</v>
      </c>
      <c r="V124" s="22">
        <f t="shared" si="22"/>
        <v>0</v>
      </c>
      <c r="W124" s="22">
        <f t="shared" si="22"/>
        <v>0</v>
      </c>
      <c r="X124" s="22">
        <f t="shared" si="22"/>
        <v>0</v>
      </c>
      <c r="Y124" s="22">
        <f t="shared" si="23"/>
        <v>0</v>
      </c>
      <c r="Z124" s="22">
        <f t="shared" si="23"/>
        <v>0</v>
      </c>
      <c r="AA124" s="12">
        <f t="shared" si="24"/>
        <v>0</v>
      </c>
    </row>
    <row r="125" spans="11:27">
      <c r="K125" s="1" t="s">
        <v>17</v>
      </c>
      <c r="L125" s="22">
        <f t="shared" si="22"/>
        <v>0</v>
      </c>
      <c r="M125" s="22">
        <f t="shared" si="22"/>
        <v>0</v>
      </c>
      <c r="N125" s="22">
        <f t="shared" si="22"/>
        <v>0</v>
      </c>
      <c r="O125" s="22">
        <f t="shared" si="22"/>
        <v>0</v>
      </c>
      <c r="P125" s="22">
        <f t="shared" si="22"/>
        <v>0</v>
      </c>
      <c r="Q125" s="22">
        <f t="shared" si="22"/>
        <v>0</v>
      </c>
      <c r="R125" s="22">
        <f t="shared" si="22"/>
        <v>0</v>
      </c>
      <c r="S125" s="22">
        <f t="shared" si="22"/>
        <v>0</v>
      </c>
      <c r="T125" s="22">
        <f t="shared" si="22"/>
        <v>0</v>
      </c>
      <c r="U125" s="22">
        <f t="shared" si="22"/>
        <v>0</v>
      </c>
      <c r="V125" s="22">
        <f t="shared" si="22"/>
        <v>0</v>
      </c>
      <c r="W125" s="22">
        <f t="shared" si="22"/>
        <v>0</v>
      </c>
      <c r="X125" s="22">
        <f t="shared" si="22"/>
        <v>0</v>
      </c>
      <c r="Y125" s="22">
        <f t="shared" ref="Y125:Z134" si="25">AF92</f>
        <v>0</v>
      </c>
      <c r="Z125" s="22">
        <f t="shared" si="25"/>
        <v>0</v>
      </c>
      <c r="AA125" s="12">
        <f t="shared" si="24"/>
        <v>0</v>
      </c>
    </row>
    <row r="126" spans="11:27">
      <c r="K126" s="1" t="s">
        <v>18</v>
      </c>
      <c r="L126" s="22">
        <f t="shared" si="22"/>
        <v>0</v>
      </c>
      <c r="M126" s="22">
        <f t="shared" si="22"/>
        <v>0</v>
      </c>
      <c r="N126" s="22">
        <f t="shared" si="22"/>
        <v>0</v>
      </c>
      <c r="O126" s="22">
        <f t="shared" si="22"/>
        <v>0</v>
      </c>
      <c r="P126" s="22">
        <f t="shared" si="22"/>
        <v>0</v>
      </c>
      <c r="Q126" s="22">
        <f t="shared" si="22"/>
        <v>0</v>
      </c>
      <c r="R126" s="22">
        <f t="shared" si="22"/>
        <v>0</v>
      </c>
      <c r="S126" s="22">
        <f t="shared" si="22"/>
        <v>0</v>
      </c>
      <c r="T126" s="22">
        <f t="shared" si="22"/>
        <v>0</v>
      </c>
      <c r="U126" s="22">
        <f t="shared" si="22"/>
        <v>0</v>
      </c>
      <c r="V126" s="22">
        <f t="shared" si="22"/>
        <v>0</v>
      </c>
      <c r="W126" s="22">
        <f t="shared" si="22"/>
        <v>0</v>
      </c>
      <c r="X126" s="22">
        <f t="shared" si="22"/>
        <v>0</v>
      </c>
      <c r="Y126" s="22">
        <f t="shared" si="25"/>
        <v>0</v>
      </c>
      <c r="Z126" s="22">
        <f t="shared" si="25"/>
        <v>0</v>
      </c>
      <c r="AA126" s="12">
        <f t="shared" si="24"/>
        <v>0</v>
      </c>
    </row>
    <row r="127" spans="11:27">
      <c r="K127" s="1" t="s">
        <v>20</v>
      </c>
      <c r="L127" s="22">
        <f t="shared" si="22"/>
        <v>0</v>
      </c>
      <c r="M127" s="22">
        <f t="shared" si="22"/>
        <v>0</v>
      </c>
      <c r="N127" s="22">
        <f t="shared" si="22"/>
        <v>0</v>
      </c>
      <c r="O127" s="22">
        <f t="shared" si="22"/>
        <v>0</v>
      </c>
      <c r="P127" s="22">
        <f t="shared" si="22"/>
        <v>0</v>
      </c>
      <c r="Q127" s="22">
        <f t="shared" si="22"/>
        <v>0</v>
      </c>
      <c r="R127" s="22">
        <f t="shared" si="22"/>
        <v>0</v>
      </c>
      <c r="S127" s="22">
        <f t="shared" si="22"/>
        <v>0</v>
      </c>
      <c r="T127" s="22">
        <f t="shared" si="22"/>
        <v>0</v>
      </c>
      <c r="U127" s="22">
        <f t="shared" si="22"/>
        <v>0</v>
      </c>
      <c r="V127" s="22">
        <f t="shared" si="22"/>
        <v>0</v>
      </c>
      <c r="W127" s="22">
        <f t="shared" si="22"/>
        <v>0</v>
      </c>
      <c r="X127" s="22">
        <f t="shared" si="22"/>
        <v>0</v>
      </c>
      <c r="Y127" s="22">
        <f t="shared" si="25"/>
        <v>0</v>
      </c>
      <c r="Z127" s="22">
        <f t="shared" si="25"/>
        <v>0</v>
      </c>
      <c r="AA127" s="12">
        <f t="shared" si="24"/>
        <v>0</v>
      </c>
    </row>
    <row r="128" spans="11:27">
      <c r="K128" s="1" t="s">
        <v>19</v>
      </c>
      <c r="L128" s="22">
        <f t="shared" si="22"/>
        <v>0</v>
      </c>
      <c r="M128" s="22">
        <f t="shared" si="22"/>
        <v>0</v>
      </c>
      <c r="N128" s="22">
        <f t="shared" si="22"/>
        <v>0</v>
      </c>
      <c r="O128" s="22">
        <f t="shared" si="22"/>
        <v>0</v>
      </c>
      <c r="P128" s="22">
        <f t="shared" si="22"/>
        <v>0</v>
      </c>
      <c r="Q128" s="22">
        <f t="shared" si="22"/>
        <v>0</v>
      </c>
      <c r="R128" s="22">
        <f t="shared" si="22"/>
        <v>0</v>
      </c>
      <c r="S128" s="22">
        <f t="shared" si="22"/>
        <v>0</v>
      </c>
      <c r="T128" s="22">
        <f t="shared" si="22"/>
        <v>0</v>
      </c>
      <c r="U128" s="22">
        <f t="shared" si="22"/>
        <v>0</v>
      </c>
      <c r="V128" s="22">
        <f t="shared" si="22"/>
        <v>0</v>
      </c>
      <c r="W128" s="22">
        <f t="shared" si="22"/>
        <v>0</v>
      </c>
      <c r="X128" s="22">
        <f t="shared" si="22"/>
        <v>0</v>
      </c>
      <c r="Y128" s="22">
        <f t="shared" si="25"/>
        <v>0</v>
      </c>
      <c r="Z128" s="22">
        <f t="shared" si="25"/>
        <v>0</v>
      </c>
      <c r="AA128" s="12">
        <f t="shared" si="24"/>
        <v>0</v>
      </c>
    </row>
    <row r="129" spans="11:27">
      <c r="K129" s="18" t="s">
        <v>21</v>
      </c>
      <c r="L129" s="22">
        <f t="shared" si="22"/>
        <v>0</v>
      </c>
      <c r="M129" s="22">
        <f t="shared" si="22"/>
        <v>0</v>
      </c>
      <c r="N129" s="22">
        <f t="shared" si="22"/>
        <v>0</v>
      </c>
      <c r="O129" s="22">
        <f t="shared" si="22"/>
        <v>0</v>
      </c>
      <c r="P129" s="22">
        <f t="shared" si="22"/>
        <v>0</v>
      </c>
      <c r="Q129" s="22">
        <f t="shared" si="22"/>
        <v>0</v>
      </c>
      <c r="R129" s="22">
        <f t="shared" si="22"/>
        <v>0</v>
      </c>
      <c r="S129" s="22">
        <f t="shared" si="22"/>
        <v>0</v>
      </c>
      <c r="T129" s="22">
        <f t="shared" si="22"/>
        <v>0</v>
      </c>
      <c r="U129" s="22">
        <f t="shared" si="22"/>
        <v>0</v>
      </c>
      <c r="V129" s="22">
        <f t="shared" si="22"/>
        <v>0</v>
      </c>
      <c r="W129" s="22">
        <f t="shared" si="22"/>
        <v>0</v>
      </c>
      <c r="X129" s="22">
        <f t="shared" si="22"/>
        <v>0</v>
      </c>
      <c r="Y129" s="22">
        <f t="shared" si="25"/>
        <v>0</v>
      </c>
      <c r="Z129" s="22">
        <f t="shared" si="25"/>
        <v>0</v>
      </c>
      <c r="AA129" s="12">
        <f t="shared" si="24"/>
        <v>0</v>
      </c>
    </row>
    <row r="130" spans="11:27">
      <c r="K130" s="2" t="s">
        <v>22</v>
      </c>
      <c r="L130" s="22">
        <f t="shared" si="22"/>
        <v>0</v>
      </c>
      <c r="M130" s="22">
        <f t="shared" si="22"/>
        <v>0</v>
      </c>
      <c r="N130" s="22">
        <f t="shared" si="22"/>
        <v>0</v>
      </c>
      <c r="O130" s="22">
        <f t="shared" si="22"/>
        <v>0</v>
      </c>
      <c r="P130" s="22">
        <f t="shared" si="22"/>
        <v>0</v>
      </c>
      <c r="Q130" s="22">
        <f t="shared" si="22"/>
        <v>0</v>
      </c>
      <c r="R130" s="22">
        <f t="shared" si="22"/>
        <v>0</v>
      </c>
      <c r="S130" s="22">
        <f t="shared" si="22"/>
        <v>0</v>
      </c>
      <c r="T130" s="22">
        <f t="shared" si="22"/>
        <v>0</v>
      </c>
      <c r="U130" s="22">
        <f t="shared" si="22"/>
        <v>0</v>
      </c>
      <c r="V130" s="22">
        <f t="shared" si="22"/>
        <v>0</v>
      </c>
      <c r="W130" s="22">
        <f t="shared" si="22"/>
        <v>0</v>
      </c>
      <c r="X130" s="22">
        <f t="shared" si="22"/>
        <v>0</v>
      </c>
      <c r="Y130" s="22">
        <f t="shared" si="25"/>
        <v>0</v>
      </c>
      <c r="Z130" s="22">
        <f t="shared" si="25"/>
        <v>0</v>
      </c>
      <c r="AA130" s="12">
        <f t="shared" si="24"/>
        <v>0</v>
      </c>
    </row>
    <row r="131" spans="11:27">
      <c r="K131" s="1" t="s">
        <v>23</v>
      </c>
      <c r="L131" s="22">
        <f t="shared" si="22"/>
        <v>0</v>
      </c>
      <c r="M131" s="22">
        <f t="shared" si="22"/>
        <v>0</v>
      </c>
      <c r="N131" s="22">
        <f t="shared" si="22"/>
        <v>0</v>
      </c>
      <c r="O131" s="22">
        <f t="shared" si="22"/>
        <v>0</v>
      </c>
      <c r="P131" s="22">
        <f t="shared" si="22"/>
        <v>0</v>
      </c>
      <c r="Q131" s="22">
        <f t="shared" si="22"/>
        <v>0</v>
      </c>
      <c r="R131" s="22">
        <f t="shared" si="22"/>
        <v>0</v>
      </c>
      <c r="S131" s="22">
        <f t="shared" si="22"/>
        <v>0</v>
      </c>
      <c r="T131" s="22">
        <f t="shared" si="22"/>
        <v>0</v>
      </c>
      <c r="U131" s="22">
        <f t="shared" si="22"/>
        <v>0</v>
      </c>
      <c r="V131" s="22">
        <f t="shared" si="22"/>
        <v>0</v>
      </c>
      <c r="W131" s="22">
        <f t="shared" si="22"/>
        <v>0</v>
      </c>
      <c r="X131" s="22">
        <f t="shared" si="22"/>
        <v>0</v>
      </c>
      <c r="Y131" s="22">
        <f t="shared" si="25"/>
        <v>0</v>
      </c>
      <c r="Z131" s="22">
        <f t="shared" si="25"/>
        <v>0</v>
      </c>
      <c r="AA131" s="12">
        <f t="shared" si="24"/>
        <v>0</v>
      </c>
    </row>
    <row r="132" spans="11:27">
      <c r="K132" s="1" t="s">
        <v>25</v>
      </c>
      <c r="L132" s="22">
        <f t="shared" si="22"/>
        <v>0</v>
      </c>
      <c r="M132" s="22">
        <f t="shared" si="22"/>
        <v>0</v>
      </c>
      <c r="N132" s="22">
        <f t="shared" si="22"/>
        <v>0</v>
      </c>
      <c r="O132" s="22">
        <f t="shared" si="22"/>
        <v>0</v>
      </c>
      <c r="P132" s="22">
        <f t="shared" si="22"/>
        <v>0</v>
      </c>
      <c r="Q132" s="22">
        <f t="shared" si="22"/>
        <v>0</v>
      </c>
      <c r="R132" s="22">
        <f t="shared" si="22"/>
        <v>0</v>
      </c>
      <c r="S132" s="22">
        <f t="shared" si="22"/>
        <v>0</v>
      </c>
      <c r="T132" s="22">
        <f t="shared" si="22"/>
        <v>0</v>
      </c>
      <c r="U132" s="22">
        <f t="shared" si="22"/>
        <v>0</v>
      </c>
      <c r="V132" s="22">
        <f t="shared" si="22"/>
        <v>0</v>
      </c>
      <c r="W132" s="22">
        <f t="shared" si="22"/>
        <v>0</v>
      </c>
      <c r="X132" s="22">
        <f t="shared" si="22"/>
        <v>0</v>
      </c>
      <c r="Y132" s="22">
        <f t="shared" si="25"/>
        <v>0</v>
      </c>
      <c r="Z132" s="22">
        <f t="shared" si="25"/>
        <v>0</v>
      </c>
      <c r="AA132" s="12">
        <f t="shared" si="24"/>
        <v>0</v>
      </c>
    </row>
    <row r="133" spans="11:27">
      <c r="K133" s="1" t="s">
        <v>24</v>
      </c>
      <c r="L133" s="22">
        <f t="shared" si="22"/>
        <v>0</v>
      </c>
      <c r="M133" s="22">
        <f t="shared" si="22"/>
        <v>0</v>
      </c>
      <c r="N133" s="22">
        <f t="shared" si="22"/>
        <v>0</v>
      </c>
      <c r="O133" s="22">
        <f t="shared" si="22"/>
        <v>0</v>
      </c>
      <c r="P133" s="22">
        <f t="shared" si="22"/>
        <v>0</v>
      </c>
      <c r="Q133" s="22">
        <f t="shared" si="22"/>
        <v>0</v>
      </c>
      <c r="R133" s="22">
        <f t="shared" si="22"/>
        <v>0</v>
      </c>
      <c r="S133" s="22">
        <f t="shared" si="22"/>
        <v>0</v>
      </c>
      <c r="T133" s="22">
        <f t="shared" si="22"/>
        <v>0</v>
      </c>
      <c r="U133" s="22">
        <f t="shared" si="22"/>
        <v>0</v>
      </c>
      <c r="V133" s="22">
        <f t="shared" si="22"/>
        <v>0</v>
      </c>
      <c r="W133" s="22">
        <f t="shared" si="22"/>
        <v>0</v>
      </c>
      <c r="X133" s="22">
        <f t="shared" si="22"/>
        <v>0</v>
      </c>
      <c r="Y133" s="22">
        <f t="shared" si="25"/>
        <v>0</v>
      </c>
      <c r="Z133" s="22">
        <f t="shared" si="25"/>
        <v>0</v>
      </c>
      <c r="AA133" s="12">
        <f t="shared" si="24"/>
        <v>0</v>
      </c>
    </row>
    <row r="134" spans="11:27">
      <c r="K134" s="1" t="s">
        <v>26</v>
      </c>
      <c r="L134" s="22">
        <f t="shared" si="22"/>
        <v>0</v>
      </c>
      <c r="M134" s="22">
        <f t="shared" si="22"/>
        <v>0</v>
      </c>
      <c r="N134" s="22">
        <f t="shared" si="22"/>
        <v>0</v>
      </c>
      <c r="O134" s="22">
        <f t="shared" si="22"/>
        <v>0</v>
      </c>
      <c r="P134" s="22">
        <f t="shared" si="22"/>
        <v>0</v>
      </c>
      <c r="Q134" s="22">
        <f t="shared" si="22"/>
        <v>0</v>
      </c>
      <c r="R134" s="22">
        <f t="shared" si="22"/>
        <v>0</v>
      </c>
      <c r="S134" s="22">
        <f t="shared" si="22"/>
        <v>0</v>
      </c>
      <c r="T134" s="22">
        <f t="shared" si="22"/>
        <v>0</v>
      </c>
      <c r="U134" s="22">
        <f t="shared" si="22"/>
        <v>0</v>
      </c>
      <c r="V134" s="22">
        <f t="shared" si="22"/>
        <v>0</v>
      </c>
      <c r="W134" s="22">
        <f t="shared" si="22"/>
        <v>0</v>
      </c>
      <c r="X134" s="22">
        <f t="shared" si="22"/>
        <v>0</v>
      </c>
      <c r="Y134" s="22">
        <f t="shared" si="25"/>
        <v>0</v>
      </c>
      <c r="Z134" s="22">
        <f t="shared" si="25"/>
        <v>0</v>
      </c>
      <c r="AA134" s="12">
        <f t="shared" si="24"/>
        <v>0</v>
      </c>
    </row>
    <row r="135" spans="11:27">
      <c r="K135" s="8" t="s">
        <v>37</v>
      </c>
      <c r="L135" s="16">
        <f t="shared" ref="L135:AA135" si="26">SUM(L108:L134)</f>
        <v>0</v>
      </c>
      <c r="M135" s="16">
        <f t="shared" si="26"/>
        <v>0</v>
      </c>
      <c r="N135" s="16">
        <f t="shared" si="26"/>
        <v>0</v>
      </c>
      <c r="O135" s="16">
        <f t="shared" si="26"/>
        <v>0</v>
      </c>
      <c r="P135" s="16">
        <f t="shared" si="26"/>
        <v>0</v>
      </c>
      <c r="Q135" s="16">
        <f t="shared" si="26"/>
        <v>0</v>
      </c>
      <c r="R135" s="16">
        <f t="shared" si="26"/>
        <v>0</v>
      </c>
      <c r="S135" s="16">
        <f t="shared" si="26"/>
        <v>0</v>
      </c>
      <c r="T135" s="16">
        <f t="shared" si="26"/>
        <v>0</v>
      </c>
      <c r="U135" s="16">
        <f t="shared" si="26"/>
        <v>0</v>
      </c>
      <c r="V135" s="16">
        <f t="shared" si="26"/>
        <v>0</v>
      </c>
      <c r="W135" s="16">
        <f t="shared" si="26"/>
        <v>0</v>
      </c>
      <c r="X135" s="16">
        <f t="shared" si="26"/>
        <v>0</v>
      </c>
      <c r="Y135" s="16">
        <f>SUM(Y108:Y134)</f>
        <v>0</v>
      </c>
      <c r="Z135" s="16">
        <f>SUM(Z108:Z134)</f>
        <v>0</v>
      </c>
      <c r="AA135" s="7">
        <f t="shared" si="26"/>
        <v>0</v>
      </c>
    </row>
  </sheetData>
  <mergeCells count="102">
    <mergeCell ref="A37:O37"/>
    <mergeCell ref="A38:A39"/>
    <mergeCell ref="B38:C38"/>
    <mergeCell ref="D38:E38"/>
    <mergeCell ref="F38:F39"/>
    <mergeCell ref="G38:G39"/>
    <mergeCell ref="L38:L39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M38:M39"/>
    <mergeCell ref="L3:L4"/>
    <mergeCell ref="M3:M4"/>
    <mergeCell ref="N3:N4"/>
    <mergeCell ref="O3:O4"/>
    <mergeCell ref="J73:J74"/>
    <mergeCell ref="K73:K74"/>
    <mergeCell ref="L73:L74"/>
    <mergeCell ref="M73:M74"/>
    <mergeCell ref="N73:N74"/>
    <mergeCell ref="O73:O74"/>
    <mergeCell ref="N38:N39"/>
    <mergeCell ref="O38:O39"/>
    <mergeCell ref="A72:O72"/>
    <mergeCell ref="A73:A74"/>
    <mergeCell ref="B73:C73"/>
    <mergeCell ref="D73:E73"/>
    <mergeCell ref="F73:F74"/>
    <mergeCell ref="G73:G74"/>
    <mergeCell ref="H73:H74"/>
    <mergeCell ref="I73:I74"/>
    <mergeCell ref="H38:H39"/>
    <mergeCell ref="I38:I39"/>
    <mergeCell ref="J38:J39"/>
    <mergeCell ref="K38:K39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G3"/>
    <mergeCell ref="AH3:AH4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F38:AG38"/>
    <mergeCell ref="AH38:AH39"/>
    <mergeCell ref="R72:AH72"/>
    <mergeCell ref="R73:R74"/>
    <mergeCell ref="S73:T73"/>
    <mergeCell ref="U73:V73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AF73:AG73"/>
    <mergeCell ref="AH73:AH74"/>
    <mergeCell ref="K105:AA105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Y106:Z106"/>
    <mergeCell ref="AA106:AA107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AH135"/>
  <sheetViews>
    <sheetView topLeftCell="A39" zoomScale="85" zoomScaleNormal="85" workbookViewId="0">
      <selection activeCell="A2" sqref="A2:AC37"/>
    </sheetView>
  </sheetViews>
  <sheetFormatPr defaultRowHeight="15"/>
  <cols>
    <col min="1" max="1" width="23.140625" customWidth="1"/>
    <col min="2" max="2" width="13.85546875" bestFit="1" customWidth="1"/>
    <col min="3" max="3" width="13.7109375" bestFit="1" customWidth="1"/>
    <col min="4" max="4" width="13.28515625" customWidth="1"/>
    <col min="5" max="5" width="13.42578125" bestFit="1" customWidth="1"/>
    <col min="6" max="6" width="13.85546875" bestFit="1" customWidth="1"/>
    <col min="7" max="7" width="19.7109375" bestFit="1" customWidth="1"/>
    <col min="8" max="8" width="11.28515625" bestFit="1" customWidth="1"/>
    <col min="9" max="9" width="15.7109375" bestFit="1" customWidth="1"/>
    <col min="10" max="10" width="13.140625" customWidth="1"/>
    <col min="11" max="11" width="20.42578125" bestFit="1" customWidth="1"/>
    <col min="12" max="14" width="20.28515625" customWidth="1"/>
    <col min="15" max="15" width="15.140625" bestFit="1" customWidth="1"/>
    <col min="17" max="17" width="11.5703125" bestFit="1" customWidth="1"/>
    <col min="18" max="18" width="23.85546875" style="20" customWidth="1"/>
    <col min="19" max="19" width="17.28515625" customWidth="1"/>
    <col min="20" max="22" width="12.7109375" customWidth="1"/>
    <col min="23" max="23" width="13.85546875" customWidth="1"/>
    <col min="24" max="24" width="16.42578125" customWidth="1"/>
    <col min="25" max="25" width="12.7109375" customWidth="1"/>
    <col min="26" max="26" width="14.85546875" customWidth="1"/>
    <col min="27" max="27" width="26.42578125" bestFit="1" customWidth="1"/>
    <col min="28" max="28" width="14.5703125" customWidth="1"/>
    <col min="29" max="32" width="12.7109375" customWidth="1"/>
    <col min="33" max="33" width="13.5703125" customWidth="1"/>
    <col min="34" max="34" width="15.140625" bestFit="1" customWidth="1"/>
  </cols>
  <sheetData>
    <row r="2" spans="1:34" ht="46.5">
      <c r="A2" s="292" t="s">
        <v>77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4"/>
      <c r="R2" s="292" t="s">
        <v>79</v>
      </c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4"/>
    </row>
    <row r="3" spans="1:34" ht="21.75" customHeight="1">
      <c r="A3" s="290" t="s">
        <v>33</v>
      </c>
      <c r="B3" s="287" t="s">
        <v>27</v>
      </c>
      <c r="C3" s="288"/>
      <c r="D3" s="287" t="s">
        <v>29</v>
      </c>
      <c r="E3" s="288"/>
      <c r="F3" s="285" t="s">
        <v>28</v>
      </c>
      <c r="G3" s="285" t="s">
        <v>36</v>
      </c>
      <c r="H3" s="285" t="s">
        <v>30</v>
      </c>
      <c r="I3" s="285" t="s">
        <v>31</v>
      </c>
      <c r="J3" s="285" t="s">
        <v>41</v>
      </c>
      <c r="K3" s="285" t="s">
        <v>35</v>
      </c>
      <c r="L3" s="285" t="s">
        <v>40</v>
      </c>
      <c r="M3" s="285" t="s">
        <v>42</v>
      </c>
      <c r="N3" s="285" t="s">
        <v>45</v>
      </c>
      <c r="O3" s="285" t="s">
        <v>34</v>
      </c>
      <c r="R3" s="290" t="s">
        <v>33</v>
      </c>
      <c r="S3" s="287" t="s">
        <v>27</v>
      </c>
      <c r="T3" s="288"/>
      <c r="U3" s="287" t="s">
        <v>29</v>
      </c>
      <c r="V3" s="288"/>
      <c r="W3" s="285" t="s">
        <v>28</v>
      </c>
      <c r="X3" s="285" t="s">
        <v>36</v>
      </c>
      <c r="Y3" s="285" t="s">
        <v>30</v>
      </c>
      <c r="Z3" s="285" t="s">
        <v>31</v>
      </c>
      <c r="AA3" s="285" t="s">
        <v>41</v>
      </c>
      <c r="AB3" s="285" t="s">
        <v>35</v>
      </c>
      <c r="AC3" s="285" t="s">
        <v>40</v>
      </c>
      <c r="AD3" s="285" t="s">
        <v>42</v>
      </c>
      <c r="AE3" s="285" t="s">
        <v>45</v>
      </c>
      <c r="AF3" s="287" t="s">
        <v>52</v>
      </c>
      <c r="AG3" s="288"/>
      <c r="AH3" s="285" t="s">
        <v>34</v>
      </c>
    </row>
    <row r="4" spans="1:34" ht="30">
      <c r="A4" s="291"/>
      <c r="B4" s="56" t="s">
        <v>43</v>
      </c>
      <c r="C4" s="56" t="s">
        <v>44</v>
      </c>
      <c r="D4" s="56" t="s">
        <v>43</v>
      </c>
      <c r="E4" s="56" t="s">
        <v>44</v>
      </c>
      <c r="F4" s="286"/>
      <c r="G4" s="286"/>
      <c r="H4" s="286"/>
      <c r="I4" s="286"/>
      <c r="J4" s="286"/>
      <c r="K4" s="286"/>
      <c r="L4" s="286"/>
      <c r="M4" s="286"/>
      <c r="N4" s="286"/>
      <c r="O4" s="286"/>
      <c r="R4" s="291"/>
      <c r="S4" s="56" t="s">
        <v>43</v>
      </c>
      <c r="T4" s="56" t="s">
        <v>44</v>
      </c>
      <c r="U4" s="56" t="s">
        <v>43</v>
      </c>
      <c r="V4" s="56" t="s">
        <v>44</v>
      </c>
      <c r="W4" s="286"/>
      <c r="X4" s="286"/>
      <c r="Y4" s="286"/>
      <c r="Z4" s="286"/>
      <c r="AA4" s="286"/>
      <c r="AB4" s="286"/>
      <c r="AC4" s="286"/>
      <c r="AD4" s="286"/>
      <c r="AE4" s="286"/>
      <c r="AF4" s="55" t="s">
        <v>53</v>
      </c>
      <c r="AG4" s="55" t="s">
        <v>54</v>
      </c>
      <c r="AH4" s="286"/>
    </row>
    <row r="5" spans="1:34">
      <c r="A5" s="1" t="s">
        <v>0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P5" s="15"/>
      <c r="R5" s="1" t="s">
        <v>0</v>
      </c>
      <c r="S5" s="35">
        <f>S75*0.8</f>
        <v>0</v>
      </c>
      <c r="T5" s="35">
        <f t="shared" ref="T5:AG20" si="0">T75*0.8</f>
        <v>0</v>
      </c>
      <c r="U5" s="35">
        <f t="shared" si="0"/>
        <v>0</v>
      </c>
      <c r="V5" s="35">
        <f t="shared" si="0"/>
        <v>0</v>
      </c>
      <c r="W5" s="35">
        <f t="shared" si="0"/>
        <v>0</v>
      </c>
      <c r="X5" s="35">
        <f t="shared" si="0"/>
        <v>0</v>
      </c>
      <c r="Y5" s="35">
        <f t="shared" si="0"/>
        <v>0</v>
      </c>
      <c r="Z5" s="35">
        <f t="shared" si="0"/>
        <v>0</v>
      </c>
      <c r="AA5" s="35">
        <f t="shared" si="0"/>
        <v>0</v>
      </c>
      <c r="AB5" s="35">
        <f t="shared" si="0"/>
        <v>0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0</v>
      </c>
    </row>
    <row r="6" spans="1:34">
      <c r="A6" s="1" t="s">
        <v>1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P6" s="15"/>
      <c r="R6" s="1" t="s">
        <v>1</v>
      </c>
      <c r="S6" s="35">
        <f t="shared" ref="S6:AG21" si="2">S76*0.8</f>
        <v>0</v>
      </c>
      <c r="T6" s="35">
        <f t="shared" si="2"/>
        <v>0</v>
      </c>
      <c r="U6" s="35">
        <f t="shared" si="2"/>
        <v>0</v>
      </c>
      <c r="V6" s="35">
        <f t="shared" si="2"/>
        <v>0</v>
      </c>
      <c r="W6" s="35">
        <f t="shared" si="2"/>
        <v>0</v>
      </c>
      <c r="X6" s="35">
        <f t="shared" si="2"/>
        <v>0</v>
      </c>
      <c r="Y6" s="35">
        <f t="shared" si="2"/>
        <v>0</v>
      </c>
      <c r="Z6" s="35">
        <f t="shared" si="2"/>
        <v>0</v>
      </c>
      <c r="AA6" s="35">
        <f t="shared" si="2"/>
        <v>0</v>
      </c>
      <c r="AB6" s="35">
        <f t="shared" si="2"/>
        <v>0</v>
      </c>
      <c r="AC6" s="35">
        <f t="shared" si="2"/>
        <v>0</v>
      </c>
      <c r="AD6" s="35">
        <f t="shared" si="2"/>
        <v>0</v>
      </c>
      <c r="AE6" s="35">
        <f t="shared" si="2"/>
        <v>0</v>
      </c>
      <c r="AF6" s="35">
        <f t="shared" si="0"/>
        <v>0</v>
      </c>
      <c r="AG6" s="35">
        <f t="shared" si="0"/>
        <v>0</v>
      </c>
      <c r="AH6" s="4">
        <f t="shared" ref="AH6:AH31" si="3">SUM(S6:AG6)</f>
        <v>0</v>
      </c>
    </row>
    <row r="7" spans="1:34">
      <c r="A7" s="18" t="s">
        <v>2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P7" s="15"/>
      <c r="R7" s="18" t="s">
        <v>2</v>
      </c>
      <c r="S7" s="35">
        <f t="shared" si="2"/>
        <v>0</v>
      </c>
      <c r="T7" s="35">
        <f t="shared" si="2"/>
        <v>0</v>
      </c>
      <c r="U7" s="35">
        <f t="shared" si="2"/>
        <v>0</v>
      </c>
      <c r="V7" s="35">
        <f t="shared" si="2"/>
        <v>0</v>
      </c>
      <c r="W7" s="35">
        <f t="shared" si="2"/>
        <v>0</v>
      </c>
      <c r="X7" s="35">
        <f t="shared" si="2"/>
        <v>0</v>
      </c>
      <c r="Y7" s="35">
        <f t="shared" si="2"/>
        <v>0</v>
      </c>
      <c r="Z7" s="35">
        <f t="shared" si="2"/>
        <v>0</v>
      </c>
      <c r="AA7" s="35">
        <f t="shared" si="2"/>
        <v>0</v>
      </c>
      <c r="AB7" s="35">
        <f t="shared" si="2"/>
        <v>0</v>
      </c>
      <c r="AC7" s="35">
        <f t="shared" si="2"/>
        <v>0</v>
      </c>
      <c r="AD7" s="35">
        <f t="shared" si="2"/>
        <v>0</v>
      </c>
      <c r="AE7" s="35">
        <f t="shared" si="2"/>
        <v>0</v>
      </c>
      <c r="AF7" s="35">
        <f t="shared" si="0"/>
        <v>0</v>
      </c>
      <c r="AG7" s="35">
        <f t="shared" si="0"/>
        <v>0</v>
      </c>
      <c r="AH7" s="4">
        <f t="shared" si="3"/>
        <v>0</v>
      </c>
    </row>
    <row r="8" spans="1:34">
      <c r="A8" s="2" t="s">
        <v>3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P8" s="15"/>
      <c r="R8" s="2" t="s">
        <v>3</v>
      </c>
      <c r="S8" s="35">
        <f t="shared" si="2"/>
        <v>0</v>
      </c>
      <c r="T8" s="35">
        <f t="shared" si="2"/>
        <v>0</v>
      </c>
      <c r="U8" s="35">
        <f t="shared" si="2"/>
        <v>0</v>
      </c>
      <c r="V8" s="35">
        <f t="shared" si="2"/>
        <v>0</v>
      </c>
      <c r="W8" s="35">
        <f t="shared" si="2"/>
        <v>0</v>
      </c>
      <c r="X8" s="35">
        <f t="shared" si="2"/>
        <v>0</v>
      </c>
      <c r="Y8" s="35">
        <f t="shared" si="2"/>
        <v>0</v>
      </c>
      <c r="Z8" s="35">
        <f t="shared" si="2"/>
        <v>0</v>
      </c>
      <c r="AA8" s="35">
        <f t="shared" si="2"/>
        <v>0</v>
      </c>
      <c r="AB8" s="35">
        <f t="shared" si="2"/>
        <v>0</v>
      </c>
      <c r="AC8" s="35">
        <f t="shared" si="2"/>
        <v>0</v>
      </c>
      <c r="AD8" s="35">
        <f t="shared" si="2"/>
        <v>0</v>
      </c>
      <c r="AE8" s="35">
        <f t="shared" si="2"/>
        <v>0</v>
      </c>
      <c r="AF8" s="35">
        <f>AF78</f>
        <v>0</v>
      </c>
      <c r="AG8" s="35">
        <f>AG78</f>
        <v>0</v>
      </c>
      <c r="AH8" s="4">
        <f t="shared" si="3"/>
        <v>0</v>
      </c>
    </row>
    <row r="9" spans="1:34">
      <c r="A9" s="1" t="s">
        <v>4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P9" s="15"/>
      <c r="R9" s="1" t="s">
        <v>4</v>
      </c>
      <c r="S9" s="35">
        <f t="shared" si="2"/>
        <v>0</v>
      </c>
      <c r="T9" s="35">
        <f t="shared" si="2"/>
        <v>0</v>
      </c>
      <c r="U9" s="35">
        <f t="shared" si="2"/>
        <v>0</v>
      </c>
      <c r="V9" s="35">
        <f t="shared" si="2"/>
        <v>0</v>
      </c>
      <c r="W9" s="35">
        <f t="shared" si="2"/>
        <v>0</v>
      </c>
      <c r="X9" s="35">
        <f t="shared" si="2"/>
        <v>0</v>
      </c>
      <c r="Y9" s="35">
        <f t="shared" si="2"/>
        <v>0</v>
      </c>
      <c r="Z9" s="35">
        <f t="shared" si="2"/>
        <v>0</v>
      </c>
      <c r="AA9" s="35">
        <f t="shared" si="2"/>
        <v>0</v>
      </c>
      <c r="AB9" s="35">
        <f t="shared" si="2"/>
        <v>0</v>
      </c>
      <c r="AC9" s="35">
        <f t="shared" si="2"/>
        <v>0</v>
      </c>
      <c r="AD9" s="35">
        <f t="shared" si="2"/>
        <v>0</v>
      </c>
      <c r="AE9" s="35">
        <f t="shared" si="2"/>
        <v>0</v>
      </c>
      <c r="AF9" s="35">
        <f t="shared" si="0"/>
        <v>0</v>
      </c>
      <c r="AG9" s="35">
        <f t="shared" si="0"/>
        <v>0</v>
      </c>
      <c r="AH9" s="4">
        <f t="shared" si="3"/>
        <v>0</v>
      </c>
    </row>
    <row r="10" spans="1:34">
      <c r="A10" s="1" t="s">
        <v>5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P10" s="15"/>
      <c r="R10" s="1" t="s">
        <v>5</v>
      </c>
      <c r="S10" s="35">
        <f t="shared" si="2"/>
        <v>0</v>
      </c>
      <c r="T10" s="35">
        <f t="shared" si="2"/>
        <v>0</v>
      </c>
      <c r="U10" s="35">
        <f t="shared" si="2"/>
        <v>0</v>
      </c>
      <c r="V10" s="35">
        <f t="shared" si="2"/>
        <v>0</v>
      </c>
      <c r="W10" s="35">
        <f t="shared" si="2"/>
        <v>0</v>
      </c>
      <c r="X10" s="35">
        <f t="shared" si="2"/>
        <v>0</v>
      </c>
      <c r="Y10" s="35">
        <f t="shared" si="2"/>
        <v>0</v>
      </c>
      <c r="Z10" s="35">
        <f t="shared" si="2"/>
        <v>0</v>
      </c>
      <c r="AA10" s="35">
        <f t="shared" si="2"/>
        <v>0</v>
      </c>
      <c r="AB10" s="35">
        <f t="shared" si="2"/>
        <v>0</v>
      </c>
      <c r="AC10" s="35">
        <f t="shared" si="2"/>
        <v>0</v>
      </c>
      <c r="AD10" s="35">
        <f t="shared" si="2"/>
        <v>0</v>
      </c>
      <c r="AE10" s="35">
        <f t="shared" si="2"/>
        <v>0</v>
      </c>
      <c r="AF10" s="35">
        <f t="shared" si="0"/>
        <v>0</v>
      </c>
      <c r="AG10" s="35">
        <f t="shared" si="0"/>
        <v>0</v>
      </c>
      <c r="AH10" s="4">
        <f t="shared" si="3"/>
        <v>0</v>
      </c>
    </row>
    <row r="11" spans="1:34">
      <c r="A11" s="1" t="s">
        <v>6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0</v>
      </c>
      <c r="P11" s="15"/>
      <c r="R11" s="1" t="s">
        <v>6</v>
      </c>
      <c r="S11" s="35">
        <f t="shared" si="2"/>
        <v>0</v>
      </c>
      <c r="T11" s="35">
        <f t="shared" si="2"/>
        <v>0</v>
      </c>
      <c r="U11" s="35">
        <f t="shared" si="2"/>
        <v>0</v>
      </c>
      <c r="V11" s="35">
        <f t="shared" si="2"/>
        <v>0</v>
      </c>
      <c r="W11" s="35">
        <f t="shared" si="2"/>
        <v>0</v>
      </c>
      <c r="X11" s="35">
        <f t="shared" si="2"/>
        <v>0</v>
      </c>
      <c r="Y11" s="35">
        <f t="shared" si="2"/>
        <v>0</v>
      </c>
      <c r="Z11" s="35">
        <f t="shared" si="2"/>
        <v>0</v>
      </c>
      <c r="AA11" s="35">
        <f t="shared" si="2"/>
        <v>0</v>
      </c>
      <c r="AB11" s="35">
        <f t="shared" si="2"/>
        <v>0</v>
      </c>
      <c r="AC11" s="35">
        <f t="shared" si="2"/>
        <v>0</v>
      </c>
      <c r="AD11" s="35">
        <f t="shared" si="2"/>
        <v>0</v>
      </c>
      <c r="AE11" s="35">
        <f t="shared" si="2"/>
        <v>0</v>
      </c>
      <c r="AF11" s="35">
        <f t="shared" si="0"/>
        <v>0</v>
      </c>
      <c r="AG11" s="35">
        <f t="shared" si="0"/>
        <v>0</v>
      </c>
      <c r="AH11" s="4">
        <f t="shared" si="3"/>
        <v>0</v>
      </c>
    </row>
    <row r="12" spans="1:34">
      <c r="A12" s="1" t="s">
        <v>7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P12" s="15"/>
      <c r="R12" s="1" t="s">
        <v>7</v>
      </c>
      <c r="S12" s="35">
        <f t="shared" si="2"/>
        <v>0</v>
      </c>
      <c r="T12" s="35">
        <f t="shared" si="2"/>
        <v>0</v>
      </c>
      <c r="U12" s="35">
        <f t="shared" si="2"/>
        <v>0</v>
      </c>
      <c r="V12" s="35">
        <f t="shared" si="2"/>
        <v>0</v>
      </c>
      <c r="W12" s="35">
        <f t="shared" si="2"/>
        <v>0</v>
      </c>
      <c r="X12" s="35">
        <f t="shared" si="2"/>
        <v>0</v>
      </c>
      <c r="Y12" s="35">
        <f t="shared" si="2"/>
        <v>0</v>
      </c>
      <c r="Z12" s="35">
        <f t="shared" si="2"/>
        <v>0</v>
      </c>
      <c r="AA12" s="35">
        <f t="shared" si="2"/>
        <v>0</v>
      </c>
      <c r="AB12" s="35">
        <f t="shared" si="2"/>
        <v>0</v>
      </c>
      <c r="AC12" s="35">
        <f t="shared" si="2"/>
        <v>0</v>
      </c>
      <c r="AD12" s="35">
        <f t="shared" si="2"/>
        <v>0</v>
      </c>
      <c r="AE12" s="35">
        <f t="shared" si="2"/>
        <v>0</v>
      </c>
      <c r="AF12" s="35">
        <f t="shared" si="0"/>
        <v>0</v>
      </c>
      <c r="AG12" s="35">
        <f t="shared" si="0"/>
        <v>0</v>
      </c>
      <c r="AH12" s="4">
        <f t="shared" si="3"/>
        <v>0</v>
      </c>
    </row>
    <row r="13" spans="1:34">
      <c r="A13" s="1" t="s">
        <v>8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P13" s="15"/>
      <c r="R13" s="1" t="s">
        <v>8</v>
      </c>
      <c r="S13" s="35">
        <f t="shared" si="2"/>
        <v>0</v>
      </c>
      <c r="T13" s="35">
        <f t="shared" si="2"/>
        <v>0</v>
      </c>
      <c r="U13" s="35">
        <f t="shared" si="2"/>
        <v>0</v>
      </c>
      <c r="V13" s="35">
        <f t="shared" si="2"/>
        <v>0</v>
      </c>
      <c r="W13" s="35">
        <f t="shared" si="2"/>
        <v>0</v>
      </c>
      <c r="X13" s="35">
        <f t="shared" si="2"/>
        <v>0</v>
      </c>
      <c r="Y13" s="35">
        <f t="shared" si="2"/>
        <v>0</v>
      </c>
      <c r="Z13" s="35">
        <f t="shared" si="2"/>
        <v>0</v>
      </c>
      <c r="AA13" s="35">
        <f t="shared" si="2"/>
        <v>0</v>
      </c>
      <c r="AB13" s="35">
        <f t="shared" si="2"/>
        <v>0</v>
      </c>
      <c r="AC13" s="35">
        <f t="shared" si="2"/>
        <v>0</v>
      </c>
      <c r="AD13" s="35">
        <f t="shared" si="2"/>
        <v>0</v>
      </c>
      <c r="AE13" s="35">
        <f t="shared" si="2"/>
        <v>0</v>
      </c>
      <c r="AF13" s="35">
        <f t="shared" si="0"/>
        <v>0</v>
      </c>
      <c r="AG13" s="35">
        <f t="shared" si="0"/>
        <v>0</v>
      </c>
      <c r="AH13" s="4">
        <f t="shared" si="3"/>
        <v>0</v>
      </c>
    </row>
    <row r="14" spans="1:34">
      <c r="A14" s="2" t="s">
        <v>9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P14" s="15"/>
      <c r="R14" s="2" t="s">
        <v>9</v>
      </c>
      <c r="S14" s="35">
        <f t="shared" si="2"/>
        <v>0</v>
      </c>
      <c r="T14" s="35">
        <f t="shared" si="2"/>
        <v>0</v>
      </c>
      <c r="U14" s="35">
        <f t="shared" si="2"/>
        <v>0</v>
      </c>
      <c r="V14" s="35">
        <f t="shared" si="2"/>
        <v>0</v>
      </c>
      <c r="W14" s="35">
        <f t="shared" si="2"/>
        <v>0</v>
      </c>
      <c r="X14" s="35">
        <f t="shared" si="2"/>
        <v>0</v>
      </c>
      <c r="Y14" s="35">
        <f t="shared" si="2"/>
        <v>0</v>
      </c>
      <c r="Z14" s="35">
        <f t="shared" si="2"/>
        <v>0</v>
      </c>
      <c r="AA14" s="35">
        <f t="shared" si="2"/>
        <v>0</v>
      </c>
      <c r="AB14" s="35">
        <f t="shared" si="2"/>
        <v>0</v>
      </c>
      <c r="AC14" s="35">
        <f t="shared" si="2"/>
        <v>0</v>
      </c>
      <c r="AD14" s="35">
        <f t="shared" si="2"/>
        <v>0</v>
      </c>
      <c r="AE14" s="35">
        <f t="shared" si="2"/>
        <v>0</v>
      </c>
      <c r="AF14" s="35">
        <f t="shared" si="0"/>
        <v>0</v>
      </c>
      <c r="AG14" s="35">
        <f t="shared" si="0"/>
        <v>0</v>
      </c>
      <c r="AH14" s="4">
        <f t="shared" si="3"/>
        <v>0</v>
      </c>
    </row>
    <row r="15" spans="1:34">
      <c r="A15" s="18" t="s">
        <v>10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0</v>
      </c>
      <c r="P15" s="15"/>
      <c r="R15" s="18" t="s">
        <v>10</v>
      </c>
      <c r="S15" s="35">
        <f t="shared" si="2"/>
        <v>0</v>
      </c>
      <c r="T15" s="35">
        <f t="shared" si="2"/>
        <v>0</v>
      </c>
      <c r="U15" s="35">
        <f t="shared" si="2"/>
        <v>0</v>
      </c>
      <c r="V15" s="35">
        <f t="shared" si="2"/>
        <v>0</v>
      </c>
      <c r="W15" s="35">
        <f t="shared" si="2"/>
        <v>0</v>
      </c>
      <c r="X15" s="35">
        <f t="shared" si="2"/>
        <v>0</v>
      </c>
      <c r="Y15" s="35">
        <f t="shared" si="2"/>
        <v>0</v>
      </c>
      <c r="Z15" s="35">
        <f t="shared" si="2"/>
        <v>0</v>
      </c>
      <c r="AA15" s="35">
        <f t="shared" si="2"/>
        <v>0</v>
      </c>
      <c r="AB15" s="35">
        <f t="shared" si="2"/>
        <v>0</v>
      </c>
      <c r="AC15" s="35">
        <f t="shared" si="2"/>
        <v>0</v>
      </c>
      <c r="AD15" s="35">
        <f t="shared" si="2"/>
        <v>0</v>
      </c>
      <c r="AE15" s="35">
        <f t="shared" si="2"/>
        <v>0</v>
      </c>
      <c r="AF15" s="35">
        <f t="shared" si="0"/>
        <v>0</v>
      </c>
      <c r="AG15" s="35">
        <f t="shared" si="0"/>
        <v>0</v>
      </c>
      <c r="AH15" s="4">
        <f t="shared" si="3"/>
        <v>0</v>
      </c>
    </row>
    <row r="16" spans="1:34">
      <c r="A16" s="1" t="s">
        <v>11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P16" s="15"/>
      <c r="R16" s="1" t="s">
        <v>11</v>
      </c>
      <c r="S16" s="35">
        <f t="shared" si="2"/>
        <v>0</v>
      </c>
      <c r="T16" s="35">
        <f t="shared" si="2"/>
        <v>0</v>
      </c>
      <c r="U16" s="35">
        <f t="shared" si="2"/>
        <v>0</v>
      </c>
      <c r="V16" s="35">
        <f t="shared" si="2"/>
        <v>0</v>
      </c>
      <c r="W16" s="35">
        <f t="shared" si="2"/>
        <v>0</v>
      </c>
      <c r="X16" s="35">
        <f t="shared" si="2"/>
        <v>0</v>
      </c>
      <c r="Y16" s="35">
        <f t="shared" si="2"/>
        <v>0</v>
      </c>
      <c r="Z16" s="35">
        <f t="shared" si="2"/>
        <v>0</v>
      </c>
      <c r="AA16" s="35">
        <f t="shared" si="2"/>
        <v>0</v>
      </c>
      <c r="AB16" s="35">
        <f t="shared" si="2"/>
        <v>0</v>
      </c>
      <c r="AC16" s="35">
        <f t="shared" si="2"/>
        <v>0</v>
      </c>
      <c r="AD16" s="35">
        <f t="shared" si="2"/>
        <v>0</v>
      </c>
      <c r="AE16" s="35">
        <f t="shared" si="2"/>
        <v>0</v>
      </c>
      <c r="AF16" s="35">
        <f t="shared" si="0"/>
        <v>0</v>
      </c>
      <c r="AG16" s="35">
        <f t="shared" si="0"/>
        <v>0</v>
      </c>
      <c r="AH16" s="4">
        <f t="shared" si="3"/>
        <v>0</v>
      </c>
    </row>
    <row r="17" spans="1:34">
      <c r="A17" s="1" t="s">
        <v>12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0</v>
      </c>
      <c r="P17" s="15"/>
      <c r="R17" s="1" t="s">
        <v>12</v>
      </c>
      <c r="S17" s="35">
        <f t="shared" si="2"/>
        <v>0</v>
      </c>
      <c r="T17" s="35">
        <f t="shared" si="2"/>
        <v>0</v>
      </c>
      <c r="U17" s="35">
        <f t="shared" si="2"/>
        <v>0</v>
      </c>
      <c r="V17" s="35">
        <f t="shared" si="2"/>
        <v>0</v>
      </c>
      <c r="W17" s="35">
        <f t="shared" si="2"/>
        <v>0</v>
      </c>
      <c r="X17" s="35">
        <f t="shared" si="2"/>
        <v>0</v>
      </c>
      <c r="Y17" s="35">
        <f t="shared" si="2"/>
        <v>0</v>
      </c>
      <c r="Z17" s="35">
        <f t="shared" si="2"/>
        <v>0</v>
      </c>
      <c r="AA17" s="35">
        <f t="shared" si="2"/>
        <v>0</v>
      </c>
      <c r="AB17" s="35">
        <f t="shared" si="2"/>
        <v>0</v>
      </c>
      <c r="AC17" s="35">
        <f t="shared" si="2"/>
        <v>0</v>
      </c>
      <c r="AD17" s="35">
        <f t="shared" si="2"/>
        <v>0</v>
      </c>
      <c r="AE17" s="35">
        <f t="shared" si="2"/>
        <v>0</v>
      </c>
      <c r="AF17" s="35">
        <f t="shared" si="0"/>
        <v>0</v>
      </c>
      <c r="AG17" s="35">
        <f t="shared" si="0"/>
        <v>0</v>
      </c>
      <c r="AH17" s="4">
        <f t="shared" si="3"/>
        <v>0</v>
      </c>
    </row>
    <row r="18" spans="1:34">
      <c r="A18" s="1" t="s">
        <v>15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P18" s="15"/>
      <c r="R18" s="1" t="s">
        <v>15</v>
      </c>
      <c r="S18" s="35">
        <f t="shared" si="2"/>
        <v>0</v>
      </c>
      <c r="T18" s="35">
        <f t="shared" si="2"/>
        <v>0</v>
      </c>
      <c r="U18" s="35">
        <f t="shared" si="2"/>
        <v>0</v>
      </c>
      <c r="V18" s="35">
        <f t="shared" si="2"/>
        <v>0</v>
      </c>
      <c r="W18" s="35">
        <f t="shared" si="2"/>
        <v>0</v>
      </c>
      <c r="X18" s="35">
        <f t="shared" si="2"/>
        <v>0</v>
      </c>
      <c r="Y18" s="35">
        <f t="shared" si="2"/>
        <v>0</v>
      </c>
      <c r="Z18" s="35">
        <f t="shared" si="2"/>
        <v>0</v>
      </c>
      <c r="AA18" s="35">
        <f t="shared" si="2"/>
        <v>0</v>
      </c>
      <c r="AB18" s="35">
        <f t="shared" si="2"/>
        <v>0</v>
      </c>
      <c r="AC18" s="35">
        <f t="shared" si="2"/>
        <v>0</v>
      </c>
      <c r="AD18" s="35">
        <f t="shared" si="2"/>
        <v>0</v>
      </c>
      <c r="AE18" s="35">
        <f t="shared" si="2"/>
        <v>0</v>
      </c>
      <c r="AF18" s="35">
        <f t="shared" si="0"/>
        <v>0</v>
      </c>
      <c r="AG18" s="35">
        <f t="shared" si="0"/>
        <v>0</v>
      </c>
      <c r="AH18" s="4">
        <f t="shared" si="3"/>
        <v>0</v>
      </c>
    </row>
    <row r="19" spans="1:34">
      <c r="A19" s="1" t="s">
        <v>14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0</v>
      </c>
      <c r="P19" s="15"/>
      <c r="R19" s="1" t="s">
        <v>14</v>
      </c>
      <c r="S19" s="35">
        <f t="shared" si="2"/>
        <v>0</v>
      </c>
      <c r="T19" s="35">
        <f t="shared" si="2"/>
        <v>0</v>
      </c>
      <c r="U19" s="35">
        <f t="shared" si="2"/>
        <v>0</v>
      </c>
      <c r="V19" s="35">
        <f t="shared" si="2"/>
        <v>0</v>
      </c>
      <c r="W19" s="35">
        <f t="shared" si="2"/>
        <v>0</v>
      </c>
      <c r="X19" s="35">
        <f t="shared" si="2"/>
        <v>0</v>
      </c>
      <c r="Y19" s="35">
        <f t="shared" si="2"/>
        <v>0</v>
      </c>
      <c r="Z19" s="35">
        <f t="shared" si="2"/>
        <v>0</v>
      </c>
      <c r="AA19" s="35">
        <f t="shared" si="2"/>
        <v>0</v>
      </c>
      <c r="AB19" s="35">
        <f t="shared" si="2"/>
        <v>0</v>
      </c>
      <c r="AC19" s="35">
        <f t="shared" si="2"/>
        <v>0</v>
      </c>
      <c r="AD19" s="35">
        <f t="shared" si="2"/>
        <v>0</v>
      </c>
      <c r="AE19" s="35">
        <f t="shared" si="2"/>
        <v>0</v>
      </c>
      <c r="AF19" s="35">
        <f t="shared" si="0"/>
        <v>0</v>
      </c>
      <c r="AG19" s="35">
        <f t="shared" si="0"/>
        <v>0</v>
      </c>
      <c r="AH19" s="4">
        <f t="shared" si="3"/>
        <v>0</v>
      </c>
    </row>
    <row r="20" spans="1:34">
      <c r="A20" s="18" t="s">
        <v>13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P20" s="15"/>
      <c r="R20" s="18" t="s">
        <v>13</v>
      </c>
      <c r="S20" s="35">
        <f t="shared" si="2"/>
        <v>0</v>
      </c>
      <c r="T20" s="35">
        <f t="shared" si="2"/>
        <v>0</v>
      </c>
      <c r="U20" s="35">
        <f t="shared" si="2"/>
        <v>0</v>
      </c>
      <c r="V20" s="35">
        <f t="shared" si="2"/>
        <v>0</v>
      </c>
      <c r="W20" s="35">
        <f t="shared" si="2"/>
        <v>0</v>
      </c>
      <c r="X20" s="35">
        <f t="shared" si="2"/>
        <v>0</v>
      </c>
      <c r="Y20" s="35">
        <f t="shared" si="2"/>
        <v>0</v>
      </c>
      <c r="Z20" s="35">
        <f t="shared" si="2"/>
        <v>0</v>
      </c>
      <c r="AA20" s="35">
        <f t="shared" si="2"/>
        <v>0</v>
      </c>
      <c r="AB20" s="35">
        <f t="shared" si="2"/>
        <v>0</v>
      </c>
      <c r="AC20" s="35">
        <f t="shared" si="2"/>
        <v>0</v>
      </c>
      <c r="AD20" s="35">
        <f t="shared" si="2"/>
        <v>0</v>
      </c>
      <c r="AE20" s="35">
        <f t="shared" si="2"/>
        <v>0</v>
      </c>
      <c r="AF20" s="35">
        <f t="shared" si="0"/>
        <v>0</v>
      </c>
      <c r="AG20" s="35">
        <f t="shared" si="0"/>
        <v>0</v>
      </c>
      <c r="AH20" s="4">
        <f t="shared" si="3"/>
        <v>0</v>
      </c>
    </row>
    <row r="21" spans="1:34">
      <c r="A21" s="1" t="s">
        <v>16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P21" s="15"/>
      <c r="R21" s="1" t="s">
        <v>16</v>
      </c>
      <c r="S21" s="35">
        <f t="shared" si="2"/>
        <v>0</v>
      </c>
      <c r="T21" s="35">
        <f t="shared" si="2"/>
        <v>0</v>
      </c>
      <c r="U21" s="35">
        <f t="shared" si="2"/>
        <v>0</v>
      </c>
      <c r="V21" s="35">
        <f t="shared" si="2"/>
        <v>0</v>
      </c>
      <c r="W21" s="35">
        <f t="shared" si="2"/>
        <v>0</v>
      </c>
      <c r="X21" s="35">
        <f t="shared" si="2"/>
        <v>0</v>
      </c>
      <c r="Y21" s="35">
        <f t="shared" si="2"/>
        <v>0</v>
      </c>
      <c r="Z21" s="35">
        <f t="shared" si="2"/>
        <v>0</v>
      </c>
      <c r="AA21" s="35">
        <f t="shared" si="2"/>
        <v>0</v>
      </c>
      <c r="AB21" s="35">
        <f t="shared" si="2"/>
        <v>0</v>
      </c>
      <c r="AC21" s="35">
        <f t="shared" si="2"/>
        <v>0</v>
      </c>
      <c r="AD21" s="35">
        <f t="shared" si="2"/>
        <v>0</v>
      </c>
      <c r="AE21" s="35">
        <f t="shared" si="2"/>
        <v>0</v>
      </c>
      <c r="AF21" s="35">
        <f t="shared" si="2"/>
        <v>0</v>
      </c>
      <c r="AG21" s="35">
        <f t="shared" si="2"/>
        <v>0</v>
      </c>
      <c r="AH21" s="4">
        <f t="shared" si="3"/>
        <v>0</v>
      </c>
    </row>
    <row r="22" spans="1:34">
      <c r="A22" s="1" t="s">
        <v>17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P22" s="15"/>
      <c r="R22" s="1" t="s">
        <v>17</v>
      </c>
      <c r="S22" s="35">
        <f t="shared" ref="S22:AG31" si="4">S92*0.8</f>
        <v>0</v>
      </c>
      <c r="T22" s="35">
        <f t="shared" si="4"/>
        <v>0</v>
      </c>
      <c r="U22" s="35">
        <f t="shared" si="4"/>
        <v>0</v>
      </c>
      <c r="V22" s="35">
        <f t="shared" si="4"/>
        <v>0</v>
      </c>
      <c r="W22" s="35">
        <f t="shared" si="4"/>
        <v>0</v>
      </c>
      <c r="X22" s="35">
        <f t="shared" si="4"/>
        <v>0</v>
      </c>
      <c r="Y22" s="35">
        <f t="shared" si="4"/>
        <v>0</v>
      </c>
      <c r="Z22" s="35">
        <f t="shared" si="4"/>
        <v>0</v>
      </c>
      <c r="AA22" s="35">
        <f t="shared" si="4"/>
        <v>0</v>
      </c>
      <c r="AB22" s="35">
        <f t="shared" si="4"/>
        <v>0</v>
      </c>
      <c r="AC22" s="35">
        <f t="shared" si="4"/>
        <v>0</v>
      </c>
      <c r="AD22" s="35">
        <f t="shared" si="4"/>
        <v>0</v>
      </c>
      <c r="AE22" s="35">
        <f t="shared" si="4"/>
        <v>0</v>
      </c>
      <c r="AF22" s="35">
        <f t="shared" si="4"/>
        <v>0</v>
      </c>
      <c r="AG22" s="35">
        <f t="shared" si="4"/>
        <v>0</v>
      </c>
      <c r="AH22" s="4">
        <f t="shared" si="3"/>
        <v>0</v>
      </c>
    </row>
    <row r="23" spans="1:34">
      <c r="A23" s="1" t="s">
        <v>18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0</v>
      </c>
      <c r="P23" s="15"/>
      <c r="R23" s="1" t="s">
        <v>18</v>
      </c>
      <c r="S23" s="35">
        <f t="shared" si="4"/>
        <v>0</v>
      </c>
      <c r="T23" s="35">
        <f t="shared" si="4"/>
        <v>0</v>
      </c>
      <c r="U23" s="35">
        <f t="shared" si="4"/>
        <v>0</v>
      </c>
      <c r="V23" s="35">
        <f t="shared" si="4"/>
        <v>0</v>
      </c>
      <c r="W23" s="35">
        <f t="shared" si="4"/>
        <v>0</v>
      </c>
      <c r="X23" s="35">
        <f t="shared" si="4"/>
        <v>0</v>
      </c>
      <c r="Y23" s="35">
        <f t="shared" si="4"/>
        <v>0</v>
      </c>
      <c r="Z23" s="35">
        <f t="shared" si="4"/>
        <v>0</v>
      </c>
      <c r="AA23" s="35">
        <f t="shared" si="4"/>
        <v>0</v>
      </c>
      <c r="AB23" s="35">
        <f t="shared" si="4"/>
        <v>0</v>
      </c>
      <c r="AC23" s="35">
        <f t="shared" si="4"/>
        <v>0</v>
      </c>
      <c r="AD23" s="35">
        <f t="shared" si="4"/>
        <v>0</v>
      </c>
      <c r="AE23" s="35">
        <f t="shared" si="4"/>
        <v>0</v>
      </c>
      <c r="AF23" s="35">
        <f t="shared" si="4"/>
        <v>0</v>
      </c>
      <c r="AG23" s="35">
        <f t="shared" si="4"/>
        <v>0</v>
      </c>
      <c r="AH23" s="4">
        <f t="shared" si="3"/>
        <v>0</v>
      </c>
    </row>
    <row r="24" spans="1:34">
      <c r="A24" s="1" t="s">
        <v>20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0</v>
      </c>
      <c r="P24" s="15"/>
      <c r="R24" s="1" t="s">
        <v>20</v>
      </c>
      <c r="S24" s="35">
        <f t="shared" si="4"/>
        <v>0</v>
      </c>
      <c r="T24" s="35">
        <f t="shared" si="4"/>
        <v>0</v>
      </c>
      <c r="U24" s="35">
        <f t="shared" si="4"/>
        <v>0</v>
      </c>
      <c r="V24" s="35">
        <f t="shared" si="4"/>
        <v>0</v>
      </c>
      <c r="W24" s="35">
        <f t="shared" si="4"/>
        <v>0</v>
      </c>
      <c r="X24" s="35">
        <f t="shared" si="4"/>
        <v>0</v>
      </c>
      <c r="Y24" s="35">
        <f t="shared" si="4"/>
        <v>0</v>
      </c>
      <c r="Z24" s="35">
        <f t="shared" si="4"/>
        <v>0</v>
      </c>
      <c r="AA24" s="35">
        <f t="shared" si="4"/>
        <v>0</v>
      </c>
      <c r="AB24" s="35">
        <f t="shared" si="4"/>
        <v>0</v>
      </c>
      <c r="AC24" s="35">
        <f t="shared" si="4"/>
        <v>0</v>
      </c>
      <c r="AD24" s="35">
        <f t="shared" si="4"/>
        <v>0</v>
      </c>
      <c r="AE24" s="35">
        <f t="shared" si="4"/>
        <v>0</v>
      </c>
      <c r="AF24" s="35">
        <f t="shared" si="4"/>
        <v>0</v>
      </c>
      <c r="AG24" s="35">
        <f t="shared" si="4"/>
        <v>0</v>
      </c>
      <c r="AH24" s="4">
        <f t="shared" si="3"/>
        <v>0</v>
      </c>
    </row>
    <row r="25" spans="1:34">
      <c r="A25" s="1" t="s">
        <v>19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>SUM(B25:N25)</f>
        <v>0</v>
      </c>
      <c r="P25" s="15"/>
      <c r="R25" s="1" t="s">
        <v>19</v>
      </c>
      <c r="S25" s="35">
        <f t="shared" si="4"/>
        <v>0</v>
      </c>
      <c r="T25" s="35">
        <f t="shared" si="4"/>
        <v>0</v>
      </c>
      <c r="U25" s="35">
        <f t="shared" si="4"/>
        <v>0</v>
      </c>
      <c r="V25" s="35">
        <f t="shared" si="4"/>
        <v>0</v>
      </c>
      <c r="W25" s="35">
        <f t="shared" si="4"/>
        <v>0</v>
      </c>
      <c r="X25" s="35">
        <f t="shared" si="4"/>
        <v>0</v>
      </c>
      <c r="Y25" s="35">
        <f t="shared" si="4"/>
        <v>0</v>
      </c>
      <c r="Z25" s="35">
        <f t="shared" si="4"/>
        <v>0</v>
      </c>
      <c r="AA25" s="35">
        <f t="shared" si="4"/>
        <v>0</v>
      </c>
      <c r="AB25" s="35">
        <f t="shared" si="4"/>
        <v>0</v>
      </c>
      <c r="AC25" s="35">
        <f t="shared" si="4"/>
        <v>0</v>
      </c>
      <c r="AD25" s="35">
        <f t="shared" si="4"/>
        <v>0</v>
      </c>
      <c r="AE25" s="35">
        <f t="shared" si="4"/>
        <v>0</v>
      </c>
      <c r="AF25" s="35">
        <f t="shared" si="4"/>
        <v>0</v>
      </c>
      <c r="AG25" s="35">
        <f t="shared" si="4"/>
        <v>0</v>
      </c>
      <c r="AH25" s="4">
        <f t="shared" si="3"/>
        <v>0</v>
      </c>
    </row>
    <row r="26" spans="1:34">
      <c r="A26" s="1" t="s">
        <v>21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P26" s="15"/>
      <c r="R26" s="1" t="s">
        <v>21</v>
      </c>
      <c r="S26" s="35">
        <f t="shared" si="4"/>
        <v>0</v>
      </c>
      <c r="T26" s="35">
        <f t="shared" si="4"/>
        <v>0</v>
      </c>
      <c r="U26" s="35">
        <f t="shared" si="4"/>
        <v>0</v>
      </c>
      <c r="V26" s="35">
        <f t="shared" si="4"/>
        <v>0</v>
      </c>
      <c r="W26" s="35">
        <f t="shared" si="4"/>
        <v>0</v>
      </c>
      <c r="X26" s="35">
        <f t="shared" si="4"/>
        <v>0</v>
      </c>
      <c r="Y26" s="35">
        <f t="shared" si="4"/>
        <v>0</v>
      </c>
      <c r="Z26" s="35">
        <f t="shared" si="4"/>
        <v>0</v>
      </c>
      <c r="AA26" s="35">
        <f t="shared" si="4"/>
        <v>0</v>
      </c>
      <c r="AB26" s="35">
        <f t="shared" si="4"/>
        <v>0</v>
      </c>
      <c r="AC26" s="35">
        <f t="shared" si="4"/>
        <v>0</v>
      </c>
      <c r="AD26" s="35">
        <f t="shared" si="4"/>
        <v>0</v>
      </c>
      <c r="AE26" s="35">
        <f t="shared" si="4"/>
        <v>0</v>
      </c>
      <c r="AF26" s="35">
        <f t="shared" si="4"/>
        <v>0</v>
      </c>
      <c r="AG26" s="35">
        <f t="shared" si="4"/>
        <v>0</v>
      </c>
      <c r="AH26" s="4">
        <f t="shared" si="3"/>
        <v>0</v>
      </c>
    </row>
    <row r="27" spans="1:34">
      <c r="A27" s="2" t="s">
        <v>22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P27" s="15"/>
      <c r="R27" s="2" t="s">
        <v>22</v>
      </c>
      <c r="S27" s="35">
        <f t="shared" si="4"/>
        <v>0</v>
      </c>
      <c r="T27" s="35">
        <f t="shared" si="4"/>
        <v>0</v>
      </c>
      <c r="U27" s="35">
        <f t="shared" si="4"/>
        <v>0</v>
      </c>
      <c r="V27" s="35">
        <f t="shared" si="4"/>
        <v>0</v>
      </c>
      <c r="W27" s="35">
        <f t="shared" si="4"/>
        <v>0</v>
      </c>
      <c r="X27" s="35">
        <f t="shared" si="4"/>
        <v>0</v>
      </c>
      <c r="Y27" s="35">
        <f t="shared" si="4"/>
        <v>0</v>
      </c>
      <c r="Z27" s="35">
        <f t="shared" si="4"/>
        <v>0</v>
      </c>
      <c r="AA27" s="35">
        <f t="shared" si="4"/>
        <v>0</v>
      </c>
      <c r="AB27" s="35">
        <f t="shared" si="4"/>
        <v>0</v>
      </c>
      <c r="AC27" s="35">
        <f t="shared" si="4"/>
        <v>0</v>
      </c>
      <c r="AD27" s="35">
        <f t="shared" si="4"/>
        <v>0</v>
      </c>
      <c r="AE27" s="35">
        <f t="shared" si="4"/>
        <v>0</v>
      </c>
      <c r="AF27" s="35">
        <f t="shared" si="4"/>
        <v>0</v>
      </c>
      <c r="AG27" s="35">
        <f t="shared" si="4"/>
        <v>0</v>
      </c>
      <c r="AH27" s="4">
        <f t="shared" si="3"/>
        <v>0</v>
      </c>
    </row>
    <row r="28" spans="1:34">
      <c r="A28" s="1" t="s">
        <v>23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P28" s="15"/>
      <c r="R28" s="1" t="s">
        <v>23</v>
      </c>
      <c r="S28" s="35">
        <f t="shared" si="4"/>
        <v>0</v>
      </c>
      <c r="T28" s="35">
        <f t="shared" si="4"/>
        <v>0</v>
      </c>
      <c r="U28" s="35">
        <f t="shared" si="4"/>
        <v>0</v>
      </c>
      <c r="V28" s="35">
        <f t="shared" si="4"/>
        <v>0</v>
      </c>
      <c r="W28" s="35">
        <f t="shared" si="4"/>
        <v>0</v>
      </c>
      <c r="X28" s="35">
        <f t="shared" si="4"/>
        <v>0</v>
      </c>
      <c r="Y28" s="35">
        <f t="shared" si="4"/>
        <v>0</v>
      </c>
      <c r="Z28" s="35">
        <f t="shared" si="4"/>
        <v>0</v>
      </c>
      <c r="AA28" s="35">
        <f t="shared" si="4"/>
        <v>0</v>
      </c>
      <c r="AB28" s="35">
        <f t="shared" si="4"/>
        <v>0</v>
      </c>
      <c r="AC28" s="35">
        <f t="shared" si="4"/>
        <v>0</v>
      </c>
      <c r="AD28" s="35">
        <f t="shared" si="4"/>
        <v>0</v>
      </c>
      <c r="AE28" s="35">
        <f t="shared" si="4"/>
        <v>0</v>
      </c>
      <c r="AF28" s="35">
        <f t="shared" si="4"/>
        <v>0</v>
      </c>
      <c r="AG28" s="35">
        <f t="shared" si="4"/>
        <v>0</v>
      </c>
      <c r="AH28" s="4">
        <f t="shared" si="3"/>
        <v>0</v>
      </c>
    </row>
    <row r="29" spans="1:34">
      <c r="A29" s="1" t="s">
        <v>25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P29" s="15"/>
      <c r="R29" s="1" t="s">
        <v>25</v>
      </c>
      <c r="S29" s="35">
        <f t="shared" si="4"/>
        <v>0</v>
      </c>
      <c r="T29" s="35">
        <f t="shared" si="4"/>
        <v>0</v>
      </c>
      <c r="U29" s="35">
        <f t="shared" si="4"/>
        <v>0</v>
      </c>
      <c r="V29" s="35">
        <f t="shared" si="4"/>
        <v>0</v>
      </c>
      <c r="W29" s="35">
        <f t="shared" si="4"/>
        <v>0</v>
      </c>
      <c r="X29" s="35">
        <f t="shared" si="4"/>
        <v>0</v>
      </c>
      <c r="Y29" s="35">
        <f t="shared" si="4"/>
        <v>0</v>
      </c>
      <c r="Z29" s="35">
        <f t="shared" si="4"/>
        <v>0</v>
      </c>
      <c r="AA29" s="35">
        <f t="shared" si="4"/>
        <v>0</v>
      </c>
      <c r="AB29" s="35">
        <f t="shared" si="4"/>
        <v>0</v>
      </c>
      <c r="AC29" s="35">
        <f t="shared" si="4"/>
        <v>0</v>
      </c>
      <c r="AD29" s="35">
        <f t="shared" si="4"/>
        <v>0</v>
      </c>
      <c r="AE29" s="35">
        <f t="shared" si="4"/>
        <v>0</v>
      </c>
      <c r="AF29" s="35">
        <f>AF99</f>
        <v>0</v>
      </c>
      <c r="AG29" s="35">
        <f>AG99</f>
        <v>0</v>
      </c>
      <c r="AH29" s="4">
        <f t="shared" si="3"/>
        <v>0</v>
      </c>
    </row>
    <row r="30" spans="1:34">
      <c r="A30" s="1" t="s">
        <v>24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15"/>
      <c r="R30" s="1" t="s">
        <v>24</v>
      </c>
      <c r="S30" s="35">
        <f t="shared" si="4"/>
        <v>0</v>
      </c>
      <c r="T30" s="35">
        <f t="shared" si="4"/>
        <v>0</v>
      </c>
      <c r="U30" s="35">
        <f t="shared" si="4"/>
        <v>0</v>
      </c>
      <c r="V30" s="35">
        <f t="shared" si="4"/>
        <v>0</v>
      </c>
      <c r="W30" s="35">
        <f t="shared" si="4"/>
        <v>0</v>
      </c>
      <c r="X30" s="35">
        <f t="shared" si="4"/>
        <v>0</v>
      </c>
      <c r="Y30" s="35">
        <f t="shared" si="4"/>
        <v>0</v>
      </c>
      <c r="Z30" s="35">
        <f t="shared" si="4"/>
        <v>0</v>
      </c>
      <c r="AA30" s="35">
        <f t="shared" si="4"/>
        <v>0</v>
      </c>
      <c r="AB30" s="35">
        <f t="shared" si="4"/>
        <v>0</v>
      </c>
      <c r="AC30" s="35">
        <f t="shared" si="4"/>
        <v>0</v>
      </c>
      <c r="AD30" s="35">
        <f t="shared" si="4"/>
        <v>0</v>
      </c>
      <c r="AE30" s="35">
        <f t="shared" si="4"/>
        <v>0</v>
      </c>
      <c r="AF30" s="35">
        <f t="shared" si="4"/>
        <v>0</v>
      </c>
      <c r="AG30" s="35">
        <f t="shared" si="4"/>
        <v>0</v>
      </c>
      <c r="AH30" s="4">
        <f t="shared" si="3"/>
        <v>0</v>
      </c>
    </row>
    <row r="31" spans="1:34">
      <c r="A31" s="1" t="s">
        <v>26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P31" s="15"/>
      <c r="R31" s="1" t="s">
        <v>26</v>
      </c>
      <c r="S31" s="35">
        <f t="shared" si="4"/>
        <v>0</v>
      </c>
      <c r="T31" s="35">
        <f t="shared" si="4"/>
        <v>0</v>
      </c>
      <c r="U31" s="35">
        <f t="shared" si="4"/>
        <v>0</v>
      </c>
      <c r="V31" s="35">
        <f t="shared" si="4"/>
        <v>0</v>
      </c>
      <c r="W31" s="35">
        <f t="shared" si="4"/>
        <v>0</v>
      </c>
      <c r="X31" s="35">
        <f t="shared" si="4"/>
        <v>0</v>
      </c>
      <c r="Y31" s="35">
        <f t="shared" si="4"/>
        <v>0</v>
      </c>
      <c r="Z31" s="35">
        <f t="shared" si="4"/>
        <v>0</v>
      </c>
      <c r="AA31" s="35">
        <f t="shared" si="4"/>
        <v>0</v>
      </c>
      <c r="AB31" s="35">
        <f t="shared" si="4"/>
        <v>0</v>
      </c>
      <c r="AC31" s="35">
        <f t="shared" si="4"/>
        <v>0</v>
      </c>
      <c r="AD31" s="35">
        <f t="shared" si="4"/>
        <v>0</v>
      </c>
      <c r="AE31" s="35">
        <f t="shared" si="4"/>
        <v>0</v>
      </c>
      <c r="AF31" s="35">
        <f t="shared" si="4"/>
        <v>0</v>
      </c>
      <c r="AG31" s="35">
        <f t="shared" si="4"/>
        <v>0</v>
      </c>
      <c r="AH31" s="4">
        <f t="shared" si="3"/>
        <v>0</v>
      </c>
    </row>
    <row r="32" spans="1:34">
      <c r="A32" s="6" t="s">
        <v>37</v>
      </c>
      <c r="B32" s="7">
        <f>SUM(B5:B31)</f>
        <v>0</v>
      </c>
      <c r="C32" s="7">
        <f>SUM(C5:C31)</f>
        <v>0</v>
      </c>
      <c r="D32" s="7">
        <f>SUM(D5:D31)</f>
        <v>0</v>
      </c>
      <c r="E32" s="7">
        <f>SUM(E5:E31)</f>
        <v>0</v>
      </c>
      <c r="F32" s="7">
        <f t="shared" ref="F32:N32" si="5">SUM(F5:F31)</f>
        <v>0</v>
      </c>
      <c r="G32" s="7">
        <f t="shared" si="5"/>
        <v>0</v>
      </c>
      <c r="H32" s="7">
        <f t="shared" si="5"/>
        <v>0</v>
      </c>
      <c r="I32" s="7">
        <f t="shared" si="5"/>
        <v>0</v>
      </c>
      <c r="J32" s="7">
        <f t="shared" si="5"/>
        <v>0</v>
      </c>
      <c r="K32" s="7">
        <f t="shared" si="5"/>
        <v>0</v>
      </c>
      <c r="L32" s="7">
        <f t="shared" si="5"/>
        <v>0</v>
      </c>
      <c r="M32" s="7">
        <f t="shared" si="5"/>
        <v>0</v>
      </c>
      <c r="N32" s="7">
        <f t="shared" si="5"/>
        <v>0</v>
      </c>
      <c r="O32" s="7">
        <f>SUM(O5:O31)</f>
        <v>0</v>
      </c>
      <c r="R32" s="6" t="s">
        <v>37</v>
      </c>
      <c r="S32" s="7">
        <f>SUM(S5:S31)</f>
        <v>0</v>
      </c>
      <c r="T32" s="7">
        <f>SUM(T5:T31)</f>
        <v>0</v>
      </c>
      <c r="U32" s="7">
        <f>SUM(U5:U31)</f>
        <v>0</v>
      </c>
      <c r="V32" s="7">
        <f>SUM(V5:V31)</f>
        <v>0</v>
      </c>
      <c r="W32" s="7">
        <f t="shared" ref="W32:AG32" si="6">SUM(W5:W31)</f>
        <v>0</v>
      </c>
      <c r="X32" s="7">
        <f t="shared" si="6"/>
        <v>0</v>
      </c>
      <c r="Y32" s="7">
        <f t="shared" si="6"/>
        <v>0</v>
      </c>
      <c r="Z32" s="7">
        <f t="shared" si="6"/>
        <v>0</v>
      </c>
      <c r="AA32" s="7">
        <f t="shared" si="6"/>
        <v>0</v>
      </c>
      <c r="AB32" s="7">
        <f t="shared" si="6"/>
        <v>0</v>
      </c>
      <c r="AC32" s="7">
        <f t="shared" si="6"/>
        <v>0</v>
      </c>
      <c r="AD32" s="7">
        <f t="shared" si="6"/>
        <v>0</v>
      </c>
      <c r="AE32" s="7">
        <f t="shared" si="6"/>
        <v>0</v>
      </c>
      <c r="AF32" s="7">
        <f t="shared" si="6"/>
        <v>0</v>
      </c>
      <c r="AG32" s="7">
        <f t="shared" si="6"/>
        <v>0</v>
      </c>
      <c r="AH32" s="7">
        <f>SUM(AH5:AH31)</f>
        <v>0</v>
      </c>
    </row>
    <row r="33" spans="1:34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2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</row>
    <row r="34" spans="1:34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</row>
    <row r="35" spans="1:34">
      <c r="A35" s="31"/>
      <c r="B35" s="31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</row>
    <row r="36" spans="1:34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</row>
    <row r="37" spans="1:34" ht="46.5">
      <c r="A37" s="292" t="s">
        <v>78</v>
      </c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4"/>
      <c r="R37" s="292" t="s">
        <v>80</v>
      </c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4"/>
    </row>
    <row r="38" spans="1:34" ht="21.75" customHeight="1">
      <c r="A38" s="290" t="s">
        <v>33</v>
      </c>
      <c r="B38" s="287" t="s">
        <v>27</v>
      </c>
      <c r="C38" s="288"/>
      <c r="D38" s="287" t="s">
        <v>29</v>
      </c>
      <c r="E38" s="288"/>
      <c r="F38" s="285" t="s">
        <v>28</v>
      </c>
      <c r="G38" s="285" t="s">
        <v>36</v>
      </c>
      <c r="H38" s="285" t="s">
        <v>30</v>
      </c>
      <c r="I38" s="285" t="s">
        <v>31</v>
      </c>
      <c r="J38" s="285" t="s">
        <v>41</v>
      </c>
      <c r="K38" s="285" t="s">
        <v>35</v>
      </c>
      <c r="L38" s="285" t="s">
        <v>40</v>
      </c>
      <c r="M38" s="285" t="s">
        <v>42</v>
      </c>
      <c r="N38" s="285" t="s">
        <v>45</v>
      </c>
      <c r="O38" s="285" t="s">
        <v>34</v>
      </c>
      <c r="R38" s="290" t="s">
        <v>33</v>
      </c>
      <c r="S38" s="287" t="s">
        <v>27</v>
      </c>
      <c r="T38" s="288"/>
      <c r="U38" s="287" t="s">
        <v>29</v>
      </c>
      <c r="V38" s="288"/>
      <c r="W38" s="285" t="s">
        <v>28</v>
      </c>
      <c r="X38" s="285" t="s">
        <v>36</v>
      </c>
      <c r="Y38" s="285" t="s">
        <v>30</v>
      </c>
      <c r="Z38" s="285" t="s">
        <v>31</v>
      </c>
      <c r="AA38" s="285" t="s">
        <v>41</v>
      </c>
      <c r="AB38" s="285" t="s">
        <v>35</v>
      </c>
      <c r="AC38" s="285" t="s">
        <v>40</v>
      </c>
      <c r="AD38" s="285" t="s">
        <v>42</v>
      </c>
      <c r="AE38" s="285" t="s">
        <v>45</v>
      </c>
      <c r="AF38" s="287" t="s">
        <v>52</v>
      </c>
      <c r="AG38" s="288"/>
      <c r="AH38" s="285" t="s">
        <v>34</v>
      </c>
    </row>
    <row r="39" spans="1:34" ht="30">
      <c r="A39" s="291"/>
      <c r="B39" s="56" t="s">
        <v>43</v>
      </c>
      <c r="C39" s="56" t="s">
        <v>44</v>
      </c>
      <c r="D39" s="56" t="s">
        <v>43</v>
      </c>
      <c r="E39" s="56" t="s">
        <v>44</v>
      </c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R39" s="291"/>
      <c r="S39" s="56" t="s">
        <v>43</v>
      </c>
      <c r="T39" s="56" t="s">
        <v>44</v>
      </c>
      <c r="U39" s="56" t="s">
        <v>43</v>
      </c>
      <c r="V39" s="56" t="s">
        <v>44</v>
      </c>
      <c r="W39" s="286"/>
      <c r="X39" s="286"/>
      <c r="Y39" s="286"/>
      <c r="Z39" s="286"/>
      <c r="AA39" s="286"/>
      <c r="AB39" s="286"/>
      <c r="AC39" s="286"/>
      <c r="AD39" s="286"/>
      <c r="AE39" s="286"/>
      <c r="AF39" s="55" t="s">
        <v>53</v>
      </c>
      <c r="AG39" s="55" t="s">
        <v>54</v>
      </c>
      <c r="AH39" s="286"/>
    </row>
    <row r="40" spans="1:34">
      <c r="A40" s="1" t="s">
        <v>0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35">
        <f>S75*0.2</f>
        <v>0</v>
      </c>
      <c r="T40" s="35">
        <f t="shared" ref="T40:AG55" si="7">T75*0.2</f>
        <v>0</v>
      </c>
      <c r="U40" s="35">
        <f t="shared" si="7"/>
        <v>0</v>
      </c>
      <c r="V40" s="35">
        <f t="shared" si="7"/>
        <v>0</v>
      </c>
      <c r="W40" s="35">
        <f t="shared" si="7"/>
        <v>0</v>
      </c>
      <c r="X40" s="35">
        <f t="shared" si="7"/>
        <v>0</v>
      </c>
      <c r="Y40" s="35">
        <f t="shared" si="7"/>
        <v>0</v>
      </c>
      <c r="Z40" s="35">
        <f t="shared" si="7"/>
        <v>0</v>
      </c>
      <c r="AA40" s="35">
        <f t="shared" si="7"/>
        <v>0</v>
      </c>
      <c r="AB40" s="35">
        <f t="shared" si="7"/>
        <v>0</v>
      </c>
      <c r="AC40" s="35">
        <f t="shared" si="7"/>
        <v>0</v>
      </c>
      <c r="AD40" s="35">
        <f t="shared" si="7"/>
        <v>0</v>
      </c>
      <c r="AE40" s="35">
        <f t="shared" si="7"/>
        <v>0</v>
      </c>
      <c r="AF40" s="35">
        <f t="shared" si="7"/>
        <v>0</v>
      </c>
      <c r="AG40" s="35">
        <f t="shared" si="7"/>
        <v>0</v>
      </c>
      <c r="AH40" s="4">
        <f>SUM(S40:AG40)</f>
        <v>0</v>
      </c>
    </row>
    <row r="41" spans="1:34">
      <c r="A41" s="1" t="s">
        <v>1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8">SUM(B41:N41)</f>
        <v>0</v>
      </c>
      <c r="R41" s="1" t="s">
        <v>1</v>
      </c>
      <c r="S41" s="35">
        <f t="shared" ref="S41:AG56" si="9">S76*0.2</f>
        <v>0</v>
      </c>
      <c r="T41" s="35">
        <f t="shared" si="9"/>
        <v>0</v>
      </c>
      <c r="U41" s="35">
        <f t="shared" si="9"/>
        <v>0</v>
      </c>
      <c r="V41" s="35">
        <f t="shared" si="9"/>
        <v>0</v>
      </c>
      <c r="W41" s="35">
        <f t="shared" si="9"/>
        <v>0</v>
      </c>
      <c r="X41" s="35">
        <f t="shared" si="9"/>
        <v>0</v>
      </c>
      <c r="Y41" s="35">
        <f t="shared" si="9"/>
        <v>0</v>
      </c>
      <c r="Z41" s="35">
        <f t="shared" si="9"/>
        <v>0</v>
      </c>
      <c r="AA41" s="35">
        <f t="shared" si="9"/>
        <v>0</v>
      </c>
      <c r="AB41" s="35">
        <f t="shared" si="9"/>
        <v>0</v>
      </c>
      <c r="AC41" s="35">
        <f t="shared" si="9"/>
        <v>0</v>
      </c>
      <c r="AD41" s="35">
        <f t="shared" si="9"/>
        <v>0</v>
      </c>
      <c r="AE41" s="35">
        <f t="shared" si="9"/>
        <v>0</v>
      </c>
      <c r="AF41" s="35">
        <f t="shared" si="7"/>
        <v>0</v>
      </c>
      <c r="AG41" s="35">
        <f t="shared" si="7"/>
        <v>0</v>
      </c>
      <c r="AH41" s="4">
        <f t="shared" ref="AH41:AH66" si="10">SUM(S41:AG41)</f>
        <v>0</v>
      </c>
    </row>
    <row r="42" spans="1:34">
      <c r="A42" s="18" t="s">
        <v>2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8"/>
        <v>0</v>
      </c>
      <c r="R42" s="18" t="s">
        <v>2</v>
      </c>
      <c r="S42" s="35">
        <f t="shared" si="9"/>
        <v>0</v>
      </c>
      <c r="T42" s="35">
        <f t="shared" si="9"/>
        <v>0</v>
      </c>
      <c r="U42" s="35">
        <f t="shared" si="9"/>
        <v>0</v>
      </c>
      <c r="V42" s="35">
        <f t="shared" si="9"/>
        <v>0</v>
      </c>
      <c r="W42" s="35">
        <f t="shared" si="9"/>
        <v>0</v>
      </c>
      <c r="X42" s="35">
        <f t="shared" si="9"/>
        <v>0</v>
      </c>
      <c r="Y42" s="35">
        <f t="shared" si="9"/>
        <v>0</v>
      </c>
      <c r="Z42" s="35">
        <f t="shared" si="9"/>
        <v>0</v>
      </c>
      <c r="AA42" s="35">
        <f t="shared" si="9"/>
        <v>0</v>
      </c>
      <c r="AB42" s="35">
        <f t="shared" si="9"/>
        <v>0</v>
      </c>
      <c r="AC42" s="35">
        <f t="shared" si="9"/>
        <v>0</v>
      </c>
      <c r="AD42" s="35">
        <f t="shared" si="9"/>
        <v>0</v>
      </c>
      <c r="AE42" s="35">
        <f t="shared" si="9"/>
        <v>0</v>
      </c>
      <c r="AF42" s="35">
        <f t="shared" si="7"/>
        <v>0</v>
      </c>
      <c r="AG42" s="35">
        <f t="shared" si="7"/>
        <v>0</v>
      </c>
      <c r="AH42" s="4">
        <f t="shared" si="10"/>
        <v>0</v>
      </c>
    </row>
    <row r="43" spans="1:34">
      <c r="A43" s="2" t="s">
        <v>3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8"/>
        <v>0</v>
      </c>
      <c r="R43" s="2" t="s">
        <v>3</v>
      </c>
      <c r="S43" s="35">
        <f t="shared" si="9"/>
        <v>0</v>
      </c>
      <c r="T43" s="35">
        <f t="shared" si="9"/>
        <v>0</v>
      </c>
      <c r="U43" s="35">
        <f t="shared" si="9"/>
        <v>0</v>
      </c>
      <c r="V43" s="35">
        <f t="shared" si="9"/>
        <v>0</v>
      </c>
      <c r="W43" s="35">
        <f t="shared" si="9"/>
        <v>0</v>
      </c>
      <c r="X43" s="35">
        <f t="shared" si="9"/>
        <v>0</v>
      </c>
      <c r="Y43" s="35">
        <f t="shared" si="9"/>
        <v>0</v>
      </c>
      <c r="Z43" s="35">
        <f t="shared" si="9"/>
        <v>0</v>
      </c>
      <c r="AA43" s="35">
        <f t="shared" si="9"/>
        <v>0</v>
      </c>
      <c r="AB43" s="35">
        <f t="shared" si="9"/>
        <v>0</v>
      </c>
      <c r="AC43" s="35">
        <f t="shared" si="9"/>
        <v>0</v>
      </c>
      <c r="AD43" s="35">
        <f t="shared" si="9"/>
        <v>0</v>
      </c>
      <c r="AE43" s="35">
        <f t="shared" si="9"/>
        <v>0</v>
      </c>
      <c r="AF43" s="35">
        <v>0</v>
      </c>
      <c r="AG43" s="35">
        <v>0</v>
      </c>
      <c r="AH43" s="4">
        <f t="shared" si="10"/>
        <v>0</v>
      </c>
    </row>
    <row r="44" spans="1:34">
      <c r="A44" s="1" t="s">
        <v>4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8"/>
        <v>0</v>
      </c>
      <c r="R44" s="1" t="s">
        <v>4</v>
      </c>
      <c r="S44" s="35">
        <f t="shared" si="9"/>
        <v>0</v>
      </c>
      <c r="T44" s="35">
        <f t="shared" si="9"/>
        <v>0</v>
      </c>
      <c r="U44" s="35">
        <f t="shared" si="9"/>
        <v>0</v>
      </c>
      <c r="V44" s="35">
        <f t="shared" si="9"/>
        <v>0</v>
      </c>
      <c r="W44" s="35">
        <f t="shared" si="9"/>
        <v>0</v>
      </c>
      <c r="X44" s="35">
        <f t="shared" si="9"/>
        <v>0</v>
      </c>
      <c r="Y44" s="35">
        <f t="shared" si="9"/>
        <v>0</v>
      </c>
      <c r="Z44" s="35">
        <f t="shared" si="9"/>
        <v>0</v>
      </c>
      <c r="AA44" s="35">
        <f t="shared" si="9"/>
        <v>0</v>
      </c>
      <c r="AB44" s="35">
        <f t="shared" si="9"/>
        <v>0</v>
      </c>
      <c r="AC44" s="35">
        <f t="shared" si="9"/>
        <v>0</v>
      </c>
      <c r="AD44" s="35">
        <f t="shared" si="9"/>
        <v>0</v>
      </c>
      <c r="AE44" s="35">
        <f t="shared" si="9"/>
        <v>0</v>
      </c>
      <c r="AF44" s="35">
        <f t="shared" si="7"/>
        <v>0</v>
      </c>
      <c r="AG44" s="35">
        <f t="shared" si="7"/>
        <v>0</v>
      </c>
      <c r="AH44" s="4">
        <f t="shared" si="10"/>
        <v>0</v>
      </c>
    </row>
    <row r="45" spans="1:34">
      <c r="A45" s="1" t="s">
        <v>5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8"/>
        <v>0</v>
      </c>
      <c r="R45" s="1" t="s">
        <v>5</v>
      </c>
      <c r="S45" s="35">
        <f t="shared" si="9"/>
        <v>0</v>
      </c>
      <c r="T45" s="35">
        <f t="shared" si="9"/>
        <v>0</v>
      </c>
      <c r="U45" s="35">
        <f t="shared" si="9"/>
        <v>0</v>
      </c>
      <c r="V45" s="35">
        <f t="shared" si="9"/>
        <v>0</v>
      </c>
      <c r="W45" s="35">
        <f t="shared" si="9"/>
        <v>0</v>
      </c>
      <c r="X45" s="35">
        <f t="shared" si="9"/>
        <v>0</v>
      </c>
      <c r="Y45" s="35">
        <f t="shared" si="9"/>
        <v>0</v>
      </c>
      <c r="Z45" s="35">
        <f t="shared" si="9"/>
        <v>0</v>
      </c>
      <c r="AA45" s="35">
        <f t="shared" si="9"/>
        <v>0</v>
      </c>
      <c r="AB45" s="35">
        <f t="shared" si="9"/>
        <v>0</v>
      </c>
      <c r="AC45" s="35">
        <f t="shared" si="9"/>
        <v>0</v>
      </c>
      <c r="AD45" s="35">
        <f t="shared" si="9"/>
        <v>0</v>
      </c>
      <c r="AE45" s="35">
        <f t="shared" si="9"/>
        <v>0</v>
      </c>
      <c r="AF45" s="35">
        <f t="shared" si="7"/>
        <v>0</v>
      </c>
      <c r="AG45" s="35">
        <f t="shared" si="7"/>
        <v>0</v>
      </c>
      <c r="AH45" s="4">
        <f t="shared" si="10"/>
        <v>0</v>
      </c>
    </row>
    <row r="46" spans="1:34">
      <c r="A46" s="1" t="s">
        <v>6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8"/>
        <v>0</v>
      </c>
      <c r="R46" s="1" t="s">
        <v>6</v>
      </c>
      <c r="S46" s="35">
        <f t="shared" si="9"/>
        <v>0</v>
      </c>
      <c r="T46" s="35">
        <f t="shared" si="9"/>
        <v>0</v>
      </c>
      <c r="U46" s="35">
        <f t="shared" si="9"/>
        <v>0</v>
      </c>
      <c r="V46" s="35">
        <f t="shared" si="9"/>
        <v>0</v>
      </c>
      <c r="W46" s="35">
        <f t="shared" si="9"/>
        <v>0</v>
      </c>
      <c r="X46" s="35">
        <f t="shared" si="9"/>
        <v>0</v>
      </c>
      <c r="Y46" s="35">
        <f t="shared" si="9"/>
        <v>0</v>
      </c>
      <c r="Z46" s="35">
        <f t="shared" si="9"/>
        <v>0</v>
      </c>
      <c r="AA46" s="35">
        <f t="shared" si="9"/>
        <v>0</v>
      </c>
      <c r="AB46" s="35">
        <f t="shared" si="9"/>
        <v>0</v>
      </c>
      <c r="AC46" s="35">
        <f t="shared" si="9"/>
        <v>0</v>
      </c>
      <c r="AD46" s="35">
        <f t="shared" si="9"/>
        <v>0</v>
      </c>
      <c r="AE46" s="35">
        <f t="shared" si="9"/>
        <v>0</v>
      </c>
      <c r="AF46" s="35">
        <f t="shared" si="7"/>
        <v>0</v>
      </c>
      <c r="AG46" s="35">
        <f t="shared" si="7"/>
        <v>0</v>
      </c>
      <c r="AH46" s="4">
        <f t="shared" si="10"/>
        <v>0</v>
      </c>
    </row>
    <row r="47" spans="1:34">
      <c r="A47" s="1" t="s">
        <v>7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8"/>
        <v>0</v>
      </c>
      <c r="R47" s="1" t="s">
        <v>7</v>
      </c>
      <c r="S47" s="35">
        <f t="shared" si="9"/>
        <v>0</v>
      </c>
      <c r="T47" s="35">
        <f t="shared" si="9"/>
        <v>0</v>
      </c>
      <c r="U47" s="35">
        <f t="shared" si="9"/>
        <v>0</v>
      </c>
      <c r="V47" s="35">
        <f t="shared" si="9"/>
        <v>0</v>
      </c>
      <c r="W47" s="35">
        <f t="shared" si="9"/>
        <v>0</v>
      </c>
      <c r="X47" s="35">
        <f t="shared" si="9"/>
        <v>0</v>
      </c>
      <c r="Y47" s="35">
        <f t="shared" si="9"/>
        <v>0</v>
      </c>
      <c r="Z47" s="35">
        <f t="shared" si="9"/>
        <v>0</v>
      </c>
      <c r="AA47" s="35">
        <f t="shared" si="9"/>
        <v>0</v>
      </c>
      <c r="AB47" s="35">
        <f t="shared" si="9"/>
        <v>0</v>
      </c>
      <c r="AC47" s="35">
        <f t="shared" si="9"/>
        <v>0</v>
      </c>
      <c r="AD47" s="35">
        <f t="shared" si="9"/>
        <v>0</v>
      </c>
      <c r="AE47" s="35">
        <f t="shared" si="9"/>
        <v>0</v>
      </c>
      <c r="AF47" s="35">
        <f t="shared" si="7"/>
        <v>0</v>
      </c>
      <c r="AG47" s="35">
        <f t="shared" si="7"/>
        <v>0</v>
      </c>
      <c r="AH47" s="4">
        <f t="shared" si="10"/>
        <v>0</v>
      </c>
    </row>
    <row r="48" spans="1:34">
      <c r="A48" s="1" t="s">
        <v>8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8"/>
        <v>0</v>
      </c>
      <c r="R48" s="1" t="s">
        <v>8</v>
      </c>
      <c r="S48" s="35">
        <f t="shared" si="9"/>
        <v>0</v>
      </c>
      <c r="T48" s="35">
        <f t="shared" si="9"/>
        <v>0</v>
      </c>
      <c r="U48" s="35">
        <f t="shared" si="9"/>
        <v>0</v>
      </c>
      <c r="V48" s="35">
        <f t="shared" si="9"/>
        <v>0</v>
      </c>
      <c r="W48" s="35">
        <f t="shared" si="9"/>
        <v>0</v>
      </c>
      <c r="X48" s="35">
        <f t="shared" si="9"/>
        <v>0</v>
      </c>
      <c r="Y48" s="35">
        <f t="shared" si="9"/>
        <v>0</v>
      </c>
      <c r="Z48" s="35">
        <f t="shared" si="9"/>
        <v>0</v>
      </c>
      <c r="AA48" s="35">
        <f t="shared" si="9"/>
        <v>0</v>
      </c>
      <c r="AB48" s="35">
        <f t="shared" si="9"/>
        <v>0</v>
      </c>
      <c r="AC48" s="35">
        <f t="shared" si="9"/>
        <v>0</v>
      </c>
      <c r="AD48" s="35">
        <f t="shared" si="9"/>
        <v>0</v>
      </c>
      <c r="AE48" s="35">
        <f t="shared" si="9"/>
        <v>0</v>
      </c>
      <c r="AF48" s="35">
        <f t="shared" si="7"/>
        <v>0</v>
      </c>
      <c r="AG48" s="35">
        <f t="shared" si="7"/>
        <v>0</v>
      </c>
      <c r="AH48" s="4">
        <f t="shared" si="10"/>
        <v>0</v>
      </c>
    </row>
    <row r="49" spans="1:34">
      <c r="A49" s="2" t="s">
        <v>9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8"/>
        <v>0</v>
      </c>
      <c r="R49" s="2" t="s">
        <v>9</v>
      </c>
      <c r="S49" s="35">
        <f t="shared" si="9"/>
        <v>0</v>
      </c>
      <c r="T49" s="35">
        <f t="shared" si="9"/>
        <v>0</v>
      </c>
      <c r="U49" s="35">
        <f t="shared" si="9"/>
        <v>0</v>
      </c>
      <c r="V49" s="35">
        <f t="shared" si="9"/>
        <v>0</v>
      </c>
      <c r="W49" s="35">
        <f t="shared" si="9"/>
        <v>0</v>
      </c>
      <c r="X49" s="35">
        <f t="shared" si="9"/>
        <v>0</v>
      </c>
      <c r="Y49" s="35">
        <f t="shared" si="9"/>
        <v>0</v>
      </c>
      <c r="Z49" s="35">
        <f t="shared" si="9"/>
        <v>0</v>
      </c>
      <c r="AA49" s="35">
        <f t="shared" si="9"/>
        <v>0</v>
      </c>
      <c r="AB49" s="35">
        <f t="shared" si="9"/>
        <v>0</v>
      </c>
      <c r="AC49" s="35">
        <f t="shared" si="9"/>
        <v>0</v>
      </c>
      <c r="AD49" s="35">
        <f t="shared" si="9"/>
        <v>0</v>
      </c>
      <c r="AE49" s="35">
        <f t="shared" si="9"/>
        <v>0</v>
      </c>
      <c r="AF49" s="35">
        <f t="shared" si="7"/>
        <v>0</v>
      </c>
      <c r="AG49" s="35">
        <f t="shared" si="7"/>
        <v>0</v>
      </c>
      <c r="AH49" s="4">
        <f t="shared" si="10"/>
        <v>0</v>
      </c>
    </row>
    <row r="50" spans="1:34">
      <c r="A50" s="18" t="s">
        <v>10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8"/>
        <v>0</v>
      </c>
      <c r="R50" s="18" t="s">
        <v>10</v>
      </c>
      <c r="S50" s="35">
        <f t="shared" si="9"/>
        <v>0</v>
      </c>
      <c r="T50" s="35">
        <f t="shared" si="9"/>
        <v>0</v>
      </c>
      <c r="U50" s="35">
        <f t="shared" si="9"/>
        <v>0</v>
      </c>
      <c r="V50" s="35">
        <f t="shared" si="9"/>
        <v>0</v>
      </c>
      <c r="W50" s="35">
        <f t="shared" si="9"/>
        <v>0</v>
      </c>
      <c r="X50" s="35">
        <f t="shared" si="9"/>
        <v>0</v>
      </c>
      <c r="Y50" s="35">
        <f t="shared" si="9"/>
        <v>0</v>
      </c>
      <c r="Z50" s="35">
        <f t="shared" si="9"/>
        <v>0</v>
      </c>
      <c r="AA50" s="35">
        <f t="shared" si="9"/>
        <v>0</v>
      </c>
      <c r="AB50" s="35">
        <f t="shared" si="9"/>
        <v>0</v>
      </c>
      <c r="AC50" s="35">
        <f t="shared" si="9"/>
        <v>0</v>
      </c>
      <c r="AD50" s="35">
        <f t="shared" si="9"/>
        <v>0</v>
      </c>
      <c r="AE50" s="35">
        <f t="shared" si="9"/>
        <v>0</v>
      </c>
      <c r="AF50" s="35">
        <f t="shared" si="7"/>
        <v>0</v>
      </c>
      <c r="AG50" s="35">
        <f t="shared" si="7"/>
        <v>0</v>
      </c>
      <c r="AH50" s="4">
        <f t="shared" si="10"/>
        <v>0</v>
      </c>
    </row>
    <row r="51" spans="1:34">
      <c r="A51" s="1" t="s">
        <v>11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8"/>
        <v>0</v>
      </c>
      <c r="R51" s="1" t="s">
        <v>11</v>
      </c>
      <c r="S51" s="35">
        <f t="shared" si="9"/>
        <v>0</v>
      </c>
      <c r="T51" s="35">
        <f t="shared" si="9"/>
        <v>0</v>
      </c>
      <c r="U51" s="35">
        <f t="shared" si="9"/>
        <v>0</v>
      </c>
      <c r="V51" s="35">
        <f t="shared" si="9"/>
        <v>0</v>
      </c>
      <c r="W51" s="35">
        <f t="shared" si="9"/>
        <v>0</v>
      </c>
      <c r="X51" s="35">
        <f t="shared" si="9"/>
        <v>0</v>
      </c>
      <c r="Y51" s="35">
        <f t="shared" si="9"/>
        <v>0</v>
      </c>
      <c r="Z51" s="35">
        <f t="shared" si="9"/>
        <v>0</v>
      </c>
      <c r="AA51" s="35">
        <f t="shared" si="9"/>
        <v>0</v>
      </c>
      <c r="AB51" s="35">
        <f t="shared" si="9"/>
        <v>0</v>
      </c>
      <c r="AC51" s="35">
        <f t="shared" si="9"/>
        <v>0</v>
      </c>
      <c r="AD51" s="35">
        <f t="shared" si="9"/>
        <v>0</v>
      </c>
      <c r="AE51" s="35">
        <f t="shared" si="9"/>
        <v>0</v>
      </c>
      <c r="AF51" s="35">
        <f t="shared" si="7"/>
        <v>0</v>
      </c>
      <c r="AG51" s="35">
        <f t="shared" si="7"/>
        <v>0</v>
      </c>
      <c r="AH51" s="4">
        <f t="shared" si="10"/>
        <v>0</v>
      </c>
    </row>
    <row r="52" spans="1:34">
      <c r="A52" s="1" t="s">
        <v>12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8"/>
        <v>0</v>
      </c>
      <c r="R52" s="1" t="s">
        <v>12</v>
      </c>
      <c r="S52" s="35">
        <f t="shared" si="9"/>
        <v>0</v>
      </c>
      <c r="T52" s="35">
        <f t="shared" si="9"/>
        <v>0</v>
      </c>
      <c r="U52" s="35">
        <f t="shared" si="9"/>
        <v>0</v>
      </c>
      <c r="V52" s="35">
        <f t="shared" si="9"/>
        <v>0</v>
      </c>
      <c r="W52" s="35">
        <f t="shared" si="9"/>
        <v>0</v>
      </c>
      <c r="X52" s="35">
        <f t="shared" si="9"/>
        <v>0</v>
      </c>
      <c r="Y52" s="35">
        <f t="shared" si="9"/>
        <v>0</v>
      </c>
      <c r="Z52" s="35">
        <f t="shared" si="9"/>
        <v>0</v>
      </c>
      <c r="AA52" s="35">
        <f t="shared" si="9"/>
        <v>0</v>
      </c>
      <c r="AB52" s="35">
        <f t="shared" si="9"/>
        <v>0</v>
      </c>
      <c r="AC52" s="35">
        <f t="shared" si="9"/>
        <v>0</v>
      </c>
      <c r="AD52" s="35">
        <f t="shared" si="9"/>
        <v>0</v>
      </c>
      <c r="AE52" s="35">
        <f t="shared" si="9"/>
        <v>0</v>
      </c>
      <c r="AF52" s="35">
        <f t="shared" si="7"/>
        <v>0</v>
      </c>
      <c r="AG52" s="35">
        <f t="shared" si="7"/>
        <v>0</v>
      </c>
      <c r="AH52" s="4">
        <f t="shared" si="10"/>
        <v>0</v>
      </c>
    </row>
    <row r="53" spans="1:34">
      <c r="A53" s="1" t="s">
        <v>15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8"/>
        <v>0</v>
      </c>
      <c r="R53" s="1" t="s">
        <v>15</v>
      </c>
      <c r="S53" s="35">
        <f t="shared" si="9"/>
        <v>0</v>
      </c>
      <c r="T53" s="35">
        <f t="shared" si="9"/>
        <v>0</v>
      </c>
      <c r="U53" s="35">
        <f t="shared" si="9"/>
        <v>0</v>
      </c>
      <c r="V53" s="35">
        <f t="shared" si="9"/>
        <v>0</v>
      </c>
      <c r="W53" s="35">
        <f t="shared" si="9"/>
        <v>0</v>
      </c>
      <c r="X53" s="35">
        <f t="shared" si="9"/>
        <v>0</v>
      </c>
      <c r="Y53" s="35">
        <f t="shared" si="9"/>
        <v>0</v>
      </c>
      <c r="Z53" s="35">
        <f t="shared" si="9"/>
        <v>0</v>
      </c>
      <c r="AA53" s="35">
        <f t="shared" si="9"/>
        <v>0</v>
      </c>
      <c r="AB53" s="35">
        <f t="shared" si="9"/>
        <v>0</v>
      </c>
      <c r="AC53" s="35">
        <f t="shared" si="9"/>
        <v>0</v>
      </c>
      <c r="AD53" s="35">
        <f t="shared" si="9"/>
        <v>0</v>
      </c>
      <c r="AE53" s="35">
        <f t="shared" si="9"/>
        <v>0</v>
      </c>
      <c r="AF53" s="35">
        <f t="shared" si="7"/>
        <v>0</v>
      </c>
      <c r="AG53" s="35">
        <f t="shared" si="7"/>
        <v>0</v>
      </c>
      <c r="AH53" s="4">
        <f t="shared" si="10"/>
        <v>0</v>
      </c>
    </row>
    <row r="54" spans="1:34">
      <c r="A54" s="1" t="s">
        <v>14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8"/>
        <v>0</v>
      </c>
      <c r="R54" s="1" t="s">
        <v>14</v>
      </c>
      <c r="S54" s="35">
        <f t="shared" si="9"/>
        <v>0</v>
      </c>
      <c r="T54" s="35">
        <f t="shared" si="9"/>
        <v>0</v>
      </c>
      <c r="U54" s="35">
        <f t="shared" si="9"/>
        <v>0</v>
      </c>
      <c r="V54" s="35">
        <f t="shared" si="9"/>
        <v>0</v>
      </c>
      <c r="W54" s="35">
        <f t="shared" si="9"/>
        <v>0</v>
      </c>
      <c r="X54" s="35">
        <f t="shared" si="9"/>
        <v>0</v>
      </c>
      <c r="Y54" s="35">
        <f t="shared" si="9"/>
        <v>0</v>
      </c>
      <c r="Z54" s="35">
        <f t="shared" si="9"/>
        <v>0</v>
      </c>
      <c r="AA54" s="35">
        <f t="shared" si="9"/>
        <v>0</v>
      </c>
      <c r="AB54" s="35">
        <f t="shared" si="9"/>
        <v>0</v>
      </c>
      <c r="AC54" s="35">
        <f t="shared" si="9"/>
        <v>0</v>
      </c>
      <c r="AD54" s="35">
        <f t="shared" si="9"/>
        <v>0</v>
      </c>
      <c r="AE54" s="35">
        <f t="shared" si="9"/>
        <v>0</v>
      </c>
      <c r="AF54" s="35">
        <f t="shared" si="7"/>
        <v>0</v>
      </c>
      <c r="AG54" s="35">
        <f t="shared" si="7"/>
        <v>0</v>
      </c>
      <c r="AH54" s="4">
        <f t="shared" si="10"/>
        <v>0</v>
      </c>
    </row>
    <row r="55" spans="1:34">
      <c r="A55" s="18" t="s">
        <v>13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8"/>
        <v>0</v>
      </c>
      <c r="R55" s="18" t="s">
        <v>13</v>
      </c>
      <c r="S55" s="35">
        <f t="shared" si="9"/>
        <v>0</v>
      </c>
      <c r="T55" s="35">
        <f t="shared" si="9"/>
        <v>0</v>
      </c>
      <c r="U55" s="35">
        <f t="shared" si="9"/>
        <v>0</v>
      </c>
      <c r="V55" s="35">
        <f t="shared" si="9"/>
        <v>0</v>
      </c>
      <c r="W55" s="35">
        <f t="shared" si="9"/>
        <v>0</v>
      </c>
      <c r="X55" s="35">
        <f t="shared" si="9"/>
        <v>0</v>
      </c>
      <c r="Y55" s="35">
        <f t="shared" si="9"/>
        <v>0</v>
      </c>
      <c r="Z55" s="35">
        <f t="shared" si="9"/>
        <v>0</v>
      </c>
      <c r="AA55" s="35">
        <f t="shared" si="9"/>
        <v>0</v>
      </c>
      <c r="AB55" s="35">
        <f t="shared" si="9"/>
        <v>0</v>
      </c>
      <c r="AC55" s="35">
        <f t="shared" si="9"/>
        <v>0</v>
      </c>
      <c r="AD55" s="35">
        <f t="shared" si="9"/>
        <v>0</v>
      </c>
      <c r="AE55" s="35">
        <f t="shared" si="9"/>
        <v>0</v>
      </c>
      <c r="AF55" s="35">
        <f t="shared" si="7"/>
        <v>0</v>
      </c>
      <c r="AG55" s="35">
        <f t="shared" si="7"/>
        <v>0</v>
      </c>
      <c r="AH55" s="4">
        <f t="shared" si="10"/>
        <v>0</v>
      </c>
    </row>
    <row r="56" spans="1:34">
      <c r="A56" s="1" t="s">
        <v>16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8"/>
        <v>0</v>
      </c>
      <c r="R56" s="1" t="s">
        <v>16</v>
      </c>
      <c r="S56" s="35">
        <f t="shared" si="9"/>
        <v>0</v>
      </c>
      <c r="T56" s="35">
        <f t="shared" si="9"/>
        <v>0</v>
      </c>
      <c r="U56" s="35">
        <f t="shared" si="9"/>
        <v>0</v>
      </c>
      <c r="V56" s="35">
        <f t="shared" si="9"/>
        <v>0</v>
      </c>
      <c r="W56" s="35">
        <f t="shared" si="9"/>
        <v>0</v>
      </c>
      <c r="X56" s="35">
        <f t="shared" si="9"/>
        <v>0</v>
      </c>
      <c r="Y56" s="35">
        <f t="shared" si="9"/>
        <v>0</v>
      </c>
      <c r="Z56" s="35">
        <f t="shared" si="9"/>
        <v>0</v>
      </c>
      <c r="AA56" s="35">
        <f t="shared" si="9"/>
        <v>0</v>
      </c>
      <c r="AB56" s="35">
        <f t="shared" si="9"/>
        <v>0</v>
      </c>
      <c r="AC56" s="35">
        <f t="shared" si="9"/>
        <v>0</v>
      </c>
      <c r="AD56" s="35">
        <f t="shared" si="9"/>
        <v>0</v>
      </c>
      <c r="AE56" s="35">
        <f t="shared" si="9"/>
        <v>0</v>
      </c>
      <c r="AF56" s="35">
        <f t="shared" si="9"/>
        <v>0</v>
      </c>
      <c r="AG56" s="35">
        <f t="shared" si="9"/>
        <v>0</v>
      </c>
      <c r="AH56" s="4">
        <f t="shared" si="10"/>
        <v>0</v>
      </c>
    </row>
    <row r="57" spans="1:34">
      <c r="A57" s="1" t="s">
        <v>17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8"/>
        <v>0</v>
      </c>
      <c r="R57" s="1" t="s">
        <v>17</v>
      </c>
      <c r="S57" s="35">
        <f t="shared" ref="S57:AG66" si="11">S92*0.2</f>
        <v>0</v>
      </c>
      <c r="T57" s="35">
        <f t="shared" si="11"/>
        <v>0</v>
      </c>
      <c r="U57" s="35">
        <f t="shared" si="11"/>
        <v>0</v>
      </c>
      <c r="V57" s="35">
        <f t="shared" si="11"/>
        <v>0</v>
      </c>
      <c r="W57" s="35">
        <f t="shared" si="11"/>
        <v>0</v>
      </c>
      <c r="X57" s="35">
        <f t="shared" si="11"/>
        <v>0</v>
      </c>
      <c r="Y57" s="35">
        <f t="shared" si="11"/>
        <v>0</v>
      </c>
      <c r="Z57" s="35">
        <f t="shared" si="11"/>
        <v>0</v>
      </c>
      <c r="AA57" s="35">
        <f t="shared" si="11"/>
        <v>0</v>
      </c>
      <c r="AB57" s="35">
        <f t="shared" si="11"/>
        <v>0</v>
      </c>
      <c r="AC57" s="35">
        <f t="shared" si="11"/>
        <v>0</v>
      </c>
      <c r="AD57" s="35">
        <f t="shared" si="11"/>
        <v>0</v>
      </c>
      <c r="AE57" s="35">
        <f t="shared" si="11"/>
        <v>0</v>
      </c>
      <c r="AF57" s="35">
        <f t="shared" si="11"/>
        <v>0</v>
      </c>
      <c r="AG57" s="35">
        <f t="shared" si="11"/>
        <v>0</v>
      </c>
      <c r="AH57" s="4">
        <f t="shared" si="10"/>
        <v>0</v>
      </c>
    </row>
    <row r="58" spans="1:34">
      <c r="A58" s="1" t="s">
        <v>18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8"/>
        <v>0</v>
      </c>
      <c r="R58" s="1" t="s">
        <v>18</v>
      </c>
      <c r="S58" s="35">
        <f t="shared" si="11"/>
        <v>0</v>
      </c>
      <c r="T58" s="35">
        <f t="shared" si="11"/>
        <v>0</v>
      </c>
      <c r="U58" s="35">
        <f t="shared" si="11"/>
        <v>0</v>
      </c>
      <c r="V58" s="35">
        <f t="shared" si="11"/>
        <v>0</v>
      </c>
      <c r="W58" s="35">
        <f t="shared" si="11"/>
        <v>0</v>
      </c>
      <c r="X58" s="35">
        <f t="shared" si="11"/>
        <v>0</v>
      </c>
      <c r="Y58" s="35">
        <f t="shared" si="11"/>
        <v>0</v>
      </c>
      <c r="Z58" s="35">
        <f t="shared" si="11"/>
        <v>0</v>
      </c>
      <c r="AA58" s="35">
        <f t="shared" si="11"/>
        <v>0</v>
      </c>
      <c r="AB58" s="35">
        <f t="shared" si="11"/>
        <v>0</v>
      </c>
      <c r="AC58" s="35">
        <f t="shared" si="11"/>
        <v>0</v>
      </c>
      <c r="AD58" s="35">
        <f t="shared" si="11"/>
        <v>0</v>
      </c>
      <c r="AE58" s="35">
        <f t="shared" si="11"/>
        <v>0</v>
      </c>
      <c r="AF58" s="35">
        <f t="shared" si="11"/>
        <v>0</v>
      </c>
      <c r="AG58" s="35">
        <f t="shared" si="11"/>
        <v>0</v>
      </c>
      <c r="AH58" s="4">
        <f t="shared" si="10"/>
        <v>0</v>
      </c>
    </row>
    <row r="59" spans="1:34">
      <c r="A59" s="1" t="s">
        <v>20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8"/>
        <v>0</v>
      </c>
      <c r="R59" s="1" t="s">
        <v>20</v>
      </c>
      <c r="S59" s="35">
        <f t="shared" si="11"/>
        <v>0</v>
      </c>
      <c r="T59" s="35">
        <f t="shared" si="11"/>
        <v>0</v>
      </c>
      <c r="U59" s="35">
        <f t="shared" si="11"/>
        <v>0</v>
      </c>
      <c r="V59" s="35">
        <f t="shared" si="11"/>
        <v>0</v>
      </c>
      <c r="W59" s="35">
        <f t="shared" si="11"/>
        <v>0</v>
      </c>
      <c r="X59" s="35">
        <f t="shared" si="11"/>
        <v>0</v>
      </c>
      <c r="Y59" s="35">
        <f t="shared" si="11"/>
        <v>0</v>
      </c>
      <c r="Z59" s="35">
        <f t="shared" si="11"/>
        <v>0</v>
      </c>
      <c r="AA59" s="35">
        <f t="shared" si="11"/>
        <v>0</v>
      </c>
      <c r="AB59" s="35">
        <f t="shared" si="11"/>
        <v>0</v>
      </c>
      <c r="AC59" s="35">
        <f t="shared" si="11"/>
        <v>0</v>
      </c>
      <c r="AD59" s="35">
        <f t="shared" si="11"/>
        <v>0</v>
      </c>
      <c r="AE59" s="35">
        <f t="shared" si="11"/>
        <v>0</v>
      </c>
      <c r="AF59" s="35">
        <f t="shared" si="11"/>
        <v>0</v>
      </c>
      <c r="AG59" s="35">
        <f t="shared" si="11"/>
        <v>0</v>
      </c>
      <c r="AH59" s="4">
        <f t="shared" si="10"/>
        <v>0</v>
      </c>
    </row>
    <row r="60" spans="1:34">
      <c r="A60" s="1" t="s">
        <v>19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8"/>
        <v>0</v>
      </c>
      <c r="R60" s="1" t="s">
        <v>19</v>
      </c>
      <c r="S60" s="35">
        <f t="shared" si="11"/>
        <v>0</v>
      </c>
      <c r="T60" s="35">
        <f t="shared" si="11"/>
        <v>0</v>
      </c>
      <c r="U60" s="35">
        <f t="shared" si="11"/>
        <v>0</v>
      </c>
      <c r="V60" s="35">
        <f t="shared" si="11"/>
        <v>0</v>
      </c>
      <c r="W60" s="35">
        <f t="shared" si="11"/>
        <v>0</v>
      </c>
      <c r="X60" s="35">
        <f t="shared" si="11"/>
        <v>0</v>
      </c>
      <c r="Y60" s="35">
        <f t="shared" si="11"/>
        <v>0</v>
      </c>
      <c r="Z60" s="35">
        <f t="shared" si="11"/>
        <v>0</v>
      </c>
      <c r="AA60" s="35">
        <f t="shared" si="11"/>
        <v>0</v>
      </c>
      <c r="AB60" s="35">
        <f t="shared" si="11"/>
        <v>0</v>
      </c>
      <c r="AC60" s="35">
        <f t="shared" si="11"/>
        <v>0</v>
      </c>
      <c r="AD60" s="35">
        <f t="shared" si="11"/>
        <v>0</v>
      </c>
      <c r="AE60" s="35">
        <f t="shared" si="11"/>
        <v>0</v>
      </c>
      <c r="AF60" s="35">
        <f t="shared" si="11"/>
        <v>0</v>
      </c>
      <c r="AG60" s="35">
        <f t="shared" si="11"/>
        <v>0</v>
      </c>
      <c r="AH60" s="4">
        <f t="shared" si="10"/>
        <v>0</v>
      </c>
    </row>
    <row r="61" spans="1:34">
      <c r="A61" s="18" t="s">
        <v>21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8"/>
        <v>0</v>
      </c>
      <c r="R61" s="18" t="s">
        <v>21</v>
      </c>
      <c r="S61" s="35">
        <f t="shared" si="11"/>
        <v>0</v>
      </c>
      <c r="T61" s="35">
        <f t="shared" si="11"/>
        <v>0</v>
      </c>
      <c r="U61" s="35">
        <f t="shared" si="11"/>
        <v>0</v>
      </c>
      <c r="V61" s="35">
        <f t="shared" si="11"/>
        <v>0</v>
      </c>
      <c r="W61" s="35">
        <f t="shared" si="11"/>
        <v>0</v>
      </c>
      <c r="X61" s="35">
        <f t="shared" si="11"/>
        <v>0</v>
      </c>
      <c r="Y61" s="35">
        <f t="shared" si="11"/>
        <v>0</v>
      </c>
      <c r="Z61" s="35">
        <f t="shared" si="11"/>
        <v>0</v>
      </c>
      <c r="AA61" s="35">
        <f t="shared" si="11"/>
        <v>0</v>
      </c>
      <c r="AB61" s="35">
        <f t="shared" si="11"/>
        <v>0</v>
      </c>
      <c r="AC61" s="35">
        <f t="shared" si="11"/>
        <v>0</v>
      </c>
      <c r="AD61" s="35">
        <f t="shared" si="11"/>
        <v>0</v>
      </c>
      <c r="AE61" s="35">
        <f t="shared" si="11"/>
        <v>0</v>
      </c>
      <c r="AF61" s="35">
        <f t="shared" si="11"/>
        <v>0</v>
      </c>
      <c r="AG61" s="35">
        <f t="shared" si="11"/>
        <v>0</v>
      </c>
      <c r="AH61" s="4">
        <f t="shared" si="10"/>
        <v>0</v>
      </c>
    </row>
    <row r="62" spans="1:34">
      <c r="A62" s="2" t="s">
        <v>22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8"/>
        <v>0</v>
      </c>
      <c r="R62" s="2" t="s">
        <v>22</v>
      </c>
      <c r="S62" s="35">
        <f t="shared" si="11"/>
        <v>0</v>
      </c>
      <c r="T62" s="35">
        <f t="shared" si="11"/>
        <v>0</v>
      </c>
      <c r="U62" s="35">
        <f t="shared" si="11"/>
        <v>0</v>
      </c>
      <c r="V62" s="35">
        <f t="shared" si="11"/>
        <v>0</v>
      </c>
      <c r="W62" s="35">
        <f t="shared" si="11"/>
        <v>0</v>
      </c>
      <c r="X62" s="35">
        <f t="shared" si="11"/>
        <v>0</v>
      </c>
      <c r="Y62" s="35">
        <f t="shared" si="11"/>
        <v>0</v>
      </c>
      <c r="Z62" s="35">
        <f t="shared" si="11"/>
        <v>0</v>
      </c>
      <c r="AA62" s="35">
        <f t="shared" si="11"/>
        <v>0</v>
      </c>
      <c r="AB62" s="35">
        <f t="shared" si="11"/>
        <v>0</v>
      </c>
      <c r="AC62" s="35">
        <f t="shared" si="11"/>
        <v>0</v>
      </c>
      <c r="AD62" s="35">
        <f t="shared" si="11"/>
        <v>0</v>
      </c>
      <c r="AE62" s="35">
        <f t="shared" si="11"/>
        <v>0</v>
      </c>
      <c r="AF62" s="35">
        <f t="shared" si="11"/>
        <v>0</v>
      </c>
      <c r="AG62" s="35">
        <f t="shared" si="11"/>
        <v>0</v>
      </c>
      <c r="AH62" s="4">
        <f t="shared" si="10"/>
        <v>0</v>
      </c>
    </row>
    <row r="63" spans="1:34">
      <c r="A63" s="1" t="s">
        <v>23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8"/>
        <v>0</v>
      </c>
      <c r="R63" s="1" t="s">
        <v>23</v>
      </c>
      <c r="S63" s="35">
        <f t="shared" si="11"/>
        <v>0</v>
      </c>
      <c r="T63" s="35">
        <f t="shared" si="11"/>
        <v>0</v>
      </c>
      <c r="U63" s="35">
        <f t="shared" si="11"/>
        <v>0</v>
      </c>
      <c r="V63" s="35">
        <f t="shared" si="11"/>
        <v>0</v>
      </c>
      <c r="W63" s="35">
        <f t="shared" si="11"/>
        <v>0</v>
      </c>
      <c r="X63" s="35">
        <f t="shared" si="11"/>
        <v>0</v>
      </c>
      <c r="Y63" s="35">
        <f t="shared" si="11"/>
        <v>0</v>
      </c>
      <c r="Z63" s="35">
        <f t="shared" si="11"/>
        <v>0</v>
      </c>
      <c r="AA63" s="35">
        <f t="shared" si="11"/>
        <v>0</v>
      </c>
      <c r="AB63" s="35">
        <f t="shared" si="11"/>
        <v>0</v>
      </c>
      <c r="AC63" s="35">
        <f t="shared" si="11"/>
        <v>0</v>
      </c>
      <c r="AD63" s="35">
        <f t="shared" si="11"/>
        <v>0</v>
      </c>
      <c r="AE63" s="35">
        <f t="shared" si="11"/>
        <v>0</v>
      </c>
      <c r="AF63" s="35">
        <f t="shared" si="11"/>
        <v>0</v>
      </c>
      <c r="AG63" s="35">
        <f t="shared" si="11"/>
        <v>0</v>
      </c>
      <c r="AH63" s="4">
        <f t="shared" si="10"/>
        <v>0</v>
      </c>
    </row>
    <row r="64" spans="1:34">
      <c r="A64" s="1" t="s">
        <v>25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8"/>
        <v>0</v>
      </c>
      <c r="R64" s="1" t="s">
        <v>25</v>
      </c>
      <c r="S64" s="35">
        <f t="shared" si="11"/>
        <v>0</v>
      </c>
      <c r="T64" s="35">
        <f t="shared" si="11"/>
        <v>0</v>
      </c>
      <c r="U64" s="35">
        <f t="shared" si="11"/>
        <v>0</v>
      </c>
      <c r="V64" s="35">
        <f t="shared" si="11"/>
        <v>0</v>
      </c>
      <c r="W64" s="35">
        <f t="shared" si="11"/>
        <v>0</v>
      </c>
      <c r="X64" s="35">
        <f t="shared" si="11"/>
        <v>0</v>
      </c>
      <c r="Y64" s="35">
        <f t="shared" si="11"/>
        <v>0</v>
      </c>
      <c r="Z64" s="35">
        <f t="shared" si="11"/>
        <v>0</v>
      </c>
      <c r="AA64" s="35">
        <f t="shared" si="11"/>
        <v>0</v>
      </c>
      <c r="AB64" s="35">
        <f t="shared" si="11"/>
        <v>0</v>
      </c>
      <c r="AC64" s="35">
        <f t="shared" si="11"/>
        <v>0</v>
      </c>
      <c r="AD64" s="35">
        <f t="shared" si="11"/>
        <v>0</v>
      </c>
      <c r="AE64" s="35">
        <f t="shared" si="11"/>
        <v>0</v>
      </c>
      <c r="AF64" s="35">
        <v>0</v>
      </c>
      <c r="AG64" s="35">
        <v>0</v>
      </c>
      <c r="AH64" s="4">
        <f t="shared" si="10"/>
        <v>0</v>
      </c>
    </row>
    <row r="65" spans="1:34">
      <c r="A65" s="1" t="s">
        <v>24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8"/>
        <v>0</v>
      </c>
      <c r="R65" s="1" t="s">
        <v>24</v>
      </c>
      <c r="S65" s="35">
        <f t="shared" si="11"/>
        <v>0</v>
      </c>
      <c r="T65" s="35">
        <f t="shared" si="11"/>
        <v>0</v>
      </c>
      <c r="U65" s="35">
        <f t="shared" si="11"/>
        <v>0</v>
      </c>
      <c r="V65" s="35">
        <f t="shared" si="11"/>
        <v>0</v>
      </c>
      <c r="W65" s="35">
        <f t="shared" si="11"/>
        <v>0</v>
      </c>
      <c r="X65" s="35">
        <f t="shared" si="11"/>
        <v>0</v>
      </c>
      <c r="Y65" s="35">
        <f t="shared" si="11"/>
        <v>0</v>
      </c>
      <c r="Z65" s="35">
        <f t="shared" si="11"/>
        <v>0</v>
      </c>
      <c r="AA65" s="35">
        <f t="shared" si="11"/>
        <v>0</v>
      </c>
      <c r="AB65" s="35">
        <f t="shared" si="11"/>
        <v>0</v>
      </c>
      <c r="AC65" s="35">
        <f t="shared" si="11"/>
        <v>0</v>
      </c>
      <c r="AD65" s="35">
        <f t="shared" si="11"/>
        <v>0</v>
      </c>
      <c r="AE65" s="35">
        <f t="shared" si="11"/>
        <v>0</v>
      </c>
      <c r="AF65" s="35">
        <f t="shared" si="11"/>
        <v>0</v>
      </c>
      <c r="AG65" s="35">
        <f t="shared" si="11"/>
        <v>0</v>
      </c>
      <c r="AH65" s="4">
        <f t="shared" si="10"/>
        <v>0</v>
      </c>
    </row>
    <row r="66" spans="1:34">
      <c r="A66" s="1" t="s">
        <v>26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8"/>
        <v>0</v>
      </c>
      <c r="R66" s="1" t="s">
        <v>26</v>
      </c>
      <c r="S66" s="35">
        <f t="shared" si="11"/>
        <v>0</v>
      </c>
      <c r="T66" s="35">
        <f t="shared" si="11"/>
        <v>0</v>
      </c>
      <c r="U66" s="35">
        <f t="shared" si="11"/>
        <v>0</v>
      </c>
      <c r="V66" s="35">
        <f t="shared" si="11"/>
        <v>0</v>
      </c>
      <c r="W66" s="35">
        <f t="shared" si="11"/>
        <v>0</v>
      </c>
      <c r="X66" s="35">
        <f t="shared" si="11"/>
        <v>0</v>
      </c>
      <c r="Y66" s="35">
        <f t="shared" si="11"/>
        <v>0</v>
      </c>
      <c r="Z66" s="35">
        <f t="shared" si="11"/>
        <v>0</v>
      </c>
      <c r="AA66" s="35">
        <f t="shared" si="11"/>
        <v>0</v>
      </c>
      <c r="AB66" s="35">
        <f t="shared" si="11"/>
        <v>0</v>
      </c>
      <c r="AC66" s="35">
        <f t="shared" si="11"/>
        <v>0</v>
      </c>
      <c r="AD66" s="35">
        <f t="shared" si="11"/>
        <v>0</v>
      </c>
      <c r="AE66" s="35">
        <f t="shared" si="11"/>
        <v>0</v>
      </c>
      <c r="AF66" s="35">
        <f t="shared" si="11"/>
        <v>0</v>
      </c>
      <c r="AG66" s="35">
        <f t="shared" si="11"/>
        <v>0</v>
      </c>
      <c r="AH66" s="4">
        <f t="shared" si="10"/>
        <v>0</v>
      </c>
    </row>
    <row r="67" spans="1:34">
      <c r="A67" s="8" t="s">
        <v>37</v>
      </c>
      <c r="B67" s="9">
        <f>SUM(B40:B66)</f>
        <v>0</v>
      </c>
      <c r="C67" s="9">
        <f t="shared" ref="C67:N67" si="12">SUM(C40:C66)</f>
        <v>0</v>
      </c>
      <c r="D67" s="9">
        <f t="shared" si="12"/>
        <v>0</v>
      </c>
      <c r="E67" s="9">
        <f t="shared" si="12"/>
        <v>0</v>
      </c>
      <c r="F67" s="9">
        <f t="shared" si="12"/>
        <v>0</v>
      </c>
      <c r="G67" s="9">
        <f t="shared" si="12"/>
        <v>0</v>
      </c>
      <c r="H67" s="9">
        <f t="shared" si="12"/>
        <v>0</v>
      </c>
      <c r="I67" s="9">
        <f t="shared" si="12"/>
        <v>0</v>
      </c>
      <c r="J67" s="9">
        <f t="shared" si="12"/>
        <v>0</v>
      </c>
      <c r="K67" s="9">
        <f t="shared" si="12"/>
        <v>0</v>
      </c>
      <c r="L67" s="9">
        <f t="shared" si="12"/>
        <v>0</v>
      </c>
      <c r="M67" s="9">
        <f t="shared" si="12"/>
        <v>0</v>
      </c>
      <c r="N67" s="9">
        <f t="shared" si="12"/>
        <v>0</v>
      </c>
      <c r="O67" s="13">
        <f>SUM(O40:O66)</f>
        <v>0</v>
      </c>
      <c r="R67" s="8" t="s">
        <v>37</v>
      </c>
      <c r="S67" s="9">
        <f>SUM(S40:S66)</f>
        <v>0</v>
      </c>
      <c r="T67" s="9">
        <f t="shared" ref="T67:AG67" si="13">SUM(T40:T66)</f>
        <v>0</v>
      </c>
      <c r="U67" s="9">
        <f t="shared" si="13"/>
        <v>0</v>
      </c>
      <c r="V67" s="9">
        <f t="shared" si="13"/>
        <v>0</v>
      </c>
      <c r="W67" s="9">
        <f t="shared" si="13"/>
        <v>0</v>
      </c>
      <c r="X67" s="9">
        <f t="shared" si="13"/>
        <v>0</v>
      </c>
      <c r="Y67" s="9">
        <f t="shared" si="13"/>
        <v>0</v>
      </c>
      <c r="Z67" s="9">
        <f t="shared" si="13"/>
        <v>0</v>
      </c>
      <c r="AA67" s="9">
        <f t="shared" si="13"/>
        <v>0</v>
      </c>
      <c r="AB67" s="9">
        <f t="shared" si="13"/>
        <v>0</v>
      </c>
      <c r="AC67" s="9">
        <f t="shared" si="13"/>
        <v>0</v>
      </c>
      <c r="AD67" s="9">
        <f t="shared" si="13"/>
        <v>0</v>
      </c>
      <c r="AE67" s="9">
        <f t="shared" si="13"/>
        <v>0</v>
      </c>
      <c r="AF67" s="9">
        <f t="shared" si="13"/>
        <v>0</v>
      </c>
      <c r="AG67" s="9">
        <f t="shared" si="13"/>
        <v>0</v>
      </c>
      <c r="AH67" s="13">
        <f>SUM(AH40:AH66)</f>
        <v>0</v>
      </c>
    </row>
    <row r="68" spans="1:34" ht="18.75">
      <c r="O68" s="3"/>
      <c r="R68" s="44" t="s">
        <v>50</v>
      </c>
      <c r="AH68" s="3"/>
    </row>
    <row r="69" spans="1:34" s="34" customFormat="1">
      <c r="A69" s="31"/>
      <c r="B69" s="31"/>
      <c r="C69" s="32"/>
      <c r="D69" s="32"/>
      <c r="E69" s="32"/>
      <c r="F69" s="32"/>
      <c r="G69" s="32"/>
      <c r="H69" s="32"/>
      <c r="I69" s="32"/>
      <c r="J69" s="32"/>
      <c r="K69" s="32"/>
      <c r="O69" s="33"/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</row>
    <row r="70" spans="1:34">
      <c r="L70" s="3"/>
      <c r="M70" s="3"/>
      <c r="N70" s="3"/>
      <c r="R70"/>
      <c r="AC70" s="3"/>
      <c r="AD70" s="3"/>
      <c r="AE70" s="3"/>
      <c r="AF70" s="3"/>
      <c r="AG70" s="3"/>
    </row>
    <row r="71" spans="1:34">
      <c r="R71"/>
    </row>
    <row r="72" spans="1:34" ht="46.5">
      <c r="A72" s="292" t="s">
        <v>38</v>
      </c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  <c r="R72" s="292" t="s">
        <v>48</v>
      </c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4"/>
    </row>
    <row r="73" spans="1:34" ht="21.75" customHeight="1">
      <c r="A73" s="290" t="s">
        <v>33</v>
      </c>
      <c r="B73" s="287" t="s">
        <v>27</v>
      </c>
      <c r="C73" s="288"/>
      <c r="D73" s="287" t="s">
        <v>29</v>
      </c>
      <c r="E73" s="288"/>
      <c r="F73" s="285" t="s">
        <v>28</v>
      </c>
      <c r="G73" s="285" t="s">
        <v>36</v>
      </c>
      <c r="H73" s="285" t="s">
        <v>30</v>
      </c>
      <c r="I73" s="285" t="s">
        <v>31</v>
      </c>
      <c r="J73" s="285" t="s">
        <v>41</v>
      </c>
      <c r="K73" s="285" t="s">
        <v>35</v>
      </c>
      <c r="L73" s="285" t="s">
        <v>40</v>
      </c>
      <c r="M73" s="285" t="s">
        <v>42</v>
      </c>
      <c r="N73" s="285" t="s">
        <v>45</v>
      </c>
      <c r="O73" s="285" t="s">
        <v>34</v>
      </c>
      <c r="R73" s="290" t="s">
        <v>33</v>
      </c>
      <c r="S73" s="287" t="s">
        <v>27</v>
      </c>
      <c r="T73" s="288"/>
      <c r="U73" s="287" t="s">
        <v>29</v>
      </c>
      <c r="V73" s="288"/>
      <c r="W73" s="285" t="s">
        <v>28</v>
      </c>
      <c r="X73" s="285" t="s">
        <v>36</v>
      </c>
      <c r="Y73" s="285" t="s">
        <v>30</v>
      </c>
      <c r="Z73" s="285" t="s">
        <v>31</v>
      </c>
      <c r="AA73" s="285" t="s">
        <v>41</v>
      </c>
      <c r="AB73" s="285" t="s">
        <v>35</v>
      </c>
      <c r="AC73" s="285" t="s">
        <v>40</v>
      </c>
      <c r="AD73" s="285" t="s">
        <v>42</v>
      </c>
      <c r="AE73" s="285" t="s">
        <v>45</v>
      </c>
      <c r="AF73" s="287" t="s">
        <v>52</v>
      </c>
      <c r="AG73" s="288"/>
      <c r="AH73" s="285" t="s">
        <v>34</v>
      </c>
    </row>
    <row r="74" spans="1:34" ht="38.25" customHeight="1">
      <c r="A74" s="291"/>
      <c r="B74" s="56" t="s">
        <v>43</v>
      </c>
      <c r="C74" s="56" t="s">
        <v>44</v>
      </c>
      <c r="D74" s="56" t="s">
        <v>43</v>
      </c>
      <c r="E74" s="56" t="s">
        <v>44</v>
      </c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R74" s="291"/>
      <c r="S74" s="56" t="s">
        <v>43</v>
      </c>
      <c r="T74" s="56" t="s">
        <v>44</v>
      </c>
      <c r="U74" s="56" t="s">
        <v>43</v>
      </c>
      <c r="V74" s="56" t="s">
        <v>44</v>
      </c>
      <c r="W74" s="286"/>
      <c r="X74" s="286"/>
      <c r="Y74" s="286"/>
      <c r="Z74" s="286"/>
      <c r="AA74" s="286"/>
      <c r="AB74" s="286"/>
      <c r="AC74" s="286"/>
      <c r="AD74" s="286"/>
      <c r="AE74" s="286"/>
      <c r="AF74" s="55" t="s">
        <v>53</v>
      </c>
      <c r="AG74" s="55" t="s">
        <v>54</v>
      </c>
      <c r="AH74" s="286"/>
    </row>
    <row r="75" spans="1:34">
      <c r="A75" s="1" t="s">
        <v>0</v>
      </c>
      <c r="B75" s="22">
        <f>B5+B40</f>
        <v>0</v>
      </c>
      <c r="C75" s="22">
        <f t="shared" ref="C75:N75" si="14">C5+C40</f>
        <v>0</v>
      </c>
      <c r="D75" s="22">
        <f t="shared" si="14"/>
        <v>0</v>
      </c>
      <c r="E75" s="22">
        <f t="shared" si="14"/>
        <v>0</v>
      </c>
      <c r="F75" s="22">
        <f t="shared" si="14"/>
        <v>0</v>
      </c>
      <c r="G75" s="22">
        <f t="shared" si="14"/>
        <v>0</v>
      </c>
      <c r="H75" s="22">
        <f t="shared" si="14"/>
        <v>0</v>
      </c>
      <c r="I75" s="22">
        <f t="shared" si="14"/>
        <v>0</v>
      </c>
      <c r="J75" s="22">
        <f t="shared" si="14"/>
        <v>0</v>
      </c>
      <c r="K75" s="22">
        <f t="shared" si="14"/>
        <v>0</v>
      </c>
      <c r="L75" s="22">
        <f t="shared" si="14"/>
        <v>0</v>
      </c>
      <c r="M75" s="22">
        <f t="shared" si="14"/>
        <v>0</v>
      </c>
      <c r="N75" s="22">
        <f t="shared" si="14"/>
        <v>0</v>
      </c>
      <c r="O75" s="12">
        <f>SUM(B75:N75)</f>
        <v>0</v>
      </c>
      <c r="R75" s="2" t="s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12">
        <f>SUM(S75:AG75)</f>
        <v>0</v>
      </c>
    </row>
    <row r="76" spans="1:34">
      <c r="A76" s="1" t="s">
        <v>1</v>
      </c>
      <c r="B76" s="22">
        <f t="shared" ref="B76:N91" si="15">B6+B41</f>
        <v>0</v>
      </c>
      <c r="C76" s="22">
        <f t="shared" si="15"/>
        <v>0</v>
      </c>
      <c r="D76" s="22">
        <f t="shared" si="15"/>
        <v>0</v>
      </c>
      <c r="E76" s="22">
        <f t="shared" si="15"/>
        <v>0</v>
      </c>
      <c r="F76" s="22">
        <f t="shared" si="15"/>
        <v>0</v>
      </c>
      <c r="G76" s="22">
        <f t="shared" si="15"/>
        <v>0</v>
      </c>
      <c r="H76" s="22">
        <f t="shared" si="15"/>
        <v>0</v>
      </c>
      <c r="I76" s="22">
        <f t="shared" si="15"/>
        <v>0</v>
      </c>
      <c r="J76" s="22">
        <f t="shared" si="15"/>
        <v>0</v>
      </c>
      <c r="K76" s="22">
        <f t="shared" si="15"/>
        <v>0</v>
      </c>
      <c r="L76" s="22">
        <f t="shared" si="15"/>
        <v>0</v>
      </c>
      <c r="M76" s="22">
        <f t="shared" si="15"/>
        <v>0</v>
      </c>
      <c r="N76" s="22">
        <f t="shared" si="15"/>
        <v>0</v>
      </c>
      <c r="O76" s="12">
        <f t="shared" ref="O76:O101" si="16">SUM(B76:N76)</f>
        <v>0</v>
      </c>
      <c r="R76" s="2" t="s">
        <v>1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12">
        <f t="shared" ref="AH76:AH101" si="17">SUM(S76:AG76)</f>
        <v>0</v>
      </c>
    </row>
    <row r="77" spans="1:34">
      <c r="A77" s="18" t="s">
        <v>2</v>
      </c>
      <c r="B77" s="22">
        <f t="shared" si="15"/>
        <v>0</v>
      </c>
      <c r="C77" s="22">
        <f t="shared" si="15"/>
        <v>0</v>
      </c>
      <c r="D77" s="22">
        <f t="shared" si="15"/>
        <v>0</v>
      </c>
      <c r="E77" s="22">
        <f t="shared" si="15"/>
        <v>0</v>
      </c>
      <c r="F77" s="22">
        <f t="shared" si="15"/>
        <v>0</v>
      </c>
      <c r="G77" s="22">
        <f t="shared" si="15"/>
        <v>0</v>
      </c>
      <c r="H77" s="22">
        <f t="shared" si="15"/>
        <v>0</v>
      </c>
      <c r="I77" s="22">
        <f t="shared" si="15"/>
        <v>0</v>
      </c>
      <c r="J77" s="22">
        <f t="shared" si="15"/>
        <v>0</v>
      </c>
      <c r="K77" s="22">
        <f t="shared" si="15"/>
        <v>0</v>
      </c>
      <c r="L77" s="22">
        <f t="shared" si="15"/>
        <v>0</v>
      </c>
      <c r="M77" s="22">
        <f t="shared" si="15"/>
        <v>0</v>
      </c>
      <c r="N77" s="22">
        <f t="shared" si="15"/>
        <v>0</v>
      </c>
      <c r="O77" s="12">
        <f t="shared" si="16"/>
        <v>0</v>
      </c>
      <c r="R77" s="2" t="s">
        <v>2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12">
        <f t="shared" si="17"/>
        <v>0</v>
      </c>
    </row>
    <row r="78" spans="1:34">
      <c r="A78" s="2" t="s">
        <v>3</v>
      </c>
      <c r="B78" s="22">
        <f t="shared" si="15"/>
        <v>0</v>
      </c>
      <c r="C78" s="22">
        <f t="shared" si="15"/>
        <v>0</v>
      </c>
      <c r="D78" s="22">
        <f t="shared" si="15"/>
        <v>0</v>
      </c>
      <c r="E78" s="22">
        <f t="shared" si="15"/>
        <v>0</v>
      </c>
      <c r="F78" s="22">
        <f t="shared" si="15"/>
        <v>0</v>
      </c>
      <c r="G78" s="22">
        <f t="shared" si="15"/>
        <v>0</v>
      </c>
      <c r="H78" s="22">
        <f t="shared" si="15"/>
        <v>0</v>
      </c>
      <c r="I78" s="22">
        <f t="shared" si="15"/>
        <v>0</v>
      </c>
      <c r="J78" s="22">
        <f t="shared" si="15"/>
        <v>0</v>
      </c>
      <c r="K78" s="22">
        <f t="shared" si="15"/>
        <v>0</v>
      </c>
      <c r="L78" s="22">
        <f t="shared" si="15"/>
        <v>0</v>
      </c>
      <c r="M78" s="22">
        <f t="shared" si="15"/>
        <v>0</v>
      </c>
      <c r="N78" s="22">
        <f t="shared" si="15"/>
        <v>0</v>
      </c>
      <c r="O78" s="12">
        <f t="shared" si="16"/>
        <v>0</v>
      </c>
      <c r="R78" s="2" t="s">
        <v>3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12">
        <f t="shared" si="17"/>
        <v>0</v>
      </c>
    </row>
    <row r="79" spans="1:34">
      <c r="A79" s="1" t="s">
        <v>4</v>
      </c>
      <c r="B79" s="22">
        <f t="shared" si="15"/>
        <v>0</v>
      </c>
      <c r="C79" s="22">
        <f t="shared" si="15"/>
        <v>0</v>
      </c>
      <c r="D79" s="22">
        <f t="shared" si="15"/>
        <v>0</v>
      </c>
      <c r="E79" s="22">
        <f t="shared" si="15"/>
        <v>0</v>
      </c>
      <c r="F79" s="22">
        <f t="shared" si="15"/>
        <v>0</v>
      </c>
      <c r="G79" s="22">
        <f t="shared" si="15"/>
        <v>0</v>
      </c>
      <c r="H79" s="22">
        <f t="shared" si="15"/>
        <v>0</v>
      </c>
      <c r="I79" s="22">
        <f t="shared" si="15"/>
        <v>0</v>
      </c>
      <c r="J79" s="22">
        <f t="shared" si="15"/>
        <v>0</v>
      </c>
      <c r="K79" s="22">
        <f t="shared" si="15"/>
        <v>0</v>
      </c>
      <c r="L79" s="22">
        <f t="shared" si="15"/>
        <v>0</v>
      </c>
      <c r="M79" s="22">
        <f t="shared" si="15"/>
        <v>0</v>
      </c>
      <c r="N79" s="22">
        <f t="shared" si="15"/>
        <v>0</v>
      </c>
      <c r="O79" s="12">
        <f t="shared" si="16"/>
        <v>0</v>
      </c>
      <c r="R79" s="2" t="s">
        <v>4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12">
        <f t="shared" si="17"/>
        <v>0</v>
      </c>
    </row>
    <row r="80" spans="1:34">
      <c r="A80" s="1" t="s">
        <v>5</v>
      </c>
      <c r="B80" s="22">
        <f t="shared" si="15"/>
        <v>0</v>
      </c>
      <c r="C80" s="22">
        <f t="shared" si="15"/>
        <v>0</v>
      </c>
      <c r="D80" s="22">
        <f t="shared" si="15"/>
        <v>0</v>
      </c>
      <c r="E80" s="22">
        <f t="shared" si="15"/>
        <v>0</v>
      </c>
      <c r="F80" s="22">
        <f t="shared" si="15"/>
        <v>0</v>
      </c>
      <c r="G80" s="22">
        <f t="shared" si="15"/>
        <v>0</v>
      </c>
      <c r="H80" s="22">
        <f t="shared" si="15"/>
        <v>0</v>
      </c>
      <c r="I80" s="22">
        <f t="shared" si="15"/>
        <v>0</v>
      </c>
      <c r="J80" s="22">
        <f t="shared" si="15"/>
        <v>0</v>
      </c>
      <c r="K80" s="22">
        <f t="shared" si="15"/>
        <v>0</v>
      </c>
      <c r="L80" s="22">
        <f t="shared" si="15"/>
        <v>0</v>
      </c>
      <c r="M80" s="22">
        <f t="shared" si="15"/>
        <v>0</v>
      </c>
      <c r="N80" s="22">
        <f t="shared" si="15"/>
        <v>0</v>
      </c>
      <c r="O80" s="12">
        <f t="shared" si="16"/>
        <v>0</v>
      </c>
      <c r="R80" s="2" t="s">
        <v>5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12">
        <f t="shared" si="17"/>
        <v>0</v>
      </c>
    </row>
    <row r="81" spans="1:34">
      <c r="A81" s="1" t="s">
        <v>6</v>
      </c>
      <c r="B81" s="22">
        <f t="shared" si="15"/>
        <v>0</v>
      </c>
      <c r="C81" s="22">
        <f t="shared" si="15"/>
        <v>0</v>
      </c>
      <c r="D81" s="22">
        <f t="shared" si="15"/>
        <v>0</v>
      </c>
      <c r="E81" s="22">
        <f t="shared" si="15"/>
        <v>0</v>
      </c>
      <c r="F81" s="22">
        <f t="shared" si="15"/>
        <v>0</v>
      </c>
      <c r="G81" s="22">
        <f t="shared" si="15"/>
        <v>0</v>
      </c>
      <c r="H81" s="22">
        <f t="shared" si="15"/>
        <v>0</v>
      </c>
      <c r="I81" s="22">
        <f t="shared" si="15"/>
        <v>0</v>
      </c>
      <c r="J81" s="22">
        <f t="shared" si="15"/>
        <v>0</v>
      </c>
      <c r="K81" s="22">
        <f t="shared" si="15"/>
        <v>0</v>
      </c>
      <c r="L81" s="22">
        <f t="shared" si="15"/>
        <v>0</v>
      </c>
      <c r="M81" s="22">
        <f t="shared" si="15"/>
        <v>0</v>
      </c>
      <c r="N81" s="22">
        <f t="shared" si="15"/>
        <v>0</v>
      </c>
      <c r="O81" s="12">
        <f t="shared" si="16"/>
        <v>0</v>
      </c>
      <c r="R81" s="2" t="s">
        <v>6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12">
        <f t="shared" si="17"/>
        <v>0</v>
      </c>
    </row>
    <row r="82" spans="1:34">
      <c r="A82" s="1" t="s">
        <v>7</v>
      </c>
      <c r="B82" s="22">
        <f t="shared" si="15"/>
        <v>0</v>
      </c>
      <c r="C82" s="22">
        <f t="shared" si="15"/>
        <v>0</v>
      </c>
      <c r="D82" s="22">
        <f t="shared" si="15"/>
        <v>0</v>
      </c>
      <c r="E82" s="22">
        <f t="shared" si="15"/>
        <v>0</v>
      </c>
      <c r="F82" s="22">
        <f t="shared" si="15"/>
        <v>0</v>
      </c>
      <c r="G82" s="22">
        <f t="shared" si="15"/>
        <v>0</v>
      </c>
      <c r="H82" s="22">
        <f t="shared" si="15"/>
        <v>0</v>
      </c>
      <c r="I82" s="22">
        <f t="shared" si="15"/>
        <v>0</v>
      </c>
      <c r="J82" s="22">
        <f>J12+J47</f>
        <v>0</v>
      </c>
      <c r="K82" s="22">
        <f t="shared" si="15"/>
        <v>0</v>
      </c>
      <c r="L82" s="22">
        <f t="shared" si="15"/>
        <v>0</v>
      </c>
      <c r="M82" s="22">
        <f t="shared" si="15"/>
        <v>0</v>
      </c>
      <c r="N82" s="22">
        <f t="shared" si="15"/>
        <v>0</v>
      </c>
      <c r="O82" s="12">
        <f t="shared" si="16"/>
        <v>0</v>
      </c>
      <c r="R82" s="2" t="s">
        <v>7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12">
        <f t="shared" si="17"/>
        <v>0</v>
      </c>
    </row>
    <row r="83" spans="1:34">
      <c r="A83" s="1" t="s">
        <v>8</v>
      </c>
      <c r="B83" s="22">
        <f t="shared" si="15"/>
        <v>0</v>
      </c>
      <c r="C83" s="22">
        <f t="shared" si="15"/>
        <v>0</v>
      </c>
      <c r="D83" s="22">
        <f t="shared" si="15"/>
        <v>0</v>
      </c>
      <c r="E83" s="22">
        <f t="shared" si="15"/>
        <v>0</v>
      </c>
      <c r="F83" s="22">
        <f t="shared" si="15"/>
        <v>0</v>
      </c>
      <c r="G83" s="22">
        <f t="shared" si="15"/>
        <v>0</v>
      </c>
      <c r="H83" s="22">
        <f t="shared" si="15"/>
        <v>0</v>
      </c>
      <c r="I83" s="22">
        <f t="shared" si="15"/>
        <v>0</v>
      </c>
      <c r="J83" s="22">
        <f t="shared" si="15"/>
        <v>0</v>
      </c>
      <c r="K83" s="22">
        <f t="shared" si="15"/>
        <v>0</v>
      </c>
      <c r="L83" s="22">
        <f t="shared" si="15"/>
        <v>0</v>
      </c>
      <c r="M83" s="22">
        <f t="shared" si="15"/>
        <v>0</v>
      </c>
      <c r="N83" s="22">
        <f t="shared" si="15"/>
        <v>0</v>
      </c>
      <c r="O83" s="12">
        <f t="shared" si="16"/>
        <v>0</v>
      </c>
      <c r="R83" s="2" t="s">
        <v>8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12">
        <f t="shared" si="17"/>
        <v>0</v>
      </c>
    </row>
    <row r="84" spans="1:34">
      <c r="A84" s="2" t="s">
        <v>9</v>
      </c>
      <c r="B84" s="22">
        <f t="shared" si="15"/>
        <v>0</v>
      </c>
      <c r="C84" s="22">
        <f t="shared" si="15"/>
        <v>0</v>
      </c>
      <c r="D84" s="22">
        <f t="shared" si="15"/>
        <v>0</v>
      </c>
      <c r="E84" s="22">
        <f t="shared" si="15"/>
        <v>0</v>
      </c>
      <c r="F84" s="22">
        <f t="shared" si="15"/>
        <v>0</v>
      </c>
      <c r="G84" s="22">
        <f t="shared" si="15"/>
        <v>0</v>
      </c>
      <c r="H84" s="22">
        <f t="shared" si="15"/>
        <v>0</v>
      </c>
      <c r="I84" s="22">
        <f t="shared" si="15"/>
        <v>0</v>
      </c>
      <c r="J84" s="22">
        <f t="shared" si="15"/>
        <v>0</v>
      </c>
      <c r="K84" s="22">
        <f t="shared" si="15"/>
        <v>0</v>
      </c>
      <c r="L84" s="22">
        <f t="shared" si="15"/>
        <v>0</v>
      </c>
      <c r="M84" s="22">
        <f t="shared" si="15"/>
        <v>0</v>
      </c>
      <c r="N84" s="22">
        <f t="shared" si="15"/>
        <v>0</v>
      </c>
      <c r="O84" s="12">
        <f t="shared" si="16"/>
        <v>0</v>
      </c>
      <c r="R84" s="2" t="s">
        <v>9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12">
        <f t="shared" si="17"/>
        <v>0</v>
      </c>
    </row>
    <row r="85" spans="1:34">
      <c r="A85" s="18" t="s">
        <v>10</v>
      </c>
      <c r="B85" s="22">
        <f t="shared" si="15"/>
        <v>0</v>
      </c>
      <c r="C85" s="22">
        <f t="shared" si="15"/>
        <v>0</v>
      </c>
      <c r="D85" s="22">
        <f t="shared" si="15"/>
        <v>0</v>
      </c>
      <c r="E85" s="22">
        <f t="shared" si="15"/>
        <v>0</v>
      </c>
      <c r="F85" s="22">
        <f t="shared" si="15"/>
        <v>0</v>
      </c>
      <c r="G85" s="22">
        <f t="shared" si="15"/>
        <v>0</v>
      </c>
      <c r="H85" s="22">
        <f t="shared" si="15"/>
        <v>0</v>
      </c>
      <c r="I85" s="22">
        <f t="shared" si="15"/>
        <v>0</v>
      </c>
      <c r="J85" s="22">
        <f t="shared" si="15"/>
        <v>0</v>
      </c>
      <c r="K85" s="22">
        <f t="shared" si="15"/>
        <v>0</v>
      </c>
      <c r="L85" s="22">
        <f t="shared" si="15"/>
        <v>0</v>
      </c>
      <c r="M85" s="22">
        <f t="shared" si="15"/>
        <v>0</v>
      </c>
      <c r="N85" s="22">
        <f t="shared" si="15"/>
        <v>0</v>
      </c>
      <c r="O85" s="12">
        <f t="shared" si="16"/>
        <v>0</v>
      </c>
      <c r="R85" s="2" t="s">
        <v>10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12">
        <f t="shared" si="17"/>
        <v>0</v>
      </c>
    </row>
    <row r="86" spans="1:34">
      <c r="A86" s="1" t="s">
        <v>11</v>
      </c>
      <c r="B86" s="22">
        <f t="shared" si="15"/>
        <v>0</v>
      </c>
      <c r="C86" s="22">
        <f t="shared" si="15"/>
        <v>0</v>
      </c>
      <c r="D86" s="22">
        <f t="shared" si="15"/>
        <v>0</v>
      </c>
      <c r="E86" s="22">
        <f t="shared" si="15"/>
        <v>0</v>
      </c>
      <c r="F86" s="22">
        <f t="shared" si="15"/>
        <v>0</v>
      </c>
      <c r="G86" s="22">
        <f t="shared" si="15"/>
        <v>0</v>
      </c>
      <c r="H86" s="22">
        <f t="shared" si="15"/>
        <v>0</v>
      </c>
      <c r="I86" s="22">
        <f t="shared" si="15"/>
        <v>0</v>
      </c>
      <c r="J86" s="22">
        <f t="shared" si="15"/>
        <v>0</v>
      </c>
      <c r="K86" s="22">
        <f t="shared" si="15"/>
        <v>0</v>
      </c>
      <c r="L86" s="22">
        <f t="shared" si="15"/>
        <v>0</v>
      </c>
      <c r="M86" s="22">
        <f t="shared" si="15"/>
        <v>0</v>
      </c>
      <c r="N86" s="22">
        <f t="shared" si="15"/>
        <v>0</v>
      </c>
      <c r="O86" s="12">
        <f t="shared" si="16"/>
        <v>0</v>
      </c>
      <c r="R86" s="2" t="s">
        <v>11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12">
        <f t="shared" si="17"/>
        <v>0</v>
      </c>
    </row>
    <row r="87" spans="1:34">
      <c r="A87" s="1" t="s">
        <v>12</v>
      </c>
      <c r="B87" s="22">
        <f t="shared" si="15"/>
        <v>0</v>
      </c>
      <c r="C87" s="22">
        <f t="shared" si="15"/>
        <v>0</v>
      </c>
      <c r="D87" s="22">
        <f t="shared" si="15"/>
        <v>0</v>
      </c>
      <c r="E87" s="22">
        <f t="shared" si="15"/>
        <v>0</v>
      </c>
      <c r="F87" s="22">
        <f t="shared" si="15"/>
        <v>0</v>
      </c>
      <c r="G87" s="22">
        <f t="shared" si="15"/>
        <v>0</v>
      </c>
      <c r="H87" s="22">
        <f t="shared" si="15"/>
        <v>0</v>
      </c>
      <c r="I87" s="22">
        <f t="shared" si="15"/>
        <v>0</v>
      </c>
      <c r="J87" s="22">
        <f t="shared" si="15"/>
        <v>0</v>
      </c>
      <c r="K87" s="22">
        <f t="shared" si="15"/>
        <v>0</v>
      </c>
      <c r="L87" s="22">
        <f t="shared" si="15"/>
        <v>0</v>
      </c>
      <c r="M87" s="22">
        <f t="shared" si="15"/>
        <v>0</v>
      </c>
      <c r="N87" s="22">
        <f t="shared" si="15"/>
        <v>0</v>
      </c>
      <c r="O87" s="12">
        <f t="shared" si="16"/>
        <v>0</v>
      </c>
      <c r="R87" s="2" t="s">
        <v>12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12">
        <f t="shared" si="17"/>
        <v>0</v>
      </c>
    </row>
    <row r="88" spans="1:34">
      <c r="A88" s="1" t="s">
        <v>15</v>
      </c>
      <c r="B88" s="22">
        <f t="shared" si="15"/>
        <v>0</v>
      </c>
      <c r="C88" s="22">
        <f t="shared" si="15"/>
        <v>0</v>
      </c>
      <c r="D88" s="22">
        <f t="shared" si="15"/>
        <v>0</v>
      </c>
      <c r="E88" s="22">
        <f t="shared" si="15"/>
        <v>0</v>
      </c>
      <c r="F88" s="22">
        <f t="shared" si="15"/>
        <v>0</v>
      </c>
      <c r="G88" s="22">
        <f t="shared" si="15"/>
        <v>0</v>
      </c>
      <c r="H88" s="22">
        <f t="shared" si="15"/>
        <v>0</v>
      </c>
      <c r="I88" s="22">
        <f t="shared" si="15"/>
        <v>0</v>
      </c>
      <c r="J88" s="22">
        <f t="shared" si="15"/>
        <v>0</v>
      </c>
      <c r="K88" s="22">
        <f t="shared" si="15"/>
        <v>0</v>
      </c>
      <c r="L88" s="22">
        <f t="shared" si="15"/>
        <v>0</v>
      </c>
      <c r="M88" s="22">
        <f t="shared" si="15"/>
        <v>0</v>
      </c>
      <c r="N88" s="22">
        <f t="shared" si="15"/>
        <v>0</v>
      </c>
      <c r="O88" s="12">
        <f t="shared" si="16"/>
        <v>0</v>
      </c>
      <c r="R88" s="2" t="s">
        <v>15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12">
        <f t="shared" si="17"/>
        <v>0</v>
      </c>
    </row>
    <row r="89" spans="1:34">
      <c r="A89" s="1" t="s">
        <v>14</v>
      </c>
      <c r="B89" s="22">
        <f t="shared" si="15"/>
        <v>0</v>
      </c>
      <c r="C89" s="22">
        <f t="shared" si="15"/>
        <v>0</v>
      </c>
      <c r="D89" s="22">
        <f t="shared" si="15"/>
        <v>0</v>
      </c>
      <c r="E89" s="22">
        <f t="shared" si="15"/>
        <v>0</v>
      </c>
      <c r="F89" s="22">
        <f t="shared" si="15"/>
        <v>0</v>
      </c>
      <c r="G89" s="22">
        <f t="shared" si="15"/>
        <v>0</v>
      </c>
      <c r="H89" s="22">
        <f t="shared" si="15"/>
        <v>0</v>
      </c>
      <c r="I89" s="22">
        <f t="shared" si="15"/>
        <v>0</v>
      </c>
      <c r="J89" s="22">
        <f t="shared" si="15"/>
        <v>0</v>
      </c>
      <c r="K89" s="22">
        <f t="shared" si="15"/>
        <v>0</v>
      </c>
      <c r="L89" s="22">
        <f t="shared" si="15"/>
        <v>0</v>
      </c>
      <c r="M89" s="22">
        <f t="shared" si="15"/>
        <v>0</v>
      </c>
      <c r="N89" s="22">
        <f t="shared" si="15"/>
        <v>0</v>
      </c>
      <c r="O89" s="12">
        <f t="shared" si="16"/>
        <v>0</v>
      </c>
      <c r="R89" s="2" t="s">
        <v>14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12">
        <f t="shared" si="17"/>
        <v>0</v>
      </c>
    </row>
    <row r="90" spans="1:34">
      <c r="A90" s="18" t="s">
        <v>13</v>
      </c>
      <c r="B90" s="22">
        <f t="shared" si="15"/>
        <v>0</v>
      </c>
      <c r="C90" s="22">
        <f t="shared" si="15"/>
        <v>0</v>
      </c>
      <c r="D90" s="22">
        <f t="shared" si="15"/>
        <v>0</v>
      </c>
      <c r="E90" s="22">
        <f t="shared" si="15"/>
        <v>0</v>
      </c>
      <c r="F90" s="22">
        <f t="shared" si="15"/>
        <v>0</v>
      </c>
      <c r="G90" s="22">
        <f t="shared" si="15"/>
        <v>0</v>
      </c>
      <c r="H90" s="22">
        <f t="shared" si="15"/>
        <v>0</v>
      </c>
      <c r="I90" s="22">
        <f t="shared" si="15"/>
        <v>0</v>
      </c>
      <c r="J90" s="22">
        <f t="shared" si="15"/>
        <v>0</v>
      </c>
      <c r="K90" s="22">
        <f t="shared" si="15"/>
        <v>0</v>
      </c>
      <c r="L90" s="22">
        <f t="shared" si="15"/>
        <v>0</v>
      </c>
      <c r="M90" s="22">
        <f t="shared" si="15"/>
        <v>0</v>
      </c>
      <c r="N90" s="22">
        <f t="shared" si="15"/>
        <v>0</v>
      </c>
      <c r="O90" s="12">
        <f t="shared" si="16"/>
        <v>0</v>
      </c>
      <c r="R90" s="2" t="s">
        <v>13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12">
        <f t="shared" si="17"/>
        <v>0</v>
      </c>
    </row>
    <row r="91" spans="1:34">
      <c r="A91" s="1" t="s">
        <v>16</v>
      </c>
      <c r="B91" s="22">
        <f t="shared" si="15"/>
        <v>0</v>
      </c>
      <c r="C91" s="22">
        <f t="shared" si="15"/>
        <v>0</v>
      </c>
      <c r="D91" s="22">
        <f t="shared" si="15"/>
        <v>0</v>
      </c>
      <c r="E91" s="22">
        <f t="shared" si="15"/>
        <v>0</v>
      </c>
      <c r="F91" s="22">
        <f t="shared" si="15"/>
        <v>0</v>
      </c>
      <c r="G91" s="22">
        <f t="shared" si="15"/>
        <v>0</v>
      </c>
      <c r="H91" s="22">
        <f t="shared" si="15"/>
        <v>0</v>
      </c>
      <c r="I91" s="22">
        <f t="shared" si="15"/>
        <v>0</v>
      </c>
      <c r="J91" s="22">
        <f t="shared" si="15"/>
        <v>0</v>
      </c>
      <c r="K91" s="22">
        <f t="shared" si="15"/>
        <v>0</v>
      </c>
      <c r="L91" s="22">
        <f t="shared" si="15"/>
        <v>0</v>
      </c>
      <c r="M91" s="22">
        <f t="shared" si="15"/>
        <v>0</v>
      </c>
      <c r="N91" s="22">
        <f t="shared" si="15"/>
        <v>0</v>
      </c>
      <c r="O91" s="12">
        <f t="shared" si="16"/>
        <v>0</v>
      </c>
      <c r="R91" s="2" t="s">
        <v>16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12">
        <f t="shared" si="17"/>
        <v>0</v>
      </c>
    </row>
    <row r="92" spans="1:34">
      <c r="A92" s="1" t="s">
        <v>17</v>
      </c>
      <c r="B92" s="22">
        <f t="shared" ref="B92:N101" si="18">B22+B57</f>
        <v>0</v>
      </c>
      <c r="C92" s="22">
        <f t="shared" si="18"/>
        <v>0</v>
      </c>
      <c r="D92" s="22">
        <f t="shared" si="18"/>
        <v>0</v>
      </c>
      <c r="E92" s="22">
        <f t="shared" si="18"/>
        <v>0</v>
      </c>
      <c r="F92" s="22">
        <f t="shared" si="18"/>
        <v>0</v>
      </c>
      <c r="G92" s="22">
        <f t="shared" si="18"/>
        <v>0</v>
      </c>
      <c r="H92" s="22">
        <f t="shared" si="18"/>
        <v>0</v>
      </c>
      <c r="I92" s="22">
        <f t="shared" si="18"/>
        <v>0</v>
      </c>
      <c r="J92" s="22">
        <f t="shared" si="18"/>
        <v>0</v>
      </c>
      <c r="K92" s="22">
        <f t="shared" si="18"/>
        <v>0</v>
      </c>
      <c r="L92" s="22">
        <f t="shared" si="18"/>
        <v>0</v>
      </c>
      <c r="M92" s="22">
        <f t="shared" si="18"/>
        <v>0</v>
      </c>
      <c r="N92" s="22">
        <f t="shared" si="18"/>
        <v>0</v>
      </c>
      <c r="O92" s="12">
        <f t="shared" si="16"/>
        <v>0</v>
      </c>
      <c r="R92" s="2" t="s">
        <v>17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12">
        <f t="shared" si="17"/>
        <v>0</v>
      </c>
    </row>
    <row r="93" spans="1:34">
      <c r="A93" s="1" t="s">
        <v>18</v>
      </c>
      <c r="B93" s="22">
        <f t="shared" si="18"/>
        <v>0</v>
      </c>
      <c r="C93" s="22">
        <f t="shared" si="18"/>
        <v>0</v>
      </c>
      <c r="D93" s="22">
        <f t="shared" si="18"/>
        <v>0</v>
      </c>
      <c r="E93" s="22">
        <f t="shared" si="18"/>
        <v>0</v>
      </c>
      <c r="F93" s="22">
        <f t="shared" si="18"/>
        <v>0</v>
      </c>
      <c r="G93" s="22">
        <f t="shared" si="18"/>
        <v>0</v>
      </c>
      <c r="H93" s="22">
        <f t="shared" si="18"/>
        <v>0</v>
      </c>
      <c r="I93" s="22">
        <f t="shared" si="18"/>
        <v>0</v>
      </c>
      <c r="J93" s="22">
        <f t="shared" si="18"/>
        <v>0</v>
      </c>
      <c r="K93" s="22">
        <f t="shared" si="18"/>
        <v>0</v>
      </c>
      <c r="L93" s="22">
        <f t="shared" si="18"/>
        <v>0</v>
      </c>
      <c r="M93" s="22">
        <f t="shared" si="18"/>
        <v>0</v>
      </c>
      <c r="N93" s="22">
        <f t="shared" si="18"/>
        <v>0</v>
      </c>
      <c r="O93" s="12">
        <f t="shared" si="16"/>
        <v>0</v>
      </c>
      <c r="R93" s="2" t="s">
        <v>18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12">
        <f t="shared" si="17"/>
        <v>0</v>
      </c>
    </row>
    <row r="94" spans="1:34">
      <c r="A94" s="1" t="s">
        <v>20</v>
      </c>
      <c r="B94" s="22">
        <f t="shared" si="18"/>
        <v>0</v>
      </c>
      <c r="C94" s="22">
        <f t="shared" si="18"/>
        <v>0</v>
      </c>
      <c r="D94" s="22">
        <f t="shared" si="18"/>
        <v>0</v>
      </c>
      <c r="E94" s="22">
        <f t="shared" si="18"/>
        <v>0</v>
      </c>
      <c r="F94" s="22">
        <f t="shared" si="18"/>
        <v>0</v>
      </c>
      <c r="G94" s="22">
        <f t="shared" si="18"/>
        <v>0</v>
      </c>
      <c r="H94" s="22">
        <f t="shared" si="18"/>
        <v>0</v>
      </c>
      <c r="I94" s="22">
        <f t="shared" si="18"/>
        <v>0</v>
      </c>
      <c r="J94" s="22">
        <f t="shared" si="18"/>
        <v>0</v>
      </c>
      <c r="K94" s="22">
        <f t="shared" si="18"/>
        <v>0</v>
      </c>
      <c r="L94" s="22">
        <f t="shared" si="18"/>
        <v>0</v>
      </c>
      <c r="M94" s="22">
        <f t="shared" si="18"/>
        <v>0</v>
      </c>
      <c r="N94" s="22">
        <f t="shared" si="18"/>
        <v>0</v>
      </c>
      <c r="O94" s="12">
        <f t="shared" si="16"/>
        <v>0</v>
      </c>
      <c r="R94" s="2" t="s">
        <v>20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12">
        <f t="shared" si="17"/>
        <v>0</v>
      </c>
    </row>
    <row r="95" spans="1:34">
      <c r="A95" s="1" t="s">
        <v>19</v>
      </c>
      <c r="B95" s="22">
        <f t="shared" si="18"/>
        <v>0</v>
      </c>
      <c r="C95" s="22">
        <f t="shared" si="18"/>
        <v>0</v>
      </c>
      <c r="D95" s="22">
        <f t="shared" si="18"/>
        <v>0</v>
      </c>
      <c r="E95" s="22">
        <f t="shared" si="18"/>
        <v>0</v>
      </c>
      <c r="F95" s="22">
        <f t="shared" si="18"/>
        <v>0</v>
      </c>
      <c r="G95" s="22">
        <f t="shared" si="18"/>
        <v>0</v>
      </c>
      <c r="H95" s="22">
        <f t="shared" si="18"/>
        <v>0</v>
      </c>
      <c r="I95" s="22">
        <f t="shared" si="18"/>
        <v>0</v>
      </c>
      <c r="J95" s="22">
        <f t="shared" si="18"/>
        <v>0</v>
      </c>
      <c r="K95" s="22">
        <f t="shared" si="18"/>
        <v>0</v>
      </c>
      <c r="L95" s="22">
        <f t="shared" si="18"/>
        <v>0</v>
      </c>
      <c r="M95" s="22">
        <f t="shared" si="18"/>
        <v>0</v>
      </c>
      <c r="N95" s="22">
        <f t="shared" si="18"/>
        <v>0</v>
      </c>
      <c r="O95" s="12">
        <f t="shared" si="16"/>
        <v>0</v>
      </c>
      <c r="R95" s="2" t="s">
        <v>19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12">
        <f t="shared" si="17"/>
        <v>0</v>
      </c>
    </row>
    <row r="96" spans="1:34">
      <c r="A96" s="18" t="s">
        <v>21</v>
      </c>
      <c r="B96" s="22">
        <f t="shared" si="18"/>
        <v>0</v>
      </c>
      <c r="C96" s="22">
        <f t="shared" si="18"/>
        <v>0</v>
      </c>
      <c r="D96" s="22">
        <f t="shared" si="18"/>
        <v>0</v>
      </c>
      <c r="E96" s="22">
        <f t="shared" si="18"/>
        <v>0</v>
      </c>
      <c r="F96" s="22">
        <f t="shared" si="18"/>
        <v>0</v>
      </c>
      <c r="G96" s="22">
        <f t="shared" si="18"/>
        <v>0</v>
      </c>
      <c r="H96" s="22">
        <f t="shared" si="18"/>
        <v>0</v>
      </c>
      <c r="I96" s="22">
        <f t="shared" si="18"/>
        <v>0</v>
      </c>
      <c r="J96" s="22">
        <f t="shared" si="18"/>
        <v>0</v>
      </c>
      <c r="K96" s="22">
        <f t="shared" si="18"/>
        <v>0</v>
      </c>
      <c r="L96" s="22">
        <f t="shared" si="18"/>
        <v>0</v>
      </c>
      <c r="M96" s="22">
        <f t="shared" si="18"/>
        <v>0</v>
      </c>
      <c r="N96" s="22">
        <f t="shared" si="18"/>
        <v>0</v>
      </c>
      <c r="O96" s="12">
        <f t="shared" si="16"/>
        <v>0</v>
      </c>
      <c r="R96" s="2" t="s">
        <v>21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12">
        <f t="shared" si="17"/>
        <v>0</v>
      </c>
    </row>
    <row r="97" spans="1:34">
      <c r="A97" s="2" t="s">
        <v>22</v>
      </c>
      <c r="B97" s="22">
        <f t="shared" si="18"/>
        <v>0</v>
      </c>
      <c r="C97" s="22">
        <f t="shared" si="18"/>
        <v>0</v>
      </c>
      <c r="D97" s="22">
        <f t="shared" si="18"/>
        <v>0</v>
      </c>
      <c r="E97" s="22">
        <f t="shared" si="18"/>
        <v>0</v>
      </c>
      <c r="F97" s="22">
        <f t="shared" si="18"/>
        <v>0</v>
      </c>
      <c r="G97" s="22">
        <f t="shared" si="18"/>
        <v>0</v>
      </c>
      <c r="H97" s="22">
        <f t="shared" si="18"/>
        <v>0</v>
      </c>
      <c r="I97" s="22">
        <f t="shared" si="18"/>
        <v>0</v>
      </c>
      <c r="J97" s="22">
        <f t="shared" si="18"/>
        <v>0</v>
      </c>
      <c r="K97" s="22">
        <f t="shared" si="18"/>
        <v>0</v>
      </c>
      <c r="L97" s="22">
        <f t="shared" si="18"/>
        <v>0</v>
      </c>
      <c r="M97" s="22">
        <f t="shared" si="18"/>
        <v>0</v>
      </c>
      <c r="N97" s="22">
        <f t="shared" si="18"/>
        <v>0</v>
      </c>
      <c r="O97" s="12">
        <f t="shared" si="16"/>
        <v>0</v>
      </c>
      <c r="R97" s="2" t="s">
        <v>22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12">
        <f t="shared" si="17"/>
        <v>0</v>
      </c>
    </row>
    <row r="98" spans="1:34">
      <c r="A98" s="1" t="s">
        <v>23</v>
      </c>
      <c r="B98" s="22">
        <f t="shared" si="18"/>
        <v>0</v>
      </c>
      <c r="C98" s="22">
        <f t="shared" si="18"/>
        <v>0</v>
      </c>
      <c r="D98" s="22">
        <f t="shared" si="18"/>
        <v>0</v>
      </c>
      <c r="E98" s="22">
        <f t="shared" si="18"/>
        <v>0</v>
      </c>
      <c r="F98" s="22">
        <f t="shared" si="18"/>
        <v>0</v>
      </c>
      <c r="G98" s="22">
        <f t="shared" si="18"/>
        <v>0</v>
      </c>
      <c r="H98" s="22">
        <f t="shared" si="18"/>
        <v>0</v>
      </c>
      <c r="I98" s="22">
        <f t="shared" si="18"/>
        <v>0</v>
      </c>
      <c r="J98" s="22">
        <f t="shared" si="18"/>
        <v>0</v>
      </c>
      <c r="K98" s="22">
        <f t="shared" si="18"/>
        <v>0</v>
      </c>
      <c r="L98" s="22">
        <f t="shared" si="18"/>
        <v>0</v>
      </c>
      <c r="M98" s="22">
        <f t="shared" si="18"/>
        <v>0</v>
      </c>
      <c r="N98" s="22">
        <f t="shared" si="18"/>
        <v>0</v>
      </c>
      <c r="O98" s="12">
        <f t="shared" si="16"/>
        <v>0</v>
      </c>
      <c r="R98" s="2" t="s">
        <v>23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12">
        <f t="shared" si="17"/>
        <v>0</v>
      </c>
    </row>
    <row r="99" spans="1:34">
      <c r="A99" s="1" t="s">
        <v>25</v>
      </c>
      <c r="B99" s="22">
        <f t="shared" si="18"/>
        <v>0</v>
      </c>
      <c r="C99" s="22">
        <f t="shared" si="18"/>
        <v>0</v>
      </c>
      <c r="D99" s="22">
        <f t="shared" si="18"/>
        <v>0</v>
      </c>
      <c r="E99" s="22">
        <f t="shared" si="18"/>
        <v>0</v>
      </c>
      <c r="F99" s="22">
        <f t="shared" si="18"/>
        <v>0</v>
      </c>
      <c r="G99" s="22">
        <f t="shared" si="18"/>
        <v>0</v>
      </c>
      <c r="H99" s="22">
        <f t="shared" si="18"/>
        <v>0</v>
      </c>
      <c r="I99" s="22">
        <f t="shared" si="18"/>
        <v>0</v>
      </c>
      <c r="J99" s="22">
        <f t="shared" si="18"/>
        <v>0</v>
      </c>
      <c r="K99" s="22">
        <f t="shared" si="18"/>
        <v>0</v>
      </c>
      <c r="L99" s="22">
        <f t="shared" si="18"/>
        <v>0</v>
      </c>
      <c r="M99" s="22">
        <f t="shared" si="18"/>
        <v>0</v>
      </c>
      <c r="N99" s="22">
        <f t="shared" si="18"/>
        <v>0</v>
      </c>
      <c r="O99" s="12">
        <f t="shared" si="16"/>
        <v>0</v>
      </c>
      <c r="R99" s="2" t="s">
        <v>25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12">
        <f t="shared" si="17"/>
        <v>0</v>
      </c>
    </row>
    <row r="100" spans="1:34">
      <c r="A100" s="1" t="s">
        <v>24</v>
      </c>
      <c r="B100" s="22">
        <f t="shared" si="18"/>
        <v>0</v>
      </c>
      <c r="C100" s="22">
        <f t="shared" si="18"/>
        <v>0</v>
      </c>
      <c r="D100" s="22">
        <f t="shared" si="18"/>
        <v>0</v>
      </c>
      <c r="E100" s="22">
        <f t="shared" si="18"/>
        <v>0</v>
      </c>
      <c r="F100" s="22">
        <f t="shared" si="18"/>
        <v>0</v>
      </c>
      <c r="G100" s="22">
        <f t="shared" si="18"/>
        <v>0</v>
      </c>
      <c r="H100" s="22">
        <f t="shared" si="18"/>
        <v>0</v>
      </c>
      <c r="I100" s="22">
        <f t="shared" si="18"/>
        <v>0</v>
      </c>
      <c r="J100" s="22">
        <f t="shared" si="18"/>
        <v>0</v>
      </c>
      <c r="K100" s="22">
        <f t="shared" si="18"/>
        <v>0</v>
      </c>
      <c r="L100" s="22">
        <f t="shared" si="18"/>
        <v>0</v>
      </c>
      <c r="M100" s="22">
        <f t="shared" si="18"/>
        <v>0</v>
      </c>
      <c r="N100" s="22">
        <f t="shared" si="18"/>
        <v>0</v>
      </c>
      <c r="O100" s="12">
        <f t="shared" si="16"/>
        <v>0</v>
      </c>
      <c r="R100" s="2" t="s">
        <v>24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12">
        <f t="shared" si="17"/>
        <v>0</v>
      </c>
    </row>
    <row r="101" spans="1:34">
      <c r="A101" s="1" t="s">
        <v>26</v>
      </c>
      <c r="B101" s="22">
        <f t="shared" si="18"/>
        <v>0</v>
      </c>
      <c r="C101" s="22">
        <f t="shared" si="18"/>
        <v>0</v>
      </c>
      <c r="D101" s="22">
        <f t="shared" si="18"/>
        <v>0</v>
      </c>
      <c r="E101" s="22">
        <f t="shared" si="18"/>
        <v>0</v>
      </c>
      <c r="F101" s="22">
        <f t="shared" si="18"/>
        <v>0</v>
      </c>
      <c r="G101" s="22">
        <f t="shared" si="18"/>
        <v>0</v>
      </c>
      <c r="H101" s="22">
        <f t="shared" si="18"/>
        <v>0</v>
      </c>
      <c r="I101" s="22">
        <f t="shared" si="18"/>
        <v>0</v>
      </c>
      <c r="J101" s="22">
        <f t="shared" si="18"/>
        <v>0</v>
      </c>
      <c r="K101" s="22">
        <f t="shared" si="18"/>
        <v>0</v>
      </c>
      <c r="L101" s="22">
        <f t="shared" si="18"/>
        <v>0</v>
      </c>
      <c r="M101" s="22">
        <f t="shared" si="18"/>
        <v>0</v>
      </c>
      <c r="N101" s="22">
        <f t="shared" si="18"/>
        <v>0</v>
      </c>
      <c r="O101" s="12">
        <f t="shared" si="16"/>
        <v>0</v>
      </c>
      <c r="R101" s="2" t="s">
        <v>26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12">
        <f t="shared" si="17"/>
        <v>0</v>
      </c>
    </row>
    <row r="102" spans="1:34">
      <c r="A102" s="8" t="s">
        <v>37</v>
      </c>
      <c r="B102" s="16">
        <f t="shared" ref="B102:O102" si="19">SUM(B75:B101)</f>
        <v>0</v>
      </c>
      <c r="C102" s="16">
        <f t="shared" si="19"/>
        <v>0</v>
      </c>
      <c r="D102" s="16">
        <f t="shared" si="19"/>
        <v>0</v>
      </c>
      <c r="E102" s="16">
        <f t="shared" si="19"/>
        <v>0</v>
      </c>
      <c r="F102" s="16">
        <f t="shared" si="19"/>
        <v>0</v>
      </c>
      <c r="G102" s="16">
        <f t="shared" si="19"/>
        <v>0</v>
      </c>
      <c r="H102" s="16">
        <f t="shared" si="19"/>
        <v>0</v>
      </c>
      <c r="I102" s="16">
        <f t="shared" si="19"/>
        <v>0</v>
      </c>
      <c r="J102" s="16">
        <f t="shared" si="19"/>
        <v>0</v>
      </c>
      <c r="K102" s="16">
        <f t="shared" si="19"/>
        <v>0</v>
      </c>
      <c r="L102" s="16">
        <f t="shared" si="19"/>
        <v>0</v>
      </c>
      <c r="M102" s="16">
        <f t="shared" si="19"/>
        <v>0</v>
      </c>
      <c r="N102" s="16">
        <f t="shared" si="19"/>
        <v>0</v>
      </c>
      <c r="O102" s="7">
        <f t="shared" si="19"/>
        <v>0</v>
      </c>
      <c r="R102" s="8" t="s">
        <v>37</v>
      </c>
      <c r="S102" s="7">
        <f>SUM(S75:S101)</f>
        <v>0</v>
      </c>
      <c r="T102" s="7">
        <f t="shared" ref="T102:AH102" si="20">SUM(T75:T101)</f>
        <v>0</v>
      </c>
      <c r="U102" s="7">
        <f t="shared" si="20"/>
        <v>0</v>
      </c>
      <c r="V102" s="7">
        <f t="shared" si="20"/>
        <v>0</v>
      </c>
      <c r="W102" s="7">
        <f t="shared" si="20"/>
        <v>0</v>
      </c>
      <c r="X102" s="7">
        <f t="shared" si="20"/>
        <v>0</v>
      </c>
      <c r="Y102" s="7">
        <f t="shared" si="20"/>
        <v>0</v>
      </c>
      <c r="Z102" s="7">
        <f t="shared" si="20"/>
        <v>0</v>
      </c>
      <c r="AA102" s="7">
        <f t="shared" si="20"/>
        <v>0</v>
      </c>
      <c r="AB102" s="7">
        <f t="shared" si="20"/>
        <v>0</v>
      </c>
      <c r="AC102" s="7">
        <f t="shared" si="20"/>
        <v>0</v>
      </c>
      <c r="AD102" s="7">
        <f t="shared" si="20"/>
        <v>0</v>
      </c>
      <c r="AE102" s="7">
        <f t="shared" si="20"/>
        <v>0</v>
      </c>
      <c r="AF102" s="7">
        <f t="shared" si="20"/>
        <v>0</v>
      </c>
      <c r="AG102" s="7">
        <f t="shared" si="20"/>
        <v>0</v>
      </c>
      <c r="AH102" s="7">
        <f t="shared" si="20"/>
        <v>0</v>
      </c>
    </row>
    <row r="103" spans="1:34">
      <c r="AH103" s="15"/>
    </row>
    <row r="104" spans="1:34">
      <c r="O104" s="15" t="e">
        <f>O102+#REF!+#REF!+#REF!+#REF!</f>
        <v>#REF!</v>
      </c>
    </row>
    <row r="105" spans="1:34" ht="46.5">
      <c r="K105" s="289" t="s">
        <v>49</v>
      </c>
      <c r="L105" s="28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</row>
    <row r="106" spans="1:34">
      <c r="K106" s="290" t="s">
        <v>33</v>
      </c>
      <c r="L106" s="287" t="s">
        <v>27</v>
      </c>
      <c r="M106" s="288"/>
      <c r="N106" s="287" t="s">
        <v>29</v>
      </c>
      <c r="O106" s="288"/>
      <c r="P106" s="285" t="s">
        <v>28</v>
      </c>
      <c r="Q106" s="285" t="s">
        <v>36</v>
      </c>
      <c r="R106" s="285" t="s">
        <v>30</v>
      </c>
      <c r="S106" s="285" t="s">
        <v>31</v>
      </c>
      <c r="T106" s="285" t="s">
        <v>41</v>
      </c>
      <c r="U106" s="285" t="s">
        <v>35</v>
      </c>
      <c r="V106" s="285" t="s">
        <v>40</v>
      </c>
      <c r="W106" s="285" t="s">
        <v>42</v>
      </c>
      <c r="X106" s="285" t="s">
        <v>45</v>
      </c>
      <c r="Y106" s="287" t="s">
        <v>52</v>
      </c>
      <c r="Z106" s="288"/>
      <c r="AA106" s="285" t="s">
        <v>34</v>
      </c>
    </row>
    <row r="107" spans="1:34" ht="30">
      <c r="K107" s="291"/>
      <c r="L107" s="56" t="s">
        <v>43</v>
      </c>
      <c r="M107" s="56" t="s">
        <v>44</v>
      </c>
      <c r="N107" s="56" t="s">
        <v>43</v>
      </c>
      <c r="O107" s="56" t="s">
        <v>44</v>
      </c>
      <c r="P107" s="286"/>
      <c r="Q107" s="286"/>
      <c r="R107" s="286"/>
      <c r="S107" s="286"/>
      <c r="T107" s="286"/>
      <c r="U107" s="286"/>
      <c r="V107" s="286"/>
      <c r="W107" s="286"/>
      <c r="X107" s="286"/>
      <c r="Y107" s="55" t="s">
        <v>53</v>
      </c>
      <c r="Z107" s="55" t="s">
        <v>54</v>
      </c>
      <c r="AA107" s="286"/>
    </row>
    <row r="108" spans="1:34">
      <c r="K108" s="1" t="s">
        <v>0</v>
      </c>
      <c r="L108" s="22">
        <f>B75+S75</f>
        <v>0</v>
      </c>
      <c r="M108" s="22">
        <f t="shared" ref="M108:X123" si="21">C75+T75</f>
        <v>0</v>
      </c>
      <c r="N108" s="22">
        <f t="shared" si="21"/>
        <v>0</v>
      </c>
      <c r="O108" s="22">
        <f t="shared" si="21"/>
        <v>0</v>
      </c>
      <c r="P108" s="22">
        <f t="shared" si="21"/>
        <v>0</v>
      </c>
      <c r="Q108" s="22">
        <f t="shared" si="21"/>
        <v>0</v>
      </c>
      <c r="R108" s="22">
        <f t="shared" si="21"/>
        <v>0</v>
      </c>
      <c r="S108" s="22">
        <f t="shared" si="21"/>
        <v>0</v>
      </c>
      <c r="T108" s="22">
        <f t="shared" si="21"/>
        <v>0</v>
      </c>
      <c r="U108" s="22">
        <f t="shared" si="21"/>
        <v>0</v>
      </c>
      <c r="V108" s="22">
        <f t="shared" si="21"/>
        <v>0</v>
      </c>
      <c r="W108" s="22">
        <f t="shared" si="21"/>
        <v>0</v>
      </c>
      <c r="X108" s="22">
        <f t="shared" si="21"/>
        <v>0</v>
      </c>
      <c r="Y108" s="22">
        <f>AF75</f>
        <v>0</v>
      </c>
      <c r="Z108" s="22">
        <f>AG75</f>
        <v>0</v>
      </c>
      <c r="AA108" s="12">
        <f>SUM(L108:Z108)</f>
        <v>0</v>
      </c>
    </row>
    <row r="109" spans="1:34">
      <c r="K109" s="1" t="s">
        <v>1</v>
      </c>
      <c r="L109" s="22">
        <f t="shared" ref="L109:X134" si="22">B76+S76</f>
        <v>0</v>
      </c>
      <c r="M109" s="22">
        <f t="shared" si="21"/>
        <v>0</v>
      </c>
      <c r="N109" s="22">
        <f t="shared" si="21"/>
        <v>0</v>
      </c>
      <c r="O109" s="22">
        <f t="shared" si="21"/>
        <v>0</v>
      </c>
      <c r="P109" s="22">
        <f t="shared" si="21"/>
        <v>0</v>
      </c>
      <c r="Q109" s="22">
        <f t="shared" si="21"/>
        <v>0</v>
      </c>
      <c r="R109" s="22">
        <f t="shared" si="21"/>
        <v>0</v>
      </c>
      <c r="S109" s="22">
        <f t="shared" si="21"/>
        <v>0</v>
      </c>
      <c r="T109" s="22">
        <f t="shared" si="21"/>
        <v>0</v>
      </c>
      <c r="U109" s="22">
        <f t="shared" si="21"/>
        <v>0</v>
      </c>
      <c r="V109" s="22">
        <f t="shared" si="21"/>
        <v>0</v>
      </c>
      <c r="W109" s="22">
        <f t="shared" si="21"/>
        <v>0</v>
      </c>
      <c r="X109" s="22">
        <f t="shared" si="21"/>
        <v>0</v>
      </c>
      <c r="Y109" s="22">
        <f t="shared" ref="Y109:Z124" si="23">AF76</f>
        <v>0</v>
      </c>
      <c r="Z109" s="22">
        <f t="shared" si="23"/>
        <v>0</v>
      </c>
      <c r="AA109" s="12">
        <f t="shared" ref="AA109:AA134" si="24">SUM(L109:Z109)</f>
        <v>0</v>
      </c>
    </row>
    <row r="110" spans="1:34">
      <c r="K110" s="18" t="s">
        <v>2</v>
      </c>
      <c r="L110" s="22">
        <f t="shared" si="22"/>
        <v>0</v>
      </c>
      <c r="M110" s="22">
        <f t="shared" si="21"/>
        <v>0</v>
      </c>
      <c r="N110" s="22">
        <f t="shared" si="21"/>
        <v>0</v>
      </c>
      <c r="O110" s="22">
        <f t="shared" si="21"/>
        <v>0</v>
      </c>
      <c r="P110" s="22">
        <f t="shared" si="21"/>
        <v>0</v>
      </c>
      <c r="Q110" s="22">
        <f t="shared" si="21"/>
        <v>0</v>
      </c>
      <c r="R110" s="22">
        <f t="shared" si="21"/>
        <v>0</v>
      </c>
      <c r="S110" s="22">
        <f t="shared" si="21"/>
        <v>0</v>
      </c>
      <c r="T110" s="22">
        <f t="shared" si="21"/>
        <v>0</v>
      </c>
      <c r="U110" s="22">
        <f t="shared" si="21"/>
        <v>0</v>
      </c>
      <c r="V110" s="22">
        <f t="shared" si="21"/>
        <v>0</v>
      </c>
      <c r="W110" s="22">
        <f t="shared" si="21"/>
        <v>0</v>
      </c>
      <c r="X110" s="22">
        <f t="shared" si="21"/>
        <v>0</v>
      </c>
      <c r="Y110" s="22">
        <f t="shared" si="23"/>
        <v>0</v>
      </c>
      <c r="Z110" s="22">
        <f t="shared" si="23"/>
        <v>0</v>
      </c>
      <c r="AA110" s="12">
        <f t="shared" si="24"/>
        <v>0</v>
      </c>
    </row>
    <row r="111" spans="1:34">
      <c r="K111" s="2" t="s">
        <v>3</v>
      </c>
      <c r="L111" s="22">
        <f t="shared" si="22"/>
        <v>0</v>
      </c>
      <c r="M111" s="22">
        <f t="shared" si="21"/>
        <v>0</v>
      </c>
      <c r="N111" s="22">
        <f t="shared" si="21"/>
        <v>0</v>
      </c>
      <c r="O111" s="22">
        <f t="shared" si="21"/>
        <v>0</v>
      </c>
      <c r="P111" s="22">
        <f t="shared" si="21"/>
        <v>0</v>
      </c>
      <c r="Q111" s="22">
        <f t="shared" si="21"/>
        <v>0</v>
      </c>
      <c r="R111" s="22">
        <f t="shared" si="21"/>
        <v>0</v>
      </c>
      <c r="S111" s="22">
        <f t="shared" si="21"/>
        <v>0</v>
      </c>
      <c r="T111" s="22">
        <f t="shared" si="21"/>
        <v>0</v>
      </c>
      <c r="U111" s="22">
        <f t="shared" si="21"/>
        <v>0</v>
      </c>
      <c r="V111" s="22">
        <f t="shared" si="21"/>
        <v>0</v>
      </c>
      <c r="W111" s="22">
        <f t="shared" si="21"/>
        <v>0</v>
      </c>
      <c r="X111" s="22">
        <f t="shared" si="21"/>
        <v>0</v>
      </c>
      <c r="Y111" s="22">
        <f t="shared" si="23"/>
        <v>0</v>
      </c>
      <c r="Z111" s="22">
        <f t="shared" si="23"/>
        <v>0</v>
      </c>
      <c r="AA111" s="12">
        <f t="shared" si="24"/>
        <v>0</v>
      </c>
    </row>
    <row r="112" spans="1:34">
      <c r="K112" s="1" t="s">
        <v>4</v>
      </c>
      <c r="L112" s="22">
        <f t="shared" si="22"/>
        <v>0</v>
      </c>
      <c r="M112" s="22">
        <f t="shared" si="21"/>
        <v>0</v>
      </c>
      <c r="N112" s="22">
        <f t="shared" si="21"/>
        <v>0</v>
      </c>
      <c r="O112" s="22">
        <f t="shared" si="21"/>
        <v>0</v>
      </c>
      <c r="P112" s="22">
        <f t="shared" si="21"/>
        <v>0</v>
      </c>
      <c r="Q112" s="22">
        <f t="shared" si="21"/>
        <v>0</v>
      </c>
      <c r="R112" s="22">
        <f t="shared" si="21"/>
        <v>0</v>
      </c>
      <c r="S112" s="22">
        <f t="shared" si="21"/>
        <v>0</v>
      </c>
      <c r="T112" s="22">
        <f t="shared" si="21"/>
        <v>0</v>
      </c>
      <c r="U112" s="22">
        <f t="shared" si="21"/>
        <v>0</v>
      </c>
      <c r="V112" s="22">
        <f t="shared" si="21"/>
        <v>0</v>
      </c>
      <c r="W112" s="22">
        <f t="shared" si="21"/>
        <v>0</v>
      </c>
      <c r="X112" s="22">
        <f t="shared" si="21"/>
        <v>0</v>
      </c>
      <c r="Y112" s="22">
        <f t="shared" si="23"/>
        <v>0</v>
      </c>
      <c r="Z112" s="22">
        <f t="shared" si="23"/>
        <v>0</v>
      </c>
      <c r="AA112" s="12">
        <f t="shared" si="24"/>
        <v>0</v>
      </c>
    </row>
    <row r="113" spans="11:27">
      <c r="K113" s="1" t="s">
        <v>5</v>
      </c>
      <c r="L113" s="22">
        <f t="shared" si="22"/>
        <v>0</v>
      </c>
      <c r="M113" s="22">
        <f t="shared" si="21"/>
        <v>0</v>
      </c>
      <c r="N113" s="22">
        <f t="shared" si="21"/>
        <v>0</v>
      </c>
      <c r="O113" s="22">
        <f t="shared" si="21"/>
        <v>0</v>
      </c>
      <c r="P113" s="22">
        <f t="shared" si="21"/>
        <v>0</v>
      </c>
      <c r="Q113" s="22">
        <f t="shared" si="21"/>
        <v>0</v>
      </c>
      <c r="R113" s="22">
        <f t="shared" si="21"/>
        <v>0</v>
      </c>
      <c r="S113" s="22">
        <f t="shared" si="21"/>
        <v>0</v>
      </c>
      <c r="T113" s="22">
        <f t="shared" si="21"/>
        <v>0</v>
      </c>
      <c r="U113" s="22">
        <f t="shared" si="21"/>
        <v>0</v>
      </c>
      <c r="V113" s="22">
        <f t="shared" si="21"/>
        <v>0</v>
      </c>
      <c r="W113" s="22">
        <f t="shared" si="21"/>
        <v>0</v>
      </c>
      <c r="X113" s="22">
        <f t="shared" si="21"/>
        <v>0</v>
      </c>
      <c r="Y113" s="22">
        <f t="shared" si="23"/>
        <v>0</v>
      </c>
      <c r="Z113" s="22">
        <f t="shared" si="23"/>
        <v>0</v>
      </c>
      <c r="AA113" s="12">
        <f t="shared" si="24"/>
        <v>0</v>
      </c>
    </row>
    <row r="114" spans="11:27">
      <c r="K114" s="1" t="s">
        <v>6</v>
      </c>
      <c r="L114" s="22">
        <f t="shared" si="22"/>
        <v>0</v>
      </c>
      <c r="M114" s="22">
        <f t="shared" si="21"/>
        <v>0</v>
      </c>
      <c r="N114" s="22">
        <f t="shared" si="21"/>
        <v>0</v>
      </c>
      <c r="O114" s="22">
        <f t="shared" si="21"/>
        <v>0</v>
      </c>
      <c r="P114" s="22">
        <f t="shared" si="21"/>
        <v>0</v>
      </c>
      <c r="Q114" s="22">
        <f t="shared" si="21"/>
        <v>0</v>
      </c>
      <c r="R114" s="22">
        <f t="shared" si="21"/>
        <v>0</v>
      </c>
      <c r="S114" s="22">
        <f t="shared" si="21"/>
        <v>0</v>
      </c>
      <c r="T114" s="22">
        <f t="shared" si="21"/>
        <v>0</v>
      </c>
      <c r="U114" s="22">
        <f t="shared" si="21"/>
        <v>0</v>
      </c>
      <c r="V114" s="22">
        <f t="shared" si="21"/>
        <v>0</v>
      </c>
      <c r="W114" s="22">
        <f t="shared" si="21"/>
        <v>0</v>
      </c>
      <c r="X114" s="22">
        <f t="shared" si="21"/>
        <v>0</v>
      </c>
      <c r="Y114" s="22">
        <f t="shared" si="23"/>
        <v>0</v>
      </c>
      <c r="Z114" s="22">
        <f t="shared" si="23"/>
        <v>0</v>
      </c>
      <c r="AA114" s="12">
        <f t="shared" si="24"/>
        <v>0</v>
      </c>
    </row>
    <row r="115" spans="11:27">
      <c r="K115" s="1" t="s">
        <v>7</v>
      </c>
      <c r="L115" s="22">
        <f t="shared" si="22"/>
        <v>0</v>
      </c>
      <c r="M115" s="22">
        <f t="shared" si="21"/>
        <v>0</v>
      </c>
      <c r="N115" s="22">
        <f t="shared" si="21"/>
        <v>0</v>
      </c>
      <c r="O115" s="22">
        <f t="shared" si="21"/>
        <v>0</v>
      </c>
      <c r="P115" s="22">
        <f t="shared" si="21"/>
        <v>0</v>
      </c>
      <c r="Q115" s="22">
        <f t="shared" si="21"/>
        <v>0</v>
      </c>
      <c r="R115" s="22">
        <f t="shared" si="21"/>
        <v>0</v>
      </c>
      <c r="S115" s="22">
        <f t="shared" si="21"/>
        <v>0</v>
      </c>
      <c r="T115" s="22">
        <f t="shared" si="21"/>
        <v>0</v>
      </c>
      <c r="U115" s="22">
        <f t="shared" si="21"/>
        <v>0</v>
      </c>
      <c r="V115" s="22">
        <f t="shared" si="21"/>
        <v>0</v>
      </c>
      <c r="W115" s="22">
        <f t="shared" si="21"/>
        <v>0</v>
      </c>
      <c r="X115" s="22">
        <f t="shared" si="21"/>
        <v>0</v>
      </c>
      <c r="Y115" s="22">
        <f t="shared" si="23"/>
        <v>0</v>
      </c>
      <c r="Z115" s="22">
        <f t="shared" si="23"/>
        <v>0</v>
      </c>
      <c r="AA115" s="12">
        <f t="shared" si="24"/>
        <v>0</v>
      </c>
    </row>
    <row r="116" spans="11:27">
      <c r="K116" s="1" t="s">
        <v>8</v>
      </c>
      <c r="L116" s="22">
        <f t="shared" si="22"/>
        <v>0</v>
      </c>
      <c r="M116" s="22">
        <f t="shared" si="21"/>
        <v>0</v>
      </c>
      <c r="N116" s="22">
        <f t="shared" si="21"/>
        <v>0</v>
      </c>
      <c r="O116" s="22">
        <f t="shared" si="21"/>
        <v>0</v>
      </c>
      <c r="P116" s="22">
        <f t="shared" si="21"/>
        <v>0</v>
      </c>
      <c r="Q116" s="22">
        <f t="shared" si="21"/>
        <v>0</v>
      </c>
      <c r="R116" s="22">
        <f t="shared" si="21"/>
        <v>0</v>
      </c>
      <c r="S116" s="22">
        <f t="shared" si="21"/>
        <v>0</v>
      </c>
      <c r="T116" s="22">
        <f t="shared" si="21"/>
        <v>0</v>
      </c>
      <c r="U116" s="22">
        <f t="shared" si="21"/>
        <v>0</v>
      </c>
      <c r="V116" s="22">
        <f t="shared" si="21"/>
        <v>0</v>
      </c>
      <c r="W116" s="22">
        <f t="shared" si="21"/>
        <v>0</v>
      </c>
      <c r="X116" s="22">
        <f t="shared" si="21"/>
        <v>0</v>
      </c>
      <c r="Y116" s="22">
        <f t="shared" si="23"/>
        <v>0</v>
      </c>
      <c r="Z116" s="22">
        <f t="shared" si="23"/>
        <v>0</v>
      </c>
      <c r="AA116" s="12">
        <f t="shared" si="24"/>
        <v>0</v>
      </c>
    </row>
    <row r="117" spans="11:27">
      <c r="K117" s="2" t="s">
        <v>9</v>
      </c>
      <c r="L117" s="22">
        <f t="shared" si="22"/>
        <v>0</v>
      </c>
      <c r="M117" s="22">
        <f t="shared" si="21"/>
        <v>0</v>
      </c>
      <c r="N117" s="22">
        <f t="shared" si="21"/>
        <v>0</v>
      </c>
      <c r="O117" s="22">
        <f t="shared" si="21"/>
        <v>0</v>
      </c>
      <c r="P117" s="22">
        <f t="shared" si="21"/>
        <v>0</v>
      </c>
      <c r="Q117" s="22">
        <f t="shared" si="21"/>
        <v>0</v>
      </c>
      <c r="R117" s="22">
        <f t="shared" si="21"/>
        <v>0</v>
      </c>
      <c r="S117" s="22">
        <f t="shared" si="21"/>
        <v>0</v>
      </c>
      <c r="T117" s="22">
        <f t="shared" si="21"/>
        <v>0</v>
      </c>
      <c r="U117" s="22">
        <f t="shared" si="21"/>
        <v>0</v>
      </c>
      <c r="V117" s="22">
        <f t="shared" si="21"/>
        <v>0</v>
      </c>
      <c r="W117" s="22">
        <f t="shared" si="21"/>
        <v>0</v>
      </c>
      <c r="X117" s="22">
        <f t="shared" si="21"/>
        <v>0</v>
      </c>
      <c r="Y117" s="22">
        <f t="shared" si="23"/>
        <v>0</v>
      </c>
      <c r="Z117" s="22">
        <f t="shared" si="23"/>
        <v>0</v>
      </c>
      <c r="AA117" s="12">
        <f t="shared" si="24"/>
        <v>0</v>
      </c>
    </row>
    <row r="118" spans="11:27">
      <c r="K118" s="18" t="s">
        <v>10</v>
      </c>
      <c r="L118" s="22">
        <f t="shared" si="22"/>
        <v>0</v>
      </c>
      <c r="M118" s="22">
        <f t="shared" si="21"/>
        <v>0</v>
      </c>
      <c r="N118" s="22">
        <f t="shared" si="21"/>
        <v>0</v>
      </c>
      <c r="O118" s="22">
        <f t="shared" si="21"/>
        <v>0</v>
      </c>
      <c r="P118" s="22">
        <f t="shared" si="21"/>
        <v>0</v>
      </c>
      <c r="Q118" s="22">
        <f t="shared" si="21"/>
        <v>0</v>
      </c>
      <c r="R118" s="22">
        <f t="shared" si="21"/>
        <v>0</v>
      </c>
      <c r="S118" s="22">
        <f t="shared" si="21"/>
        <v>0</v>
      </c>
      <c r="T118" s="22">
        <f t="shared" si="21"/>
        <v>0</v>
      </c>
      <c r="U118" s="22">
        <f t="shared" si="21"/>
        <v>0</v>
      </c>
      <c r="V118" s="22">
        <f t="shared" si="21"/>
        <v>0</v>
      </c>
      <c r="W118" s="22">
        <f t="shared" si="21"/>
        <v>0</v>
      </c>
      <c r="X118" s="22">
        <f t="shared" si="21"/>
        <v>0</v>
      </c>
      <c r="Y118" s="22">
        <f t="shared" si="23"/>
        <v>0</v>
      </c>
      <c r="Z118" s="22">
        <f t="shared" si="23"/>
        <v>0</v>
      </c>
      <c r="AA118" s="12">
        <f t="shared" si="24"/>
        <v>0</v>
      </c>
    </row>
    <row r="119" spans="11:27">
      <c r="K119" s="1" t="s">
        <v>11</v>
      </c>
      <c r="L119" s="22">
        <f t="shared" si="22"/>
        <v>0</v>
      </c>
      <c r="M119" s="22">
        <f t="shared" si="21"/>
        <v>0</v>
      </c>
      <c r="N119" s="22">
        <f t="shared" si="21"/>
        <v>0</v>
      </c>
      <c r="O119" s="22">
        <f t="shared" si="21"/>
        <v>0</v>
      </c>
      <c r="P119" s="22">
        <f t="shared" si="21"/>
        <v>0</v>
      </c>
      <c r="Q119" s="22">
        <f t="shared" si="21"/>
        <v>0</v>
      </c>
      <c r="R119" s="22">
        <f t="shared" si="21"/>
        <v>0</v>
      </c>
      <c r="S119" s="22">
        <f t="shared" si="21"/>
        <v>0</v>
      </c>
      <c r="T119" s="22">
        <f t="shared" si="21"/>
        <v>0</v>
      </c>
      <c r="U119" s="22">
        <f t="shared" si="21"/>
        <v>0</v>
      </c>
      <c r="V119" s="22">
        <f t="shared" si="21"/>
        <v>0</v>
      </c>
      <c r="W119" s="22">
        <f t="shared" si="21"/>
        <v>0</v>
      </c>
      <c r="X119" s="22">
        <f t="shared" si="21"/>
        <v>0</v>
      </c>
      <c r="Y119" s="22">
        <f t="shared" si="23"/>
        <v>0</v>
      </c>
      <c r="Z119" s="22">
        <f t="shared" si="23"/>
        <v>0</v>
      </c>
      <c r="AA119" s="12">
        <f t="shared" si="24"/>
        <v>0</v>
      </c>
    </row>
    <row r="120" spans="11:27">
      <c r="K120" s="1" t="s">
        <v>12</v>
      </c>
      <c r="L120" s="22">
        <f t="shared" si="22"/>
        <v>0</v>
      </c>
      <c r="M120" s="22">
        <f t="shared" si="21"/>
        <v>0</v>
      </c>
      <c r="N120" s="22">
        <f t="shared" si="21"/>
        <v>0</v>
      </c>
      <c r="O120" s="22">
        <f t="shared" si="21"/>
        <v>0</v>
      </c>
      <c r="P120" s="22">
        <f t="shared" si="21"/>
        <v>0</v>
      </c>
      <c r="Q120" s="22">
        <f t="shared" si="21"/>
        <v>0</v>
      </c>
      <c r="R120" s="22">
        <f t="shared" si="21"/>
        <v>0</v>
      </c>
      <c r="S120" s="22">
        <f t="shared" si="21"/>
        <v>0</v>
      </c>
      <c r="T120" s="22">
        <f t="shared" si="21"/>
        <v>0</v>
      </c>
      <c r="U120" s="22">
        <f t="shared" si="21"/>
        <v>0</v>
      </c>
      <c r="V120" s="22">
        <f t="shared" si="21"/>
        <v>0</v>
      </c>
      <c r="W120" s="22">
        <f t="shared" si="21"/>
        <v>0</v>
      </c>
      <c r="X120" s="22">
        <f t="shared" si="21"/>
        <v>0</v>
      </c>
      <c r="Y120" s="22">
        <f t="shared" si="23"/>
        <v>0</v>
      </c>
      <c r="Z120" s="22">
        <f t="shared" si="23"/>
        <v>0</v>
      </c>
      <c r="AA120" s="12">
        <f t="shared" si="24"/>
        <v>0</v>
      </c>
    </row>
    <row r="121" spans="11:27">
      <c r="K121" s="1" t="s">
        <v>15</v>
      </c>
      <c r="L121" s="22">
        <f t="shared" si="22"/>
        <v>0</v>
      </c>
      <c r="M121" s="22">
        <f t="shared" si="21"/>
        <v>0</v>
      </c>
      <c r="N121" s="22">
        <f t="shared" si="21"/>
        <v>0</v>
      </c>
      <c r="O121" s="22">
        <f t="shared" si="21"/>
        <v>0</v>
      </c>
      <c r="P121" s="22">
        <f t="shared" si="21"/>
        <v>0</v>
      </c>
      <c r="Q121" s="22">
        <f t="shared" si="21"/>
        <v>0</v>
      </c>
      <c r="R121" s="22">
        <f t="shared" si="21"/>
        <v>0</v>
      </c>
      <c r="S121" s="22">
        <f t="shared" si="21"/>
        <v>0</v>
      </c>
      <c r="T121" s="22">
        <f t="shared" si="21"/>
        <v>0</v>
      </c>
      <c r="U121" s="22">
        <f t="shared" si="21"/>
        <v>0</v>
      </c>
      <c r="V121" s="22">
        <f t="shared" si="21"/>
        <v>0</v>
      </c>
      <c r="W121" s="22">
        <f t="shared" si="21"/>
        <v>0</v>
      </c>
      <c r="X121" s="22">
        <f t="shared" si="21"/>
        <v>0</v>
      </c>
      <c r="Y121" s="22">
        <f t="shared" si="23"/>
        <v>0</v>
      </c>
      <c r="Z121" s="22">
        <f t="shared" si="23"/>
        <v>0</v>
      </c>
      <c r="AA121" s="12">
        <f t="shared" si="24"/>
        <v>0</v>
      </c>
    </row>
    <row r="122" spans="11:27">
      <c r="K122" s="1" t="s">
        <v>14</v>
      </c>
      <c r="L122" s="22">
        <f t="shared" si="22"/>
        <v>0</v>
      </c>
      <c r="M122" s="22">
        <f t="shared" si="21"/>
        <v>0</v>
      </c>
      <c r="N122" s="22">
        <f t="shared" si="21"/>
        <v>0</v>
      </c>
      <c r="O122" s="22">
        <f t="shared" si="21"/>
        <v>0</v>
      </c>
      <c r="P122" s="22">
        <f t="shared" si="21"/>
        <v>0</v>
      </c>
      <c r="Q122" s="22">
        <f t="shared" si="21"/>
        <v>0</v>
      </c>
      <c r="R122" s="22">
        <f t="shared" si="21"/>
        <v>0</v>
      </c>
      <c r="S122" s="22">
        <f t="shared" si="21"/>
        <v>0</v>
      </c>
      <c r="T122" s="22">
        <f t="shared" si="21"/>
        <v>0</v>
      </c>
      <c r="U122" s="22">
        <f t="shared" si="21"/>
        <v>0</v>
      </c>
      <c r="V122" s="22">
        <f t="shared" si="21"/>
        <v>0</v>
      </c>
      <c r="W122" s="22">
        <f t="shared" si="21"/>
        <v>0</v>
      </c>
      <c r="X122" s="22">
        <f t="shared" si="21"/>
        <v>0</v>
      </c>
      <c r="Y122" s="22">
        <f t="shared" si="23"/>
        <v>0</v>
      </c>
      <c r="Z122" s="22">
        <f t="shared" si="23"/>
        <v>0</v>
      </c>
      <c r="AA122" s="12">
        <f t="shared" si="24"/>
        <v>0</v>
      </c>
    </row>
    <row r="123" spans="11:27">
      <c r="K123" s="18" t="s">
        <v>13</v>
      </c>
      <c r="L123" s="22">
        <f t="shared" si="22"/>
        <v>0</v>
      </c>
      <c r="M123" s="22">
        <f t="shared" si="21"/>
        <v>0</v>
      </c>
      <c r="N123" s="22">
        <f t="shared" si="21"/>
        <v>0</v>
      </c>
      <c r="O123" s="22">
        <f t="shared" si="21"/>
        <v>0</v>
      </c>
      <c r="P123" s="22">
        <f t="shared" si="21"/>
        <v>0</v>
      </c>
      <c r="Q123" s="22">
        <f t="shared" si="21"/>
        <v>0</v>
      </c>
      <c r="R123" s="22">
        <f t="shared" si="21"/>
        <v>0</v>
      </c>
      <c r="S123" s="22">
        <f t="shared" si="21"/>
        <v>0</v>
      </c>
      <c r="T123" s="22">
        <f t="shared" si="21"/>
        <v>0</v>
      </c>
      <c r="U123" s="22">
        <f t="shared" si="21"/>
        <v>0</v>
      </c>
      <c r="V123" s="22">
        <f t="shared" si="21"/>
        <v>0</v>
      </c>
      <c r="W123" s="22">
        <f t="shared" si="21"/>
        <v>0</v>
      </c>
      <c r="X123" s="22">
        <f t="shared" si="21"/>
        <v>0</v>
      </c>
      <c r="Y123" s="22">
        <f t="shared" si="23"/>
        <v>0</v>
      </c>
      <c r="Z123" s="22">
        <f t="shared" si="23"/>
        <v>0</v>
      </c>
      <c r="AA123" s="12">
        <f t="shared" si="24"/>
        <v>0</v>
      </c>
    </row>
    <row r="124" spans="11:27">
      <c r="K124" s="1" t="s">
        <v>16</v>
      </c>
      <c r="L124" s="22">
        <f t="shared" si="22"/>
        <v>0</v>
      </c>
      <c r="M124" s="22">
        <f t="shared" si="22"/>
        <v>0</v>
      </c>
      <c r="N124" s="22">
        <f t="shared" si="22"/>
        <v>0</v>
      </c>
      <c r="O124" s="22">
        <f t="shared" si="22"/>
        <v>0</v>
      </c>
      <c r="P124" s="22">
        <f t="shared" si="22"/>
        <v>0</v>
      </c>
      <c r="Q124" s="22">
        <f t="shared" si="22"/>
        <v>0</v>
      </c>
      <c r="R124" s="22">
        <f t="shared" si="22"/>
        <v>0</v>
      </c>
      <c r="S124" s="22">
        <f t="shared" si="22"/>
        <v>0</v>
      </c>
      <c r="T124" s="22">
        <f t="shared" si="22"/>
        <v>0</v>
      </c>
      <c r="U124" s="22">
        <f t="shared" si="22"/>
        <v>0</v>
      </c>
      <c r="V124" s="22">
        <f t="shared" si="22"/>
        <v>0</v>
      </c>
      <c r="W124" s="22">
        <f t="shared" si="22"/>
        <v>0</v>
      </c>
      <c r="X124" s="22">
        <f t="shared" si="22"/>
        <v>0</v>
      </c>
      <c r="Y124" s="22">
        <f t="shared" si="23"/>
        <v>0</v>
      </c>
      <c r="Z124" s="22">
        <f t="shared" si="23"/>
        <v>0</v>
      </c>
      <c r="AA124" s="12">
        <f t="shared" si="24"/>
        <v>0</v>
      </c>
    </row>
    <row r="125" spans="11:27">
      <c r="K125" s="1" t="s">
        <v>17</v>
      </c>
      <c r="L125" s="22">
        <f t="shared" si="22"/>
        <v>0</v>
      </c>
      <c r="M125" s="22">
        <f t="shared" si="22"/>
        <v>0</v>
      </c>
      <c r="N125" s="22">
        <f t="shared" si="22"/>
        <v>0</v>
      </c>
      <c r="O125" s="22">
        <f t="shared" si="22"/>
        <v>0</v>
      </c>
      <c r="P125" s="22">
        <f t="shared" si="22"/>
        <v>0</v>
      </c>
      <c r="Q125" s="22">
        <f t="shared" si="22"/>
        <v>0</v>
      </c>
      <c r="R125" s="22">
        <f t="shared" si="22"/>
        <v>0</v>
      </c>
      <c r="S125" s="22">
        <f t="shared" si="22"/>
        <v>0</v>
      </c>
      <c r="T125" s="22">
        <f t="shared" si="22"/>
        <v>0</v>
      </c>
      <c r="U125" s="22">
        <f t="shared" si="22"/>
        <v>0</v>
      </c>
      <c r="V125" s="22">
        <f t="shared" si="22"/>
        <v>0</v>
      </c>
      <c r="W125" s="22">
        <f t="shared" si="22"/>
        <v>0</v>
      </c>
      <c r="X125" s="22">
        <f t="shared" si="22"/>
        <v>0</v>
      </c>
      <c r="Y125" s="22">
        <f t="shared" ref="Y125:Z134" si="25">AF92</f>
        <v>0</v>
      </c>
      <c r="Z125" s="22">
        <f t="shared" si="25"/>
        <v>0</v>
      </c>
      <c r="AA125" s="12">
        <f t="shared" si="24"/>
        <v>0</v>
      </c>
    </row>
    <row r="126" spans="11:27">
      <c r="K126" s="1" t="s">
        <v>18</v>
      </c>
      <c r="L126" s="22">
        <f t="shared" si="22"/>
        <v>0</v>
      </c>
      <c r="M126" s="22">
        <f t="shared" si="22"/>
        <v>0</v>
      </c>
      <c r="N126" s="22">
        <f t="shared" si="22"/>
        <v>0</v>
      </c>
      <c r="O126" s="22">
        <f t="shared" si="22"/>
        <v>0</v>
      </c>
      <c r="P126" s="22">
        <f t="shared" si="22"/>
        <v>0</v>
      </c>
      <c r="Q126" s="22">
        <f t="shared" si="22"/>
        <v>0</v>
      </c>
      <c r="R126" s="22">
        <f t="shared" si="22"/>
        <v>0</v>
      </c>
      <c r="S126" s="22">
        <f t="shared" si="22"/>
        <v>0</v>
      </c>
      <c r="T126" s="22">
        <f t="shared" si="22"/>
        <v>0</v>
      </c>
      <c r="U126" s="22">
        <f t="shared" si="22"/>
        <v>0</v>
      </c>
      <c r="V126" s="22">
        <f t="shared" si="22"/>
        <v>0</v>
      </c>
      <c r="W126" s="22">
        <f t="shared" si="22"/>
        <v>0</v>
      </c>
      <c r="X126" s="22">
        <f t="shared" si="22"/>
        <v>0</v>
      </c>
      <c r="Y126" s="22">
        <f t="shared" si="25"/>
        <v>0</v>
      </c>
      <c r="Z126" s="22">
        <f t="shared" si="25"/>
        <v>0</v>
      </c>
      <c r="AA126" s="12">
        <f t="shared" si="24"/>
        <v>0</v>
      </c>
    </row>
    <row r="127" spans="11:27">
      <c r="K127" s="1" t="s">
        <v>20</v>
      </c>
      <c r="L127" s="22">
        <f t="shared" si="22"/>
        <v>0</v>
      </c>
      <c r="M127" s="22">
        <f t="shared" si="22"/>
        <v>0</v>
      </c>
      <c r="N127" s="22">
        <f t="shared" si="22"/>
        <v>0</v>
      </c>
      <c r="O127" s="22">
        <f t="shared" si="22"/>
        <v>0</v>
      </c>
      <c r="P127" s="22">
        <f t="shared" si="22"/>
        <v>0</v>
      </c>
      <c r="Q127" s="22">
        <f t="shared" si="22"/>
        <v>0</v>
      </c>
      <c r="R127" s="22">
        <f t="shared" si="22"/>
        <v>0</v>
      </c>
      <c r="S127" s="22">
        <f t="shared" si="22"/>
        <v>0</v>
      </c>
      <c r="T127" s="22">
        <f t="shared" si="22"/>
        <v>0</v>
      </c>
      <c r="U127" s="22">
        <f t="shared" si="22"/>
        <v>0</v>
      </c>
      <c r="V127" s="22">
        <f t="shared" si="22"/>
        <v>0</v>
      </c>
      <c r="W127" s="22">
        <f t="shared" si="22"/>
        <v>0</v>
      </c>
      <c r="X127" s="22">
        <f t="shared" si="22"/>
        <v>0</v>
      </c>
      <c r="Y127" s="22">
        <f t="shared" si="25"/>
        <v>0</v>
      </c>
      <c r="Z127" s="22">
        <f t="shared" si="25"/>
        <v>0</v>
      </c>
      <c r="AA127" s="12">
        <f t="shared" si="24"/>
        <v>0</v>
      </c>
    </row>
    <row r="128" spans="11:27">
      <c r="K128" s="1" t="s">
        <v>19</v>
      </c>
      <c r="L128" s="22">
        <f t="shared" si="22"/>
        <v>0</v>
      </c>
      <c r="M128" s="22">
        <f t="shared" si="22"/>
        <v>0</v>
      </c>
      <c r="N128" s="22">
        <f t="shared" si="22"/>
        <v>0</v>
      </c>
      <c r="O128" s="22">
        <f t="shared" si="22"/>
        <v>0</v>
      </c>
      <c r="P128" s="22">
        <f t="shared" si="22"/>
        <v>0</v>
      </c>
      <c r="Q128" s="22">
        <f t="shared" si="22"/>
        <v>0</v>
      </c>
      <c r="R128" s="22">
        <f t="shared" si="22"/>
        <v>0</v>
      </c>
      <c r="S128" s="22">
        <f t="shared" si="22"/>
        <v>0</v>
      </c>
      <c r="T128" s="22">
        <f t="shared" si="22"/>
        <v>0</v>
      </c>
      <c r="U128" s="22">
        <f t="shared" si="22"/>
        <v>0</v>
      </c>
      <c r="V128" s="22">
        <f t="shared" si="22"/>
        <v>0</v>
      </c>
      <c r="W128" s="22">
        <f t="shared" si="22"/>
        <v>0</v>
      </c>
      <c r="X128" s="22">
        <f t="shared" si="22"/>
        <v>0</v>
      </c>
      <c r="Y128" s="22">
        <f t="shared" si="25"/>
        <v>0</v>
      </c>
      <c r="Z128" s="22">
        <f t="shared" si="25"/>
        <v>0</v>
      </c>
      <c r="AA128" s="12">
        <f t="shared" si="24"/>
        <v>0</v>
      </c>
    </row>
    <row r="129" spans="11:27">
      <c r="K129" s="18" t="s">
        <v>21</v>
      </c>
      <c r="L129" s="22">
        <f t="shared" si="22"/>
        <v>0</v>
      </c>
      <c r="M129" s="22">
        <f t="shared" si="22"/>
        <v>0</v>
      </c>
      <c r="N129" s="22">
        <f t="shared" si="22"/>
        <v>0</v>
      </c>
      <c r="O129" s="22">
        <f t="shared" si="22"/>
        <v>0</v>
      </c>
      <c r="P129" s="22">
        <f t="shared" si="22"/>
        <v>0</v>
      </c>
      <c r="Q129" s="22">
        <f t="shared" si="22"/>
        <v>0</v>
      </c>
      <c r="R129" s="22">
        <f t="shared" si="22"/>
        <v>0</v>
      </c>
      <c r="S129" s="22">
        <f t="shared" si="22"/>
        <v>0</v>
      </c>
      <c r="T129" s="22">
        <f t="shared" si="22"/>
        <v>0</v>
      </c>
      <c r="U129" s="22">
        <f t="shared" si="22"/>
        <v>0</v>
      </c>
      <c r="V129" s="22">
        <f t="shared" si="22"/>
        <v>0</v>
      </c>
      <c r="W129" s="22">
        <f t="shared" si="22"/>
        <v>0</v>
      </c>
      <c r="X129" s="22">
        <f t="shared" si="22"/>
        <v>0</v>
      </c>
      <c r="Y129" s="22">
        <f t="shared" si="25"/>
        <v>0</v>
      </c>
      <c r="Z129" s="22">
        <f t="shared" si="25"/>
        <v>0</v>
      </c>
      <c r="AA129" s="12">
        <f t="shared" si="24"/>
        <v>0</v>
      </c>
    </row>
    <row r="130" spans="11:27">
      <c r="K130" s="2" t="s">
        <v>22</v>
      </c>
      <c r="L130" s="22">
        <f t="shared" si="22"/>
        <v>0</v>
      </c>
      <c r="M130" s="22">
        <f t="shared" si="22"/>
        <v>0</v>
      </c>
      <c r="N130" s="22">
        <f t="shared" si="22"/>
        <v>0</v>
      </c>
      <c r="O130" s="22">
        <f t="shared" si="22"/>
        <v>0</v>
      </c>
      <c r="P130" s="22">
        <f t="shared" si="22"/>
        <v>0</v>
      </c>
      <c r="Q130" s="22">
        <f t="shared" si="22"/>
        <v>0</v>
      </c>
      <c r="R130" s="22">
        <f t="shared" si="22"/>
        <v>0</v>
      </c>
      <c r="S130" s="22">
        <f t="shared" si="22"/>
        <v>0</v>
      </c>
      <c r="T130" s="22">
        <f t="shared" si="22"/>
        <v>0</v>
      </c>
      <c r="U130" s="22">
        <f t="shared" si="22"/>
        <v>0</v>
      </c>
      <c r="V130" s="22">
        <f t="shared" si="22"/>
        <v>0</v>
      </c>
      <c r="W130" s="22">
        <f t="shared" si="22"/>
        <v>0</v>
      </c>
      <c r="X130" s="22">
        <f t="shared" si="22"/>
        <v>0</v>
      </c>
      <c r="Y130" s="22">
        <f t="shared" si="25"/>
        <v>0</v>
      </c>
      <c r="Z130" s="22">
        <f t="shared" si="25"/>
        <v>0</v>
      </c>
      <c r="AA130" s="12">
        <f t="shared" si="24"/>
        <v>0</v>
      </c>
    </row>
    <row r="131" spans="11:27">
      <c r="K131" s="1" t="s">
        <v>23</v>
      </c>
      <c r="L131" s="22">
        <f t="shared" si="22"/>
        <v>0</v>
      </c>
      <c r="M131" s="22">
        <f t="shared" si="22"/>
        <v>0</v>
      </c>
      <c r="N131" s="22">
        <f t="shared" si="22"/>
        <v>0</v>
      </c>
      <c r="O131" s="22">
        <f t="shared" si="22"/>
        <v>0</v>
      </c>
      <c r="P131" s="22">
        <f t="shared" si="22"/>
        <v>0</v>
      </c>
      <c r="Q131" s="22">
        <f t="shared" si="22"/>
        <v>0</v>
      </c>
      <c r="R131" s="22">
        <f t="shared" si="22"/>
        <v>0</v>
      </c>
      <c r="S131" s="22">
        <f t="shared" si="22"/>
        <v>0</v>
      </c>
      <c r="T131" s="22">
        <f t="shared" si="22"/>
        <v>0</v>
      </c>
      <c r="U131" s="22">
        <f t="shared" si="22"/>
        <v>0</v>
      </c>
      <c r="V131" s="22">
        <f t="shared" si="22"/>
        <v>0</v>
      </c>
      <c r="W131" s="22">
        <f t="shared" si="22"/>
        <v>0</v>
      </c>
      <c r="X131" s="22">
        <f t="shared" si="22"/>
        <v>0</v>
      </c>
      <c r="Y131" s="22">
        <f t="shared" si="25"/>
        <v>0</v>
      </c>
      <c r="Z131" s="22">
        <f t="shared" si="25"/>
        <v>0</v>
      </c>
      <c r="AA131" s="12">
        <f t="shared" si="24"/>
        <v>0</v>
      </c>
    </row>
    <row r="132" spans="11:27">
      <c r="K132" s="1" t="s">
        <v>25</v>
      </c>
      <c r="L132" s="22">
        <f t="shared" si="22"/>
        <v>0</v>
      </c>
      <c r="M132" s="22">
        <f t="shared" si="22"/>
        <v>0</v>
      </c>
      <c r="N132" s="22">
        <f t="shared" si="22"/>
        <v>0</v>
      </c>
      <c r="O132" s="22">
        <f t="shared" si="22"/>
        <v>0</v>
      </c>
      <c r="P132" s="22">
        <f t="shared" si="22"/>
        <v>0</v>
      </c>
      <c r="Q132" s="22">
        <f t="shared" si="22"/>
        <v>0</v>
      </c>
      <c r="R132" s="22">
        <f t="shared" si="22"/>
        <v>0</v>
      </c>
      <c r="S132" s="22">
        <f t="shared" si="22"/>
        <v>0</v>
      </c>
      <c r="T132" s="22">
        <f t="shared" si="22"/>
        <v>0</v>
      </c>
      <c r="U132" s="22">
        <f t="shared" si="22"/>
        <v>0</v>
      </c>
      <c r="V132" s="22">
        <f t="shared" si="22"/>
        <v>0</v>
      </c>
      <c r="W132" s="22">
        <f t="shared" si="22"/>
        <v>0</v>
      </c>
      <c r="X132" s="22">
        <f t="shared" si="22"/>
        <v>0</v>
      </c>
      <c r="Y132" s="22">
        <f t="shared" si="25"/>
        <v>0</v>
      </c>
      <c r="Z132" s="22">
        <f t="shared" si="25"/>
        <v>0</v>
      </c>
      <c r="AA132" s="12">
        <f t="shared" si="24"/>
        <v>0</v>
      </c>
    </row>
    <row r="133" spans="11:27">
      <c r="K133" s="1" t="s">
        <v>24</v>
      </c>
      <c r="L133" s="22">
        <f t="shared" si="22"/>
        <v>0</v>
      </c>
      <c r="M133" s="22">
        <f t="shared" si="22"/>
        <v>0</v>
      </c>
      <c r="N133" s="22">
        <f t="shared" si="22"/>
        <v>0</v>
      </c>
      <c r="O133" s="22">
        <f t="shared" si="22"/>
        <v>0</v>
      </c>
      <c r="P133" s="22">
        <f t="shared" si="22"/>
        <v>0</v>
      </c>
      <c r="Q133" s="22">
        <f t="shared" si="22"/>
        <v>0</v>
      </c>
      <c r="R133" s="22">
        <f t="shared" si="22"/>
        <v>0</v>
      </c>
      <c r="S133" s="22">
        <f t="shared" si="22"/>
        <v>0</v>
      </c>
      <c r="T133" s="22">
        <f t="shared" si="22"/>
        <v>0</v>
      </c>
      <c r="U133" s="22">
        <f t="shared" si="22"/>
        <v>0</v>
      </c>
      <c r="V133" s="22">
        <f t="shared" si="22"/>
        <v>0</v>
      </c>
      <c r="W133" s="22">
        <f t="shared" si="22"/>
        <v>0</v>
      </c>
      <c r="X133" s="22">
        <f t="shared" si="22"/>
        <v>0</v>
      </c>
      <c r="Y133" s="22">
        <f t="shared" si="25"/>
        <v>0</v>
      </c>
      <c r="Z133" s="22">
        <f t="shared" si="25"/>
        <v>0</v>
      </c>
      <c r="AA133" s="12">
        <f t="shared" si="24"/>
        <v>0</v>
      </c>
    </row>
    <row r="134" spans="11:27">
      <c r="K134" s="1" t="s">
        <v>26</v>
      </c>
      <c r="L134" s="22">
        <f t="shared" si="22"/>
        <v>0</v>
      </c>
      <c r="M134" s="22">
        <f t="shared" si="22"/>
        <v>0</v>
      </c>
      <c r="N134" s="22">
        <f t="shared" si="22"/>
        <v>0</v>
      </c>
      <c r="O134" s="22">
        <f t="shared" si="22"/>
        <v>0</v>
      </c>
      <c r="P134" s="22">
        <f t="shared" si="22"/>
        <v>0</v>
      </c>
      <c r="Q134" s="22">
        <f t="shared" si="22"/>
        <v>0</v>
      </c>
      <c r="R134" s="22">
        <f t="shared" si="22"/>
        <v>0</v>
      </c>
      <c r="S134" s="22">
        <f t="shared" si="22"/>
        <v>0</v>
      </c>
      <c r="T134" s="22">
        <f t="shared" si="22"/>
        <v>0</v>
      </c>
      <c r="U134" s="22">
        <f t="shared" si="22"/>
        <v>0</v>
      </c>
      <c r="V134" s="22">
        <f t="shared" si="22"/>
        <v>0</v>
      </c>
      <c r="W134" s="22">
        <f t="shared" si="22"/>
        <v>0</v>
      </c>
      <c r="X134" s="22">
        <f t="shared" si="22"/>
        <v>0</v>
      </c>
      <c r="Y134" s="22">
        <f t="shared" si="25"/>
        <v>0</v>
      </c>
      <c r="Z134" s="22">
        <f t="shared" si="25"/>
        <v>0</v>
      </c>
      <c r="AA134" s="12">
        <f t="shared" si="24"/>
        <v>0</v>
      </c>
    </row>
    <row r="135" spans="11:27">
      <c r="K135" s="8" t="s">
        <v>37</v>
      </c>
      <c r="L135" s="16">
        <f t="shared" ref="L135:AA135" si="26">SUM(L108:L134)</f>
        <v>0</v>
      </c>
      <c r="M135" s="16">
        <f t="shared" si="26"/>
        <v>0</v>
      </c>
      <c r="N135" s="16">
        <f t="shared" si="26"/>
        <v>0</v>
      </c>
      <c r="O135" s="16">
        <f t="shared" si="26"/>
        <v>0</v>
      </c>
      <c r="P135" s="16">
        <f t="shared" si="26"/>
        <v>0</v>
      </c>
      <c r="Q135" s="16">
        <f t="shared" si="26"/>
        <v>0</v>
      </c>
      <c r="R135" s="16">
        <f t="shared" si="26"/>
        <v>0</v>
      </c>
      <c r="S135" s="16">
        <f t="shared" si="26"/>
        <v>0</v>
      </c>
      <c r="T135" s="16">
        <f t="shared" si="26"/>
        <v>0</v>
      </c>
      <c r="U135" s="16">
        <f t="shared" si="26"/>
        <v>0</v>
      </c>
      <c r="V135" s="16">
        <f t="shared" si="26"/>
        <v>0</v>
      </c>
      <c r="W135" s="16">
        <f t="shared" si="26"/>
        <v>0</v>
      </c>
      <c r="X135" s="16">
        <f t="shared" si="26"/>
        <v>0</v>
      </c>
      <c r="Y135" s="16">
        <f>SUM(Y108:Y134)</f>
        <v>0</v>
      </c>
      <c r="Z135" s="16">
        <f>SUM(Z108:Z134)</f>
        <v>0</v>
      </c>
      <c r="AA135" s="7">
        <f t="shared" si="26"/>
        <v>0</v>
      </c>
    </row>
  </sheetData>
  <mergeCells count="102">
    <mergeCell ref="A37:O37"/>
    <mergeCell ref="A38:A39"/>
    <mergeCell ref="B38:C38"/>
    <mergeCell ref="D38:E38"/>
    <mergeCell ref="F38:F39"/>
    <mergeCell ref="G38:G39"/>
    <mergeCell ref="L38:L39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M38:M39"/>
    <mergeCell ref="L3:L4"/>
    <mergeCell ref="M3:M4"/>
    <mergeCell ref="N3:N4"/>
    <mergeCell ref="O3:O4"/>
    <mergeCell ref="J73:J74"/>
    <mergeCell ref="K73:K74"/>
    <mergeCell ref="L73:L74"/>
    <mergeCell ref="M73:M74"/>
    <mergeCell ref="N73:N74"/>
    <mergeCell ref="O73:O74"/>
    <mergeCell ref="N38:N39"/>
    <mergeCell ref="O38:O39"/>
    <mergeCell ref="A72:O72"/>
    <mergeCell ref="A73:A74"/>
    <mergeCell ref="B73:C73"/>
    <mergeCell ref="D73:E73"/>
    <mergeCell ref="F73:F74"/>
    <mergeCell ref="G73:G74"/>
    <mergeCell ref="H73:H74"/>
    <mergeCell ref="I73:I74"/>
    <mergeCell ref="H38:H39"/>
    <mergeCell ref="I38:I39"/>
    <mergeCell ref="J38:J39"/>
    <mergeCell ref="K38:K39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G3"/>
    <mergeCell ref="AH3:AH4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F38:AG38"/>
    <mergeCell ref="AH38:AH39"/>
    <mergeCell ref="R72:AH72"/>
    <mergeCell ref="R73:R74"/>
    <mergeCell ref="S73:T73"/>
    <mergeCell ref="U73:V73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AF73:AG73"/>
    <mergeCell ref="AH73:AH74"/>
    <mergeCell ref="K105:AA105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Y106:Z106"/>
    <mergeCell ref="AA106:AA107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AH140"/>
  <sheetViews>
    <sheetView topLeftCell="B42" zoomScale="80" zoomScaleNormal="80" workbookViewId="0">
      <selection activeCell="A2" sqref="A2:AC37"/>
    </sheetView>
  </sheetViews>
  <sheetFormatPr defaultRowHeight="15"/>
  <cols>
    <col min="1" max="1" width="23.140625" customWidth="1"/>
    <col min="2" max="2" width="18.28515625" customWidth="1"/>
    <col min="3" max="3" width="17" customWidth="1"/>
    <col min="4" max="4" width="17.7109375" customWidth="1"/>
    <col min="5" max="5" width="15.42578125" customWidth="1"/>
    <col min="6" max="6" width="18.7109375" customWidth="1"/>
    <col min="7" max="7" width="19.7109375" customWidth="1"/>
    <col min="8" max="8" width="16.5703125" customWidth="1"/>
    <col min="9" max="9" width="15.7109375" customWidth="1"/>
    <col min="10" max="10" width="17.140625" customWidth="1"/>
    <col min="11" max="11" width="20.42578125" customWidth="1"/>
    <col min="12" max="14" width="20.28515625" customWidth="1"/>
    <col min="15" max="15" width="18.7109375" bestFit="1" customWidth="1"/>
    <col min="16" max="16" width="13.85546875" bestFit="1" customWidth="1"/>
    <col min="17" max="17" width="17.7109375" customWidth="1"/>
    <col min="18" max="18" width="23.140625" style="20" customWidth="1"/>
    <col min="19" max="19" width="13.5703125" customWidth="1"/>
    <col min="20" max="20" width="12.42578125" customWidth="1"/>
    <col min="21" max="21" width="14.7109375" customWidth="1"/>
    <col min="22" max="22" width="12.42578125" customWidth="1"/>
    <col min="23" max="23" width="14.28515625" customWidth="1"/>
    <col min="24" max="24" width="20.28515625" customWidth="1"/>
    <col min="25" max="25" width="19.140625" bestFit="1" customWidth="1"/>
    <col min="26" max="27" width="16.5703125" customWidth="1"/>
    <col min="28" max="28" width="17.7109375" customWidth="1"/>
    <col min="29" max="29" width="16.7109375" customWidth="1"/>
    <col min="30" max="30" width="11.5703125" customWidth="1"/>
    <col min="31" max="31" width="14.140625" customWidth="1"/>
    <col min="32" max="32" width="17" bestFit="1" customWidth="1"/>
    <col min="33" max="33" width="13.85546875" customWidth="1"/>
    <col min="34" max="34" width="13.85546875" bestFit="1" customWidth="1"/>
  </cols>
  <sheetData>
    <row r="2" spans="1:34" ht="46.5">
      <c r="A2" s="292" t="s">
        <v>81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4"/>
      <c r="R2" s="292" t="s">
        <v>83</v>
      </c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4"/>
    </row>
    <row r="3" spans="1:34" ht="21.75" customHeight="1">
      <c r="A3" s="290" t="s">
        <v>33</v>
      </c>
      <c r="B3" s="287" t="s">
        <v>27</v>
      </c>
      <c r="C3" s="288"/>
      <c r="D3" s="287" t="s">
        <v>29</v>
      </c>
      <c r="E3" s="288"/>
      <c r="F3" s="285" t="s">
        <v>28</v>
      </c>
      <c r="G3" s="285" t="s">
        <v>36</v>
      </c>
      <c r="H3" s="285" t="s">
        <v>30</v>
      </c>
      <c r="I3" s="285" t="s">
        <v>31</v>
      </c>
      <c r="J3" s="285" t="s">
        <v>41</v>
      </c>
      <c r="K3" s="285" t="s">
        <v>35</v>
      </c>
      <c r="L3" s="285" t="s">
        <v>40</v>
      </c>
      <c r="M3" s="285" t="s">
        <v>42</v>
      </c>
      <c r="N3" s="285" t="s">
        <v>45</v>
      </c>
      <c r="O3" s="285" t="s">
        <v>34</v>
      </c>
      <c r="R3" s="290" t="s">
        <v>33</v>
      </c>
      <c r="S3" s="287" t="s">
        <v>27</v>
      </c>
      <c r="T3" s="288"/>
      <c r="U3" s="287" t="s">
        <v>29</v>
      </c>
      <c r="V3" s="288"/>
      <c r="W3" s="285" t="s">
        <v>28</v>
      </c>
      <c r="X3" s="285" t="s">
        <v>36</v>
      </c>
      <c r="Y3" s="285" t="s">
        <v>30</v>
      </c>
      <c r="Z3" s="285" t="s">
        <v>31</v>
      </c>
      <c r="AA3" s="285" t="s">
        <v>41</v>
      </c>
      <c r="AB3" s="285" t="s">
        <v>35</v>
      </c>
      <c r="AC3" s="285" t="s">
        <v>40</v>
      </c>
      <c r="AD3" s="285" t="s">
        <v>42</v>
      </c>
      <c r="AE3" s="285" t="s">
        <v>45</v>
      </c>
      <c r="AF3" s="287" t="s">
        <v>52</v>
      </c>
      <c r="AG3" s="288"/>
      <c r="AH3" s="285" t="s">
        <v>34</v>
      </c>
    </row>
    <row r="4" spans="1:34" ht="30">
      <c r="A4" s="291"/>
      <c r="B4" s="56" t="s">
        <v>43</v>
      </c>
      <c r="C4" s="56" t="s">
        <v>44</v>
      </c>
      <c r="D4" s="56" t="s">
        <v>43</v>
      </c>
      <c r="E4" s="56" t="s">
        <v>44</v>
      </c>
      <c r="F4" s="286"/>
      <c r="G4" s="286"/>
      <c r="H4" s="286"/>
      <c r="I4" s="286"/>
      <c r="J4" s="286"/>
      <c r="K4" s="286"/>
      <c r="L4" s="286"/>
      <c r="M4" s="286"/>
      <c r="N4" s="286"/>
      <c r="O4" s="286"/>
      <c r="R4" s="291"/>
      <c r="S4" s="56" t="s">
        <v>43</v>
      </c>
      <c r="T4" s="56" t="s">
        <v>44</v>
      </c>
      <c r="U4" s="56" t="s">
        <v>43</v>
      </c>
      <c r="V4" s="56" t="s">
        <v>44</v>
      </c>
      <c r="W4" s="286"/>
      <c r="X4" s="286"/>
      <c r="Y4" s="286"/>
      <c r="Z4" s="286"/>
      <c r="AA4" s="286"/>
      <c r="AB4" s="286"/>
      <c r="AC4" s="286"/>
      <c r="AD4" s="286"/>
      <c r="AE4" s="286"/>
      <c r="AF4" s="55" t="s">
        <v>53</v>
      </c>
      <c r="AG4" s="55" t="s">
        <v>54</v>
      </c>
      <c r="AH4" s="286"/>
    </row>
    <row r="5" spans="1:34">
      <c r="A5" s="1" t="s">
        <v>0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P5" s="15"/>
      <c r="R5" s="1" t="s">
        <v>0</v>
      </c>
      <c r="S5" s="35">
        <f>S75*0.8</f>
        <v>0</v>
      </c>
      <c r="T5" s="35">
        <f t="shared" ref="T5:AG20" si="0">T75*0.8</f>
        <v>0</v>
      </c>
      <c r="U5" s="35">
        <f t="shared" si="0"/>
        <v>0</v>
      </c>
      <c r="V5" s="35">
        <f t="shared" si="0"/>
        <v>0</v>
      </c>
      <c r="W5" s="35">
        <f t="shared" si="0"/>
        <v>0</v>
      </c>
      <c r="X5" s="35">
        <f t="shared" si="0"/>
        <v>0</v>
      </c>
      <c r="Y5" s="35">
        <f t="shared" si="0"/>
        <v>0</v>
      </c>
      <c r="Z5" s="35">
        <f t="shared" si="0"/>
        <v>0</v>
      </c>
      <c r="AA5" s="35">
        <f t="shared" si="0"/>
        <v>0</v>
      </c>
      <c r="AB5" s="35">
        <f t="shared" si="0"/>
        <v>0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0</v>
      </c>
    </row>
    <row r="6" spans="1:34">
      <c r="A6" s="1" t="s">
        <v>1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P6" s="15"/>
      <c r="R6" s="1" t="s">
        <v>1</v>
      </c>
      <c r="S6" s="35">
        <f t="shared" ref="S6:AG21" si="2">S76*0.8</f>
        <v>0</v>
      </c>
      <c r="T6" s="35">
        <f t="shared" si="2"/>
        <v>0</v>
      </c>
      <c r="U6" s="35">
        <f t="shared" si="2"/>
        <v>0</v>
      </c>
      <c r="V6" s="35">
        <f t="shared" si="2"/>
        <v>0</v>
      </c>
      <c r="W6" s="35">
        <f t="shared" si="2"/>
        <v>0</v>
      </c>
      <c r="X6" s="35">
        <f t="shared" si="2"/>
        <v>0</v>
      </c>
      <c r="Y6" s="35">
        <f t="shared" si="2"/>
        <v>0</v>
      </c>
      <c r="Z6" s="35">
        <f t="shared" si="2"/>
        <v>0</v>
      </c>
      <c r="AA6" s="35">
        <f t="shared" si="2"/>
        <v>0</v>
      </c>
      <c r="AB6" s="35">
        <f t="shared" si="2"/>
        <v>0</v>
      </c>
      <c r="AC6" s="35">
        <f t="shared" si="2"/>
        <v>0</v>
      </c>
      <c r="AD6" s="35">
        <f t="shared" si="2"/>
        <v>0</v>
      </c>
      <c r="AE6" s="35">
        <f t="shared" si="2"/>
        <v>0</v>
      </c>
      <c r="AF6" s="35">
        <f t="shared" si="0"/>
        <v>0</v>
      </c>
      <c r="AG6" s="35">
        <f t="shared" si="0"/>
        <v>0</v>
      </c>
      <c r="AH6" s="4">
        <f t="shared" ref="AH6:AH31" si="3">SUM(S6:AG6)</f>
        <v>0</v>
      </c>
    </row>
    <row r="7" spans="1:34">
      <c r="A7" s="18" t="s">
        <v>2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P7" s="15"/>
      <c r="R7" s="18" t="s">
        <v>2</v>
      </c>
      <c r="S7" s="35">
        <f t="shared" si="2"/>
        <v>0</v>
      </c>
      <c r="T7" s="35">
        <f t="shared" si="2"/>
        <v>0</v>
      </c>
      <c r="U7" s="35">
        <f t="shared" si="2"/>
        <v>0</v>
      </c>
      <c r="V7" s="35">
        <f t="shared" si="2"/>
        <v>0</v>
      </c>
      <c r="W7" s="35">
        <f t="shared" si="2"/>
        <v>0</v>
      </c>
      <c r="X7" s="35">
        <f t="shared" si="2"/>
        <v>0</v>
      </c>
      <c r="Y7" s="35">
        <f t="shared" si="2"/>
        <v>0</v>
      </c>
      <c r="Z7" s="35">
        <f t="shared" si="2"/>
        <v>0</v>
      </c>
      <c r="AA7" s="35">
        <f t="shared" si="2"/>
        <v>0</v>
      </c>
      <c r="AB7" s="35">
        <f t="shared" si="2"/>
        <v>0</v>
      </c>
      <c r="AC7" s="35">
        <f t="shared" si="2"/>
        <v>0</v>
      </c>
      <c r="AD7" s="35">
        <f t="shared" si="2"/>
        <v>0</v>
      </c>
      <c r="AE7" s="35">
        <f t="shared" si="2"/>
        <v>0</v>
      </c>
      <c r="AF7" s="35">
        <f t="shared" si="0"/>
        <v>0</v>
      </c>
      <c r="AG7" s="35">
        <f t="shared" si="0"/>
        <v>0</v>
      </c>
      <c r="AH7" s="4">
        <f t="shared" si="3"/>
        <v>0</v>
      </c>
    </row>
    <row r="8" spans="1:34">
      <c r="A8" s="2" t="s">
        <v>3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P8" s="15"/>
      <c r="R8" s="2" t="s">
        <v>3</v>
      </c>
      <c r="S8" s="35">
        <f t="shared" si="2"/>
        <v>0</v>
      </c>
      <c r="T8" s="35">
        <f t="shared" si="2"/>
        <v>0</v>
      </c>
      <c r="U8" s="35">
        <f t="shared" si="2"/>
        <v>0</v>
      </c>
      <c r="V8" s="35">
        <f t="shared" si="2"/>
        <v>0</v>
      </c>
      <c r="W8" s="35">
        <f t="shared" si="2"/>
        <v>0</v>
      </c>
      <c r="X8" s="35">
        <f t="shared" si="2"/>
        <v>0</v>
      </c>
      <c r="Y8" s="35">
        <f t="shared" si="2"/>
        <v>0</v>
      </c>
      <c r="Z8" s="35">
        <f t="shared" si="2"/>
        <v>0</v>
      </c>
      <c r="AA8" s="35">
        <f t="shared" si="2"/>
        <v>0</v>
      </c>
      <c r="AB8" s="35">
        <f t="shared" si="2"/>
        <v>0</v>
      </c>
      <c r="AC8" s="35">
        <f t="shared" si="2"/>
        <v>0</v>
      </c>
      <c r="AD8" s="35">
        <f t="shared" si="2"/>
        <v>0</v>
      </c>
      <c r="AE8" s="35">
        <f t="shared" si="2"/>
        <v>0</v>
      </c>
      <c r="AF8" s="35">
        <f>AF78</f>
        <v>0</v>
      </c>
      <c r="AG8" s="35">
        <f>AG78</f>
        <v>0</v>
      </c>
      <c r="AH8" s="4">
        <f t="shared" si="3"/>
        <v>0</v>
      </c>
    </row>
    <row r="9" spans="1:34">
      <c r="A9" s="1" t="s">
        <v>4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P9" s="15"/>
      <c r="R9" s="1" t="s">
        <v>4</v>
      </c>
      <c r="S9" s="35">
        <f t="shared" si="2"/>
        <v>0</v>
      </c>
      <c r="T9" s="35">
        <f t="shared" si="2"/>
        <v>0</v>
      </c>
      <c r="U9" s="35">
        <f t="shared" si="2"/>
        <v>0</v>
      </c>
      <c r="V9" s="35">
        <f t="shared" si="2"/>
        <v>0</v>
      </c>
      <c r="W9" s="35">
        <f t="shared" si="2"/>
        <v>0</v>
      </c>
      <c r="X9" s="35">
        <f t="shared" si="2"/>
        <v>0</v>
      </c>
      <c r="Y9" s="35">
        <f t="shared" si="2"/>
        <v>0</v>
      </c>
      <c r="Z9" s="35">
        <f t="shared" si="2"/>
        <v>0</v>
      </c>
      <c r="AA9" s="35">
        <f t="shared" si="2"/>
        <v>0</v>
      </c>
      <c r="AB9" s="35">
        <f t="shared" si="2"/>
        <v>0</v>
      </c>
      <c r="AC9" s="35">
        <f t="shared" si="2"/>
        <v>0</v>
      </c>
      <c r="AD9" s="35">
        <f t="shared" si="2"/>
        <v>0</v>
      </c>
      <c r="AE9" s="35">
        <f t="shared" si="2"/>
        <v>0</v>
      </c>
      <c r="AF9" s="35">
        <f t="shared" si="0"/>
        <v>0</v>
      </c>
      <c r="AG9" s="35">
        <f t="shared" si="0"/>
        <v>0</v>
      </c>
      <c r="AH9" s="4">
        <f t="shared" si="3"/>
        <v>0</v>
      </c>
    </row>
    <row r="10" spans="1:34">
      <c r="A10" s="1" t="s">
        <v>5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P10" s="15"/>
      <c r="R10" s="1" t="s">
        <v>5</v>
      </c>
      <c r="S10" s="35">
        <f t="shared" si="2"/>
        <v>0</v>
      </c>
      <c r="T10" s="35">
        <f t="shared" si="2"/>
        <v>0</v>
      </c>
      <c r="U10" s="35">
        <f t="shared" si="2"/>
        <v>0</v>
      </c>
      <c r="V10" s="35">
        <f t="shared" si="2"/>
        <v>0</v>
      </c>
      <c r="W10" s="35">
        <f t="shared" si="2"/>
        <v>0</v>
      </c>
      <c r="X10" s="35">
        <f t="shared" si="2"/>
        <v>0</v>
      </c>
      <c r="Y10" s="35">
        <f t="shared" si="2"/>
        <v>0</v>
      </c>
      <c r="Z10" s="35">
        <f t="shared" si="2"/>
        <v>0</v>
      </c>
      <c r="AA10" s="35">
        <f t="shared" si="2"/>
        <v>0</v>
      </c>
      <c r="AB10" s="35">
        <f t="shared" si="2"/>
        <v>0</v>
      </c>
      <c r="AC10" s="35">
        <f t="shared" si="2"/>
        <v>0</v>
      </c>
      <c r="AD10" s="35">
        <f t="shared" si="2"/>
        <v>0</v>
      </c>
      <c r="AE10" s="35">
        <f t="shared" si="2"/>
        <v>0</v>
      </c>
      <c r="AF10" s="35">
        <f t="shared" si="0"/>
        <v>0</v>
      </c>
      <c r="AG10" s="35">
        <f t="shared" si="0"/>
        <v>0</v>
      </c>
      <c r="AH10" s="4">
        <f t="shared" si="3"/>
        <v>0</v>
      </c>
    </row>
    <row r="11" spans="1:34">
      <c r="A11" s="1" t="s">
        <v>6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0</v>
      </c>
      <c r="P11" s="15"/>
      <c r="R11" s="1" t="s">
        <v>6</v>
      </c>
      <c r="S11" s="35">
        <f t="shared" si="2"/>
        <v>0</v>
      </c>
      <c r="T11" s="35">
        <f t="shared" si="2"/>
        <v>0</v>
      </c>
      <c r="U11" s="35">
        <f t="shared" si="2"/>
        <v>0</v>
      </c>
      <c r="V11" s="35">
        <f t="shared" si="2"/>
        <v>0</v>
      </c>
      <c r="W11" s="35">
        <f t="shared" si="2"/>
        <v>0</v>
      </c>
      <c r="X11" s="35">
        <f t="shared" si="2"/>
        <v>0</v>
      </c>
      <c r="Y11" s="35">
        <f t="shared" si="2"/>
        <v>0</v>
      </c>
      <c r="Z11" s="35">
        <f t="shared" si="2"/>
        <v>0</v>
      </c>
      <c r="AA11" s="35">
        <f t="shared" si="2"/>
        <v>0</v>
      </c>
      <c r="AB11" s="35">
        <f t="shared" si="2"/>
        <v>0</v>
      </c>
      <c r="AC11" s="35">
        <f t="shared" si="2"/>
        <v>0</v>
      </c>
      <c r="AD11" s="35">
        <f t="shared" si="2"/>
        <v>0</v>
      </c>
      <c r="AE11" s="35">
        <f t="shared" si="2"/>
        <v>0</v>
      </c>
      <c r="AF11" s="35">
        <f t="shared" si="0"/>
        <v>0</v>
      </c>
      <c r="AG11" s="35">
        <f t="shared" si="0"/>
        <v>0</v>
      </c>
      <c r="AH11" s="4">
        <f t="shared" si="3"/>
        <v>0</v>
      </c>
    </row>
    <row r="12" spans="1:34">
      <c r="A12" s="1" t="s">
        <v>7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P12" s="15"/>
      <c r="R12" s="1" t="s">
        <v>7</v>
      </c>
      <c r="S12" s="35">
        <f t="shared" si="2"/>
        <v>0</v>
      </c>
      <c r="T12" s="35">
        <f t="shared" si="2"/>
        <v>0</v>
      </c>
      <c r="U12" s="35">
        <f t="shared" si="2"/>
        <v>0</v>
      </c>
      <c r="V12" s="35">
        <f t="shared" si="2"/>
        <v>0</v>
      </c>
      <c r="W12" s="35">
        <f t="shared" si="2"/>
        <v>0</v>
      </c>
      <c r="X12" s="35">
        <f t="shared" si="2"/>
        <v>0</v>
      </c>
      <c r="Y12" s="35">
        <f t="shared" si="2"/>
        <v>0</v>
      </c>
      <c r="Z12" s="35">
        <f t="shared" si="2"/>
        <v>0</v>
      </c>
      <c r="AA12" s="35">
        <f t="shared" si="2"/>
        <v>0</v>
      </c>
      <c r="AB12" s="35">
        <f t="shared" si="2"/>
        <v>0</v>
      </c>
      <c r="AC12" s="35">
        <f t="shared" si="2"/>
        <v>0</v>
      </c>
      <c r="AD12" s="35">
        <f t="shared" si="2"/>
        <v>0</v>
      </c>
      <c r="AE12" s="35">
        <f t="shared" si="2"/>
        <v>0</v>
      </c>
      <c r="AF12" s="35">
        <f t="shared" si="0"/>
        <v>0</v>
      </c>
      <c r="AG12" s="35">
        <f t="shared" si="0"/>
        <v>0</v>
      </c>
      <c r="AH12" s="4">
        <f t="shared" si="3"/>
        <v>0</v>
      </c>
    </row>
    <row r="13" spans="1:34">
      <c r="A13" s="1" t="s">
        <v>8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P13" s="15"/>
      <c r="R13" s="1" t="s">
        <v>8</v>
      </c>
      <c r="S13" s="35">
        <f t="shared" si="2"/>
        <v>0</v>
      </c>
      <c r="T13" s="35">
        <f t="shared" si="2"/>
        <v>0</v>
      </c>
      <c r="U13" s="35">
        <f t="shared" si="2"/>
        <v>0</v>
      </c>
      <c r="V13" s="35">
        <f t="shared" si="2"/>
        <v>0</v>
      </c>
      <c r="W13" s="35">
        <f t="shared" si="2"/>
        <v>0</v>
      </c>
      <c r="X13" s="35">
        <f t="shared" si="2"/>
        <v>0</v>
      </c>
      <c r="Y13" s="35">
        <f t="shared" si="2"/>
        <v>0</v>
      </c>
      <c r="Z13" s="35">
        <f t="shared" si="2"/>
        <v>0</v>
      </c>
      <c r="AA13" s="35">
        <f t="shared" si="2"/>
        <v>0</v>
      </c>
      <c r="AB13" s="35">
        <f t="shared" si="2"/>
        <v>0</v>
      </c>
      <c r="AC13" s="35">
        <f t="shared" si="2"/>
        <v>0</v>
      </c>
      <c r="AD13" s="35">
        <f t="shared" si="2"/>
        <v>0</v>
      </c>
      <c r="AE13" s="35">
        <f t="shared" si="2"/>
        <v>0</v>
      </c>
      <c r="AF13" s="35">
        <f t="shared" si="0"/>
        <v>0</v>
      </c>
      <c r="AG13" s="35">
        <f t="shared" si="0"/>
        <v>0</v>
      </c>
      <c r="AH13" s="4">
        <f t="shared" si="3"/>
        <v>0</v>
      </c>
    </row>
    <row r="14" spans="1:34">
      <c r="A14" s="2" t="s">
        <v>9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P14" s="15"/>
      <c r="R14" s="2" t="s">
        <v>9</v>
      </c>
      <c r="S14" s="35">
        <f t="shared" si="2"/>
        <v>0</v>
      </c>
      <c r="T14" s="35">
        <f t="shared" si="2"/>
        <v>0</v>
      </c>
      <c r="U14" s="35">
        <f t="shared" si="2"/>
        <v>0</v>
      </c>
      <c r="V14" s="35">
        <f t="shared" si="2"/>
        <v>0</v>
      </c>
      <c r="W14" s="35">
        <f t="shared" si="2"/>
        <v>0</v>
      </c>
      <c r="X14" s="35">
        <f t="shared" si="2"/>
        <v>0</v>
      </c>
      <c r="Y14" s="35">
        <f t="shared" si="2"/>
        <v>0</v>
      </c>
      <c r="Z14" s="35">
        <f t="shared" si="2"/>
        <v>0</v>
      </c>
      <c r="AA14" s="35">
        <f t="shared" si="2"/>
        <v>0</v>
      </c>
      <c r="AB14" s="35">
        <f t="shared" si="2"/>
        <v>0</v>
      </c>
      <c r="AC14" s="35">
        <f t="shared" si="2"/>
        <v>0</v>
      </c>
      <c r="AD14" s="35">
        <f t="shared" si="2"/>
        <v>0</v>
      </c>
      <c r="AE14" s="35">
        <f t="shared" si="2"/>
        <v>0</v>
      </c>
      <c r="AF14" s="35">
        <f t="shared" si="0"/>
        <v>0</v>
      </c>
      <c r="AG14" s="35">
        <f t="shared" si="0"/>
        <v>0</v>
      </c>
      <c r="AH14" s="4">
        <f t="shared" si="3"/>
        <v>0</v>
      </c>
    </row>
    <row r="15" spans="1:34">
      <c r="A15" s="18" t="s">
        <v>10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0</v>
      </c>
      <c r="P15" s="15"/>
      <c r="R15" s="18" t="s">
        <v>10</v>
      </c>
      <c r="S15" s="35">
        <f t="shared" si="2"/>
        <v>0</v>
      </c>
      <c r="T15" s="35">
        <f t="shared" si="2"/>
        <v>0</v>
      </c>
      <c r="U15" s="35">
        <f t="shared" si="2"/>
        <v>0</v>
      </c>
      <c r="V15" s="35">
        <f t="shared" si="2"/>
        <v>0</v>
      </c>
      <c r="W15" s="35">
        <f t="shared" si="2"/>
        <v>0</v>
      </c>
      <c r="X15" s="35">
        <f t="shared" si="2"/>
        <v>0</v>
      </c>
      <c r="Y15" s="35">
        <f t="shared" si="2"/>
        <v>0</v>
      </c>
      <c r="Z15" s="35">
        <f t="shared" si="2"/>
        <v>0</v>
      </c>
      <c r="AA15" s="35">
        <f t="shared" si="2"/>
        <v>0</v>
      </c>
      <c r="AB15" s="35">
        <f t="shared" si="2"/>
        <v>0</v>
      </c>
      <c r="AC15" s="35">
        <f t="shared" si="2"/>
        <v>0</v>
      </c>
      <c r="AD15" s="35">
        <f t="shared" si="2"/>
        <v>0</v>
      </c>
      <c r="AE15" s="35">
        <f t="shared" si="2"/>
        <v>0</v>
      </c>
      <c r="AF15" s="35">
        <f t="shared" si="0"/>
        <v>0</v>
      </c>
      <c r="AG15" s="35">
        <f t="shared" si="0"/>
        <v>0</v>
      </c>
      <c r="AH15" s="4">
        <f t="shared" si="3"/>
        <v>0</v>
      </c>
    </row>
    <row r="16" spans="1:34">
      <c r="A16" s="1" t="s">
        <v>11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P16" s="15"/>
      <c r="R16" s="1" t="s">
        <v>11</v>
      </c>
      <c r="S16" s="35">
        <f t="shared" si="2"/>
        <v>0</v>
      </c>
      <c r="T16" s="35">
        <f t="shared" si="2"/>
        <v>0</v>
      </c>
      <c r="U16" s="35">
        <f t="shared" si="2"/>
        <v>0</v>
      </c>
      <c r="V16" s="35">
        <f t="shared" si="2"/>
        <v>0</v>
      </c>
      <c r="W16" s="35">
        <f t="shared" si="2"/>
        <v>0</v>
      </c>
      <c r="X16" s="35">
        <f t="shared" si="2"/>
        <v>0</v>
      </c>
      <c r="Y16" s="35">
        <f t="shared" si="2"/>
        <v>0</v>
      </c>
      <c r="Z16" s="35">
        <f t="shared" si="2"/>
        <v>0</v>
      </c>
      <c r="AA16" s="35">
        <f t="shared" si="2"/>
        <v>0</v>
      </c>
      <c r="AB16" s="35">
        <f t="shared" si="2"/>
        <v>0</v>
      </c>
      <c r="AC16" s="35">
        <f t="shared" si="2"/>
        <v>0</v>
      </c>
      <c r="AD16" s="35">
        <f t="shared" si="2"/>
        <v>0</v>
      </c>
      <c r="AE16" s="35">
        <f t="shared" si="2"/>
        <v>0</v>
      </c>
      <c r="AF16" s="35">
        <f t="shared" si="0"/>
        <v>0</v>
      </c>
      <c r="AG16" s="35">
        <f t="shared" si="0"/>
        <v>0</v>
      </c>
      <c r="AH16" s="4">
        <f t="shared" si="3"/>
        <v>0</v>
      </c>
    </row>
    <row r="17" spans="1:34">
      <c r="A17" s="1" t="s">
        <v>12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0</v>
      </c>
      <c r="P17" s="15"/>
      <c r="R17" s="1" t="s">
        <v>12</v>
      </c>
      <c r="S17" s="35">
        <f t="shared" si="2"/>
        <v>0</v>
      </c>
      <c r="T17" s="35">
        <f t="shared" si="2"/>
        <v>0</v>
      </c>
      <c r="U17" s="35">
        <f t="shared" si="2"/>
        <v>0</v>
      </c>
      <c r="V17" s="35">
        <f t="shared" si="2"/>
        <v>0</v>
      </c>
      <c r="W17" s="35">
        <f t="shared" si="2"/>
        <v>0</v>
      </c>
      <c r="X17" s="35">
        <f t="shared" si="2"/>
        <v>0</v>
      </c>
      <c r="Y17" s="35">
        <f t="shared" si="2"/>
        <v>0</v>
      </c>
      <c r="Z17" s="35">
        <f t="shared" si="2"/>
        <v>0</v>
      </c>
      <c r="AA17" s="35">
        <f t="shared" si="2"/>
        <v>0</v>
      </c>
      <c r="AB17" s="35">
        <f t="shared" si="2"/>
        <v>0</v>
      </c>
      <c r="AC17" s="35">
        <f t="shared" si="2"/>
        <v>0</v>
      </c>
      <c r="AD17" s="35">
        <f t="shared" si="2"/>
        <v>0</v>
      </c>
      <c r="AE17" s="35">
        <f t="shared" si="2"/>
        <v>0</v>
      </c>
      <c r="AF17" s="35">
        <f t="shared" si="0"/>
        <v>0</v>
      </c>
      <c r="AG17" s="35">
        <f t="shared" si="0"/>
        <v>0</v>
      </c>
      <c r="AH17" s="4">
        <f t="shared" si="3"/>
        <v>0</v>
      </c>
    </row>
    <row r="18" spans="1:34">
      <c r="A18" s="1" t="s">
        <v>15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P18" s="15"/>
      <c r="R18" s="1" t="s">
        <v>15</v>
      </c>
      <c r="S18" s="35">
        <f t="shared" si="2"/>
        <v>0</v>
      </c>
      <c r="T18" s="35">
        <f t="shared" si="2"/>
        <v>0</v>
      </c>
      <c r="U18" s="35">
        <f t="shared" si="2"/>
        <v>0</v>
      </c>
      <c r="V18" s="35">
        <f t="shared" si="2"/>
        <v>0</v>
      </c>
      <c r="W18" s="35">
        <f t="shared" si="2"/>
        <v>0</v>
      </c>
      <c r="X18" s="35">
        <f t="shared" si="2"/>
        <v>0</v>
      </c>
      <c r="Y18" s="35">
        <f t="shared" si="2"/>
        <v>0</v>
      </c>
      <c r="Z18" s="35">
        <f t="shared" si="2"/>
        <v>0</v>
      </c>
      <c r="AA18" s="35">
        <f t="shared" si="2"/>
        <v>0</v>
      </c>
      <c r="AB18" s="35">
        <f t="shared" si="2"/>
        <v>0</v>
      </c>
      <c r="AC18" s="35">
        <f t="shared" si="2"/>
        <v>0</v>
      </c>
      <c r="AD18" s="35">
        <f t="shared" si="2"/>
        <v>0</v>
      </c>
      <c r="AE18" s="35">
        <f t="shared" si="2"/>
        <v>0</v>
      </c>
      <c r="AF18" s="35">
        <f t="shared" si="0"/>
        <v>0</v>
      </c>
      <c r="AG18" s="35">
        <f t="shared" si="0"/>
        <v>0</v>
      </c>
      <c r="AH18" s="4">
        <f t="shared" si="3"/>
        <v>0</v>
      </c>
    </row>
    <row r="19" spans="1:34">
      <c r="A19" s="42" t="s">
        <v>14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0</v>
      </c>
      <c r="P19" s="15"/>
      <c r="R19" s="1" t="s">
        <v>14</v>
      </c>
      <c r="S19" s="35">
        <f t="shared" si="2"/>
        <v>0</v>
      </c>
      <c r="T19" s="35">
        <f t="shared" si="2"/>
        <v>0</v>
      </c>
      <c r="U19" s="35">
        <f t="shared" si="2"/>
        <v>0</v>
      </c>
      <c r="V19" s="35">
        <f t="shared" si="2"/>
        <v>0</v>
      </c>
      <c r="W19" s="35">
        <f t="shared" si="2"/>
        <v>0</v>
      </c>
      <c r="X19" s="35">
        <f t="shared" si="2"/>
        <v>0</v>
      </c>
      <c r="Y19" s="35">
        <f t="shared" si="2"/>
        <v>0</v>
      </c>
      <c r="Z19" s="35">
        <f t="shared" si="2"/>
        <v>0</v>
      </c>
      <c r="AA19" s="35">
        <f t="shared" si="2"/>
        <v>0</v>
      </c>
      <c r="AB19" s="35">
        <f t="shared" si="2"/>
        <v>0</v>
      </c>
      <c r="AC19" s="35">
        <f t="shared" si="2"/>
        <v>0</v>
      </c>
      <c r="AD19" s="35">
        <f t="shared" si="2"/>
        <v>0</v>
      </c>
      <c r="AE19" s="35">
        <f t="shared" si="2"/>
        <v>0</v>
      </c>
      <c r="AF19" s="35">
        <f t="shared" si="0"/>
        <v>0</v>
      </c>
      <c r="AG19" s="35">
        <f t="shared" si="0"/>
        <v>0</v>
      </c>
      <c r="AH19" s="4">
        <f t="shared" si="3"/>
        <v>0</v>
      </c>
    </row>
    <row r="20" spans="1:34">
      <c r="A20" s="18" t="s">
        <v>13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P20" s="15"/>
      <c r="R20" s="18" t="s">
        <v>13</v>
      </c>
      <c r="S20" s="35">
        <f t="shared" si="2"/>
        <v>0</v>
      </c>
      <c r="T20" s="35">
        <f t="shared" si="2"/>
        <v>0</v>
      </c>
      <c r="U20" s="35">
        <f t="shared" si="2"/>
        <v>0</v>
      </c>
      <c r="V20" s="35">
        <f t="shared" si="2"/>
        <v>0</v>
      </c>
      <c r="W20" s="35">
        <f t="shared" si="2"/>
        <v>0</v>
      </c>
      <c r="X20" s="35">
        <f t="shared" si="2"/>
        <v>0</v>
      </c>
      <c r="Y20" s="35">
        <f t="shared" si="2"/>
        <v>0</v>
      </c>
      <c r="Z20" s="35">
        <f t="shared" si="2"/>
        <v>0</v>
      </c>
      <c r="AA20" s="35">
        <f t="shared" si="2"/>
        <v>0</v>
      </c>
      <c r="AB20" s="35">
        <f t="shared" si="2"/>
        <v>0</v>
      </c>
      <c r="AC20" s="35">
        <f t="shared" si="2"/>
        <v>0</v>
      </c>
      <c r="AD20" s="35">
        <f t="shared" si="2"/>
        <v>0</v>
      </c>
      <c r="AE20" s="35">
        <f t="shared" si="2"/>
        <v>0</v>
      </c>
      <c r="AF20" s="35">
        <f t="shared" si="0"/>
        <v>0</v>
      </c>
      <c r="AG20" s="35">
        <f t="shared" si="0"/>
        <v>0</v>
      </c>
      <c r="AH20" s="4">
        <f t="shared" si="3"/>
        <v>0</v>
      </c>
    </row>
    <row r="21" spans="1:34">
      <c r="A21" s="1" t="s">
        <v>16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P21" s="15"/>
      <c r="R21" s="1" t="s">
        <v>16</v>
      </c>
      <c r="S21" s="35">
        <f t="shared" si="2"/>
        <v>0</v>
      </c>
      <c r="T21" s="35">
        <f t="shared" si="2"/>
        <v>0</v>
      </c>
      <c r="U21" s="35">
        <f t="shared" si="2"/>
        <v>0</v>
      </c>
      <c r="V21" s="35">
        <f t="shared" si="2"/>
        <v>0</v>
      </c>
      <c r="W21" s="35">
        <f t="shared" si="2"/>
        <v>0</v>
      </c>
      <c r="X21" s="35">
        <f t="shared" si="2"/>
        <v>0</v>
      </c>
      <c r="Y21" s="35">
        <f t="shared" si="2"/>
        <v>0</v>
      </c>
      <c r="Z21" s="35">
        <f t="shared" si="2"/>
        <v>0</v>
      </c>
      <c r="AA21" s="35">
        <f t="shared" si="2"/>
        <v>0</v>
      </c>
      <c r="AB21" s="35">
        <f t="shared" si="2"/>
        <v>0</v>
      </c>
      <c r="AC21" s="35">
        <f t="shared" si="2"/>
        <v>0</v>
      </c>
      <c r="AD21" s="35">
        <f t="shared" si="2"/>
        <v>0</v>
      </c>
      <c r="AE21" s="35">
        <f t="shared" si="2"/>
        <v>0</v>
      </c>
      <c r="AF21" s="35">
        <f t="shared" si="2"/>
        <v>0</v>
      </c>
      <c r="AG21" s="35">
        <f t="shared" si="2"/>
        <v>0</v>
      </c>
      <c r="AH21" s="4">
        <f t="shared" si="3"/>
        <v>0</v>
      </c>
    </row>
    <row r="22" spans="1:34">
      <c r="A22" s="1" t="s">
        <v>17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P22" s="15"/>
      <c r="R22" s="1" t="s">
        <v>17</v>
      </c>
      <c r="S22" s="35">
        <f t="shared" ref="S22:AG31" si="4">S92*0.8</f>
        <v>0</v>
      </c>
      <c r="T22" s="35">
        <f t="shared" si="4"/>
        <v>0</v>
      </c>
      <c r="U22" s="35">
        <f t="shared" si="4"/>
        <v>0</v>
      </c>
      <c r="V22" s="35">
        <f t="shared" si="4"/>
        <v>0</v>
      </c>
      <c r="W22" s="35">
        <f t="shared" si="4"/>
        <v>0</v>
      </c>
      <c r="X22" s="35">
        <f t="shared" si="4"/>
        <v>0</v>
      </c>
      <c r="Y22" s="35">
        <f t="shared" si="4"/>
        <v>0</v>
      </c>
      <c r="Z22" s="35">
        <f t="shared" si="4"/>
        <v>0</v>
      </c>
      <c r="AA22" s="35">
        <f t="shared" si="4"/>
        <v>0</v>
      </c>
      <c r="AB22" s="35">
        <f t="shared" si="4"/>
        <v>0</v>
      </c>
      <c r="AC22" s="35">
        <f t="shared" si="4"/>
        <v>0</v>
      </c>
      <c r="AD22" s="35">
        <f t="shared" si="4"/>
        <v>0</v>
      </c>
      <c r="AE22" s="35">
        <f t="shared" si="4"/>
        <v>0</v>
      </c>
      <c r="AF22" s="35">
        <f t="shared" si="4"/>
        <v>0</v>
      </c>
      <c r="AG22" s="35">
        <f t="shared" si="4"/>
        <v>0</v>
      </c>
      <c r="AH22" s="4">
        <f t="shared" si="3"/>
        <v>0</v>
      </c>
    </row>
    <row r="23" spans="1:34">
      <c r="A23" s="1" t="s">
        <v>18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0</v>
      </c>
      <c r="P23" s="15"/>
      <c r="R23" s="1" t="s">
        <v>18</v>
      </c>
      <c r="S23" s="35">
        <f t="shared" si="4"/>
        <v>0</v>
      </c>
      <c r="T23" s="35">
        <f t="shared" si="4"/>
        <v>0</v>
      </c>
      <c r="U23" s="35">
        <f t="shared" si="4"/>
        <v>0</v>
      </c>
      <c r="V23" s="35">
        <f t="shared" si="4"/>
        <v>0</v>
      </c>
      <c r="W23" s="35">
        <f t="shared" si="4"/>
        <v>0</v>
      </c>
      <c r="X23" s="35">
        <f t="shared" si="4"/>
        <v>0</v>
      </c>
      <c r="Y23" s="35">
        <f t="shared" si="4"/>
        <v>0</v>
      </c>
      <c r="Z23" s="35">
        <f t="shared" si="4"/>
        <v>0</v>
      </c>
      <c r="AA23" s="35">
        <f t="shared" si="4"/>
        <v>0</v>
      </c>
      <c r="AB23" s="35">
        <f t="shared" si="4"/>
        <v>0</v>
      </c>
      <c r="AC23" s="35">
        <f t="shared" si="4"/>
        <v>0</v>
      </c>
      <c r="AD23" s="35">
        <f t="shared" si="4"/>
        <v>0</v>
      </c>
      <c r="AE23" s="35">
        <f t="shared" si="4"/>
        <v>0</v>
      </c>
      <c r="AF23" s="35">
        <f t="shared" si="4"/>
        <v>0</v>
      </c>
      <c r="AG23" s="35">
        <f t="shared" si="4"/>
        <v>0</v>
      </c>
      <c r="AH23" s="4">
        <f t="shared" si="3"/>
        <v>0</v>
      </c>
    </row>
    <row r="24" spans="1:34">
      <c r="A24" s="1" t="s">
        <v>20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0</v>
      </c>
      <c r="P24" s="15"/>
      <c r="R24" s="1" t="s">
        <v>20</v>
      </c>
      <c r="S24" s="35">
        <f t="shared" si="4"/>
        <v>0</v>
      </c>
      <c r="T24" s="35">
        <f t="shared" si="4"/>
        <v>0</v>
      </c>
      <c r="U24" s="35">
        <f t="shared" si="4"/>
        <v>0</v>
      </c>
      <c r="V24" s="35">
        <f t="shared" si="4"/>
        <v>0</v>
      </c>
      <c r="W24" s="35">
        <f t="shared" si="4"/>
        <v>0</v>
      </c>
      <c r="X24" s="35">
        <f t="shared" si="4"/>
        <v>0</v>
      </c>
      <c r="Y24" s="35">
        <f t="shared" si="4"/>
        <v>0</v>
      </c>
      <c r="Z24" s="35">
        <f t="shared" si="4"/>
        <v>0</v>
      </c>
      <c r="AA24" s="35">
        <f t="shared" si="4"/>
        <v>0</v>
      </c>
      <c r="AB24" s="35">
        <f t="shared" si="4"/>
        <v>0</v>
      </c>
      <c r="AC24" s="35">
        <f t="shared" si="4"/>
        <v>0</v>
      </c>
      <c r="AD24" s="35">
        <f t="shared" si="4"/>
        <v>0</v>
      </c>
      <c r="AE24" s="35">
        <f t="shared" si="4"/>
        <v>0</v>
      </c>
      <c r="AF24" s="35">
        <f t="shared" si="4"/>
        <v>0</v>
      </c>
      <c r="AG24" s="35">
        <f t="shared" si="4"/>
        <v>0</v>
      </c>
      <c r="AH24" s="4">
        <f t="shared" si="3"/>
        <v>0</v>
      </c>
    </row>
    <row r="25" spans="1:34">
      <c r="A25" s="1" t="s">
        <v>19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>SUM(B25:N25)</f>
        <v>0</v>
      </c>
      <c r="P25" s="15"/>
      <c r="R25" s="1" t="s">
        <v>19</v>
      </c>
      <c r="S25" s="35">
        <f t="shared" si="4"/>
        <v>0</v>
      </c>
      <c r="T25" s="35">
        <f t="shared" si="4"/>
        <v>0</v>
      </c>
      <c r="U25" s="35">
        <f t="shared" si="4"/>
        <v>0</v>
      </c>
      <c r="V25" s="35">
        <f t="shared" si="4"/>
        <v>0</v>
      </c>
      <c r="W25" s="35">
        <f t="shared" si="4"/>
        <v>0</v>
      </c>
      <c r="X25" s="35">
        <f t="shared" si="4"/>
        <v>0</v>
      </c>
      <c r="Y25" s="35">
        <f t="shared" si="4"/>
        <v>0</v>
      </c>
      <c r="Z25" s="35">
        <f t="shared" si="4"/>
        <v>0</v>
      </c>
      <c r="AA25" s="35">
        <f t="shared" si="4"/>
        <v>0</v>
      </c>
      <c r="AB25" s="35">
        <f t="shared" si="4"/>
        <v>0</v>
      </c>
      <c r="AC25" s="35">
        <f t="shared" si="4"/>
        <v>0</v>
      </c>
      <c r="AD25" s="35">
        <f t="shared" si="4"/>
        <v>0</v>
      </c>
      <c r="AE25" s="35">
        <f t="shared" si="4"/>
        <v>0</v>
      </c>
      <c r="AF25" s="35">
        <f t="shared" si="4"/>
        <v>0</v>
      </c>
      <c r="AG25" s="35">
        <f t="shared" si="4"/>
        <v>0</v>
      </c>
      <c r="AH25" s="4">
        <f t="shared" si="3"/>
        <v>0</v>
      </c>
    </row>
    <row r="26" spans="1:34">
      <c r="A26" s="1" t="s">
        <v>21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P26" s="15"/>
      <c r="R26" s="1" t="s">
        <v>21</v>
      </c>
      <c r="S26" s="35">
        <f t="shared" si="4"/>
        <v>0</v>
      </c>
      <c r="T26" s="35">
        <f t="shared" si="4"/>
        <v>0</v>
      </c>
      <c r="U26" s="35">
        <f t="shared" si="4"/>
        <v>0</v>
      </c>
      <c r="V26" s="35">
        <f t="shared" si="4"/>
        <v>0</v>
      </c>
      <c r="W26" s="35">
        <f t="shared" si="4"/>
        <v>0</v>
      </c>
      <c r="X26" s="35">
        <f t="shared" si="4"/>
        <v>0</v>
      </c>
      <c r="Y26" s="35">
        <f t="shared" si="4"/>
        <v>0</v>
      </c>
      <c r="Z26" s="35">
        <f t="shared" si="4"/>
        <v>0</v>
      </c>
      <c r="AA26" s="35">
        <f t="shared" si="4"/>
        <v>0</v>
      </c>
      <c r="AB26" s="35">
        <f t="shared" si="4"/>
        <v>0</v>
      </c>
      <c r="AC26" s="35">
        <f t="shared" si="4"/>
        <v>0</v>
      </c>
      <c r="AD26" s="35">
        <f t="shared" si="4"/>
        <v>0</v>
      </c>
      <c r="AE26" s="35">
        <f t="shared" si="4"/>
        <v>0</v>
      </c>
      <c r="AF26" s="35">
        <f t="shared" si="4"/>
        <v>0</v>
      </c>
      <c r="AG26" s="35">
        <f t="shared" si="4"/>
        <v>0</v>
      </c>
      <c r="AH26" s="4">
        <f t="shared" si="3"/>
        <v>0</v>
      </c>
    </row>
    <row r="27" spans="1:34">
      <c r="A27" s="2" t="s">
        <v>22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P27" s="15"/>
      <c r="R27" s="2" t="s">
        <v>22</v>
      </c>
      <c r="S27" s="35">
        <f t="shared" si="4"/>
        <v>0</v>
      </c>
      <c r="T27" s="35">
        <f t="shared" si="4"/>
        <v>0</v>
      </c>
      <c r="U27" s="35">
        <f t="shared" si="4"/>
        <v>0</v>
      </c>
      <c r="V27" s="35">
        <f t="shared" si="4"/>
        <v>0</v>
      </c>
      <c r="W27" s="35">
        <f t="shared" si="4"/>
        <v>0</v>
      </c>
      <c r="X27" s="35">
        <f t="shared" si="4"/>
        <v>0</v>
      </c>
      <c r="Y27" s="35">
        <f t="shared" si="4"/>
        <v>0</v>
      </c>
      <c r="Z27" s="35">
        <f t="shared" si="4"/>
        <v>0</v>
      </c>
      <c r="AA27" s="35">
        <f t="shared" si="4"/>
        <v>0</v>
      </c>
      <c r="AB27" s="35">
        <f t="shared" si="4"/>
        <v>0</v>
      </c>
      <c r="AC27" s="35">
        <f t="shared" si="4"/>
        <v>0</v>
      </c>
      <c r="AD27" s="35">
        <f t="shared" si="4"/>
        <v>0</v>
      </c>
      <c r="AE27" s="35">
        <f t="shared" si="4"/>
        <v>0</v>
      </c>
      <c r="AF27" s="35">
        <f t="shared" si="4"/>
        <v>0</v>
      </c>
      <c r="AG27" s="35">
        <f t="shared" si="4"/>
        <v>0</v>
      </c>
      <c r="AH27" s="4">
        <f t="shared" si="3"/>
        <v>0</v>
      </c>
    </row>
    <row r="28" spans="1:34">
      <c r="A28" s="1" t="s">
        <v>23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P28" s="15"/>
      <c r="R28" s="1" t="s">
        <v>23</v>
      </c>
      <c r="S28" s="35">
        <f t="shared" si="4"/>
        <v>0</v>
      </c>
      <c r="T28" s="35">
        <f t="shared" si="4"/>
        <v>0</v>
      </c>
      <c r="U28" s="35">
        <f t="shared" si="4"/>
        <v>0</v>
      </c>
      <c r="V28" s="35">
        <f t="shared" si="4"/>
        <v>0</v>
      </c>
      <c r="W28" s="35">
        <f t="shared" si="4"/>
        <v>0</v>
      </c>
      <c r="X28" s="35">
        <f t="shared" si="4"/>
        <v>0</v>
      </c>
      <c r="Y28" s="35">
        <f t="shared" si="4"/>
        <v>0</v>
      </c>
      <c r="Z28" s="35">
        <f t="shared" si="4"/>
        <v>0</v>
      </c>
      <c r="AA28" s="35">
        <f t="shared" si="4"/>
        <v>0</v>
      </c>
      <c r="AB28" s="35">
        <f t="shared" si="4"/>
        <v>0</v>
      </c>
      <c r="AC28" s="35">
        <f t="shared" si="4"/>
        <v>0</v>
      </c>
      <c r="AD28" s="35">
        <f t="shared" si="4"/>
        <v>0</v>
      </c>
      <c r="AE28" s="35">
        <f t="shared" si="4"/>
        <v>0</v>
      </c>
      <c r="AF28" s="35">
        <f t="shared" si="4"/>
        <v>0</v>
      </c>
      <c r="AG28" s="35">
        <f t="shared" si="4"/>
        <v>0</v>
      </c>
      <c r="AH28" s="4">
        <f t="shared" si="3"/>
        <v>0</v>
      </c>
    </row>
    <row r="29" spans="1:34">
      <c r="A29" s="1" t="s">
        <v>25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P29" s="15"/>
      <c r="R29" s="1" t="s">
        <v>25</v>
      </c>
      <c r="S29" s="35">
        <f t="shared" si="4"/>
        <v>0</v>
      </c>
      <c r="T29" s="35">
        <f t="shared" si="4"/>
        <v>0</v>
      </c>
      <c r="U29" s="35">
        <f t="shared" si="4"/>
        <v>0</v>
      </c>
      <c r="V29" s="35">
        <f t="shared" si="4"/>
        <v>0</v>
      </c>
      <c r="W29" s="35">
        <f t="shared" si="4"/>
        <v>0</v>
      </c>
      <c r="X29" s="35">
        <f t="shared" si="4"/>
        <v>0</v>
      </c>
      <c r="Y29" s="35">
        <f t="shared" si="4"/>
        <v>0</v>
      </c>
      <c r="Z29" s="35">
        <f t="shared" si="4"/>
        <v>0</v>
      </c>
      <c r="AA29" s="35">
        <f t="shared" si="4"/>
        <v>0</v>
      </c>
      <c r="AB29" s="35">
        <f t="shared" si="4"/>
        <v>0</v>
      </c>
      <c r="AC29" s="35">
        <f t="shared" si="4"/>
        <v>0</v>
      </c>
      <c r="AD29" s="35">
        <f t="shared" si="4"/>
        <v>0</v>
      </c>
      <c r="AE29" s="35">
        <f t="shared" si="4"/>
        <v>0</v>
      </c>
      <c r="AF29" s="35">
        <f>AF99</f>
        <v>0</v>
      </c>
      <c r="AG29" s="35">
        <f>AG99</f>
        <v>0</v>
      </c>
      <c r="AH29" s="4">
        <f t="shared" si="3"/>
        <v>0</v>
      </c>
    </row>
    <row r="30" spans="1:34">
      <c r="A30" s="1" t="s">
        <v>24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15"/>
      <c r="R30" s="1" t="s">
        <v>24</v>
      </c>
      <c r="S30" s="35">
        <f t="shared" si="4"/>
        <v>0</v>
      </c>
      <c r="T30" s="35">
        <f t="shared" si="4"/>
        <v>0</v>
      </c>
      <c r="U30" s="35">
        <f t="shared" si="4"/>
        <v>0</v>
      </c>
      <c r="V30" s="35">
        <f t="shared" si="4"/>
        <v>0</v>
      </c>
      <c r="W30" s="35">
        <f t="shared" si="4"/>
        <v>0</v>
      </c>
      <c r="X30" s="35">
        <f t="shared" si="4"/>
        <v>0</v>
      </c>
      <c r="Y30" s="35">
        <f t="shared" si="4"/>
        <v>0</v>
      </c>
      <c r="Z30" s="35">
        <f t="shared" si="4"/>
        <v>0</v>
      </c>
      <c r="AA30" s="35">
        <f t="shared" si="4"/>
        <v>0</v>
      </c>
      <c r="AB30" s="35">
        <f t="shared" si="4"/>
        <v>0</v>
      </c>
      <c r="AC30" s="35">
        <f t="shared" si="4"/>
        <v>0</v>
      </c>
      <c r="AD30" s="35">
        <f t="shared" si="4"/>
        <v>0</v>
      </c>
      <c r="AE30" s="35">
        <f t="shared" si="4"/>
        <v>0</v>
      </c>
      <c r="AF30" s="35">
        <f t="shared" si="4"/>
        <v>0</v>
      </c>
      <c r="AG30" s="35">
        <f t="shared" si="4"/>
        <v>0</v>
      </c>
      <c r="AH30" s="4">
        <f t="shared" si="3"/>
        <v>0</v>
      </c>
    </row>
    <row r="31" spans="1:34">
      <c r="A31" s="1" t="s">
        <v>26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P31" s="15"/>
      <c r="R31" s="1" t="s">
        <v>26</v>
      </c>
      <c r="S31" s="35">
        <f t="shared" si="4"/>
        <v>0</v>
      </c>
      <c r="T31" s="35">
        <f t="shared" si="4"/>
        <v>0</v>
      </c>
      <c r="U31" s="35">
        <f t="shared" si="4"/>
        <v>0</v>
      </c>
      <c r="V31" s="35">
        <f t="shared" si="4"/>
        <v>0</v>
      </c>
      <c r="W31" s="35">
        <f t="shared" si="4"/>
        <v>0</v>
      </c>
      <c r="X31" s="35">
        <f t="shared" si="4"/>
        <v>0</v>
      </c>
      <c r="Y31" s="35">
        <f t="shared" si="4"/>
        <v>0</v>
      </c>
      <c r="Z31" s="35">
        <f t="shared" si="4"/>
        <v>0</v>
      </c>
      <c r="AA31" s="35">
        <f t="shared" si="4"/>
        <v>0</v>
      </c>
      <c r="AB31" s="35">
        <f t="shared" si="4"/>
        <v>0</v>
      </c>
      <c r="AC31" s="35">
        <f t="shared" si="4"/>
        <v>0</v>
      </c>
      <c r="AD31" s="35">
        <f t="shared" si="4"/>
        <v>0</v>
      </c>
      <c r="AE31" s="35">
        <f t="shared" si="4"/>
        <v>0</v>
      </c>
      <c r="AF31" s="35">
        <f t="shared" si="4"/>
        <v>0</v>
      </c>
      <c r="AG31" s="35">
        <f t="shared" si="4"/>
        <v>0</v>
      </c>
      <c r="AH31" s="4">
        <f t="shared" si="3"/>
        <v>0</v>
      </c>
    </row>
    <row r="32" spans="1:34">
      <c r="A32" s="6" t="s">
        <v>37</v>
      </c>
      <c r="B32" s="7">
        <f>SUM(B5:B31)</f>
        <v>0</v>
      </c>
      <c r="C32" s="7">
        <f>SUM(C5:C31)</f>
        <v>0</v>
      </c>
      <c r="D32" s="7">
        <f>SUM(D5:D31)</f>
        <v>0</v>
      </c>
      <c r="E32" s="7">
        <f>SUM(E5:E31)</f>
        <v>0</v>
      </c>
      <c r="F32" s="7">
        <f t="shared" ref="F32:N32" si="5">SUM(F5:F31)</f>
        <v>0</v>
      </c>
      <c r="G32" s="7">
        <f t="shared" si="5"/>
        <v>0</v>
      </c>
      <c r="H32" s="7">
        <f t="shared" si="5"/>
        <v>0</v>
      </c>
      <c r="I32" s="7">
        <f t="shared" si="5"/>
        <v>0</v>
      </c>
      <c r="J32" s="7">
        <f t="shared" si="5"/>
        <v>0</v>
      </c>
      <c r="K32" s="7">
        <f t="shared" si="5"/>
        <v>0</v>
      </c>
      <c r="L32" s="7">
        <f t="shared" si="5"/>
        <v>0</v>
      </c>
      <c r="M32" s="7">
        <f t="shared" si="5"/>
        <v>0</v>
      </c>
      <c r="N32" s="7">
        <f t="shared" si="5"/>
        <v>0</v>
      </c>
      <c r="O32" s="7">
        <f>SUM(O5:O31)</f>
        <v>0</v>
      </c>
      <c r="R32" s="6" t="s">
        <v>37</v>
      </c>
      <c r="S32" s="7">
        <f>SUM(S5:S31)</f>
        <v>0</v>
      </c>
      <c r="T32" s="7">
        <f>SUM(T5:T31)</f>
        <v>0</v>
      </c>
      <c r="U32" s="7">
        <f>SUM(U5:U31)</f>
        <v>0</v>
      </c>
      <c r="V32" s="7">
        <f>SUM(V5:V31)</f>
        <v>0</v>
      </c>
      <c r="W32" s="7">
        <f t="shared" ref="W32:AG32" si="6">SUM(W5:W31)</f>
        <v>0</v>
      </c>
      <c r="X32" s="7">
        <f t="shared" si="6"/>
        <v>0</v>
      </c>
      <c r="Y32" s="7">
        <f t="shared" si="6"/>
        <v>0</v>
      </c>
      <c r="Z32" s="7">
        <f t="shared" si="6"/>
        <v>0</v>
      </c>
      <c r="AA32" s="7">
        <f t="shared" si="6"/>
        <v>0</v>
      </c>
      <c r="AB32" s="7">
        <f t="shared" si="6"/>
        <v>0</v>
      </c>
      <c r="AC32" s="7">
        <f t="shared" si="6"/>
        <v>0</v>
      </c>
      <c r="AD32" s="7">
        <f t="shared" si="6"/>
        <v>0</v>
      </c>
      <c r="AE32" s="7">
        <f t="shared" si="6"/>
        <v>0</v>
      </c>
      <c r="AF32" s="7">
        <f t="shared" si="6"/>
        <v>0</v>
      </c>
      <c r="AG32" s="7">
        <f t="shared" si="6"/>
        <v>0</v>
      </c>
      <c r="AH32" s="7">
        <f>SUM(AH5:AH31)</f>
        <v>0</v>
      </c>
    </row>
    <row r="33" spans="1:34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2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</row>
    <row r="34" spans="1:34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</row>
    <row r="35" spans="1:34">
      <c r="A35" s="42" t="s">
        <v>14</v>
      </c>
      <c r="B35" s="295" t="s">
        <v>46</v>
      </c>
      <c r="C35" s="295"/>
      <c r="D35" s="295"/>
      <c r="E35" s="295"/>
      <c r="F35" s="295"/>
      <c r="G35" s="295"/>
      <c r="H35" s="295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</row>
    <row r="36" spans="1:34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</row>
    <row r="37" spans="1:34" ht="46.5">
      <c r="A37" s="292" t="s">
        <v>82</v>
      </c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4"/>
      <c r="R37" s="292" t="s">
        <v>84</v>
      </c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4"/>
    </row>
    <row r="38" spans="1:34" ht="21.75" customHeight="1">
      <c r="A38" s="290" t="s">
        <v>33</v>
      </c>
      <c r="B38" s="287" t="s">
        <v>27</v>
      </c>
      <c r="C38" s="288"/>
      <c r="D38" s="287" t="s">
        <v>29</v>
      </c>
      <c r="E38" s="288"/>
      <c r="F38" s="285" t="s">
        <v>28</v>
      </c>
      <c r="G38" s="285" t="s">
        <v>36</v>
      </c>
      <c r="H38" s="285" t="s">
        <v>30</v>
      </c>
      <c r="I38" s="285" t="s">
        <v>31</v>
      </c>
      <c r="J38" s="285" t="s">
        <v>41</v>
      </c>
      <c r="K38" s="285" t="s">
        <v>35</v>
      </c>
      <c r="L38" s="285" t="s">
        <v>40</v>
      </c>
      <c r="M38" s="285" t="s">
        <v>42</v>
      </c>
      <c r="N38" s="285" t="s">
        <v>45</v>
      </c>
      <c r="O38" s="285" t="s">
        <v>34</v>
      </c>
      <c r="R38" s="290" t="s">
        <v>33</v>
      </c>
      <c r="S38" s="287" t="s">
        <v>27</v>
      </c>
      <c r="T38" s="288"/>
      <c r="U38" s="287" t="s">
        <v>29</v>
      </c>
      <c r="V38" s="288"/>
      <c r="W38" s="285" t="s">
        <v>28</v>
      </c>
      <c r="X38" s="285" t="s">
        <v>36</v>
      </c>
      <c r="Y38" s="285" t="s">
        <v>30</v>
      </c>
      <c r="Z38" s="285" t="s">
        <v>31</v>
      </c>
      <c r="AA38" s="285" t="s">
        <v>41</v>
      </c>
      <c r="AB38" s="285" t="s">
        <v>35</v>
      </c>
      <c r="AC38" s="285" t="s">
        <v>40</v>
      </c>
      <c r="AD38" s="285" t="s">
        <v>42</v>
      </c>
      <c r="AE38" s="285" t="s">
        <v>45</v>
      </c>
      <c r="AF38" s="287" t="s">
        <v>52</v>
      </c>
      <c r="AG38" s="288"/>
      <c r="AH38" s="285" t="s">
        <v>34</v>
      </c>
    </row>
    <row r="39" spans="1:34" ht="30">
      <c r="A39" s="291"/>
      <c r="B39" s="56" t="s">
        <v>43</v>
      </c>
      <c r="C39" s="56" t="s">
        <v>44</v>
      </c>
      <c r="D39" s="56" t="s">
        <v>43</v>
      </c>
      <c r="E39" s="56" t="s">
        <v>44</v>
      </c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R39" s="291"/>
      <c r="S39" s="56" t="s">
        <v>43</v>
      </c>
      <c r="T39" s="56" t="s">
        <v>44</v>
      </c>
      <c r="U39" s="56" t="s">
        <v>43</v>
      </c>
      <c r="V39" s="56" t="s">
        <v>44</v>
      </c>
      <c r="W39" s="286"/>
      <c r="X39" s="286"/>
      <c r="Y39" s="286"/>
      <c r="Z39" s="286"/>
      <c r="AA39" s="286"/>
      <c r="AB39" s="286"/>
      <c r="AC39" s="286"/>
      <c r="AD39" s="286"/>
      <c r="AE39" s="286"/>
      <c r="AF39" s="55" t="s">
        <v>53</v>
      </c>
      <c r="AG39" s="55" t="s">
        <v>54</v>
      </c>
      <c r="AH39" s="286"/>
    </row>
    <row r="40" spans="1:34">
      <c r="A40" s="1" t="s">
        <v>0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35">
        <f>S75*0.2</f>
        <v>0</v>
      </c>
      <c r="T40" s="35">
        <f t="shared" ref="T40:AG55" si="7">T75*0.2</f>
        <v>0</v>
      </c>
      <c r="U40" s="35">
        <f t="shared" si="7"/>
        <v>0</v>
      </c>
      <c r="V40" s="35">
        <f t="shared" si="7"/>
        <v>0</v>
      </c>
      <c r="W40" s="35">
        <f t="shared" si="7"/>
        <v>0</v>
      </c>
      <c r="X40" s="35">
        <f t="shared" si="7"/>
        <v>0</v>
      </c>
      <c r="Y40" s="35">
        <f t="shared" si="7"/>
        <v>0</v>
      </c>
      <c r="Z40" s="35">
        <f t="shared" si="7"/>
        <v>0</v>
      </c>
      <c r="AA40" s="35">
        <f t="shared" si="7"/>
        <v>0</v>
      </c>
      <c r="AB40" s="35">
        <f t="shared" si="7"/>
        <v>0</v>
      </c>
      <c r="AC40" s="35">
        <f t="shared" si="7"/>
        <v>0</v>
      </c>
      <c r="AD40" s="35">
        <f t="shared" si="7"/>
        <v>0</v>
      </c>
      <c r="AE40" s="35">
        <f t="shared" si="7"/>
        <v>0</v>
      </c>
      <c r="AF40" s="35">
        <f t="shared" si="7"/>
        <v>0</v>
      </c>
      <c r="AG40" s="35">
        <f t="shared" si="7"/>
        <v>0</v>
      </c>
      <c r="AH40" s="4">
        <f>SUM(S40:AG40)</f>
        <v>0</v>
      </c>
    </row>
    <row r="41" spans="1:34">
      <c r="A41" s="1" t="s">
        <v>1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8">SUM(B41:N41)</f>
        <v>0</v>
      </c>
      <c r="R41" s="1" t="s">
        <v>1</v>
      </c>
      <c r="S41" s="35">
        <f t="shared" ref="S41:AG56" si="9">S76*0.2</f>
        <v>0</v>
      </c>
      <c r="T41" s="35">
        <f t="shared" si="9"/>
        <v>0</v>
      </c>
      <c r="U41" s="35">
        <f t="shared" si="9"/>
        <v>0</v>
      </c>
      <c r="V41" s="35">
        <f t="shared" si="9"/>
        <v>0</v>
      </c>
      <c r="W41" s="35">
        <f t="shared" si="9"/>
        <v>0</v>
      </c>
      <c r="X41" s="35">
        <f t="shared" si="9"/>
        <v>0</v>
      </c>
      <c r="Y41" s="35">
        <f t="shared" si="9"/>
        <v>0</v>
      </c>
      <c r="Z41" s="35">
        <f t="shared" si="9"/>
        <v>0</v>
      </c>
      <c r="AA41" s="35">
        <f t="shared" si="9"/>
        <v>0</v>
      </c>
      <c r="AB41" s="35">
        <f t="shared" si="9"/>
        <v>0</v>
      </c>
      <c r="AC41" s="35">
        <f t="shared" si="9"/>
        <v>0</v>
      </c>
      <c r="AD41" s="35">
        <f t="shared" si="9"/>
        <v>0</v>
      </c>
      <c r="AE41" s="35">
        <f t="shared" si="9"/>
        <v>0</v>
      </c>
      <c r="AF41" s="35">
        <f t="shared" si="7"/>
        <v>0</v>
      </c>
      <c r="AG41" s="35">
        <f t="shared" si="7"/>
        <v>0</v>
      </c>
      <c r="AH41" s="4">
        <f t="shared" ref="AH41:AH66" si="10">SUM(S41:AG41)</f>
        <v>0</v>
      </c>
    </row>
    <row r="42" spans="1:34">
      <c r="A42" s="18" t="s">
        <v>2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8"/>
        <v>0</v>
      </c>
      <c r="R42" s="18" t="s">
        <v>2</v>
      </c>
      <c r="S42" s="35">
        <f t="shared" si="9"/>
        <v>0</v>
      </c>
      <c r="T42" s="35">
        <f t="shared" si="9"/>
        <v>0</v>
      </c>
      <c r="U42" s="35">
        <f t="shared" si="9"/>
        <v>0</v>
      </c>
      <c r="V42" s="35">
        <f t="shared" si="9"/>
        <v>0</v>
      </c>
      <c r="W42" s="35">
        <f t="shared" si="9"/>
        <v>0</v>
      </c>
      <c r="X42" s="35">
        <f t="shared" si="9"/>
        <v>0</v>
      </c>
      <c r="Y42" s="35">
        <f t="shared" si="9"/>
        <v>0</v>
      </c>
      <c r="Z42" s="35">
        <f t="shared" si="9"/>
        <v>0</v>
      </c>
      <c r="AA42" s="35">
        <f t="shared" si="9"/>
        <v>0</v>
      </c>
      <c r="AB42" s="35">
        <f t="shared" si="9"/>
        <v>0</v>
      </c>
      <c r="AC42" s="35">
        <f t="shared" si="9"/>
        <v>0</v>
      </c>
      <c r="AD42" s="35">
        <f t="shared" si="9"/>
        <v>0</v>
      </c>
      <c r="AE42" s="35">
        <f t="shared" si="9"/>
        <v>0</v>
      </c>
      <c r="AF42" s="35">
        <f t="shared" si="7"/>
        <v>0</v>
      </c>
      <c r="AG42" s="35">
        <f t="shared" si="7"/>
        <v>0</v>
      </c>
      <c r="AH42" s="4">
        <f t="shared" si="10"/>
        <v>0</v>
      </c>
    </row>
    <row r="43" spans="1:34">
      <c r="A43" s="2" t="s">
        <v>3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8"/>
        <v>0</v>
      </c>
      <c r="R43" s="2" t="s">
        <v>3</v>
      </c>
      <c r="S43" s="35">
        <f t="shared" si="9"/>
        <v>0</v>
      </c>
      <c r="T43" s="35">
        <f t="shared" si="9"/>
        <v>0</v>
      </c>
      <c r="U43" s="35">
        <f t="shared" si="9"/>
        <v>0</v>
      </c>
      <c r="V43" s="35">
        <f t="shared" si="9"/>
        <v>0</v>
      </c>
      <c r="W43" s="35">
        <f t="shared" si="9"/>
        <v>0</v>
      </c>
      <c r="X43" s="35">
        <f t="shared" si="9"/>
        <v>0</v>
      </c>
      <c r="Y43" s="35">
        <f t="shared" si="9"/>
        <v>0</v>
      </c>
      <c r="Z43" s="35">
        <f t="shared" si="9"/>
        <v>0</v>
      </c>
      <c r="AA43" s="35">
        <f t="shared" si="9"/>
        <v>0</v>
      </c>
      <c r="AB43" s="35">
        <f t="shared" si="9"/>
        <v>0</v>
      </c>
      <c r="AC43" s="35">
        <f t="shared" si="9"/>
        <v>0</v>
      </c>
      <c r="AD43" s="35">
        <f t="shared" si="9"/>
        <v>0</v>
      </c>
      <c r="AE43" s="35">
        <f t="shared" si="9"/>
        <v>0</v>
      </c>
      <c r="AF43" s="35">
        <v>0</v>
      </c>
      <c r="AG43" s="35">
        <v>0</v>
      </c>
      <c r="AH43" s="4">
        <f t="shared" si="10"/>
        <v>0</v>
      </c>
    </row>
    <row r="44" spans="1:34">
      <c r="A44" s="1" t="s">
        <v>4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8"/>
        <v>0</v>
      </c>
      <c r="R44" s="1" t="s">
        <v>4</v>
      </c>
      <c r="S44" s="35">
        <f t="shared" si="9"/>
        <v>0</v>
      </c>
      <c r="T44" s="35">
        <f t="shared" si="9"/>
        <v>0</v>
      </c>
      <c r="U44" s="35">
        <f t="shared" si="9"/>
        <v>0</v>
      </c>
      <c r="V44" s="35">
        <f t="shared" si="9"/>
        <v>0</v>
      </c>
      <c r="W44" s="35">
        <f t="shared" si="9"/>
        <v>0</v>
      </c>
      <c r="X44" s="35">
        <f t="shared" si="9"/>
        <v>0</v>
      </c>
      <c r="Y44" s="35">
        <f t="shared" si="9"/>
        <v>0</v>
      </c>
      <c r="Z44" s="35">
        <f t="shared" si="9"/>
        <v>0</v>
      </c>
      <c r="AA44" s="35">
        <f t="shared" si="9"/>
        <v>0</v>
      </c>
      <c r="AB44" s="35">
        <f t="shared" si="9"/>
        <v>0</v>
      </c>
      <c r="AC44" s="35">
        <f t="shared" si="9"/>
        <v>0</v>
      </c>
      <c r="AD44" s="35">
        <f t="shared" si="9"/>
        <v>0</v>
      </c>
      <c r="AE44" s="35">
        <f t="shared" si="9"/>
        <v>0</v>
      </c>
      <c r="AF44" s="35">
        <f t="shared" si="7"/>
        <v>0</v>
      </c>
      <c r="AG44" s="35">
        <f t="shared" si="7"/>
        <v>0</v>
      </c>
      <c r="AH44" s="4">
        <f t="shared" si="10"/>
        <v>0</v>
      </c>
    </row>
    <row r="45" spans="1:34">
      <c r="A45" s="1" t="s">
        <v>5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8"/>
        <v>0</v>
      </c>
      <c r="R45" s="1" t="s">
        <v>5</v>
      </c>
      <c r="S45" s="35">
        <f t="shared" si="9"/>
        <v>0</v>
      </c>
      <c r="T45" s="35">
        <f t="shared" si="9"/>
        <v>0</v>
      </c>
      <c r="U45" s="35">
        <f t="shared" si="9"/>
        <v>0</v>
      </c>
      <c r="V45" s="35">
        <f t="shared" si="9"/>
        <v>0</v>
      </c>
      <c r="W45" s="35">
        <f t="shared" si="9"/>
        <v>0</v>
      </c>
      <c r="X45" s="35">
        <f t="shared" si="9"/>
        <v>0</v>
      </c>
      <c r="Y45" s="35">
        <f t="shared" si="9"/>
        <v>0</v>
      </c>
      <c r="Z45" s="35">
        <f t="shared" si="9"/>
        <v>0</v>
      </c>
      <c r="AA45" s="35">
        <f t="shared" si="9"/>
        <v>0</v>
      </c>
      <c r="AB45" s="35">
        <f t="shared" si="9"/>
        <v>0</v>
      </c>
      <c r="AC45" s="35">
        <f t="shared" si="9"/>
        <v>0</v>
      </c>
      <c r="AD45" s="35">
        <f t="shared" si="9"/>
        <v>0</v>
      </c>
      <c r="AE45" s="35">
        <f t="shared" si="9"/>
        <v>0</v>
      </c>
      <c r="AF45" s="35">
        <f t="shared" si="7"/>
        <v>0</v>
      </c>
      <c r="AG45" s="35">
        <f t="shared" si="7"/>
        <v>0</v>
      </c>
      <c r="AH45" s="4">
        <f t="shared" si="10"/>
        <v>0</v>
      </c>
    </row>
    <row r="46" spans="1:34">
      <c r="A46" s="1" t="s">
        <v>6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8"/>
        <v>0</v>
      </c>
      <c r="R46" s="1" t="s">
        <v>6</v>
      </c>
      <c r="S46" s="35">
        <f t="shared" si="9"/>
        <v>0</v>
      </c>
      <c r="T46" s="35">
        <f t="shared" si="9"/>
        <v>0</v>
      </c>
      <c r="U46" s="35">
        <f t="shared" si="9"/>
        <v>0</v>
      </c>
      <c r="V46" s="35">
        <f t="shared" si="9"/>
        <v>0</v>
      </c>
      <c r="W46" s="35">
        <f t="shared" si="9"/>
        <v>0</v>
      </c>
      <c r="X46" s="35">
        <f t="shared" si="9"/>
        <v>0</v>
      </c>
      <c r="Y46" s="35">
        <f t="shared" si="9"/>
        <v>0</v>
      </c>
      <c r="Z46" s="35">
        <f t="shared" si="9"/>
        <v>0</v>
      </c>
      <c r="AA46" s="35">
        <f t="shared" si="9"/>
        <v>0</v>
      </c>
      <c r="AB46" s="35">
        <f t="shared" si="9"/>
        <v>0</v>
      </c>
      <c r="AC46" s="35">
        <f t="shared" si="9"/>
        <v>0</v>
      </c>
      <c r="AD46" s="35">
        <f t="shared" si="9"/>
        <v>0</v>
      </c>
      <c r="AE46" s="35">
        <f t="shared" si="9"/>
        <v>0</v>
      </c>
      <c r="AF46" s="35">
        <f t="shared" si="7"/>
        <v>0</v>
      </c>
      <c r="AG46" s="35">
        <f t="shared" si="7"/>
        <v>0</v>
      </c>
      <c r="AH46" s="4">
        <f t="shared" si="10"/>
        <v>0</v>
      </c>
    </row>
    <row r="47" spans="1:34">
      <c r="A47" s="1" t="s">
        <v>7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8"/>
        <v>0</v>
      </c>
      <c r="R47" s="1" t="s">
        <v>7</v>
      </c>
      <c r="S47" s="35">
        <f t="shared" si="9"/>
        <v>0</v>
      </c>
      <c r="T47" s="35">
        <f t="shared" si="9"/>
        <v>0</v>
      </c>
      <c r="U47" s="35">
        <f t="shared" si="9"/>
        <v>0</v>
      </c>
      <c r="V47" s="35">
        <f t="shared" si="9"/>
        <v>0</v>
      </c>
      <c r="W47" s="35">
        <f t="shared" si="9"/>
        <v>0</v>
      </c>
      <c r="X47" s="35">
        <f t="shared" si="9"/>
        <v>0</v>
      </c>
      <c r="Y47" s="35">
        <f t="shared" si="9"/>
        <v>0</v>
      </c>
      <c r="Z47" s="35">
        <f t="shared" si="9"/>
        <v>0</v>
      </c>
      <c r="AA47" s="35">
        <f t="shared" si="9"/>
        <v>0</v>
      </c>
      <c r="AB47" s="35">
        <f t="shared" si="9"/>
        <v>0</v>
      </c>
      <c r="AC47" s="35">
        <f t="shared" si="9"/>
        <v>0</v>
      </c>
      <c r="AD47" s="35">
        <f t="shared" si="9"/>
        <v>0</v>
      </c>
      <c r="AE47" s="35">
        <f t="shared" si="9"/>
        <v>0</v>
      </c>
      <c r="AF47" s="35">
        <f t="shared" si="7"/>
        <v>0</v>
      </c>
      <c r="AG47" s="35">
        <f t="shared" si="7"/>
        <v>0</v>
      </c>
      <c r="AH47" s="4">
        <f t="shared" si="10"/>
        <v>0</v>
      </c>
    </row>
    <row r="48" spans="1:34">
      <c r="A48" s="1" t="s">
        <v>8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8"/>
        <v>0</v>
      </c>
      <c r="R48" s="1" t="s">
        <v>8</v>
      </c>
      <c r="S48" s="35">
        <f t="shared" si="9"/>
        <v>0</v>
      </c>
      <c r="T48" s="35">
        <f t="shared" si="9"/>
        <v>0</v>
      </c>
      <c r="U48" s="35">
        <f t="shared" si="9"/>
        <v>0</v>
      </c>
      <c r="V48" s="35">
        <f t="shared" si="9"/>
        <v>0</v>
      </c>
      <c r="W48" s="35">
        <f t="shared" si="9"/>
        <v>0</v>
      </c>
      <c r="X48" s="35">
        <f t="shared" si="9"/>
        <v>0</v>
      </c>
      <c r="Y48" s="35">
        <f t="shared" si="9"/>
        <v>0</v>
      </c>
      <c r="Z48" s="35">
        <f t="shared" si="9"/>
        <v>0</v>
      </c>
      <c r="AA48" s="35">
        <f t="shared" si="9"/>
        <v>0</v>
      </c>
      <c r="AB48" s="35">
        <f t="shared" si="9"/>
        <v>0</v>
      </c>
      <c r="AC48" s="35">
        <f t="shared" si="9"/>
        <v>0</v>
      </c>
      <c r="AD48" s="35">
        <f t="shared" si="9"/>
        <v>0</v>
      </c>
      <c r="AE48" s="35">
        <f t="shared" si="9"/>
        <v>0</v>
      </c>
      <c r="AF48" s="35">
        <f t="shared" si="7"/>
        <v>0</v>
      </c>
      <c r="AG48" s="35">
        <f t="shared" si="7"/>
        <v>0</v>
      </c>
      <c r="AH48" s="4">
        <f t="shared" si="10"/>
        <v>0</v>
      </c>
    </row>
    <row r="49" spans="1:34">
      <c r="A49" s="2" t="s">
        <v>9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8"/>
        <v>0</v>
      </c>
      <c r="R49" s="2" t="s">
        <v>9</v>
      </c>
      <c r="S49" s="35">
        <f t="shared" si="9"/>
        <v>0</v>
      </c>
      <c r="T49" s="35">
        <f t="shared" si="9"/>
        <v>0</v>
      </c>
      <c r="U49" s="35">
        <f t="shared" si="9"/>
        <v>0</v>
      </c>
      <c r="V49" s="35">
        <f t="shared" si="9"/>
        <v>0</v>
      </c>
      <c r="W49" s="35">
        <f t="shared" si="9"/>
        <v>0</v>
      </c>
      <c r="X49" s="35">
        <f t="shared" si="9"/>
        <v>0</v>
      </c>
      <c r="Y49" s="35">
        <f t="shared" si="9"/>
        <v>0</v>
      </c>
      <c r="Z49" s="35">
        <f t="shared" si="9"/>
        <v>0</v>
      </c>
      <c r="AA49" s="35">
        <f t="shared" si="9"/>
        <v>0</v>
      </c>
      <c r="AB49" s="35">
        <f t="shared" si="9"/>
        <v>0</v>
      </c>
      <c r="AC49" s="35">
        <f t="shared" si="9"/>
        <v>0</v>
      </c>
      <c r="AD49" s="35">
        <f t="shared" si="9"/>
        <v>0</v>
      </c>
      <c r="AE49" s="35">
        <f t="shared" si="9"/>
        <v>0</v>
      </c>
      <c r="AF49" s="35">
        <f t="shared" si="7"/>
        <v>0</v>
      </c>
      <c r="AG49" s="35">
        <f t="shared" si="7"/>
        <v>0</v>
      </c>
      <c r="AH49" s="4">
        <f t="shared" si="10"/>
        <v>0</v>
      </c>
    </row>
    <row r="50" spans="1:34">
      <c r="A50" s="18" t="s">
        <v>10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8"/>
        <v>0</v>
      </c>
      <c r="R50" s="18" t="s">
        <v>10</v>
      </c>
      <c r="S50" s="35">
        <f t="shared" si="9"/>
        <v>0</v>
      </c>
      <c r="T50" s="35">
        <f t="shared" si="9"/>
        <v>0</v>
      </c>
      <c r="U50" s="35">
        <f t="shared" si="9"/>
        <v>0</v>
      </c>
      <c r="V50" s="35">
        <f t="shared" si="9"/>
        <v>0</v>
      </c>
      <c r="W50" s="35">
        <f t="shared" si="9"/>
        <v>0</v>
      </c>
      <c r="X50" s="35">
        <f t="shared" si="9"/>
        <v>0</v>
      </c>
      <c r="Y50" s="35">
        <f t="shared" si="9"/>
        <v>0</v>
      </c>
      <c r="Z50" s="35">
        <f t="shared" si="9"/>
        <v>0</v>
      </c>
      <c r="AA50" s="35">
        <f t="shared" si="9"/>
        <v>0</v>
      </c>
      <c r="AB50" s="35">
        <f t="shared" si="9"/>
        <v>0</v>
      </c>
      <c r="AC50" s="35">
        <f t="shared" si="9"/>
        <v>0</v>
      </c>
      <c r="AD50" s="35">
        <f t="shared" si="9"/>
        <v>0</v>
      </c>
      <c r="AE50" s="35">
        <f t="shared" si="9"/>
        <v>0</v>
      </c>
      <c r="AF50" s="35">
        <f t="shared" si="7"/>
        <v>0</v>
      </c>
      <c r="AG50" s="35">
        <f t="shared" si="7"/>
        <v>0</v>
      </c>
      <c r="AH50" s="4">
        <f t="shared" si="10"/>
        <v>0</v>
      </c>
    </row>
    <row r="51" spans="1:34">
      <c r="A51" s="1" t="s">
        <v>11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8"/>
        <v>0</v>
      </c>
      <c r="R51" s="1" t="s">
        <v>11</v>
      </c>
      <c r="S51" s="35">
        <f t="shared" si="9"/>
        <v>0</v>
      </c>
      <c r="T51" s="35">
        <f t="shared" si="9"/>
        <v>0</v>
      </c>
      <c r="U51" s="35">
        <f t="shared" si="9"/>
        <v>0</v>
      </c>
      <c r="V51" s="35">
        <f t="shared" si="9"/>
        <v>0</v>
      </c>
      <c r="W51" s="35">
        <f t="shared" si="9"/>
        <v>0</v>
      </c>
      <c r="X51" s="35">
        <f t="shared" si="9"/>
        <v>0</v>
      </c>
      <c r="Y51" s="35">
        <f t="shared" si="9"/>
        <v>0</v>
      </c>
      <c r="Z51" s="35">
        <f t="shared" si="9"/>
        <v>0</v>
      </c>
      <c r="AA51" s="35">
        <f t="shared" si="9"/>
        <v>0</v>
      </c>
      <c r="AB51" s="35">
        <f t="shared" si="9"/>
        <v>0</v>
      </c>
      <c r="AC51" s="35">
        <f t="shared" si="9"/>
        <v>0</v>
      </c>
      <c r="AD51" s="35">
        <f t="shared" si="9"/>
        <v>0</v>
      </c>
      <c r="AE51" s="35">
        <f t="shared" si="9"/>
        <v>0</v>
      </c>
      <c r="AF51" s="35">
        <f t="shared" si="7"/>
        <v>0</v>
      </c>
      <c r="AG51" s="35">
        <f t="shared" si="7"/>
        <v>0</v>
      </c>
      <c r="AH51" s="4">
        <f t="shared" si="10"/>
        <v>0</v>
      </c>
    </row>
    <row r="52" spans="1:34">
      <c r="A52" s="1" t="s">
        <v>12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8"/>
        <v>0</v>
      </c>
      <c r="R52" s="1" t="s">
        <v>12</v>
      </c>
      <c r="S52" s="35">
        <f t="shared" si="9"/>
        <v>0</v>
      </c>
      <c r="T52" s="35">
        <f t="shared" si="9"/>
        <v>0</v>
      </c>
      <c r="U52" s="35">
        <f t="shared" si="9"/>
        <v>0</v>
      </c>
      <c r="V52" s="35">
        <f t="shared" si="9"/>
        <v>0</v>
      </c>
      <c r="W52" s="35">
        <f t="shared" si="9"/>
        <v>0</v>
      </c>
      <c r="X52" s="35">
        <f t="shared" si="9"/>
        <v>0</v>
      </c>
      <c r="Y52" s="35">
        <f t="shared" si="9"/>
        <v>0</v>
      </c>
      <c r="Z52" s="35">
        <f t="shared" si="9"/>
        <v>0</v>
      </c>
      <c r="AA52" s="35">
        <f t="shared" si="9"/>
        <v>0</v>
      </c>
      <c r="AB52" s="35">
        <f t="shared" si="9"/>
        <v>0</v>
      </c>
      <c r="AC52" s="35">
        <f t="shared" si="9"/>
        <v>0</v>
      </c>
      <c r="AD52" s="35">
        <f t="shared" si="9"/>
        <v>0</v>
      </c>
      <c r="AE52" s="35">
        <f t="shared" si="9"/>
        <v>0</v>
      </c>
      <c r="AF52" s="35">
        <f t="shared" si="7"/>
        <v>0</v>
      </c>
      <c r="AG52" s="35">
        <f t="shared" si="7"/>
        <v>0</v>
      </c>
      <c r="AH52" s="4">
        <f t="shared" si="10"/>
        <v>0</v>
      </c>
    </row>
    <row r="53" spans="1:34">
      <c r="A53" s="1" t="s">
        <v>15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8"/>
        <v>0</v>
      </c>
      <c r="R53" s="1" t="s">
        <v>15</v>
      </c>
      <c r="S53" s="35">
        <f t="shared" si="9"/>
        <v>0</v>
      </c>
      <c r="T53" s="35">
        <f t="shared" si="9"/>
        <v>0</v>
      </c>
      <c r="U53" s="35">
        <f t="shared" si="9"/>
        <v>0</v>
      </c>
      <c r="V53" s="35">
        <f t="shared" si="9"/>
        <v>0</v>
      </c>
      <c r="W53" s="35">
        <f t="shared" si="9"/>
        <v>0</v>
      </c>
      <c r="X53" s="35">
        <f t="shared" si="9"/>
        <v>0</v>
      </c>
      <c r="Y53" s="35">
        <f t="shared" si="9"/>
        <v>0</v>
      </c>
      <c r="Z53" s="35">
        <f t="shared" si="9"/>
        <v>0</v>
      </c>
      <c r="AA53" s="35">
        <f t="shared" si="9"/>
        <v>0</v>
      </c>
      <c r="AB53" s="35">
        <f t="shared" si="9"/>
        <v>0</v>
      </c>
      <c r="AC53" s="35">
        <f t="shared" si="9"/>
        <v>0</v>
      </c>
      <c r="AD53" s="35">
        <f t="shared" si="9"/>
        <v>0</v>
      </c>
      <c r="AE53" s="35">
        <f t="shared" si="9"/>
        <v>0</v>
      </c>
      <c r="AF53" s="35">
        <f t="shared" si="7"/>
        <v>0</v>
      </c>
      <c r="AG53" s="35">
        <f t="shared" si="7"/>
        <v>0</v>
      </c>
      <c r="AH53" s="4">
        <f t="shared" si="10"/>
        <v>0</v>
      </c>
    </row>
    <row r="54" spans="1:34">
      <c r="A54" s="42" t="s">
        <v>14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8"/>
        <v>0</v>
      </c>
      <c r="R54" s="1" t="s">
        <v>14</v>
      </c>
      <c r="S54" s="35">
        <f t="shared" si="9"/>
        <v>0</v>
      </c>
      <c r="T54" s="35">
        <f t="shared" si="9"/>
        <v>0</v>
      </c>
      <c r="U54" s="35">
        <f t="shared" si="9"/>
        <v>0</v>
      </c>
      <c r="V54" s="35">
        <f t="shared" si="9"/>
        <v>0</v>
      </c>
      <c r="W54" s="35">
        <f t="shared" si="9"/>
        <v>0</v>
      </c>
      <c r="X54" s="35">
        <f t="shared" si="9"/>
        <v>0</v>
      </c>
      <c r="Y54" s="35">
        <f t="shared" si="9"/>
        <v>0</v>
      </c>
      <c r="Z54" s="35">
        <f t="shared" si="9"/>
        <v>0</v>
      </c>
      <c r="AA54" s="35">
        <f t="shared" si="9"/>
        <v>0</v>
      </c>
      <c r="AB54" s="35">
        <f t="shared" si="9"/>
        <v>0</v>
      </c>
      <c r="AC54" s="35">
        <f t="shared" si="9"/>
        <v>0</v>
      </c>
      <c r="AD54" s="35">
        <f t="shared" si="9"/>
        <v>0</v>
      </c>
      <c r="AE54" s="35">
        <f t="shared" si="9"/>
        <v>0</v>
      </c>
      <c r="AF54" s="35">
        <f t="shared" si="7"/>
        <v>0</v>
      </c>
      <c r="AG54" s="35">
        <f t="shared" si="7"/>
        <v>0</v>
      </c>
      <c r="AH54" s="4">
        <f t="shared" si="10"/>
        <v>0</v>
      </c>
    </row>
    <row r="55" spans="1:34">
      <c r="A55" s="18" t="s">
        <v>13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8"/>
        <v>0</v>
      </c>
      <c r="R55" s="18" t="s">
        <v>13</v>
      </c>
      <c r="S55" s="35">
        <f t="shared" si="9"/>
        <v>0</v>
      </c>
      <c r="T55" s="35">
        <f t="shared" si="9"/>
        <v>0</v>
      </c>
      <c r="U55" s="35">
        <f t="shared" si="9"/>
        <v>0</v>
      </c>
      <c r="V55" s="35">
        <f t="shared" si="9"/>
        <v>0</v>
      </c>
      <c r="W55" s="35">
        <f t="shared" si="9"/>
        <v>0</v>
      </c>
      <c r="X55" s="35">
        <f t="shared" si="9"/>
        <v>0</v>
      </c>
      <c r="Y55" s="35">
        <f t="shared" si="9"/>
        <v>0</v>
      </c>
      <c r="Z55" s="35">
        <f t="shared" si="9"/>
        <v>0</v>
      </c>
      <c r="AA55" s="35">
        <f t="shared" si="9"/>
        <v>0</v>
      </c>
      <c r="AB55" s="35">
        <f t="shared" si="9"/>
        <v>0</v>
      </c>
      <c r="AC55" s="35">
        <f t="shared" si="9"/>
        <v>0</v>
      </c>
      <c r="AD55" s="35">
        <f t="shared" si="9"/>
        <v>0</v>
      </c>
      <c r="AE55" s="35">
        <f t="shared" si="9"/>
        <v>0</v>
      </c>
      <c r="AF55" s="35">
        <f t="shared" si="7"/>
        <v>0</v>
      </c>
      <c r="AG55" s="35">
        <f t="shared" si="7"/>
        <v>0</v>
      </c>
      <c r="AH55" s="4">
        <f t="shared" si="10"/>
        <v>0</v>
      </c>
    </row>
    <row r="56" spans="1:34">
      <c r="A56" s="1" t="s">
        <v>16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8"/>
        <v>0</v>
      </c>
      <c r="R56" s="1" t="s">
        <v>16</v>
      </c>
      <c r="S56" s="35">
        <f t="shared" si="9"/>
        <v>0</v>
      </c>
      <c r="T56" s="35">
        <f t="shared" si="9"/>
        <v>0</v>
      </c>
      <c r="U56" s="35">
        <f t="shared" si="9"/>
        <v>0</v>
      </c>
      <c r="V56" s="35">
        <f t="shared" si="9"/>
        <v>0</v>
      </c>
      <c r="W56" s="35">
        <f t="shared" si="9"/>
        <v>0</v>
      </c>
      <c r="X56" s="35">
        <f t="shared" si="9"/>
        <v>0</v>
      </c>
      <c r="Y56" s="35">
        <f t="shared" si="9"/>
        <v>0</v>
      </c>
      <c r="Z56" s="35">
        <f t="shared" si="9"/>
        <v>0</v>
      </c>
      <c r="AA56" s="35">
        <f t="shared" si="9"/>
        <v>0</v>
      </c>
      <c r="AB56" s="35">
        <f t="shared" si="9"/>
        <v>0</v>
      </c>
      <c r="AC56" s="35">
        <f t="shared" si="9"/>
        <v>0</v>
      </c>
      <c r="AD56" s="35">
        <f t="shared" si="9"/>
        <v>0</v>
      </c>
      <c r="AE56" s="35">
        <f t="shared" si="9"/>
        <v>0</v>
      </c>
      <c r="AF56" s="35">
        <f t="shared" si="9"/>
        <v>0</v>
      </c>
      <c r="AG56" s="35">
        <f t="shared" si="9"/>
        <v>0</v>
      </c>
      <c r="AH56" s="4">
        <f t="shared" si="10"/>
        <v>0</v>
      </c>
    </row>
    <row r="57" spans="1:34">
      <c r="A57" s="1" t="s">
        <v>17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8"/>
        <v>0</v>
      </c>
      <c r="R57" s="1" t="s">
        <v>17</v>
      </c>
      <c r="S57" s="35">
        <f t="shared" ref="S57:AG66" si="11">S92*0.2</f>
        <v>0</v>
      </c>
      <c r="T57" s="35">
        <f t="shared" si="11"/>
        <v>0</v>
      </c>
      <c r="U57" s="35">
        <f t="shared" si="11"/>
        <v>0</v>
      </c>
      <c r="V57" s="35">
        <f t="shared" si="11"/>
        <v>0</v>
      </c>
      <c r="W57" s="35">
        <f t="shared" si="11"/>
        <v>0</v>
      </c>
      <c r="X57" s="35">
        <f t="shared" si="11"/>
        <v>0</v>
      </c>
      <c r="Y57" s="35">
        <f t="shared" si="11"/>
        <v>0</v>
      </c>
      <c r="Z57" s="35">
        <f t="shared" si="11"/>
        <v>0</v>
      </c>
      <c r="AA57" s="35">
        <f t="shared" si="11"/>
        <v>0</v>
      </c>
      <c r="AB57" s="35">
        <f t="shared" si="11"/>
        <v>0</v>
      </c>
      <c r="AC57" s="35">
        <f t="shared" si="11"/>
        <v>0</v>
      </c>
      <c r="AD57" s="35">
        <f t="shared" si="11"/>
        <v>0</v>
      </c>
      <c r="AE57" s="35">
        <f t="shared" si="11"/>
        <v>0</v>
      </c>
      <c r="AF57" s="35">
        <f t="shared" si="11"/>
        <v>0</v>
      </c>
      <c r="AG57" s="35">
        <f t="shared" si="11"/>
        <v>0</v>
      </c>
      <c r="AH57" s="4">
        <f t="shared" si="10"/>
        <v>0</v>
      </c>
    </row>
    <row r="58" spans="1:34">
      <c r="A58" s="1" t="s">
        <v>18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8"/>
        <v>0</v>
      </c>
      <c r="R58" s="1" t="s">
        <v>18</v>
      </c>
      <c r="S58" s="35">
        <f t="shared" si="11"/>
        <v>0</v>
      </c>
      <c r="T58" s="35">
        <f t="shared" si="11"/>
        <v>0</v>
      </c>
      <c r="U58" s="35">
        <f t="shared" si="11"/>
        <v>0</v>
      </c>
      <c r="V58" s="35">
        <f t="shared" si="11"/>
        <v>0</v>
      </c>
      <c r="W58" s="35">
        <f t="shared" si="11"/>
        <v>0</v>
      </c>
      <c r="X58" s="35">
        <f t="shared" si="11"/>
        <v>0</v>
      </c>
      <c r="Y58" s="35">
        <f t="shared" si="11"/>
        <v>0</v>
      </c>
      <c r="Z58" s="35">
        <f t="shared" si="11"/>
        <v>0</v>
      </c>
      <c r="AA58" s="35">
        <f t="shared" si="11"/>
        <v>0</v>
      </c>
      <c r="AB58" s="35">
        <f t="shared" si="11"/>
        <v>0</v>
      </c>
      <c r="AC58" s="35">
        <f t="shared" si="11"/>
        <v>0</v>
      </c>
      <c r="AD58" s="35">
        <f t="shared" si="11"/>
        <v>0</v>
      </c>
      <c r="AE58" s="35">
        <f t="shared" si="11"/>
        <v>0</v>
      </c>
      <c r="AF58" s="35">
        <f t="shared" si="11"/>
        <v>0</v>
      </c>
      <c r="AG58" s="35">
        <f t="shared" si="11"/>
        <v>0</v>
      </c>
      <c r="AH58" s="4">
        <f t="shared" si="10"/>
        <v>0</v>
      </c>
    </row>
    <row r="59" spans="1:34">
      <c r="A59" s="1" t="s">
        <v>20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8"/>
        <v>0</v>
      </c>
      <c r="R59" s="1" t="s">
        <v>20</v>
      </c>
      <c r="S59" s="35">
        <f t="shared" si="11"/>
        <v>0</v>
      </c>
      <c r="T59" s="35">
        <f t="shared" si="11"/>
        <v>0</v>
      </c>
      <c r="U59" s="35">
        <f t="shared" si="11"/>
        <v>0</v>
      </c>
      <c r="V59" s="35">
        <f t="shared" si="11"/>
        <v>0</v>
      </c>
      <c r="W59" s="35">
        <f t="shared" si="11"/>
        <v>0</v>
      </c>
      <c r="X59" s="35">
        <f t="shared" si="11"/>
        <v>0</v>
      </c>
      <c r="Y59" s="35">
        <f t="shared" si="11"/>
        <v>0</v>
      </c>
      <c r="Z59" s="35">
        <f t="shared" si="11"/>
        <v>0</v>
      </c>
      <c r="AA59" s="35">
        <f t="shared" si="11"/>
        <v>0</v>
      </c>
      <c r="AB59" s="35">
        <f t="shared" si="11"/>
        <v>0</v>
      </c>
      <c r="AC59" s="35">
        <f t="shared" si="11"/>
        <v>0</v>
      </c>
      <c r="AD59" s="35">
        <f t="shared" si="11"/>
        <v>0</v>
      </c>
      <c r="AE59" s="35">
        <f t="shared" si="11"/>
        <v>0</v>
      </c>
      <c r="AF59" s="35">
        <f t="shared" si="11"/>
        <v>0</v>
      </c>
      <c r="AG59" s="35">
        <f t="shared" si="11"/>
        <v>0</v>
      </c>
      <c r="AH59" s="4">
        <f t="shared" si="10"/>
        <v>0</v>
      </c>
    </row>
    <row r="60" spans="1:34">
      <c r="A60" s="1" t="s">
        <v>19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8"/>
        <v>0</v>
      </c>
      <c r="R60" s="1" t="s">
        <v>19</v>
      </c>
      <c r="S60" s="35">
        <f t="shared" si="11"/>
        <v>0</v>
      </c>
      <c r="T60" s="35">
        <f t="shared" si="11"/>
        <v>0</v>
      </c>
      <c r="U60" s="35">
        <f t="shared" si="11"/>
        <v>0</v>
      </c>
      <c r="V60" s="35">
        <f t="shared" si="11"/>
        <v>0</v>
      </c>
      <c r="W60" s="35">
        <f t="shared" si="11"/>
        <v>0</v>
      </c>
      <c r="X60" s="35">
        <f t="shared" si="11"/>
        <v>0</v>
      </c>
      <c r="Y60" s="35">
        <f t="shared" si="11"/>
        <v>0</v>
      </c>
      <c r="Z60" s="35">
        <f t="shared" si="11"/>
        <v>0</v>
      </c>
      <c r="AA60" s="35">
        <f t="shared" si="11"/>
        <v>0</v>
      </c>
      <c r="AB60" s="35">
        <f t="shared" si="11"/>
        <v>0</v>
      </c>
      <c r="AC60" s="35">
        <f t="shared" si="11"/>
        <v>0</v>
      </c>
      <c r="AD60" s="35">
        <f t="shared" si="11"/>
        <v>0</v>
      </c>
      <c r="AE60" s="35">
        <f t="shared" si="11"/>
        <v>0</v>
      </c>
      <c r="AF60" s="35">
        <f t="shared" si="11"/>
        <v>0</v>
      </c>
      <c r="AG60" s="35">
        <f t="shared" si="11"/>
        <v>0</v>
      </c>
      <c r="AH60" s="4">
        <f t="shared" si="10"/>
        <v>0</v>
      </c>
    </row>
    <row r="61" spans="1:34">
      <c r="A61" s="18" t="s">
        <v>21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8"/>
        <v>0</v>
      </c>
      <c r="R61" s="18" t="s">
        <v>21</v>
      </c>
      <c r="S61" s="35">
        <f t="shared" si="11"/>
        <v>0</v>
      </c>
      <c r="T61" s="35">
        <f t="shared" si="11"/>
        <v>0</v>
      </c>
      <c r="U61" s="35">
        <f t="shared" si="11"/>
        <v>0</v>
      </c>
      <c r="V61" s="35">
        <f t="shared" si="11"/>
        <v>0</v>
      </c>
      <c r="W61" s="35">
        <f t="shared" si="11"/>
        <v>0</v>
      </c>
      <c r="X61" s="35">
        <f t="shared" si="11"/>
        <v>0</v>
      </c>
      <c r="Y61" s="35">
        <f t="shared" si="11"/>
        <v>0</v>
      </c>
      <c r="Z61" s="35">
        <f t="shared" si="11"/>
        <v>0</v>
      </c>
      <c r="AA61" s="35">
        <f t="shared" si="11"/>
        <v>0</v>
      </c>
      <c r="AB61" s="35">
        <f t="shared" si="11"/>
        <v>0</v>
      </c>
      <c r="AC61" s="35">
        <f t="shared" si="11"/>
        <v>0</v>
      </c>
      <c r="AD61" s="35">
        <f t="shared" si="11"/>
        <v>0</v>
      </c>
      <c r="AE61" s="35">
        <f t="shared" si="11"/>
        <v>0</v>
      </c>
      <c r="AF61" s="35">
        <f t="shared" si="11"/>
        <v>0</v>
      </c>
      <c r="AG61" s="35">
        <f t="shared" si="11"/>
        <v>0</v>
      </c>
      <c r="AH61" s="4">
        <f t="shared" si="10"/>
        <v>0</v>
      </c>
    </row>
    <row r="62" spans="1:34">
      <c r="A62" s="2" t="s">
        <v>22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8"/>
        <v>0</v>
      </c>
      <c r="R62" s="2" t="s">
        <v>22</v>
      </c>
      <c r="S62" s="35">
        <f t="shared" si="11"/>
        <v>0</v>
      </c>
      <c r="T62" s="35">
        <f t="shared" si="11"/>
        <v>0</v>
      </c>
      <c r="U62" s="35">
        <f t="shared" si="11"/>
        <v>0</v>
      </c>
      <c r="V62" s="35">
        <f t="shared" si="11"/>
        <v>0</v>
      </c>
      <c r="W62" s="35">
        <f t="shared" si="11"/>
        <v>0</v>
      </c>
      <c r="X62" s="35">
        <f t="shared" si="11"/>
        <v>0</v>
      </c>
      <c r="Y62" s="35">
        <f t="shared" si="11"/>
        <v>0</v>
      </c>
      <c r="Z62" s="35">
        <f t="shared" si="11"/>
        <v>0</v>
      </c>
      <c r="AA62" s="35">
        <f t="shared" si="11"/>
        <v>0</v>
      </c>
      <c r="AB62" s="35">
        <f t="shared" si="11"/>
        <v>0</v>
      </c>
      <c r="AC62" s="35">
        <f t="shared" si="11"/>
        <v>0</v>
      </c>
      <c r="AD62" s="35">
        <f t="shared" si="11"/>
        <v>0</v>
      </c>
      <c r="AE62" s="35">
        <f t="shared" si="11"/>
        <v>0</v>
      </c>
      <c r="AF62" s="35">
        <f t="shared" si="11"/>
        <v>0</v>
      </c>
      <c r="AG62" s="35">
        <f t="shared" si="11"/>
        <v>0</v>
      </c>
      <c r="AH62" s="4">
        <f t="shared" si="10"/>
        <v>0</v>
      </c>
    </row>
    <row r="63" spans="1:34">
      <c r="A63" s="1" t="s">
        <v>23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8"/>
        <v>0</v>
      </c>
      <c r="R63" s="1" t="s">
        <v>23</v>
      </c>
      <c r="S63" s="35">
        <f t="shared" si="11"/>
        <v>0</v>
      </c>
      <c r="T63" s="35">
        <f t="shared" si="11"/>
        <v>0</v>
      </c>
      <c r="U63" s="35">
        <f t="shared" si="11"/>
        <v>0</v>
      </c>
      <c r="V63" s="35">
        <f t="shared" si="11"/>
        <v>0</v>
      </c>
      <c r="W63" s="35">
        <f t="shared" si="11"/>
        <v>0</v>
      </c>
      <c r="X63" s="35">
        <f t="shared" si="11"/>
        <v>0</v>
      </c>
      <c r="Y63" s="35">
        <f t="shared" si="11"/>
        <v>0</v>
      </c>
      <c r="Z63" s="35">
        <f t="shared" si="11"/>
        <v>0</v>
      </c>
      <c r="AA63" s="35">
        <f t="shared" si="11"/>
        <v>0</v>
      </c>
      <c r="AB63" s="35">
        <f t="shared" si="11"/>
        <v>0</v>
      </c>
      <c r="AC63" s="35">
        <f t="shared" si="11"/>
        <v>0</v>
      </c>
      <c r="AD63" s="35">
        <f t="shared" si="11"/>
        <v>0</v>
      </c>
      <c r="AE63" s="35">
        <f t="shared" si="11"/>
        <v>0</v>
      </c>
      <c r="AF63" s="35">
        <f t="shared" si="11"/>
        <v>0</v>
      </c>
      <c r="AG63" s="35">
        <f t="shared" si="11"/>
        <v>0</v>
      </c>
      <c r="AH63" s="4">
        <f t="shared" si="10"/>
        <v>0</v>
      </c>
    </row>
    <row r="64" spans="1:34">
      <c r="A64" s="1" t="s">
        <v>25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8"/>
        <v>0</v>
      </c>
      <c r="R64" s="1" t="s">
        <v>25</v>
      </c>
      <c r="S64" s="35">
        <f t="shared" si="11"/>
        <v>0</v>
      </c>
      <c r="T64" s="35">
        <f t="shared" si="11"/>
        <v>0</v>
      </c>
      <c r="U64" s="35">
        <f t="shared" si="11"/>
        <v>0</v>
      </c>
      <c r="V64" s="35">
        <f t="shared" si="11"/>
        <v>0</v>
      </c>
      <c r="W64" s="35">
        <f t="shared" si="11"/>
        <v>0</v>
      </c>
      <c r="X64" s="35">
        <f t="shared" si="11"/>
        <v>0</v>
      </c>
      <c r="Y64" s="35">
        <f t="shared" si="11"/>
        <v>0</v>
      </c>
      <c r="Z64" s="35">
        <f t="shared" si="11"/>
        <v>0</v>
      </c>
      <c r="AA64" s="35">
        <f t="shared" si="11"/>
        <v>0</v>
      </c>
      <c r="AB64" s="35">
        <f t="shared" si="11"/>
        <v>0</v>
      </c>
      <c r="AC64" s="35">
        <f t="shared" si="11"/>
        <v>0</v>
      </c>
      <c r="AD64" s="35">
        <f t="shared" si="11"/>
        <v>0</v>
      </c>
      <c r="AE64" s="35">
        <f t="shared" si="11"/>
        <v>0</v>
      </c>
      <c r="AF64" s="35">
        <v>0</v>
      </c>
      <c r="AG64" s="35">
        <v>0</v>
      </c>
      <c r="AH64" s="4">
        <f t="shared" si="10"/>
        <v>0</v>
      </c>
    </row>
    <row r="65" spans="1:34">
      <c r="A65" s="1" t="s">
        <v>24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8"/>
        <v>0</v>
      </c>
      <c r="R65" s="1" t="s">
        <v>24</v>
      </c>
      <c r="S65" s="35">
        <f t="shared" si="11"/>
        <v>0</v>
      </c>
      <c r="T65" s="35">
        <f t="shared" si="11"/>
        <v>0</v>
      </c>
      <c r="U65" s="35">
        <f t="shared" si="11"/>
        <v>0</v>
      </c>
      <c r="V65" s="35">
        <f t="shared" si="11"/>
        <v>0</v>
      </c>
      <c r="W65" s="35">
        <f t="shared" si="11"/>
        <v>0</v>
      </c>
      <c r="X65" s="35">
        <f t="shared" si="11"/>
        <v>0</v>
      </c>
      <c r="Y65" s="35">
        <f t="shared" si="11"/>
        <v>0</v>
      </c>
      <c r="Z65" s="35">
        <f t="shared" si="11"/>
        <v>0</v>
      </c>
      <c r="AA65" s="35">
        <f t="shared" si="11"/>
        <v>0</v>
      </c>
      <c r="AB65" s="35">
        <f t="shared" si="11"/>
        <v>0</v>
      </c>
      <c r="AC65" s="35">
        <f t="shared" si="11"/>
        <v>0</v>
      </c>
      <c r="AD65" s="35">
        <f t="shared" si="11"/>
        <v>0</v>
      </c>
      <c r="AE65" s="35">
        <f t="shared" si="11"/>
        <v>0</v>
      </c>
      <c r="AF65" s="35">
        <f t="shared" si="11"/>
        <v>0</v>
      </c>
      <c r="AG65" s="35">
        <f t="shared" si="11"/>
        <v>0</v>
      </c>
      <c r="AH65" s="4">
        <f t="shared" si="10"/>
        <v>0</v>
      </c>
    </row>
    <row r="66" spans="1:34">
      <c r="A66" s="1" t="s">
        <v>26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8"/>
        <v>0</v>
      </c>
      <c r="R66" s="1" t="s">
        <v>26</v>
      </c>
      <c r="S66" s="35">
        <f t="shared" si="11"/>
        <v>0</v>
      </c>
      <c r="T66" s="35">
        <f t="shared" si="11"/>
        <v>0</v>
      </c>
      <c r="U66" s="35">
        <f t="shared" si="11"/>
        <v>0</v>
      </c>
      <c r="V66" s="35">
        <f t="shared" si="11"/>
        <v>0</v>
      </c>
      <c r="W66" s="35">
        <f t="shared" si="11"/>
        <v>0</v>
      </c>
      <c r="X66" s="35">
        <f t="shared" si="11"/>
        <v>0</v>
      </c>
      <c r="Y66" s="35">
        <f t="shared" si="11"/>
        <v>0</v>
      </c>
      <c r="Z66" s="35">
        <f t="shared" si="11"/>
        <v>0</v>
      </c>
      <c r="AA66" s="35">
        <f t="shared" si="11"/>
        <v>0</v>
      </c>
      <c r="AB66" s="35">
        <f t="shared" si="11"/>
        <v>0</v>
      </c>
      <c r="AC66" s="35">
        <f t="shared" si="11"/>
        <v>0</v>
      </c>
      <c r="AD66" s="35">
        <f t="shared" si="11"/>
        <v>0</v>
      </c>
      <c r="AE66" s="35">
        <f t="shared" si="11"/>
        <v>0</v>
      </c>
      <c r="AF66" s="35">
        <f t="shared" si="11"/>
        <v>0</v>
      </c>
      <c r="AG66" s="35">
        <f t="shared" si="11"/>
        <v>0</v>
      </c>
      <c r="AH66" s="4">
        <f t="shared" si="10"/>
        <v>0</v>
      </c>
    </row>
    <row r="67" spans="1:34">
      <c r="A67" s="8" t="s">
        <v>37</v>
      </c>
      <c r="B67" s="9">
        <f>SUM(B40:B66)</f>
        <v>0</v>
      </c>
      <c r="C67" s="9">
        <f t="shared" ref="C67:N67" si="12">SUM(C40:C66)</f>
        <v>0</v>
      </c>
      <c r="D67" s="9">
        <f t="shared" si="12"/>
        <v>0</v>
      </c>
      <c r="E67" s="9">
        <f t="shared" si="12"/>
        <v>0</v>
      </c>
      <c r="F67" s="9">
        <f t="shared" si="12"/>
        <v>0</v>
      </c>
      <c r="G67" s="9">
        <f t="shared" si="12"/>
        <v>0</v>
      </c>
      <c r="H67" s="9">
        <f t="shared" si="12"/>
        <v>0</v>
      </c>
      <c r="I67" s="9">
        <f t="shared" si="12"/>
        <v>0</v>
      </c>
      <c r="J67" s="9">
        <f t="shared" si="12"/>
        <v>0</v>
      </c>
      <c r="K67" s="9">
        <f t="shared" si="12"/>
        <v>0</v>
      </c>
      <c r="L67" s="9">
        <f t="shared" si="12"/>
        <v>0</v>
      </c>
      <c r="M67" s="9">
        <f t="shared" si="12"/>
        <v>0</v>
      </c>
      <c r="N67" s="9">
        <f t="shared" si="12"/>
        <v>0</v>
      </c>
      <c r="O67" s="13">
        <f>SUM(O40:O66)</f>
        <v>0</v>
      </c>
      <c r="R67" s="8" t="s">
        <v>37</v>
      </c>
      <c r="S67" s="9">
        <f>SUM(S40:S66)</f>
        <v>0</v>
      </c>
      <c r="T67" s="9">
        <f t="shared" ref="T67:AG67" si="13">SUM(T40:T66)</f>
        <v>0</v>
      </c>
      <c r="U67" s="9">
        <f t="shared" si="13"/>
        <v>0</v>
      </c>
      <c r="V67" s="9">
        <f t="shared" si="13"/>
        <v>0</v>
      </c>
      <c r="W67" s="9">
        <f t="shared" si="13"/>
        <v>0</v>
      </c>
      <c r="X67" s="9">
        <f t="shared" si="13"/>
        <v>0</v>
      </c>
      <c r="Y67" s="9">
        <f t="shared" si="13"/>
        <v>0</v>
      </c>
      <c r="Z67" s="9">
        <f t="shared" si="13"/>
        <v>0</v>
      </c>
      <c r="AA67" s="9">
        <f t="shared" si="13"/>
        <v>0</v>
      </c>
      <c r="AB67" s="9">
        <f t="shared" si="13"/>
        <v>0</v>
      </c>
      <c r="AC67" s="9">
        <f t="shared" si="13"/>
        <v>0</v>
      </c>
      <c r="AD67" s="9">
        <f t="shared" si="13"/>
        <v>0</v>
      </c>
      <c r="AE67" s="9">
        <f t="shared" si="13"/>
        <v>0</v>
      </c>
      <c r="AF67" s="9">
        <f t="shared" si="13"/>
        <v>0</v>
      </c>
      <c r="AG67" s="9">
        <f t="shared" si="13"/>
        <v>0</v>
      </c>
      <c r="AH67" s="13">
        <f>SUM(AH40:AH66)</f>
        <v>0</v>
      </c>
    </row>
    <row r="68" spans="1:34" ht="18.75">
      <c r="O68" s="3"/>
      <c r="R68" s="44" t="s">
        <v>50</v>
      </c>
      <c r="AH68" s="3"/>
    </row>
    <row r="69" spans="1:34" s="34" customFormat="1">
      <c r="A69" s="298" t="s">
        <v>47</v>
      </c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O69" s="33"/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</row>
    <row r="70" spans="1:34">
      <c r="A70" s="39" t="s">
        <v>14</v>
      </c>
      <c r="B70" s="40">
        <f>B19*0.2</f>
        <v>0</v>
      </c>
      <c r="C70" s="40">
        <f t="shared" ref="C70:N70" si="14">C19*0.2</f>
        <v>0</v>
      </c>
      <c r="D70" s="40">
        <f t="shared" si="14"/>
        <v>0</v>
      </c>
      <c r="E70" s="40">
        <f t="shared" si="14"/>
        <v>0</v>
      </c>
      <c r="F70" s="40">
        <f t="shared" si="14"/>
        <v>0</v>
      </c>
      <c r="G70" s="40">
        <f t="shared" si="14"/>
        <v>0</v>
      </c>
      <c r="H70" s="40">
        <f t="shared" si="14"/>
        <v>0</v>
      </c>
      <c r="I70" s="40">
        <f t="shared" si="14"/>
        <v>0</v>
      </c>
      <c r="J70" s="40">
        <f t="shared" si="14"/>
        <v>0</v>
      </c>
      <c r="K70" s="40">
        <f t="shared" si="14"/>
        <v>0</v>
      </c>
      <c r="L70" s="40">
        <f t="shared" si="14"/>
        <v>0</v>
      </c>
      <c r="M70" s="40">
        <f t="shared" si="14"/>
        <v>0</v>
      </c>
      <c r="N70" s="40">
        <f t="shared" si="14"/>
        <v>0</v>
      </c>
      <c r="O70" s="41">
        <f>SUM(B70:N70)</f>
        <v>0</v>
      </c>
      <c r="R70"/>
      <c r="AC70" s="3"/>
      <c r="AD70" s="3"/>
      <c r="AE70" s="3"/>
      <c r="AF70" s="3"/>
      <c r="AG70" s="3"/>
    </row>
    <row r="71" spans="1:34">
      <c r="R71"/>
    </row>
    <row r="72" spans="1:34" ht="46.5">
      <c r="A72" s="292" t="s">
        <v>38</v>
      </c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  <c r="R72" s="292" t="s">
        <v>48</v>
      </c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4"/>
    </row>
    <row r="73" spans="1:34" ht="21.75" customHeight="1">
      <c r="A73" s="290" t="s">
        <v>33</v>
      </c>
      <c r="B73" s="287" t="s">
        <v>27</v>
      </c>
      <c r="C73" s="288"/>
      <c r="D73" s="287" t="s">
        <v>29</v>
      </c>
      <c r="E73" s="288"/>
      <c r="F73" s="285" t="s">
        <v>28</v>
      </c>
      <c r="G73" s="285" t="s">
        <v>36</v>
      </c>
      <c r="H73" s="285" t="s">
        <v>30</v>
      </c>
      <c r="I73" s="285" t="s">
        <v>31</v>
      </c>
      <c r="J73" s="285" t="s">
        <v>41</v>
      </c>
      <c r="K73" s="285" t="s">
        <v>35</v>
      </c>
      <c r="L73" s="285" t="s">
        <v>40</v>
      </c>
      <c r="M73" s="285" t="s">
        <v>42</v>
      </c>
      <c r="N73" s="285" t="s">
        <v>45</v>
      </c>
      <c r="O73" s="285" t="s">
        <v>34</v>
      </c>
      <c r="R73" s="290" t="s">
        <v>33</v>
      </c>
      <c r="S73" s="287" t="s">
        <v>27</v>
      </c>
      <c r="T73" s="288"/>
      <c r="U73" s="287" t="s">
        <v>29</v>
      </c>
      <c r="V73" s="288"/>
      <c r="W73" s="285" t="s">
        <v>28</v>
      </c>
      <c r="X73" s="285" t="s">
        <v>36</v>
      </c>
      <c r="Y73" s="285" t="s">
        <v>30</v>
      </c>
      <c r="Z73" s="285" t="s">
        <v>31</v>
      </c>
      <c r="AA73" s="285" t="s">
        <v>41</v>
      </c>
      <c r="AB73" s="285" t="s">
        <v>35</v>
      </c>
      <c r="AC73" s="285" t="s">
        <v>40</v>
      </c>
      <c r="AD73" s="285" t="s">
        <v>42</v>
      </c>
      <c r="AE73" s="285" t="s">
        <v>45</v>
      </c>
      <c r="AF73" s="287" t="s">
        <v>52</v>
      </c>
      <c r="AG73" s="288"/>
      <c r="AH73" s="285" t="s">
        <v>34</v>
      </c>
    </row>
    <row r="74" spans="1:34" ht="30">
      <c r="A74" s="291"/>
      <c r="B74" s="56" t="s">
        <v>43</v>
      </c>
      <c r="C74" s="56" t="s">
        <v>44</v>
      </c>
      <c r="D74" s="56" t="s">
        <v>43</v>
      </c>
      <c r="E74" s="56" t="s">
        <v>44</v>
      </c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R74" s="291"/>
      <c r="S74" s="56" t="s">
        <v>43</v>
      </c>
      <c r="T74" s="56" t="s">
        <v>44</v>
      </c>
      <c r="U74" s="56" t="s">
        <v>43</v>
      </c>
      <c r="V74" s="56" t="s">
        <v>44</v>
      </c>
      <c r="W74" s="286"/>
      <c r="X74" s="286"/>
      <c r="Y74" s="286"/>
      <c r="Z74" s="286"/>
      <c r="AA74" s="286"/>
      <c r="AB74" s="286"/>
      <c r="AC74" s="286"/>
      <c r="AD74" s="286"/>
      <c r="AE74" s="286"/>
      <c r="AF74" s="55" t="s">
        <v>53</v>
      </c>
      <c r="AG74" s="55" t="s">
        <v>54</v>
      </c>
      <c r="AH74" s="286"/>
    </row>
    <row r="75" spans="1:34">
      <c r="A75" s="1" t="s">
        <v>0</v>
      </c>
      <c r="B75" s="22">
        <f>B5+B40</f>
        <v>0</v>
      </c>
      <c r="C75" s="22">
        <f t="shared" ref="C75:N75" si="15">C5+C40</f>
        <v>0</v>
      </c>
      <c r="D75" s="22">
        <f t="shared" si="15"/>
        <v>0</v>
      </c>
      <c r="E75" s="22">
        <f t="shared" si="15"/>
        <v>0</v>
      </c>
      <c r="F75" s="22">
        <f t="shared" si="15"/>
        <v>0</v>
      </c>
      <c r="G75" s="22">
        <f t="shared" si="15"/>
        <v>0</v>
      </c>
      <c r="H75" s="22">
        <f t="shared" si="15"/>
        <v>0</v>
      </c>
      <c r="I75" s="22">
        <f t="shared" si="15"/>
        <v>0</v>
      </c>
      <c r="J75" s="22">
        <f t="shared" si="15"/>
        <v>0</v>
      </c>
      <c r="K75" s="22">
        <f t="shared" si="15"/>
        <v>0</v>
      </c>
      <c r="L75" s="22">
        <f t="shared" si="15"/>
        <v>0</v>
      </c>
      <c r="M75" s="22">
        <f t="shared" si="15"/>
        <v>0</v>
      </c>
      <c r="N75" s="22">
        <f t="shared" si="15"/>
        <v>0</v>
      </c>
      <c r="O75" s="12">
        <f>SUM(B75:N75)</f>
        <v>0</v>
      </c>
      <c r="R75" s="2" t="s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12">
        <f>SUM(S75:AG75)</f>
        <v>0</v>
      </c>
    </row>
    <row r="76" spans="1:34">
      <c r="A76" s="1" t="s">
        <v>1</v>
      </c>
      <c r="B76" s="22">
        <f t="shared" ref="B76:N91" si="16">B6+B41</f>
        <v>0</v>
      </c>
      <c r="C76" s="22">
        <f t="shared" si="16"/>
        <v>0</v>
      </c>
      <c r="D76" s="22">
        <f t="shared" si="16"/>
        <v>0</v>
      </c>
      <c r="E76" s="22">
        <f t="shared" si="16"/>
        <v>0</v>
      </c>
      <c r="F76" s="22">
        <f t="shared" si="16"/>
        <v>0</v>
      </c>
      <c r="G76" s="22">
        <f t="shared" si="16"/>
        <v>0</v>
      </c>
      <c r="H76" s="22">
        <f t="shared" si="16"/>
        <v>0</v>
      </c>
      <c r="I76" s="22">
        <f t="shared" si="16"/>
        <v>0</v>
      </c>
      <c r="J76" s="22">
        <f t="shared" si="16"/>
        <v>0</v>
      </c>
      <c r="K76" s="22">
        <f t="shared" si="16"/>
        <v>0</v>
      </c>
      <c r="L76" s="22">
        <f t="shared" si="16"/>
        <v>0</v>
      </c>
      <c r="M76" s="22">
        <f t="shared" si="16"/>
        <v>0</v>
      </c>
      <c r="N76" s="22">
        <f t="shared" si="16"/>
        <v>0</v>
      </c>
      <c r="O76" s="12">
        <f t="shared" ref="O76:O101" si="17">SUM(B76:N76)</f>
        <v>0</v>
      </c>
      <c r="R76" s="2" t="s">
        <v>1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12">
        <f t="shared" ref="AH76:AH101" si="18">SUM(S76:AG76)</f>
        <v>0</v>
      </c>
    </row>
    <row r="77" spans="1:34">
      <c r="A77" s="18" t="s">
        <v>2</v>
      </c>
      <c r="B77" s="22">
        <f t="shared" si="16"/>
        <v>0</v>
      </c>
      <c r="C77" s="22">
        <f t="shared" si="16"/>
        <v>0</v>
      </c>
      <c r="D77" s="22">
        <f t="shared" si="16"/>
        <v>0</v>
      </c>
      <c r="E77" s="22">
        <f t="shared" si="16"/>
        <v>0</v>
      </c>
      <c r="F77" s="22">
        <f t="shared" si="16"/>
        <v>0</v>
      </c>
      <c r="G77" s="22">
        <f t="shared" si="16"/>
        <v>0</v>
      </c>
      <c r="H77" s="22">
        <f t="shared" si="16"/>
        <v>0</v>
      </c>
      <c r="I77" s="22">
        <f t="shared" si="16"/>
        <v>0</v>
      </c>
      <c r="J77" s="22">
        <f t="shared" si="16"/>
        <v>0</v>
      </c>
      <c r="K77" s="22">
        <f t="shared" si="16"/>
        <v>0</v>
      </c>
      <c r="L77" s="22">
        <f t="shared" si="16"/>
        <v>0</v>
      </c>
      <c r="M77" s="22">
        <f t="shared" si="16"/>
        <v>0</v>
      </c>
      <c r="N77" s="22">
        <f t="shared" si="16"/>
        <v>0</v>
      </c>
      <c r="O77" s="12">
        <f t="shared" si="17"/>
        <v>0</v>
      </c>
      <c r="R77" s="2" t="s">
        <v>2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12">
        <f t="shared" si="18"/>
        <v>0</v>
      </c>
    </row>
    <row r="78" spans="1:34">
      <c r="A78" s="2" t="s">
        <v>3</v>
      </c>
      <c r="B78" s="22">
        <f t="shared" si="16"/>
        <v>0</v>
      </c>
      <c r="C78" s="22">
        <f t="shared" si="16"/>
        <v>0</v>
      </c>
      <c r="D78" s="22">
        <f t="shared" si="16"/>
        <v>0</v>
      </c>
      <c r="E78" s="22">
        <f t="shared" si="16"/>
        <v>0</v>
      </c>
      <c r="F78" s="22">
        <f t="shared" si="16"/>
        <v>0</v>
      </c>
      <c r="G78" s="22">
        <f t="shared" si="16"/>
        <v>0</v>
      </c>
      <c r="H78" s="22">
        <f t="shared" si="16"/>
        <v>0</v>
      </c>
      <c r="I78" s="22">
        <f t="shared" si="16"/>
        <v>0</v>
      </c>
      <c r="J78" s="22">
        <f t="shared" si="16"/>
        <v>0</v>
      </c>
      <c r="K78" s="22">
        <f t="shared" si="16"/>
        <v>0</v>
      </c>
      <c r="L78" s="22">
        <f t="shared" si="16"/>
        <v>0</v>
      </c>
      <c r="M78" s="22">
        <f t="shared" si="16"/>
        <v>0</v>
      </c>
      <c r="N78" s="22">
        <f t="shared" si="16"/>
        <v>0</v>
      </c>
      <c r="O78" s="12">
        <f t="shared" si="17"/>
        <v>0</v>
      </c>
      <c r="R78" s="2" t="s">
        <v>3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12">
        <f t="shared" si="18"/>
        <v>0</v>
      </c>
    </row>
    <row r="79" spans="1:34">
      <c r="A79" s="1" t="s">
        <v>4</v>
      </c>
      <c r="B79" s="22">
        <f t="shared" si="16"/>
        <v>0</v>
      </c>
      <c r="C79" s="22">
        <f t="shared" si="16"/>
        <v>0</v>
      </c>
      <c r="D79" s="22">
        <f t="shared" si="16"/>
        <v>0</v>
      </c>
      <c r="E79" s="22">
        <f t="shared" si="16"/>
        <v>0</v>
      </c>
      <c r="F79" s="22">
        <f t="shared" si="16"/>
        <v>0</v>
      </c>
      <c r="G79" s="22">
        <f t="shared" si="16"/>
        <v>0</v>
      </c>
      <c r="H79" s="22">
        <f t="shared" si="16"/>
        <v>0</v>
      </c>
      <c r="I79" s="22">
        <f t="shared" si="16"/>
        <v>0</v>
      </c>
      <c r="J79" s="22">
        <f t="shared" si="16"/>
        <v>0</v>
      </c>
      <c r="K79" s="22">
        <f t="shared" si="16"/>
        <v>0</v>
      </c>
      <c r="L79" s="22">
        <f t="shared" si="16"/>
        <v>0</v>
      </c>
      <c r="M79" s="22">
        <f t="shared" si="16"/>
        <v>0</v>
      </c>
      <c r="N79" s="22">
        <f t="shared" si="16"/>
        <v>0</v>
      </c>
      <c r="O79" s="12">
        <f t="shared" si="17"/>
        <v>0</v>
      </c>
      <c r="R79" s="2" t="s">
        <v>4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12">
        <f t="shared" si="18"/>
        <v>0</v>
      </c>
    </row>
    <row r="80" spans="1:34">
      <c r="A80" s="1" t="s">
        <v>5</v>
      </c>
      <c r="B80" s="22">
        <f t="shared" si="16"/>
        <v>0</v>
      </c>
      <c r="C80" s="22">
        <f t="shared" si="16"/>
        <v>0</v>
      </c>
      <c r="D80" s="22">
        <f t="shared" si="16"/>
        <v>0</v>
      </c>
      <c r="E80" s="22">
        <f t="shared" si="16"/>
        <v>0</v>
      </c>
      <c r="F80" s="22">
        <f t="shared" si="16"/>
        <v>0</v>
      </c>
      <c r="G80" s="22">
        <f t="shared" si="16"/>
        <v>0</v>
      </c>
      <c r="H80" s="22">
        <f t="shared" si="16"/>
        <v>0</v>
      </c>
      <c r="I80" s="22">
        <f t="shared" si="16"/>
        <v>0</v>
      </c>
      <c r="J80" s="22">
        <f t="shared" si="16"/>
        <v>0</v>
      </c>
      <c r="K80" s="22">
        <f t="shared" si="16"/>
        <v>0</v>
      </c>
      <c r="L80" s="22">
        <f t="shared" si="16"/>
        <v>0</v>
      </c>
      <c r="M80" s="22">
        <f t="shared" si="16"/>
        <v>0</v>
      </c>
      <c r="N80" s="22">
        <f t="shared" si="16"/>
        <v>0</v>
      </c>
      <c r="O80" s="12">
        <f t="shared" si="17"/>
        <v>0</v>
      </c>
      <c r="R80" s="2" t="s">
        <v>5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12">
        <f t="shared" si="18"/>
        <v>0</v>
      </c>
    </row>
    <row r="81" spans="1:34">
      <c r="A81" s="1" t="s">
        <v>6</v>
      </c>
      <c r="B81" s="22">
        <f t="shared" si="16"/>
        <v>0</v>
      </c>
      <c r="C81" s="22">
        <f t="shared" si="16"/>
        <v>0</v>
      </c>
      <c r="D81" s="22">
        <f t="shared" si="16"/>
        <v>0</v>
      </c>
      <c r="E81" s="22">
        <f t="shared" si="16"/>
        <v>0</v>
      </c>
      <c r="F81" s="22">
        <f t="shared" si="16"/>
        <v>0</v>
      </c>
      <c r="G81" s="22">
        <f t="shared" si="16"/>
        <v>0</v>
      </c>
      <c r="H81" s="22">
        <f t="shared" si="16"/>
        <v>0</v>
      </c>
      <c r="I81" s="22">
        <f t="shared" si="16"/>
        <v>0</v>
      </c>
      <c r="J81" s="22">
        <f t="shared" si="16"/>
        <v>0</v>
      </c>
      <c r="K81" s="22">
        <f t="shared" si="16"/>
        <v>0</v>
      </c>
      <c r="L81" s="22">
        <f t="shared" si="16"/>
        <v>0</v>
      </c>
      <c r="M81" s="22">
        <f t="shared" si="16"/>
        <v>0</v>
      </c>
      <c r="N81" s="22">
        <f t="shared" si="16"/>
        <v>0</v>
      </c>
      <c r="O81" s="12">
        <f t="shared" si="17"/>
        <v>0</v>
      </c>
      <c r="R81" s="2" t="s">
        <v>6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12">
        <f t="shared" si="18"/>
        <v>0</v>
      </c>
    </row>
    <row r="82" spans="1:34">
      <c r="A82" s="1" t="s">
        <v>7</v>
      </c>
      <c r="B82" s="22">
        <f t="shared" si="16"/>
        <v>0</v>
      </c>
      <c r="C82" s="22">
        <f t="shared" si="16"/>
        <v>0</v>
      </c>
      <c r="D82" s="22">
        <f t="shared" si="16"/>
        <v>0</v>
      </c>
      <c r="E82" s="22">
        <f t="shared" si="16"/>
        <v>0</v>
      </c>
      <c r="F82" s="22">
        <f t="shared" si="16"/>
        <v>0</v>
      </c>
      <c r="G82" s="22">
        <f t="shared" si="16"/>
        <v>0</v>
      </c>
      <c r="H82" s="22">
        <f t="shared" si="16"/>
        <v>0</v>
      </c>
      <c r="I82" s="22">
        <f t="shared" si="16"/>
        <v>0</v>
      </c>
      <c r="J82" s="22">
        <f>J12+J47</f>
        <v>0</v>
      </c>
      <c r="K82" s="22">
        <f t="shared" si="16"/>
        <v>0</v>
      </c>
      <c r="L82" s="22">
        <f t="shared" si="16"/>
        <v>0</v>
      </c>
      <c r="M82" s="22">
        <f t="shared" si="16"/>
        <v>0</v>
      </c>
      <c r="N82" s="22">
        <f t="shared" si="16"/>
        <v>0</v>
      </c>
      <c r="O82" s="12">
        <f t="shared" si="17"/>
        <v>0</v>
      </c>
      <c r="R82" s="2" t="s">
        <v>7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12">
        <f t="shared" si="18"/>
        <v>0</v>
      </c>
    </row>
    <row r="83" spans="1:34">
      <c r="A83" s="1" t="s">
        <v>8</v>
      </c>
      <c r="B83" s="22">
        <f t="shared" si="16"/>
        <v>0</v>
      </c>
      <c r="C83" s="22">
        <f t="shared" si="16"/>
        <v>0</v>
      </c>
      <c r="D83" s="22">
        <f t="shared" si="16"/>
        <v>0</v>
      </c>
      <c r="E83" s="22">
        <f t="shared" si="16"/>
        <v>0</v>
      </c>
      <c r="F83" s="22">
        <f t="shared" si="16"/>
        <v>0</v>
      </c>
      <c r="G83" s="22">
        <f t="shared" si="16"/>
        <v>0</v>
      </c>
      <c r="H83" s="22">
        <f t="shared" si="16"/>
        <v>0</v>
      </c>
      <c r="I83" s="22">
        <f t="shared" si="16"/>
        <v>0</v>
      </c>
      <c r="J83" s="22">
        <f t="shared" si="16"/>
        <v>0</v>
      </c>
      <c r="K83" s="22">
        <f t="shared" si="16"/>
        <v>0</v>
      </c>
      <c r="L83" s="22">
        <f t="shared" si="16"/>
        <v>0</v>
      </c>
      <c r="M83" s="22">
        <f t="shared" si="16"/>
        <v>0</v>
      </c>
      <c r="N83" s="22">
        <f t="shared" si="16"/>
        <v>0</v>
      </c>
      <c r="O83" s="12">
        <f t="shared" si="17"/>
        <v>0</v>
      </c>
      <c r="R83" s="2" t="s">
        <v>8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12">
        <f t="shared" si="18"/>
        <v>0</v>
      </c>
    </row>
    <row r="84" spans="1:34">
      <c r="A84" s="2" t="s">
        <v>9</v>
      </c>
      <c r="B84" s="22">
        <f t="shared" si="16"/>
        <v>0</v>
      </c>
      <c r="C84" s="22">
        <f t="shared" si="16"/>
        <v>0</v>
      </c>
      <c r="D84" s="22">
        <f t="shared" si="16"/>
        <v>0</v>
      </c>
      <c r="E84" s="22">
        <f t="shared" si="16"/>
        <v>0</v>
      </c>
      <c r="F84" s="22">
        <f t="shared" si="16"/>
        <v>0</v>
      </c>
      <c r="G84" s="22">
        <f t="shared" si="16"/>
        <v>0</v>
      </c>
      <c r="H84" s="22">
        <f t="shared" si="16"/>
        <v>0</v>
      </c>
      <c r="I84" s="22">
        <f t="shared" si="16"/>
        <v>0</v>
      </c>
      <c r="J84" s="22">
        <f t="shared" si="16"/>
        <v>0</v>
      </c>
      <c r="K84" s="22">
        <f t="shared" si="16"/>
        <v>0</v>
      </c>
      <c r="L84" s="22">
        <f t="shared" si="16"/>
        <v>0</v>
      </c>
      <c r="M84" s="22">
        <f t="shared" si="16"/>
        <v>0</v>
      </c>
      <c r="N84" s="22">
        <f t="shared" si="16"/>
        <v>0</v>
      </c>
      <c r="O84" s="12">
        <f t="shared" si="17"/>
        <v>0</v>
      </c>
      <c r="R84" s="2" t="s">
        <v>9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12">
        <f t="shared" si="18"/>
        <v>0</v>
      </c>
    </row>
    <row r="85" spans="1:34">
      <c r="A85" s="18" t="s">
        <v>10</v>
      </c>
      <c r="B85" s="22">
        <f t="shared" si="16"/>
        <v>0</v>
      </c>
      <c r="C85" s="22">
        <f t="shared" si="16"/>
        <v>0</v>
      </c>
      <c r="D85" s="22">
        <f t="shared" si="16"/>
        <v>0</v>
      </c>
      <c r="E85" s="22">
        <f t="shared" si="16"/>
        <v>0</v>
      </c>
      <c r="F85" s="22">
        <f t="shared" si="16"/>
        <v>0</v>
      </c>
      <c r="G85" s="22">
        <f t="shared" si="16"/>
        <v>0</v>
      </c>
      <c r="H85" s="22">
        <f t="shared" si="16"/>
        <v>0</v>
      </c>
      <c r="I85" s="22">
        <f t="shared" si="16"/>
        <v>0</v>
      </c>
      <c r="J85" s="22">
        <f t="shared" si="16"/>
        <v>0</v>
      </c>
      <c r="K85" s="22">
        <f t="shared" si="16"/>
        <v>0</v>
      </c>
      <c r="L85" s="22">
        <f t="shared" si="16"/>
        <v>0</v>
      </c>
      <c r="M85" s="22">
        <f t="shared" si="16"/>
        <v>0</v>
      </c>
      <c r="N85" s="22">
        <f t="shared" si="16"/>
        <v>0</v>
      </c>
      <c r="O85" s="12">
        <f t="shared" si="17"/>
        <v>0</v>
      </c>
      <c r="R85" s="2" t="s">
        <v>10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12">
        <f t="shared" si="18"/>
        <v>0</v>
      </c>
    </row>
    <row r="86" spans="1:34">
      <c r="A86" s="1" t="s">
        <v>11</v>
      </c>
      <c r="B86" s="22">
        <f t="shared" si="16"/>
        <v>0</v>
      </c>
      <c r="C86" s="22">
        <f t="shared" si="16"/>
        <v>0</v>
      </c>
      <c r="D86" s="22">
        <f t="shared" si="16"/>
        <v>0</v>
      </c>
      <c r="E86" s="22">
        <f t="shared" si="16"/>
        <v>0</v>
      </c>
      <c r="F86" s="22">
        <f t="shared" si="16"/>
        <v>0</v>
      </c>
      <c r="G86" s="22">
        <f t="shared" si="16"/>
        <v>0</v>
      </c>
      <c r="H86" s="22">
        <f t="shared" si="16"/>
        <v>0</v>
      </c>
      <c r="I86" s="22">
        <f t="shared" si="16"/>
        <v>0</v>
      </c>
      <c r="J86" s="22">
        <f t="shared" si="16"/>
        <v>0</v>
      </c>
      <c r="K86" s="22">
        <f t="shared" si="16"/>
        <v>0</v>
      </c>
      <c r="L86" s="22">
        <f t="shared" si="16"/>
        <v>0</v>
      </c>
      <c r="M86" s="22">
        <f t="shared" si="16"/>
        <v>0</v>
      </c>
      <c r="N86" s="22">
        <f t="shared" si="16"/>
        <v>0</v>
      </c>
      <c r="O86" s="12">
        <f t="shared" si="17"/>
        <v>0</v>
      </c>
      <c r="R86" s="2" t="s">
        <v>11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12">
        <f t="shared" si="18"/>
        <v>0</v>
      </c>
    </row>
    <row r="87" spans="1:34">
      <c r="A87" s="1" t="s">
        <v>12</v>
      </c>
      <c r="B87" s="22">
        <f t="shared" si="16"/>
        <v>0</v>
      </c>
      <c r="C87" s="22">
        <f t="shared" si="16"/>
        <v>0</v>
      </c>
      <c r="D87" s="22">
        <f t="shared" si="16"/>
        <v>0</v>
      </c>
      <c r="E87" s="22">
        <f t="shared" si="16"/>
        <v>0</v>
      </c>
      <c r="F87" s="22">
        <f t="shared" si="16"/>
        <v>0</v>
      </c>
      <c r="G87" s="22">
        <f t="shared" si="16"/>
        <v>0</v>
      </c>
      <c r="H87" s="22">
        <f t="shared" si="16"/>
        <v>0</v>
      </c>
      <c r="I87" s="22">
        <f t="shared" si="16"/>
        <v>0</v>
      </c>
      <c r="J87" s="22">
        <f t="shared" si="16"/>
        <v>0</v>
      </c>
      <c r="K87" s="22">
        <f t="shared" si="16"/>
        <v>0</v>
      </c>
      <c r="L87" s="22">
        <f t="shared" si="16"/>
        <v>0</v>
      </c>
      <c r="M87" s="22">
        <f t="shared" si="16"/>
        <v>0</v>
      </c>
      <c r="N87" s="22">
        <f t="shared" si="16"/>
        <v>0</v>
      </c>
      <c r="O87" s="12">
        <f t="shared" si="17"/>
        <v>0</v>
      </c>
      <c r="R87" s="2" t="s">
        <v>12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12">
        <f t="shared" si="18"/>
        <v>0</v>
      </c>
    </row>
    <row r="88" spans="1:34">
      <c r="A88" s="1" t="s">
        <v>15</v>
      </c>
      <c r="B88" s="22">
        <f t="shared" si="16"/>
        <v>0</v>
      </c>
      <c r="C88" s="22">
        <f t="shared" si="16"/>
        <v>0</v>
      </c>
      <c r="D88" s="22">
        <f t="shared" si="16"/>
        <v>0</v>
      </c>
      <c r="E88" s="22">
        <f t="shared" si="16"/>
        <v>0</v>
      </c>
      <c r="F88" s="22">
        <f t="shared" si="16"/>
        <v>0</v>
      </c>
      <c r="G88" s="22">
        <f t="shared" si="16"/>
        <v>0</v>
      </c>
      <c r="H88" s="22">
        <f t="shared" si="16"/>
        <v>0</v>
      </c>
      <c r="I88" s="22">
        <f t="shared" si="16"/>
        <v>0</v>
      </c>
      <c r="J88" s="22">
        <f t="shared" si="16"/>
        <v>0</v>
      </c>
      <c r="K88" s="22">
        <f t="shared" si="16"/>
        <v>0</v>
      </c>
      <c r="L88" s="22">
        <f t="shared" si="16"/>
        <v>0</v>
      </c>
      <c r="M88" s="22">
        <f t="shared" si="16"/>
        <v>0</v>
      </c>
      <c r="N88" s="22">
        <f t="shared" si="16"/>
        <v>0</v>
      </c>
      <c r="O88" s="12">
        <f t="shared" si="17"/>
        <v>0</v>
      </c>
      <c r="R88" s="2" t="s">
        <v>15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12">
        <f t="shared" si="18"/>
        <v>0</v>
      </c>
    </row>
    <row r="89" spans="1:34">
      <c r="A89" s="1" t="s">
        <v>14</v>
      </c>
      <c r="B89" s="22">
        <f t="shared" si="16"/>
        <v>0</v>
      </c>
      <c r="C89" s="22">
        <f t="shared" si="16"/>
        <v>0</v>
      </c>
      <c r="D89" s="22">
        <f t="shared" si="16"/>
        <v>0</v>
      </c>
      <c r="E89" s="22">
        <f t="shared" si="16"/>
        <v>0</v>
      </c>
      <c r="F89" s="22">
        <f t="shared" si="16"/>
        <v>0</v>
      </c>
      <c r="G89" s="22">
        <f t="shared" si="16"/>
        <v>0</v>
      </c>
      <c r="H89" s="22">
        <f t="shared" si="16"/>
        <v>0</v>
      </c>
      <c r="I89" s="22">
        <f t="shared" si="16"/>
        <v>0</v>
      </c>
      <c r="J89" s="22">
        <f t="shared" si="16"/>
        <v>0</v>
      </c>
      <c r="K89" s="22">
        <f t="shared" si="16"/>
        <v>0</v>
      </c>
      <c r="L89" s="22">
        <f t="shared" si="16"/>
        <v>0</v>
      </c>
      <c r="M89" s="22">
        <f t="shared" si="16"/>
        <v>0</v>
      </c>
      <c r="N89" s="22">
        <f t="shared" si="16"/>
        <v>0</v>
      </c>
      <c r="O89" s="12">
        <f t="shared" si="17"/>
        <v>0</v>
      </c>
      <c r="R89" s="2" t="s">
        <v>14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12">
        <f t="shared" si="18"/>
        <v>0</v>
      </c>
    </row>
    <row r="90" spans="1:34">
      <c r="A90" s="18" t="s">
        <v>13</v>
      </c>
      <c r="B90" s="22">
        <f t="shared" si="16"/>
        <v>0</v>
      </c>
      <c r="C90" s="22">
        <f t="shared" si="16"/>
        <v>0</v>
      </c>
      <c r="D90" s="22">
        <f t="shared" si="16"/>
        <v>0</v>
      </c>
      <c r="E90" s="22">
        <f t="shared" si="16"/>
        <v>0</v>
      </c>
      <c r="F90" s="22">
        <f t="shared" si="16"/>
        <v>0</v>
      </c>
      <c r="G90" s="22">
        <f t="shared" si="16"/>
        <v>0</v>
      </c>
      <c r="H90" s="22">
        <f t="shared" si="16"/>
        <v>0</v>
      </c>
      <c r="I90" s="22">
        <f t="shared" si="16"/>
        <v>0</v>
      </c>
      <c r="J90" s="22">
        <f t="shared" si="16"/>
        <v>0</v>
      </c>
      <c r="K90" s="22">
        <f t="shared" si="16"/>
        <v>0</v>
      </c>
      <c r="L90" s="22">
        <f t="shared" si="16"/>
        <v>0</v>
      </c>
      <c r="M90" s="22">
        <f t="shared" si="16"/>
        <v>0</v>
      </c>
      <c r="N90" s="22">
        <f t="shared" si="16"/>
        <v>0</v>
      </c>
      <c r="O90" s="12">
        <f t="shared" si="17"/>
        <v>0</v>
      </c>
      <c r="R90" s="2" t="s">
        <v>13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12">
        <f t="shared" si="18"/>
        <v>0</v>
      </c>
    </row>
    <row r="91" spans="1:34">
      <c r="A91" s="1" t="s">
        <v>16</v>
      </c>
      <c r="B91" s="22">
        <f t="shared" si="16"/>
        <v>0</v>
      </c>
      <c r="C91" s="22">
        <f t="shared" si="16"/>
        <v>0</v>
      </c>
      <c r="D91" s="22">
        <f t="shared" si="16"/>
        <v>0</v>
      </c>
      <c r="E91" s="22">
        <f t="shared" si="16"/>
        <v>0</v>
      </c>
      <c r="F91" s="22">
        <f t="shared" si="16"/>
        <v>0</v>
      </c>
      <c r="G91" s="22">
        <f t="shared" si="16"/>
        <v>0</v>
      </c>
      <c r="H91" s="22">
        <f t="shared" si="16"/>
        <v>0</v>
      </c>
      <c r="I91" s="22">
        <f t="shared" si="16"/>
        <v>0</v>
      </c>
      <c r="J91" s="22">
        <f t="shared" si="16"/>
        <v>0</v>
      </c>
      <c r="K91" s="22">
        <f t="shared" si="16"/>
        <v>0</v>
      </c>
      <c r="L91" s="22">
        <f t="shared" si="16"/>
        <v>0</v>
      </c>
      <c r="M91" s="22">
        <f t="shared" si="16"/>
        <v>0</v>
      </c>
      <c r="N91" s="22">
        <f t="shared" si="16"/>
        <v>0</v>
      </c>
      <c r="O91" s="12">
        <f t="shared" si="17"/>
        <v>0</v>
      </c>
      <c r="R91" s="2" t="s">
        <v>16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12">
        <f t="shared" si="18"/>
        <v>0</v>
      </c>
    </row>
    <row r="92" spans="1:34">
      <c r="A92" s="1" t="s">
        <v>17</v>
      </c>
      <c r="B92" s="22">
        <f t="shared" ref="B92:N101" si="19">B22+B57</f>
        <v>0</v>
      </c>
      <c r="C92" s="22">
        <f t="shared" si="19"/>
        <v>0</v>
      </c>
      <c r="D92" s="22">
        <f t="shared" si="19"/>
        <v>0</v>
      </c>
      <c r="E92" s="22">
        <f t="shared" si="19"/>
        <v>0</v>
      </c>
      <c r="F92" s="22">
        <f t="shared" si="19"/>
        <v>0</v>
      </c>
      <c r="G92" s="22">
        <f t="shared" si="19"/>
        <v>0</v>
      </c>
      <c r="H92" s="22">
        <f t="shared" si="19"/>
        <v>0</v>
      </c>
      <c r="I92" s="22">
        <f t="shared" si="19"/>
        <v>0</v>
      </c>
      <c r="J92" s="22">
        <f t="shared" si="19"/>
        <v>0</v>
      </c>
      <c r="K92" s="22">
        <f t="shared" si="19"/>
        <v>0</v>
      </c>
      <c r="L92" s="22">
        <f t="shared" si="19"/>
        <v>0</v>
      </c>
      <c r="M92" s="22">
        <f t="shared" si="19"/>
        <v>0</v>
      </c>
      <c r="N92" s="22">
        <f t="shared" si="19"/>
        <v>0</v>
      </c>
      <c r="O92" s="12">
        <f t="shared" si="17"/>
        <v>0</v>
      </c>
      <c r="R92" s="2" t="s">
        <v>17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12">
        <f t="shared" si="18"/>
        <v>0</v>
      </c>
    </row>
    <row r="93" spans="1:34">
      <c r="A93" s="1" t="s">
        <v>18</v>
      </c>
      <c r="B93" s="22">
        <f t="shared" si="19"/>
        <v>0</v>
      </c>
      <c r="C93" s="22">
        <f t="shared" si="19"/>
        <v>0</v>
      </c>
      <c r="D93" s="22">
        <f t="shared" si="19"/>
        <v>0</v>
      </c>
      <c r="E93" s="22">
        <f t="shared" si="19"/>
        <v>0</v>
      </c>
      <c r="F93" s="22">
        <f t="shared" si="19"/>
        <v>0</v>
      </c>
      <c r="G93" s="22">
        <f t="shared" si="19"/>
        <v>0</v>
      </c>
      <c r="H93" s="22">
        <f t="shared" si="19"/>
        <v>0</v>
      </c>
      <c r="I93" s="22">
        <f t="shared" si="19"/>
        <v>0</v>
      </c>
      <c r="J93" s="22">
        <f t="shared" si="19"/>
        <v>0</v>
      </c>
      <c r="K93" s="22">
        <f t="shared" si="19"/>
        <v>0</v>
      </c>
      <c r="L93" s="22">
        <f t="shared" si="19"/>
        <v>0</v>
      </c>
      <c r="M93" s="22">
        <f t="shared" si="19"/>
        <v>0</v>
      </c>
      <c r="N93" s="22">
        <f t="shared" si="19"/>
        <v>0</v>
      </c>
      <c r="O93" s="12">
        <f t="shared" si="17"/>
        <v>0</v>
      </c>
      <c r="R93" s="2" t="s">
        <v>18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12">
        <f t="shared" si="18"/>
        <v>0</v>
      </c>
    </row>
    <row r="94" spans="1:34">
      <c r="A94" s="1" t="s">
        <v>20</v>
      </c>
      <c r="B94" s="22">
        <f t="shared" si="19"/>
        <v>0</v>
      </c>
      <c r="C94" s="22">
        <f t="shared" si="19"/>
        <v>0</v>
      </c>
      <c r="D94" s="22">
        <f t="shared" si="19"/>
        <v>0</v>
      </c>
      <c r="E94" s="22">
        <f t="shared" si="19"/>
        <v>0</v>
      </c>
      <c r="F94" s="22">
        <f t="shared" si="19"/>
        <v>0</v>
      </c>
      <c r="G94" s="22">
        <f t="shared" si="19"/>
        <v>0</v>
      </c>
      <c r="H94" s="22">
        <f t="shared" si="19"/>
        <v>0</v>
      </c>
      <c r="I94" s="22">
        <f t="shared" si="19"/>
        <v>0</v>
      </c>
      <c r="J94" s="22">
        <f t="shared" si="19"/>
        <v>0</v>
      </c>
      <c r="K94" s="22">
        <f t="shared" si="19"/>
        <v>0</v>
      </c>
      <c r="L94" s="22">
        <f t="shared" si="19"/>
        <v>0</v>
      </c>
      <c r="M94" s="22">
        <f t="shared" si="19"/>
        <v>0</v>
      </c>
      <c r="N94" s="22">
        <f t="shared" si="19"/>
        <v>0</v>
      </c>
      <c r="O94" s="12">
        <f t="shared" si="17"/>
        <v>0</v>
      </c>
      <c r="R94" s="2" t="s">
        <v>20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12">
        <f t="shared" si="18"/>
        <v>0</v>
      </c>
    </row>
    <row r="95" spans="1:34">
      <c r="A95" s="1" t="s">
        <v>19</v>
      </c>
      <c r="B95" s="22">
        <f t="shared" si="19"/>
        <v>0</v>
      </c>
      <c r="C95" s="22">
        <f t="shared" si="19"/>
        <v>0</v>
      </c>
      <c r="D95" s="22">
        <f t="shared" si="19"/>
        <v>0</v>
      </c>
      <c r="E95" s="22">
        <f t="shared" si="19"/>
        <v>0</v>
      </c>
      <c r="F95" s="22">
        <f t="shared" si="19"/>
        <v>0</v>
      </c>
      <c r="G95" s="22">
        <f t="shared" si="19"/>
        <v>0</v>
      </c>
      <c r="H95" s="22">
        <f t="shared" si="19"/>
        <v>0</v>
      </c>
      <c r="I95" s="22">
        <f t="shared" si="19"/>
        <v>0</v>
      </c>
      <c r="J95" s="22">
        <f t="shared" si="19"/>
        <v>0</v>
      </c>
      <c r="K95" s="22">
        <f t="shared" si="19"/>
        <v>0</v>
      </c>
      <c r="L95" s="22">
        <f t="shared" si="19"/>
        <v>0</v>
      </c>
      <c r="M95" s="22">
        <f t="shared" si="19"/>
        <v>0</v>
      </c>
      <c r="N95" s="22">
        <f t="shared" si="19"/>
        <v>0</v>
      </c>
      <c r="O95" s="12">
        <f t="shared" si="17"/>
        <v>0</v>
      </c>
      <c r="R95" s="2" t="s">
        <v>19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12">
        <f t="shared" si="18"/>
        <v>0</v>
      </c>
    </row>
    <row r="96" spans="1:34">
      <c r="A96" s="18" t="s">
        <v>21</v>
      </c>
      <c r="B96" s="22">
        <f t="shared" si="19"/>
        <v>0</v>
      </c>
      <c r="C96" s="22">
        <f t="shared" si="19"/>
        <v>0</v>
      </c>
      <c r="D96" s="22">
        <f t="shared" si="19"/>
        <v>0</v>
      </c>
      <c r="E96" s="22">
        <f t="shared" si="19"/>
        <v>0</v>
      </c>
      <c r="F96" s="22">
        <f t="shared" si="19"/>
        <v>0</v>
      </c>
      <c r="G96" s="22">
        <f t="shared" si="19"/>
        <v>0</v>
      </c>
      <c r="H96" s="22">
        <f t="shared" si="19"/>
        <v>0</v>
      </c>
      <c r="I96" s="22">
        <f t="shared" si="19"/>
        <v>0</v>
      </c>
      <c r="J96" s="22">
        <f t="shared" si="19"/>
        <v>0</v>
      </c>
      <c r="K96" s="22">
        <f t="shared" si="19"/>
        <v>0</v>
      </c>
      <c r="L96" s="22">
        <f t="shared" si="19"/>
        <v>0</v>
      </c>
      <c r="M96" s="22">
        <f t="shared" si="19"/>
        <v>0</v>
      </c>
      <c r="N96" s="22">
        <f t="shared" si="19"/>
        <v>0</v>
      </c>
      <c r="O96" s="12">
        <f t="shared" si="17"/>
        <v>0</v>
      </c>
      <c r="R96" s="2" t="s">
        <v>21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12">
        <f t="shared" si="18"/>
        <v>0</v>
      </c>
    </row>
    <row r="97" spans="1:34">
      <c r="A97" s="2" t="s">
        <v>22</v>
      </c>
      <c r="B97" s="22">
        <f t="shared" si="19"/>
        <v>0</v>
      </c>
      <c r="C97" s="22">
        <f t="shared" si="19"/>
        <v>0</v>
      </c>
      <c r="D97" s="22">
        <f t="shared" si="19"/>
        <v>0</v>
      </c>
      <c r="E97" s="22">
        <f t="shared" si="19"/>
        <v>0</v>
      </c>
      <c r="F97" s="22">
        <f t="shared" si="19"/>
        <v>0</v>
      </c>
      <c r="G97" s="22">
        <f t="shared" si="19"/>
        <v>0</v>
      </c>
      <c r="H97" s="22">
        <f t="shared" si="19"/>
        <v>0</v>
      </c>
      <c r="I97" s="22">
        <f t="shared" si="19"/>
        <v>0</v>
      </c>
      <c r="J97" s="22">
        <f t="shared" si="19"/>
        <v>0</v>
      </c>
      <c r="K97" s="22">
        <f t="shared" si="19"/>
        <v>0</v>
      </c>
      <c r="L97" s="22">
        <f t="shared" si="19"/>
        <v>0</v>
      </c>
      <c r="M97" s="22">
        <f t="shared" si="19"/>
        <v>0</v>
      </c>
      <c r="N97" s="22">
        <f t="shared" si="19"/>
        <v>0</v>
      </c>
      <c r="O97" s="12">
        <f t="shared" si="17"/>
        <v>0</v>
      </c>
      <c r="R97" s="2" t="s">
        <v>22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12">
        <f t="shared" si="18"/>
        <v>0</v>
      </c>
    </row>
    <row r="98" spans="1:34">
      <c r="A98" s="1" t="s">
        <v>23</v>
      </c>
      <c r="B98" s="22">
        <f t="shared" si="19"/>
        <v>0</v>
      </c>
      <c r="C98" s="22">
        <f t="shared" si="19"/>
        <v>0</v>
      </c>
      <c r="D98" s="22">
        <f t="shared" si="19"/>
        <v>0</v>
      </c>
      <c r="E98" s="22">
        <f t="shared" si="19"/>
        <v>0</v>
      </c>
      <c r="F98" s="22">
        <f t="shared" si="19"/>
        <v>0</v>
      </c>
      <c r="G98" s="22">
        <f t="shared" si="19"/>
        <v>0</v>
      </c>
      <c r="H98" s="22">
        <f t="shared" si="19"/>
        <v>0</v>
      </c>
      <c r="I98" s="22">
        <f t="shared" si="19"/>
        <v>0</v>
      </c>
      <c r="J98" s="22">
        <f t="shared" si="19"/>
        <v>0</v>
      </c>
      <c r="K98" s="22">
        <f t="shared" si="19"/>
        <v>0</v>
      </c>
      <c r="L98" s="22">
        <f t="shared" si="19"/>
        <v>0</v>
      </c>
      <c r="M98" s="22">
        <f t="shared" si="19"/>
        <v>0</v>
      </c>
      <c r="N98" s="22">
        <f t="shared" si="19"/>
        <v>0</v>
      </c>
      <c r="O98" s="12">
        <f t="shared" si="17"/>
        <v>0</v>
      </c>
      <c r="R98" s="2" t="s">
        <v>23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12">
        <f t="shared" si="18"/>
        <v>0</v>
      </c>
    </row>
    <row r="99" spans="1:34">
      <c r="A99" s="1" t="s">
        <v>25</v>
      </c>
      <c r="B99" s="22">
        <f t="shared" si="19"/>
        <v>0</v>
      </c>
      <c r="C99" s="22">
        <f t="shared" si="19"/>
        <v>0</v>
      </c>
      <c r="D99" s="22">
        <f t="shared" si="19"/>
        <v>0</v>
      </c>
      <c r="E99" s="22">
        <f t="shared" si="19"/>
        <v>0</v>
      </c>
      <c r="F99" s="22">
        <f t="shared" si="19"/>
        <v>0</v>
      </c>
      <c r="G99" s="22">
        <f t="shared" si="19"/>
        <v>0</v>
      </c>
      <c r="H99" s="22">
        <f t="shared" si="19"/>
        <v>0</v>
      </c>
      <c r="I99" s="22">
        <f t="shared" si="19"/>
        <v>0</v>
      </c>
      <c r="J99" s="22">
        <f t="shared" si="19"/>
        <v>0</v>
      </c>
      <c r="K99" s="22">
        <f t="shared" si="19"/>
        <v>0</v>
      </c>
      <c r="L99" s="22">
        <f t="shared" si="19"/>
        <v>0</v>
      </c>
      <c r="M99" s="22">
        <f t="shared" si="19"/>
        <v>0</v>
      </c>
      <c r="N99" s="22">
        <f t="shared" si="19"/>
        <v>0</v>
      </c>
      <c r="O99" s="12">
        <f t="shared" si="17"/>
        <v>0</v>
      </c>
      <c r="R99" s="2" t="s">
        <v>25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12">
        <f>SUM(S99:AG99)</f>
        <v>0</v>
      </c>
    </row>
    <row r="100" spans="1:34">
      <c r="A100" s="1" t="s">
        <v>24</v>
      </c>
      <c r="B100" s="22">
        <f t="shared" si="19"/>
        <v>0</v>
      </c>
      <c r="C100" s="22">
        <f t="shared" si="19"/>
        <v>0</v>
      </c>
      <c r="D100" s="22">
        <f t="shared" si="19"/>
        <v>0</v>
      </c>
      <c r="E100" s="22">
        <f t="shared" si="19"/>
        <v>0</v>
      </c>
      <c r="F100" s="22">
        <f t="shared" si="19"/>
        <v>0</v>
      </c>
      <c r="G100" s="22">
        <f t="shared" si="19"/>
        <v>0</v>
      </c>
      <c r="H100" s="22">
        <f t="shared" si="19"/>
        <v>0</v>
      </c>
      <c r="I100" s="22">
        <f t="shared" si="19"/>
        <v>0</v>
      </c>
      <c r="J100" s="22">
        <f t="shared" si="19"/>
        <v>0</v>
      </c>
      <c r="K100" s="22">
        <f t="shared" si="19"/>
        <v>0</v>
      </c>
      <c r="L100" s="22">
        <f t="shared" si="19"/>
        <v>0</v>
      </c>
      <c r="M100" s="22">
        <f t="shared" si="19"/>
        <v>0</v>
      </c>
      <c r="N100" s="22">
        <f t="shared" si="19"/>
        <v>0</v>
      </c>
      <c r="O100" s="12">
        <f t="shared" si="17"/>
        <v>0</v>
      </c>
      <c r="R100" s="2" t="s">
        <v>24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12">
        <f t="shared" si="18"/>
        <v>0</v>
      </c>
    </row>
    <row r="101" spans="1:34">
      <c r="A101" s="1" t="s">
        <v>26</v>
      </c>
      <c r="B101" s="22">
        <f t="shared" si="19"/>
        <v>0</v>
      </c>
      <c r="C101" s="22">
        <f t="shared" si="19"/>
        <v>0</v>
      </c>
      <c r="D101" s="22">
        <f t="shared" si="19"/>
        <v>0</v>
      </c>
      <c r="E101" s="22">
        <f t="shared" si="19"/>
        <v>0</v>
      </c>
      <c r="F101" s="22">
        <f t="shared" si="19"/>
        <v>0</v>
      </c>
      <c r="G101" s="22">
        <f t="shared" si="19"/>
        <v>0</v>
      </c>
      <c r="H101" s="22">
        <f t="shared" si="19"/>
        <v>0</v>
      </c>
      <c r="I101" s="22">
        <f t="shared" si="19"/>
        <v>0</v>
      </c>
      <c r="J101" s="22">
        <f t="shared" si="19"/>
        <v>0</v>
      </c>
      <c r="K101" s="22">
        <f t="shared" si="19"/>
        <v>0</v>
      </c>
      <c r="L101" s="22">
        <f t="shared" si="19"/>
        <v>0</v>
      </c>
      <c r="M101" s="22">
        <f t="shared" si="19"/>
        <v>0</v>
      </c>
      <c r="N101" s="22">
        <f t="shared" si="19"/>
        <v>0</v>
      </c>
      <c r="O101" s="12">
        <f t="shared" si="17"/>
        <v>0</v>
      </c>
      <c r="R101" s="2" t="s">
        <v>26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12">
        <f t="shared" si="18"/>
        <v>0</v>
      </c>
    </row>
    <row r="102" spans="1:34">
      <c r="A102" s="8" t="s">
        <v>37</v>
      </c>
      <c r="B102" s="16">
        <f t="shared" ref="B102:O102" si="20">SUM(B75:B101)</f>
        <v>0</v>
      </c>
      <c r="C102" s="16">
        <f t="shared" si="20"/>
        <v>0</v>
      </c>
      <c r="D102" s="16">
        <f t="shared" si="20"/>
        <v>0</v>
      </c>
      <c r="E102" s="16">
        <f t="shared" si="20"/>
        <v>0</v>
      </c>
      <c r="F102" s="16">
        <f t="shared" si="20"/>
        <v>0</v>
      </c>
      <c r="G102" s="16">
        <f t="shared" si="20"/>
        <v>0</v>
      </c>
      <c r="H102" s="16">
        <f t="shared" si="20"/>
        <v>0</v>
      </c>
      <c r="I102" s="16">
        <f t="shared" si="20"/>
        <v>0</v>
      </c>
      <c r="J102" s="16">
        <f t="shared" si="20"/>
        <v>0</v>
      </c>
      <c r="K102" s="16">
        <f t="shared" si="20"/>
        <v>0</v>
      </c>
      <c r="L102" s="16">
        <f t="shared" si="20"/>
        <v>0</v>
      </c>
      <c r="M102" s="16">
        <f t="shared" si="20"/>
        <v>0</v>
      </c>
      <c r="N102" s="16">
        <f t="shared" si="20"/>
        <v>0</v>
      </c>
      <c r="O102" s="7">
        <f t="shared" si="20"/>
        <v>0</v>
      </c>
      <c r="R102" s="8" t="s">
        <v>37</v>
      </c>
      <c r="S102" s="7">
        <f t="shared" ref="S102:AH102" si="21">SUM(S75:S101)</f>
        <v>0</v>
      </c>
      <c r="T102" s="7">
        <f t="shared" si="21"/>
        <v>0</v>
      </c>
      <c r="U102" s="7">
        <f t="shared" si="21"/>
        <v>0</v>
      </c>
      <c r="V102" s="7">
        <f t="shared" si="21"/>
        <v>0</v>
      </c>
      <c r="W102" s="7">
        <f t="shared" si="21"/>
        <v>0</v>
      </c>
      <c r="X102" s="7">
        <f t="shared" si="21"/>
        <v>0</v>
      </c>
      <c r="Y102" s="7">
        <f t="shared" si="21"/>
        <v>0</v>
      </c>
      <c r="Z102" s="7">
        <f t="shared" si="21"/>
        <v>0</v>
      </c>
      <c r="AA102" s="7">
        <f t="shared" si="21"/>
        <v>0</v>
      </c>
      <c r="AB102" s="7">
        <f t="shared" si="21"/>
        <v>0</v>
      </c>
      <c r="AC102" s="7">
        <f t="shared" si="21"/>
        <v>0</v>
      </c>
      <c r="AD102" s="7">
        <f t="shared" si="21"/>
        <v>0</v>
      </c>
      <c r="AE102" s="7">
        <f t="shared" si="21"/>
        <v>0</v>
      </c>
      <c r="AF102" s="7">
        <f t="shared" si="21"/>
        <v>0</v>
      </c>
      <c r="AG102" s="7">
        <f t="shared" si="21"/>
        <v>0</v>
      </c>
      <c r="AH102" s="7">
        <f t="shared" si="21"/>
        <v>0</v>
      </c>
    </row>
    <row r="103" spans="1:34">
      <c r="AH103" s="15"/>
    </row>
    <row r="104" spans="1:34">
      <c r="O104" s="15" t="e">
        <f>O102+#REF!+#REF!+#REF!+#REF!</f>
        <v>#REF!</v>
      </c>
    </row>
    <row r="105" spans="1:34" ht="46.5">
      <c r="K105" s="289" t="s">
        <v>49</v>
      </c>
      <c r="L105" s="28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</row>
    <row r="106" spans="1:34" ht="15" customHeight="1">
      <c r="K106" s="290" t="s">
        <v>33</v>
      </c>
      <c r="L106" s="287" t="s">
        <v>27</v>
      </c>
      <c r="M106" s="288"/>
      <c r="N106" s="287" t="s">
        <v>29</v>
      </c>
      <c r="O106" s="288"/>
      <c r="P106" s="285" t="s">
        <v>28</v>
      </c>
      <c r="Q106" s="285" t="s">
        <v>36</v>
      </c>
      <c r="R106" s="285" t="s">
        <v>30</v>
      </c>
      <c r="S106" s="285" t="s">
        <v>31</v>
      </c>
      <c r="T106" s="285" t="s">
        <v>41</v>
      </c>
      <c r="U106" s="285" t="s">
        <v>35</v>
      </c>
      <c r="V106" s="285" t="s">
        <v>40</v>
      </c>
      <c r="W106" s="285" t="s">
        <v>42</v>
      </c>
      <c r="X106" s="285" t="s">
        <v>45</v>
      </c>
      <c r="Y106" s="287" t="s">
        <v>52</v>
      </c>
      <c r="Z106" s="288"/>
      <c r="AA106" s="285" t="s">
        <v>34</v>
      </c>
    </row>
    <row r="107" spans="1:34" ht="45" customHeight="1">
      <c r="K107" s="291"/>
      <c r="L107" s="56" t="s">
        <v>43</v>
      </c>
      <c r="M107" s="56" t="s">
        <v>44</v>
      </c>
      <c r="N107" s="56" t="s">
        <v>43</v>
      </c>
      <c r="O107" s="56" t="s">
        <v>44</v>
      </c>
      <c r="P107" s="286"/>
      <c r="Q107" s="286"/>
      <c r="R107" s="286"/>
      <c r="S107" s="286"/>
      <c r="T107" s="286"/>
      <c r="U107" s="286"/>
      <c r="V107" s="286"/>
      <c r="W107" s="286"/>
      <c r="X107" s="286"/>
      <c r="Y107" s="55" t="s">
        <v>53</v>
      </c>
      <c r="Z107" s="55" t="s">
        <v>54</v>
      </c>
      <c r="AA107" s="286"/>
    </row>
    <row r="108" spans="1:34">
      <c r="K108" s="1" t="s">
        <v>0</v>
      </c>
      <c r="L108" s="22">
        <f>B75+S75</f>
        <v>0</v>
      </c>
      <c r="M108" s="22">
        <f t="shared" ref="M108:X123" si="22">C75+T75</f>
        <v>0</v>
      </c>
      <c r="N108" s="22">
        <f t="shared" si="22"/>
        <v>0</v>
      </c>
      <c r="O108" s="22">
        <f t="shared" si="22"/>
        <v>0</v>
      </c>
      <c r="P108" s="22">
        <f t="shared" si="22"/>
        <v>0</v>
      </c>
      <c r="Q108" s="22">
        <f t="shared" si="22"/>
        <v>0</v>
      </c>
      <c r="R108" s="22">
        <f t="shared" si="22"/>
        <v>0</v>
      </c>
      <c r="S108" s="22">
        <f t="shared" si="22"/>
        <v>0</v>
      </c>
      <c r="T108" s="22">
        <f t="shared" si="22"/>
        <v>0</v>
      </c>
      <c r="U108" s="22">
        <f t="shared" si="22"/>
        <v>0</v>
      </c>
      <c r="V108" s="22">
        <f t="shared" si="22"/>
        <v>0</v>
      </c>
      <c r="W108" s="22">
        <f t="shared" si="22"/>
        <v>0</v>
      </c>
      <c r="X108" s="22">
        <f t="shared" si="22"/>
        <v>0</v>
      </c>
      <c r="Y108" s="22">
        <f>AF75</f>
        <v>0</v>
      </c>
      <c r="Z108" s="22">
        <f>AG75</f>
        <v>0</v>
      </c>
      <c r="AA108" s="12">
        <f>SUM(L108:Z108)</f>
        <v>0</v>
      </c>
    </row>
    <row r="109" spans="1:34">
      <c r="K109" s="1" t="s">
        <v>1</v>
      </c>
      <c r="L109" s="22">
        <f t="shared" ref="L109:X134" si="23">B76+S76</f>
        <v>0</v>
      </c>
      <c r="M109" s="22">
        <f t="shared" si="22"/>
        <v>0</v>
      </c>
      <c r="N109" s="22">
        <f t="shared" si="22"/>
        <v>0</v>
      </c>
      <c r="O109" s="22">
        <f t="shared" si="22"/>
        <v>0</v>
      </c>
      <c r="P109" s="22">
        <f t="shared" si="22"/>
        <v>0</v>
      </c>
      <c r="Q109" s="22">
        <f t="shared" si="22"/>
        <v>0</v>
      </c>
      <c r="R109" s="22">
        <f t="shared" si="22"/>
        <v>0</v>
      </c>
      <c r="S109" s="22">
        <f t="shared" si="22"/>
        <v>0</v>
      </c>
      <c r="T109" s="22">
        <f t="shared" si="22"/>
        <v>0</v>
      </c>
      <c r="U109" s="22">
        <f t="shared" si="22"/>
        <v>0</v>
      </c>
      <c r="V109" s="22">
        <f t="shared" si="22"/>
        <v>0</v>
      </c>
      <c r="W109" s="22">
        <f t="shared" si="22"/>
        <v>0</v>
      </c>
      <c r="X109" s="22">
        <f t="shared" si="22"/>
        <v>0</v>
      </c>
      <c r="Y109" s="22">
        <f t="shared" ref="Y109:Z124" si="24">AF76</f>
        <v>0</v>
      </c>
      <c r="Z109" s="22">
        <f t="shared" si="24"/>
        <v>0</v>
      </c>
      <c r="AA109" s="12">
        <f t="shared" ref="AA109:AA134" si="25">SUM(L109:Z109)</f>
        <v>0</v>
      </c>
    </row>
    <row r="110" spans="1:34">
      <c r="K110" s="18" t="s">
        <v>2</v>
      </c>
      <c r="L110" s="22">
        <f t="shared" si="23"/>
        <v>0</v>
      </c>
      <c r="M110" s="22">
        <f t="shared" si="22"/>
        <v>0</v>
      </c>
      <c r="N110" s="22">
        <f t="shared" si="22"/>
        <v>0</v>
      </c>
      <c r="O110" s="22">
        <f t="shared" si="22"/>
        <v>0</v>
      </c>
      <c r="P110" s="22">
        <f t="shared" si="22"/>
        <v>0</v>
      </c>
      <c r="Q110" s="22">
        <f t="shared" si="22"/>
        <v>0</v>
      </c>
      <c r="R110" s="22">
        <f t="shared" si="22"/>
        <v>0</v>
      </c>
      <c r="S110" s="22">
        <f t="shared" si="22"/>
        <v>0</v>
      </c>
      <c r="T110" s="22">
        <f t="shared" si="22"/>
        <v>0</v>
      </c>
      <c r="U110" s="22">
        <f t="shared" si="22"/>
        <v>0</v>
      </c>
      <c r="V110" s="22">
        <f t="shared" si="22"/>
        <v>0</v>
      </c>
      <c r="W110" s="22">
        <f t="shared" si="22"/>
        <v>0</v>
      </c>
      <c r="X110" s="22">
        <f t="shared" si="22"/>
        <v>0</v>
      </c>
      <c r="Y110" s="22">
        <f t="shared" si="24"/>
        <v>0</v>
      </c>
      <c r="Z110" s="22">
        <f t="shared" si="24"/>
        <v>0</v>
      </c>
      <c r="AA110" s="12">
        <f t="shared" si="25"/>
        <v>0</v>
      </c>
    </row>
    <row r="111" spans="1:34">
      <c r="K111" s="2" t="s">
        <v>3</v>
      </c>
      <c r="L111" s="22">
        <f t="shared" si="23"/>
        <v>0</v>
      </c>
      <c r="M111" s="22">
        <f t="shared" si="22"/>
        <v>0</v>
      </c>
      <c r="N111" s="22">
        <f t="shared" si="22"/>
        <v>0</v>
      </c>
      <c r="O111" s="22">
        <f t="shared" si="22"/>
        <v>0</v>
      </c>
      <c r="P111" s="22">
        <f t="shared" si="22"/>
        <v>0</v>
      </c>
      <c r="Q111" s="22">
        <f t="shared" si="22"/>
        <v>0</v>
      </c>
      <c r="R111" s="22">
        <f t="shared" si="22"/>
        <v>0</v>
      </c>
      <c r="S111" s="22">
        <f t="shared" si="22"/>
        <v>0</v>
      </c>
      <c r="T111" s="22">
        <f t="shared" si="22"/>
        <v>0</v>
      </c>
      <c r="U111" s="22">
        <f t="shared" si="22"/>
        <v>0</v>
      </c>
      <c r="V111" s="22">
        <f t="shared" si="22"/>
        <v>0</v>
      </c>
      <c r="W111" s="22">
        <f t="shared" si="22"/>
        <v>0</v>
      </c>
      <c r="X111" s="22">
        <f t="shared" si="22"/>
        <v>0</v>
      </c>
      <c r="Y111" s="22">
        <f t="shared" si="24"/>
        <v>0</v>
      </c>
      <c r="Z111" s="22">
        <f t="shared" si="24"/>
        <v>0</v>
      </c>
      <c r="AA111" s="12">
        <f t="shared" si="25"/>
        <v>0</v>
      </c>
    </row>
    <row r="112" spans="1:34">
      <c r="K112" s="1" t="s">
        <v>4</v>
      </c>
      <c r="L112" s="22">
        <f t="shared" si="23"/>
        <v>0</v>
      </c>
      <c r="M112" s="22">
        <f t="shared" si="22"/>
        <v>0</v>
      </c>
      <c r="N112" s="22">
        <f t="shared" si="22"/>
        <v>0</v>
      </c>
      <c r="O112" s="22">
        <f t="shared" si="22"/>
        <v>0</v>
      </c>
      <c r="P112" s="22">
        <f t="shared" si="22"/>
        <v>0</v>
      </c>
      <c r="Q112" s="22">
        <f t="shared" si="22"/>
        <v>0</v>
      </c>
      <c r="R112" s="22">
        <f t="shared" si="22"/>
        <v>0</v>
      </c>
      <c r="S112" s="22">
        <f t="shared" si="22"/>
        <v>0</v>
      </c>
      <c r="T112" s="22">
        <f t="shared" si="22"/>
        <v>0</v>
      </c>
      <c r="U112" s="22">
        <f t="shared" si="22"/>
        <v>0</v>
      </c>
      <c r="V112" s="22">
        <f t="shared" si="22"/>
        <v>0</v>
      </c>
      <c r="W112" s="22">
        <f t="shared" si="22"/>
        <v>0</v>
      </c>
      <c r="X112" s="22">
        <f t="shared" si="22"/>
        <v>0</v>
      </c>
      <c r="Y112" s="22">
        <f t="shared" si="24"/>
        <v>0</v>
      </c>
      <c r="Z112" s="22">
        <f t="shared" si="24"/>
        <v>0</v>
      </c>
      <c r="AA112" s="12">
        <f t="shared" si="25"/>
        <v>0</v>
      </c>
    </row>
    <row r="113" spans="11:27">
      <c r="K113" s="1" t="s">
        <v>5</v>
      </c>
      <c r="L113" s="22">
        <f t="shared" si="23"/>
        <v>0</v>
      </c>
      <c r="M113" s="22">
        <f t="shared" si="22"/>
        <v>0</v>
      </c>
      <c r="N113" s="22">
        <f t="shared" si="22"/>
        <v>0</v>
      </c>
      <c r="O113" s="22">
        <f t="shared" si="22"/>
        <v>0</v>
      </c>
      <c r="P113" s="22">
        <f t="shared" si="22"/>
        <v>0</v>
      </c>
      <c r="Q113" s="22">
        <f t="shared" si="22"/>
        <v>0</v>
      </c>
      <c r="R113" s="22">
        <f t="shared" si="22"/>
        <v>0</v>
      </c>
      <c r="S113" s="22">
        <f t="shared" si="22"/>
        <v>0</v>
      </c>
      <c r="T113" s="22">
        <f t="shared" si="22"/>
        <v>0</v>
      </c>
      <c r="U113" s="22">
        <f t="shared" si="22"/>
        <v>0</v>
      </c>
      <c r="V113" s="22">
        <f t="shared" si="22"/>
        <v>0</v>
      </c>
      <c r="W113" s="22">
        <f t="shared" si="22"/>
        <v>0</v>
      </c>
      <c r="X113" s="22">
        <f t="shared" si="22"/>
        <v>0</v>
      </c>
      <c r="Y113" s="22">
        <f t="shared" si="24"/>
        <v>0</v>
      </c>
      <c r="Z113" s="22">
        <f t="shared" si="24"/>
        <v>0</v>
      </c>
      <c r="AA113" s="12">
        <f t="shared" si="25"/>
        <v>0</v>
      </c>
    </row>
    <row r="114" spans="11:27">
      <c r="K114" s="1" t="s">
        <v>6</v>
      </c>
      <c r="L114" s="22">
        <f t="shared" si="23"/>
        <v>0</v>
      </c>
      <c r="M114" s="22">
        <f t="shared" si="22"/>
        <v>0</v>
      </c>
      <c r="N114" s="22">
        <f t="shared" si="22"/>
        <v>0</v>
      </c>
      <c r="O114" s="22">
        <f t="shared" si="22"/>
        <v>0</v>
      </c>
      <c r="P114" s="22">
        <f t="shared" si="22"/>
        <v>0</v>
      </c>
      <c r="Q114" s="22">
        <f t="shared" si="22"/>
        <v>0</v>
      </c>
      <c r="R114" s="22">
        <f t="shared" si="22"/>
        <v>0</v>
      </c>
      <c r="S114" s="22">
        <f t="shared" si="22"/>
        <v>0</v>
      </c>
      <c r="T114" s="22">
        <f t="shared" si="22"/>
        <v>0</v>
      </c>
      <c r="U114" s="22">
        <f t="shared" si="22"/>
        <v>0</v>
      </c>
      <c r="V114" s="22">
        <f t="shared" si="22"/>
        <v>0</v>
      </c>
      <c r="W114" s="22">
        <f t="shared" si="22"/>
        <v>0</v>
      </c>
      <c r="X114" s="22">
        <f t="shared" si="22"/>
        <v>0</v>
      </c>
      <c r="Y114" s="22">
        <f t="shared" si="24"/>
        <v>0</v>
      </c>
      <c r="Z114" s="22">
        <f t="shared" si="24"/>
        <v>0</v>
      </c>
      <c r="AA114" s="12">
        <f t="shared" si="25"/>
        <v>0</v>
      </c>
    </row>
    <row r="115" spans="11:27">
      <c r="K115" s="1" t="s">
        <v>7</v>
      </c>
      <c r="L115" s="22">
        <f t="shared" si="23"/>
        <v>0</v>
      </c>
      <c r="M115" s="22">
        <f t="shared" si="22"/>
        <v>0</v>
      </c>
      <c r="N115" s="22">
        <f t="shared" si="22"/>
        <v>0</v>
      </c>
      <c r="O115" s="22">
        <f t="shared" si="22"/>
        <v>0</v>
      </c>
      <c r="P115" s="22">
        <f t="shared" si="22"/>
        <v>0</v>
      </c>
      <c r="Q115" s="22">
        <f t="shared" si="22"/>
        <v>0</v>
      </c>
      <c r="R115" s="22">
        <f t="shared" si="22"/>
        <v>0</v>
      </c>
      <c r="S115" s="22">
        <f t="shared" si="22"/>
        <v>0</v>
      </c>
      <c r="T115" s="22">
        <f t="shared" si="22"/>
        <v>0</v>
      </c>
      <c r="U115" s="22">
        <f t="shared" si="22"/>
        <v>0</v>
      </c>
      <c r="V115" s="22">
        <f t="shared" si="22"/>
        <v>0</v>
      </c>
      <c r="W115" s="22">
        <f t="shared" si="22"/>
        <v>0</v>
      </c>
      <c r="X115" s="22">
        <f t="shared" si="22"/>
        <v>0</v>
      </c>
      <c r="Y115" s="22">
        <f t="shared" si="24"/>
        <v>0</v>
      </c>
      <c r="Z115" s="22">
        <f t="shared" si="24"/>
        <v>0</v>
      </c>
      <c r="AA115" s="12">
        <f t="shared" si="25"/>
        <v>0</v>
      </c>
    </row>
    <row r="116" spans="11:27">
      <c r="K116" s="1" t="s">
        <v>8</v>
      </c>
      <c r="L116" s="22">
        <f t="shared" si="23"/>
        <v>0</v>
      </c>
      <c r="M116" s="22">
        <f t="shared" si="22"/>
        <v>0</v>
      </c>
      <c r="N116" s="22">
        <f t="shared" si="22"/>
        <v>0</v>
      </c>
      <c r="O116" s="22">
        <f t="shared" si="22"/>
        <v>0</v>
      </c>
      <c r="P116" s="22">
        <f t="shared" si="22"/>
        <v>0</v>
      </c>
      <c r="Q116" s="22">
        <f t="shared" si="22"/>
        <v>0</v>
      </c>
      <c r="R116" s="22">
        <f t="shared" si="22"/>
        <v>0</v>
      </c>
      <c r="S116" s="22">
        <f t="shared" si="22"/>
        <v>0</v>
      </c>
      <c r="T116" s="22">
        <f t="shared" si="22"/>
        <v>0</v>
      </c>
      <c r="U116" s="22">
        <f t="shared" si="22"/>
        <v>0</v>
      </c>
      <c r="V116" s="22">
        <f t="shared" si="22"/>
        <v>0</v>
      </c>
      <c r="W116" s="22">
        <f t="shared" si="22"/>
        <v>0</v>
      </c>
      <c r="X116" s="22">
        <f t="shared" si="22"/>
        <v>0</v>
      </c>
      <c r="Y116" s="22">
        <f t="shared" si="24"/>
        <v>0</v>
      </c>
      <c r="Z116" s="22">
        <f t="shared" si="24"/>
        <v>0</v>
      </c>
      <c r="AA116" s="12">
        <f t="shared" si="25"/>
        <v>0</v>
      </c>
    </row>
    <row r="117" spans="11:27">
      <c r="K117" s="2" t="s">
        <v>9</v>
      </c>
      <c r="L117" s="22">
        <f t="shared" si="23"/>
        <v>0</v>
      </c>
      <c r="M117" s="22">
        <f t="shared" si="22"/>
        <v>0</v>
      </c>
      <c r="N117" s="22">
        <f t="shared" si="22"/>
        <v>0</v>
      </c>
      <c r="O117" s="22">
        <f t="shared" si="22"/>
        <v>0</v>
      </c>
      <c r="P117" s="22">
        <f t="shared" si="22"/>
        <v>0</v>
      </c>
      <c r="Q117" s="22">
        <f t="shared" si="22"/>
        <v>0</v>
      </c>
      <c r="R117" s="22">
        <f t="shared" si="22"/>
        <v>0</v>
      </c>
      <c r="S117" s="22">
        <f t="shared" si="22"/>
        <v>0</v>
      </c>
      <c r="T117" s="22">
        <f t="shared" si="22"/>
        <v>0</v>
      </c>
      <c r="U117" s="22">
        <f t="shared" si="22"/>
        <v>0</v>
      </c>
      <c r="V117" s="22">
        <f t="shared" si="22"/>
        <v>0</v>
      </c>
      <c r="W117" s="22">
        <f t="shared" si="22"/>
        <v>0</v>
      </c>
      <c r="X117" s="22">
        <f t="shared" si="22"/>
        <v>0</v>
      </c>
      <c r="Y117" s="22">
        <f t="shared" si="24"/>
        <v>0</v>
      </c>
      <c r="Z117" s="22">
        <f t="shared" si="24"/>
        <v>0</v>
      </c>
      <c r="AA117" s="12">
        <f t="shared" si="25"/>
        <v>0</v>
      </c>
    </row>
    <row r="118" spans="11:27">
      <c r="K118" s="18" t="s">
        <v>10</v>
      </c>
      <c r="L118" s="22">
        <f t="shared" si="23"/>
        <v>0</v>
      </c>
      <c r="M118" s="22">
        <f t="shared" si="22"/>
        <v>0</v>
      </c>
      <c r="N118" s="22">
        <f t="shared" si="22"/>
        <v>0</v>
      </c>
      <c r="O118" s="22">
        <f t="shared" si="22"/>
        <v>0</v>
      </c>
      <c r="P118" s="22">
        <f t="shared" si="22"/>
        <v>0</v>
      </c>
      <c r="Q118" s="22">
        <f t="shared" si="22"/>
        <v>0</v>
      </c>
      <c r="R118" s="22">
        <f t="shared" si="22"/>
        <v>0</v>
      </c>
      <c r="S118" s="22">
        <f t="shared" si="22"/>
        <v>0</v>
      </c>
      <c r="T118" s="22">
        <f t="shared" si="22"/>
        <v>0</v>
      </c>
      <c r="U118" s="22">
        <f t="shared" si="22"/>
        <v>0</v>
      </c>
      <c r="V118" s="22">
        <f t="shared" si="22"/>
        <v>0</v>
      </c>
      <c r="W118" s="22">
        <f t="shared" si="22"/>
        <v>0</v>
      </c>
      <c r="X118" s="22">
        <f t="shared" si="22"/>
        <v>0</v>
      </c>
      <c r="Y118" s="22">
        <f t="shared" si="24"/>
        <v>0</v>
      </c>
      <c r="Z118" s="22">
        <f t="shared" si="24"/>
        <v>0</v>
      </c>
      <c r="AA118" s="12">
        <f t="shared" si="25"/>
        <v>0</v>
      </c>
    </row>
    <row r="119" spans="11:27">
      <c r="K119" s="1" t="s">
        <v>11</v>
      </c>
      <c r="L119" s="22">
        <f t="shared" si="23"/>
        <v>0</v>
      </c>
      <c r="M119" s="22">
        <f t="shared" si="22"/>
        <v>0</v>
      </c>
      <c r="N119" s="22">
        <f t="shared" si="22"/>
        <v>0</v>
      </c>
      <c r="O119" s="22">
        <f t="shared" si="22"/>
        <v>0</v>
      </c>
      <c r="P119" s="22">
        <f t="shared" si="22"/>
        <v>0</v>
      </c>
      <c r="Q119" s="22">
        <f t="shared" si="22"/>
        <v>0</v>
      </c>
      <c r="R119" s="22">
        <f t="shared" si="22"/>
        <v>0</v>
      </c>
      <c r="S119" s="22">
        <f t="shared" si="22"/>
        <v>0</v>
      </c>
      <c r="T119" s="22">
        <f t="shared" si="22"/>
        <v>0</v>
      </c>
      <c r="U119" s="22">
        <f t="shared" si="22"/>
        <v>0</v>
      </c>
      <c r="V119" s="22">
        <f t="shared" si="22"/>
        <v>0</v>
      </c>
      <c r="W119" s="22">
        <f t="shared" si="22"/>
        <v>0</v>
      </c>
      <c r="X119" s="22">
        <f t="shared" si="22"/>
        <v>0</v>
      </c>
      <c r="Y119" s="22">
        <f t="shared" si="24"/>
        <v>0</v>
      </c>
      <c r="Z119" s="22">
        <f t="shared" si="24"/>
        <v>0</v>
      </c>
      <c r="AA119" s="12">
        <f t="shared" si="25"/>
        <v>0</v>
      </c>
    </row>
    <row r="120" spans="11:27">
      <c r="K120" s="1" t="s">
        <v>12</v>
      </c>
      <c r="L120" s="22">
        <f t="shared" si="23"/>
        <v>0</v>
      </c>
      <c r="M120" s="22">
        <f t="shared" si="22"/>
        <v>0</v>
      </c>
      <c r="N120" s="22">
        <f t="shared" si="22"/>
        <v>0</v>
      </c>
      <c r="O120" s="22">
        <f t="shared" si="22"/>
        <v>0</v>
      </c>
      <c r="P120" s="22">
        <f t="shared" si="22"/>
        <v>0</v>
      </c>
      <c r="Q120" s="22">
        <f t="shared" si="22"/>
        <v>0</v>
      </c>
      <c r="R120" s="22">
        <f t="shared" si="22"/>
        <v>0</v>
      </c>
      <c r="S120" s="22">
        <f t="shared" si="22"/>
        <v>0</v>
      </c>
      <c r="T120" s="22">
        <f t="shared" si="22"/>
        <v>0</v>
      </c>
      <c r="U120" s="22">
        <f t="shared" si="22"/>
        <v>0</v>
      </c>
      <c r="V120" s="22">
        <f t="shared" si="22"/>
        <v>0</v>
      </c>
      <c r="W120" s="22">
        <f t="shared" si="22"/>
        <v>0</v>
      </c>
      <c r="X120" s="22">
        <f t="shared" si="22"/>
        <v>0</v>
      </c>
      <c r="Y120" s="22">
        <f t="shared" si="24"/>
        <v>0</v>
      </c>
      <c r="Z120" s="22">
        <f t="shared" si="24"/>
        <v>0</v>
      </c>
      <c r="AA120" s="12">
        <f t="shared" si="25"/>
        <v>0</v>
      </c>
    </row>
    <row r="121" spans="11:27">
      <c r="K121" s="1" t="s">
        <v>15</v>
      </c>
      <c r="L121" s="22">
        <f t="shared" si="23"/>
        <v>0</v>
      </c>
      <c r="M121" s="22">
        <f t="shared" si="22"/>
        <v>0</v>
      </c>
      <c r="N121" s="22">
        <f t="shared" si="22"/>
        <v>0</v>
      </c>
      <c r="O121" s="22">
        <f t="shared" si="22"/>
        <v>0</v>
      </c>
      <c r="P121" s="22">
        <f t="shared" si="22"/>
        <v>0</v>
      </c>
      <c r="Q121" s="22">
        <f t="shared" si="22"/>
        <v>0</v>
      </c>
      <c r="R121" s="22">
        <f t="shared" si="22"/>
        <v>0</v>
      </c>
      <c r="S121" s="22">
        <f t="shared" si="22"/>
        <v>0</v>
      </c>
      <c r="T121" s="22">
        <f t="shared" si="22"/>
        <v>0</v>
      </c>
      <c r="U121" s="22">
        <f t="shared" si="22"/>
        <v>0</v>
      </c>
      <c r="V121" s="22">
        <f t="shared" si="22"/>
        <v>0</v>
      </c>
      <c r="W121" s="22">
        <f t="shared" si="22"/>
        <v>0</v>
      </c>
      <c r="X121" s="22">
        <f t="shared" si="22"/>
        <v>0</v>
      </c>
      <c r="Y121" s="22">
        <f t="shared" si="24"/>
        <v>0</v>
      </c>
      <c r="Z121" s="22">
        <f t="shared" si="24"/>
        <v>0</v>
      </c>
      <c r="AA121" s="12">
        <f t="shared" si="25"/>
        <v>0</v>
      </c>
    </row>
    <row r="122" spans="11:27">
      <c r="K122" s="1" t="s">
        <v>14</v>
      </c>
      <c r="L122" s="22">
        <f t="shared" si="23"/>
        <v>0</v>
      </c>
      <c r="M122" s="22">
        <f t="shared" si="22"/>
        <v>0</v>
      </c>
      <c r="N122" s="22">
        <f t="shared" si="22"/>
        <v>0</v>
      </c>
      <c r="O122" s="22">
        <f t="shared" si="22"/>
        <v>0</v>
      </c>
      <c r="P122" s="22">
        <f t="shared" si="22"/>
        <v>0</v>
      </c>
      <c r="Q122" s="22">
        <f t="shared" si="22"/>
        <v>0</v>
      </c>
      <c r="R122" s="22">
        <f t="shared" si="22"/>
        <v>0</v>
      </c>
      <c r="S122" s="22">
        <f t="shared" si="22"/>
        <v>0</v>
      </c>
      <c r="T122" s="22">
        <f t="shared" si="22"/>
        <v>0</v>
      </c>
      <c r="U122" s="22">
        <f t="shared" si="22"/>
        <v>0</v>
      </c>
      <c r="V122" s="22">
        <f t="shared" si="22"/>
        <v>0</v>
      </c>
      <c r="W122" s="22">
        <f t="shared" si="22"/>
        <v>0</v>
      </c>
      <c r="X122" s="22">
        <f t="shared" si="22"/>
        <v>0</v>
      </c>
      <c r="Y122" s="22">
        <f t="shared" si="24"/>
        <v>0</v>
      </c>
      <c r="Z122" s="22">
        <f t="shared" si="24"/>
        <v>0</v>
      </c>
      <c r="AA122" s="12">
        <f t="shared" si="25"/>
        <v>0</v>
      </c>
    </row>
    <row r="123" spans="11:27">
      <c r="K123" s="18" t="s">
        <v>13</v>
      </c>
      <c r="L123" s="22">
        <f t="shared" si="23"/>
        <v>0</v>
      </c>
      <c r="M123" s="22">
        <f t="shared" si="22"/>
        <v>0</v>
      </c>
      <c r="N123" s="22">
        <f t="shared" si="22"/>
        <v>0</v>
      </c>
      <c r="O123" s="22">
        <f t="shared" si="22"/>
        <v>0</v>
      </c>
      <c r="P123" s="22">
        <f t="shared" si="22"/>
        <v>0</v>
      </c>
      <c r="Q123" s="22">
        <f t="shared" si="22"/>
        <v>0</v>
      </c>
      <c r="R123" s="22">
        <f t="shared" si="22"/>
        <v>0</v>
      </c>
      <c r="S123" s="22">
        <f t="shared" si="22"/>
        <v>0</v>
      </c>
      <c r="T123" s="22">
        <f t="shared" si="22"/>
        <v>0</v>
      </c>
      <c r="U123" s="22">
        <f t="shared" si="22"/>
        <v>0</v>
      </c>
      <c r="V123" s="22">
        <f t="shared" si="22"/>
        <v>0</v>
      </c>
      <c r="W123" s="22">
        <f t="shared" si="22"/>
        <v>0</v>
      </c>
      <c r="X123" s="22">
        <f t="shared" si="22"/>
        <v>0</v>
      </c>
      <c r="Y123" s="22">
        <f t="shared" si="24"/>
        <v>0</v>
      </c>
      <c r="Z123" s="22">
        <f t="shared" si="24"/>
        <v>0</v>
      </c>
      <c r="AA123" s="12">
        <f t="shared" si="25"/>
        <v>0</v>
      </c>
    </row>
    <row r="124" spans="11:27">
      <c r="K124" s="1" t="s">
        <v>16</v>
      </c>
      <c r="L124" s="22">
        <f t="shared" si="23"/>
        <v>0</v>
      </c>
      <c r="M124" s="22">
        <f t="shared" si="23"/>
        <v>0</v>
      </c>
      <c r="N124" s="22">
        <f t="shared" si="23"/>
        <v>0</v>
      </c>
      <c r="O124" s="22">
        <f t="shared" si="23"/>
        <v>0</v>
      </c>
      <c r="P124" s="22">
        <f t="shared" si="23"/>
        <v>0</v>
      </c>
      <c r="Q124" s="22">
        <f t="shared" si="23"/>
        <v>0</v>
      </c>
      <c r="R124" s="22">
        <f t="shared" si="23"/>
        <v>0</v>
      </c>
      <c r="S124" s="22">
        <f t="shared" si="23"/>
        <v>0</v>
      </c>
      <c r="T124" s="22">
        <f t="shared" si="23"/>
        <v>0</v>
      </c>
      <c r="U124" s="22">
        <f t="shared" si="23"/>
        <v>0</v>
      </c>
      <c r="V124" s="22">
        <f t="shared" si="23"/>
        <v>0</v>
      </c>
      <c r="W124" s="22">
        <f t="shared" si="23"/>
        <v>0</v>
      </c>
      <c r="X124" s="22">
        <f t="shared" si="23"/>
        <v>0</v>
      </c>
      <c r="Y124" s="22">
        <f t="shared" si="24"/>
        <v>0</v>
      </c>
      <c r="Z124" s="22">
        <f t="shared" si="24"/>
        <v>0</v>
      </c>
      <c r="AA124" s="12">
        <f t="shared" si="25"/>
        <v>0</v>
      </c>
    </row>
    <row r="125" spans="11:27">
      <c r="K125" s="1" t="s">
        <v>17</v>
      </c>
      <c r="L125" s="22">
        <f t="shared" si="23"/>
        <v>0</v>
      </c>
      <c r="M125" s="22">
        <f t="shared" si="23"/>
        <v>0</v>
      </c>
      <c r="N125" s="22">
        <f t="shared" si="23"/>
        <v>0</v>
      </c>
      <c r="O125" s="22">
        <f t="shared" si="23"/>
        <v>0</v>
      </c>
      <c r="P125" s="22">
        <f t="shared" si="23"/>
        <v>0</v>
      </c>
      <c r="Q125" s="22">
        <f t="shared" si="23"/>
        <v>0</v>
      </c>
      <c r="R125" s="22">
        <f t="shared" si="23"/>
        <v>0</v>
      </c>
      <c r="S125" s="22">
        <f t="shared" si="23"/>
        <v>0</v>
      </c>
      <c r="T125" s="22">
        <f t="shared" si="23"/>
        <v>0</v>
      </c>
      <c r="U125" s="22">
        <f t="shared" si="23"/>
        <v>0</v>
      </c>
      <c r="V125" s="22">
        <f t="shared" si="23"/>
        <v>0</v>
      </c>
      <c r="W125" s="22">
        <f t="shared" si="23"/>
        <v>0</v>
      </c>
      <c r="X125" s="22">
        <f t="shared" si="23"/>
        <v>0</v>
      </c>
      <c r="Y125" s="22">
        <f t="shared" ref="Y125:Z134" si="26">AF92</f>
        <v>0</v>
      </c>
      <c r="Z125" s="22">
        <f t="shared" si="26"/>
        <v>0</v>
      </c>
      <c r="AA125" s="12">
        <f t="shared" si="25"/>
        <v>0</v>
      </c>
    </row>
    <row r="126" spans="11:27">
      <c r="K126" s="1" t="s">
        <v>18</v>
      </c>
      <c r="L126" s="22">
        <f t="shared" si="23"/>
        <v>0</v>
      </c>
      <c r="M126" s="22">
        <f t="shared" si="23"/>
        <v>0</v>
      </c>
      <c r="N126" s="22">
        <f t="shared" si="23"/>
        <v>0</v>
      </c>
      <c r="O126" s="22">
        <f t="shared" si="23"/>
        <v>0</v>
      </c>
      <c r="P126" s="22">
        <f t="shared" si="23"/>
        <v>0</v>
      </c>
      <c r="Q126" s="22">
        <f t="shared" si="23"/>
        <v>0</v>
      </c>
      <c r="R126" s="22">
        <f t="shared" si="23"/>
        <v>0</v>
      </c>
      <c r="S126" s="22">
        <f t="shared" si="23"/>
        <v>0</v>
      </c>
      <c r="T126" s="22">
        <f t="shared" si="23"/>
        <v>0</v>
      </c>
      <c r="U126" s="22">
        <f t="shared" si="23"/>
        <v>0</v>
      </c>
      <c r="V126" s="22">
        <f t="shared" si="23"/>
        <v>0</v>
      </c>
      <c r="W126" s="22">
        <f t="shared" si="23"/>
        <v>0</v>
      </c>
      <c r="X126" s="22">
        <f t="shared" si="23"/>
        <v>0</v>
      </c>
      <c r="Y126" s="22">
        <f t="shared" si="26"/>
        <v>0</v>
      </c>
      <c r="Z126" s="22">
        <f t="shared" si="26"/>
        <v>0</v>
      </c>
      <c r="AA126" s="12">
        <f t="shared" si="25"/>
        <v>0</v>
      </c>
    </row>
    <row r="127" spans="11:27">
      <c r="K127" s="1" t="s">
        <v>20</v>
      </c>
      <c r="L127" s="22">
        <f t="shared" si="23"/>
        <v>0</v>
      </c>
      <c r="M127" s="22">
        <f t="shared" si="23"/>
        <v>0</v>
      </c>
      <c r="N127" s="22">
        <f t="shared" si="23"/>
        <v>0</v>
      </c>
      <c r="O127" s="22">
        <f t="shared" si="23"/>
        <v>0</v>
      </c>
      <c r="P127" s="22">
        <f t="shared" si="23"/>
        <v>0</v>
      </c>
      <c r="Q127" s="22">
        <f t="shared" si="23"/>
        <v>0</v>
      </c>
      <c r="R127" s="22">
        <f t="shared" si="23"/>
        <v>0</v>
      </c>
      <c r="S127" s="22">
        <f t="shared" si="23"/>
        <v>0</v>
      </c>
      <c r="T127" s="22">
        <f t="shared" si="23"/>
        <v>0</v>
      </c>
      <c r="U127" s="22">
        <f t="shared" si="23"/>
        <v>0</v>
      </c>
      <c r="V127" s="22">
        <f t="shared" si="23"/>
        <v>0</v>
      </c>
      <c r="W127" s="22">
        <f t="shared" si="23"/>
        <v>0</v>
      </c>
      <c r="X127" s="22">
        <f t="shared" si="23"/>
        <v>0</v>
      </c>
      <c r="Y127" s="22">
        <f t="shared" si="26"/>
        <v>0</v>
      </c>
      <c r="Z127" s="22">
        <f t="shared" si="26"/>
        <v>0</v>
      </c>
      <c r="AA127" s="12">
        <f t="shared" si="25"/>
        <v>0</v>
      </c>
    </row>
    <row r="128" spans="11:27">
      <c r="K128" s="1" t="s">
        <v>19</v>
      </c>
      <c r="L128" s="22">
        <f t="shared" si="23"/>
        <v>0</v>
      </c>
      <c r="M128" s="22">
        <f t="shared" si="23"/>
        <v>0</v>
      </c>
      <c r="N128" s="22">
        <f t="shared" si="23"/>
        <v>0</v>
      </c>
      <c r="O128" s="22">
        <f t="shared" si="23"/>
        <v>0</v>
      </c>
      <c r="P128" s="22">
        <f t="shared" si="23"/>
        <v>0</v>
      </c>
      <c r="Q128" s="22">
        <f t="shared" si="23"/>
        <v>0</v>
      </c>
      <c r="R128" s="22">
        <f t="shared" si="23"/>
        <v>0</v>
      </c>
      <c r="S128" s="22">
        <f t="shared" si="23"/>
        <v>0</v>
      </c>
      <c r="T128" s="22">
        <f t="shared" si="23"/>
        <v>0</v>
      </c>
      <c r="U128" s="22">
        <f t="shared" si="23"/>
        <v>0</v>
      </c>
      <c r="V128" s="22">
        <f t="shared" si="23"/>
        <v>0</v>
      </c>
      <c r="W128" s="22">
        <f t="shared" si="23"/>
        <v>0</v>
      </c>
      <c r="X128" s="22">
        <f t="shared" si="23"/>
        <v>0</v>
      </c>
      <c r="Y128" s="22">
        <f t="shared" si="26"/>
        <v>0</v>
      </c>
      <c r="Z128" s="22">
        <f t="shared" si="26"/>
        <v>0</v>
      </c>
      <c r="AA128" s="12">
        <f t="shared" si="25"/>
        <v>0</v>
      </c>
    </row>
    <row r="129" spans="11:27">
      <c r="K129" s="18" t="s">
        <v>21</v>
      </c>
      <c r="L129" s="22">
        <f t="shared" si="23"/>
        <v>0</v>
      </c>
      <c r="M129" s="22">
        <f t="shared" si="23"/>
        <v>0</v>
      </c>
      <c r="N129" s="22">
        <f t="shared" si="23"/>
        <v>0</v>
      </c>
      <c r="O129" s="22">
        <f t="shared" si="23"/>
        <v>0</v>
      </c>
      <c r="P129" s="22">
        <f t="shared" si="23"/>
        <v>0</v>
      </c>
      <c r="Q129" s="22">
        <f t="shared" si="23"/>
        <v>0</v>
      </c>
      <c r="R129" s="22">
        <f t="shared" si="23"/>
        <v>0</v>
      </c>
      <c r="S129" s="22">
        <f t="shared" si="23"/>
        <v>0</v>
      </c>
      <c r="T129" s="22">
        <f t="shared" si="23"/>
        <v>0</v>
      </c>
      <c r="U129" s="22">
        <f t="shared" si="23"/>
        <v>0</v>
      </c>
      <c r="V129" s="22">
        <f t="shared" si="23"/>
        <v>0</v>
      </c>
      <c r="W129" s="22">
        <f t="shared" si="23"/>
        <v>0</v>
      </c>
      <c r="X129" s="22">
        <f t="shared" si="23"/>
        <v>0</v>
      </c>
      <c r="Y129" s="22">
        <f t="shared" si="26"/>
        <v>0</v>
      </c>
      <c r="Z129" s="22">
        <f t="shared" si="26"/>
        <v>0</v>
      </c>
      <c r="AA129" s="12">
        <f t="shared" si="25"/>
        <v>0</v>
      </c>
    </row>
    <row r="130" spans="11:27">
      <c r="K130" s="2" t="s">
        <v>22</v>
      </c>
      <c r="L130" s="22">
        <f t="shared" si="23"/>
        <v>0</v>
      </c>
      <c r="M130" s="22">
        <f t="shared" si="23"/>
        <v>0</v>
      </c>
      <c r="N130" s="22">
        <f t="shared" si="23"/>
        <v>0</v>
      </c>
      <c r="O130" s="22">
        <f t="shared" si="23"/>
        <v>0</v>
      </c>
      <c r="P130" s="22">
        <f t="shared" si="23"/>
        <v>0</v>
      </c>
      <c r="Q130" s="22">
        <f t="shared" si="23"/>
        <v>0</v>
      </c>
      <c r="R130" s="22">
        <f t="shared" si="23"/>
        <v>0</v>
      </c>
      <c r="S130" s="22">
        <f t="shared" si="23"/>
        <v>0</v>
      </c>
      <c r="T130" s="22">
        <f t="shared" si="23"/>
        <v>0</v>
      </c>
      <c r="U130" s="22">
        <f t="shared" si="23"/>
        <v>0</v>
      </c>
      <c r="V130" s="22">
        <f t="shared" si="23"/>
        <v>0</v>
      </c>
      <c r="W130" s="22">
        <f t="shared" si="23"/>
        <v>0</v>
      </c>
      <c r="X130" s="22">
        <f t="shared" si="23"/>
        <v>0</v>
      </c>
      <c r="Y130" s="22">
        <f t="shared" si="26"/>
        <v>0</v>
      </c>
      <c r="Z130" s="22">
        <f t="shared" si="26"/>
        <v>0</v>
      </c>
      <c r="AA130" s="12">
        <f t="shared" si="25"/>
        <v>0</v>
      </c>
    </row>
    <row r="131" spans="11:27">
      <c r="K131" s="1" t="s">
        <v>23</v>
      </c>
      <c r="L131" s="22">
        <f t="shared" si="23"/>
        <v>0</v>
      </c>
      <c r="M131" s="22">
        <f t="shared" si="23"/>
        <v>0</v>
      </c>
      <c r="N131" s="22">
        <f t="shared" si="23"/>
        <v>0</v>
      </c>
      <c r="O131" s="22">
        <f t="shared" si="23"/>
        <v>0</v>
      </c>
      <c r="P131" s="22">
        <f t="shared" si="23"/>
        <v>0</v>
      </c>
      <c r="Q131" s="22">
        <f t="shared" si="23"/>
        <v>0</v>
      </c>
      <c r="R131" s="22">
        <f t="shared" si="23"/>
        <v>0</v>
      </c>
      <c r="S131" s="22">
        <f t="shared" si="23"/>
        <v>0</v>
      </c>
      <c r="T131" s="22">
        <f t="shared" si="23"/>
        <v>0</v>
      </c>
      <c r="U131" s="22">
        <f t="shared" si="23"/>
        <v>0</v>
      </c>
      <c r="V131" s="22">
        <f t="shared" si="23"/>
        <v>0</v>
      </c>
      <c r="W131" s="22">
        <f t="shared" si="23"/>
        <v>0</v>
      </c>
      <c r="X131" s="22">
        <f t="shared" si="23"/>
        <v>0</v>
      </c>
      <c r="Y131" s="22">
        <f t="shared" si="26"/>
        <v>0</v>
      </c>
      <c r="Z131" s="22">
        <f t="shared" si="26"/>
        <v>0</v>
      </c>
      <c r="AA131" s="12">
        <f t="shared" si="25"/>
        <v>0</v>
      </c>
    </row>
    <row r="132" spans="11:27">
      <c r="K132" s="1" t="s">
        <v>25</v>
      </c>
      <c r="L132" s="22">
        <f t="shared" si="23"/>
        <v>0</v>
      </c>
      <c r="M132" s="22">
        <f t="shared" si="23"/>
        <v>0</v>
      </c>
      <c r="N132" s="22">
        <f t="shared" si="23"/>
        <v>0</v>
      </c>
      <c r="O132" s="22">
        <f t="shared" si="23"/>
        <v>0</v>
      </c>
      <c r="P132" s="22">
        <f t="shared" si="23"/>
        <v>0</v>
      </c>
      <c r="Q132" s="22">
        <f t="shared" si="23"/>
        <v>0</v>
      </c>
      <c r="R132" s="22">
        <f t="shared" si="23"/>
        <v>0</v>
      </c>
      <c r="S132" s="22">
        <f t="shared" si="23"/>
        <v>0</v>
      </c>
      <c r="T132" s="22">
        <f t="shared" si="23"/>
        <v>0</v>
      </c>
      <c r="U132" s="22">
        <f t="shared" si="23"/>
        <v>0</v>
      </c>
      <c r="V132" s="22">
        <f t="shared" si="23"/>
        <v>0</v>
      </c>
      <c r="W132" s="22">
        <f t="shared" si="23"/>
        <v>0</v>
      </c>
      <c r="X132" s="22">
        <f t="shared" si="23"/>
        <v>0</v>
      </c>
      <c r="Y132" s="22">
        <f t="shared" si="26"/>
        <v>0</v>
      </c>
      <c r="Z132" s="22">
        <f t="shared" si="26"/>
        <v>0</v>
      </c>
      <c r="AA132" s="12">
        <f t="shared" si="25"/>
        <v>0</v>
      </c>
    </row>
    <row r="133" spans="11:27">
      <c r="K133" s="1" t="s">
        <v>24</v>
      </c>
      <c r="L133" s="22">
        <f t="shared" si="23"/>
        <v>0</v>
      </c>
      <c r="M133" s="22">
        <f t="shared" si="23"/>
        <v>0</v>
      </c>
      <c r="N133" s="22">
        <f t="shared" si="23"/>
        <v>0</v>
      </c>
      <c r="O133" s="22">
        <f t="shared" si="23"/>
        <v>0</v>
      </c>
      <c r="P133" s="22">
        <f t="shared" si="23"/>
        <v>0</v>
      </c>
      <c r="Q133" s="22">
        <f t="shared" si="23"/>
        <v>0</v>
      </c>
      <c r="R133" s="22">
        <f t="shared" si="23"/>
        <v>0</v>
      </c>
      <c r="S133" s="22">
        <f t="shared" si="23"/>
        <v>0</v>
      </c>
      <c r="T133" s="22">
        <f t="shared" si="23"/>
        <v>0</v>
      </c>
      <c r="U133" s="22">
        <f t="shared" si="23"/>
        <v>0</v>
      </c>
      <c r="V133" s="22">
        <f t="shared" si="23"/>
        <v>0</v>
      </c>
      <c r="W133" s="22">
        <f t="shared" si="23"/>
        <v>0</v>
      </c>
      <c r="X133" s="22">
        <f t="shared" si="23"/>
        <v>0</v>
      </c>
      <c r="Y133" s="22">
        <f t="shared" si="26"/>
        <v>0</v>
      </c>
      <c r="Z133" s="22">
        <f t="shared" si="26"/>
        <v>0</v>
      </c>
      <c r="AA133" s="12">
        <f t="shared" si="25"/>
        <v>0</v>
      </c>
    </row>
    <row r="134" spans="11:27">
      <c r="K134" s="1" t="s">
        <v>26</v>
      </c>
      <c r="L134" s="22">
        <f t="shared" si="23"/>
        <v>0</v>
      </c>
      <c r="M134" s="22">
        <f t="shared" si="23"/>
        <v>0</v>
      </c>
      <c r="N134" s="22">
        <f t="shared" si="23"/>
        <v>0</v>
      </c>
      <c r="O134" s="22">
        <f t="shared" si="23"/>
        <v>0</v>
      </c>
      <c r="P134" s="22">
        <f t="shared" si="23"/>
        <v>0</v>
      </c>
      <c r="Q134" s="22">
        <f t="shared" si="23"/>
        <v>0</v>
      </c>
      <c r="R134" s="22">
        <f t="shared" si="23"/>
        <v>0</v>
      </c>
      <c r="S134" s="22">
        <f t="shared" si="23"/>
        <v>0</v>
      </c>
      <c r="T134" s="22">
        <f t="shared" si="23"/>
        <v>0</v>
      </c>
      <c r="U134" s="22">
        <f t="shared" si="23"/>
        <v>0</v>
      </c>
      <c r="V134" s="22">
        <f t="shared" si="23"/>
        <v>0</v>
      </c>
      <c r="W134" s="22">
        <f t="shared" si="23"/>
        <v>0</v>
      </c>
      <c r="X134" s="22">
        <f t="shared" si="23"/>
        <v>0</v>
      </c>
      <c r="Y134" s="22">
        <f t="shared" si="26"/>
        <v>0</v>
      </c>
      <c r="Z134" s="22">
        <f t="shared" si="26"/>
        <v>0</v>
      </c>
      <c r="AA134" s="12">
        <f t="shared" si="25"/>
        <v>0</v>
      </c>
    </row>
    <row r="135" spans="11:27">
      <c r="K135" s="8" t="s">
        <v>37</v>
      </c>
      <c r="L135" s="16">
        <f t="shared" ref="L135:AA135" si="27">SUM(L108:L134)</f>
        <v>0</v>
      </c>
      <c r="M135" s="16">
        <f t="shared" si="27"/>
        <v>0</v>
      </c>
      <c r="N135" s="16">
        <f t="shared" si="27"/>
        <v>0</v>
      </c>
      <c r="O135" s="16">
        <f t="shared" si="27"/>
        <v>0</v>
      </c>
      <c r="P135" s="16">
        <f t="shared" si="27"/>
        <v>0</v>
      </c>
      <c r="Q135" s="16">
        <f t="shared" si="27"/>
        <v>0</v>
      </c>
      <c r="R135" s="16">
        <f t="shared" si="27"/>
        <v>0</v>
      </c>
      <c r="S135" s="16">
        <f t="shared" si="27"/>
        <v>0</v>
      </c>
      <c r="T135" s="16">
        <f t="shared" si="27"/>
        <v>0</v>
      </c>
      <c r="U135" s="16">
        <f t="shared" si="27"/>
        <v>0</v>
      </c>
      <c r="V135" s="16">
        <f t="shared" si="27"/>
        <v>0</v>
      </c>
      <c r="W135" s="16">
        <f t="shared" si="27"/>
        <v>0</v>
      </c>
      <c r="X135" s="16">
        <f t="shared" si="27"/>
        <v>0</v>
      </c>
      <c r="Y135" s="16">
        <f>SUM(Y108:Y134)</f>
        <v>0</v>
      </c>
      <c r="Z135" s="16">
        <f>SUM(Z108:Z134)</f>
        <v>0</v>
      </c>
      <c r="AA135" s="7">
        <f t="shared" si="27"/>
        <v>0</v>
      </c>
    </row>
    <row r="140" spans="11:27">
      <c r="Y140" s="15"/>
    </row>
  </sheetData>
  <mergeCells count="104"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K38:K39"/>
    <mergeCell ref="L38:L39"/>
    <mergeCell ref="M38:M39"/>
    <mergeCell ref="L3:L4"/>
    <mergeCell ref="M3:M4"/>
    <mergeCell ref="N3:N4"/>
    <mergeCell ref="O3:O4"/>
    <mergeCell ref="A37:O37"/>
    <mergeCell ref="A38:A39"/>
    <mergeCell ref="B38:C38"/>
    <mergeCell ref="D38:E38"/>
    <mergeCell ref="F38:F39"/>
    <mergeCell ref="G38:G39"/>
    <mergeCell ref="B35:H35"/>
    <mergeCell ref="AC3:AC4"/>
    <mergeCell ref="AD3:AD4"/>
    <mergeCell ref="AE3:AE4"/>
    <mergeCell ref="R2:AH2"/>
    <mergeCell ref="AF3:AG3"/>
    <mergeCell ref="J73:J74"/>
    <mergeCell ref="K73:K74"/>
    <mergeCell ref="L73:L74"/>
    <mergeCell ref="M73:M74"/>
    <mergeCell ref="N73:N74"/>
    <mergeCell ref="O73:O74"/>
    <mergeCell ref="N38:N39"/>
    <mergeCell ref="O38:O39"/>
    <mergeCell ref="A72:O72"/>
    <mergeCell ref="A73:A74"/>
    <mergeCell ref="B73:C73"/>
    <mergeCell ref="D73:E73"/>
    <mergeCell ref="F73:F74"/>
    <mergeCell ref="G73:G74"/>
    <mergeCell ref="H73:H74"/>
    <mergeCell ref="I73:I74"/>
    <mergeCell ref="H38:H39"/>
    <mergeCell ref="I38:I39"/>
    <mergeCell ref="J38:J39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U73:V73"/>
    <mergeCell ref="AF73:AG73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A69:K69"/>
    <mergeCell ref="AH73:AH74"/>
    <mergeCell ref="K105:AA105"/>
    <mergeCell ref="Y106:Z106"/>
    <mergeCell ref="AA106:AA107"/>
    <mergeCell ref="AH3:AH4"/>
    <mergeCell ref="R37:AH37"/>
    <mergeCell ref="AF38:AG38"/>
    <mergeCell ref="AH38:AH39"/>
    <mergeCell ref="R72:AH72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R73:R74"/>
    <mergeCell ref="S73:T73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AH135"/>
  <sheetViews>
    <sheetView topLeftCell="A42" zoomScale="80" zoomScaleNormal="80" workbookViewId="0">
      <selection activeCell="A2" sqref="A2:AC37"/>
    </sheetView>
  </sheetViews>
  <sheetFormatPr defaultRowHeight="15"/>
  <cols>
    <col min="1" max="1" width="23.140625" customWidth="1"/>
    <col min="2" max="2" width="13.85546875" bestFit="1" customWidth="1"/>
    <col min="3" max="3" width="13.7109375" bestFit="1" customWidth="1"/>
    <col min="4" max="4" width="13.28515625" customWidth="1"/>
    <col min="5" max="5" width="13.42578125" bestFit="1" customWidth="1"/>
    <col min="6" max="6" width="13.85546875" bestFit="1" customWidth="1"/>
    <col min="7" max="7" width="19.7109375" bestFit="1" customWidth="1"/>
    <col min="8" max="8" width="12.28515625" bestFit="1" customWidth="1"/>
    <col min="9" max="9" width="15.7109375" bestFit="1" customWidth="1"/>
    <col min="10" max="10" width="13.140625" customWidth="1"/>
    <col min="11" max="11" width="20.42578125" bestFit="1" customWidth="1"/>
    <col min="12" max="14" width="20.28515625" customWidth="1"/>
    <col min="15" max="15" width="15.140625" bestFit="1" customWidth="1"/>
    <col min="16" max="16" width="13.85546875" bestFit="1" customWidth="1"/>
    <col min="17" max="17" width="11.5703125" bestFit="1" customWidth="1"/>
    <col min="18" max="18" width="22.85546875" style="20" customWidth="1"/>
    <col min="19" max="19" width="13.5703125" customWidth="1"/>
    <col min="20" max="20" width="12.42578125" customWidth="1"/>
    <col min="21" max="21" width="14.7109375" customWidth="1"/>
    <col min="22" max="22" width="12.42578125" customWidth="1"/>
    <col min="23" max="23" width="14.28515625" customWidth="1"/>
    <col min="24" max="24" width="20.28515625" customWidth="1"/>
    <col min="25" max="25" width="19.140625" bestFit="1" customWidth="1"/>
    <col min="26" max="27" width="16.5703125" customWidth="1"/>
    <col min="28" max="28" width="17.7109375" customWidth="1"/>
    <col min="29" max="29" width="16.7109375" customWidth="1"/>
    <col min="30" max="30" width="11.5703125" customWidth="1"/>
    <col min="31" max="32" width="14.140625" customWidth="1"/>
    <col min="33" max="33" width="15.7109375" customWidth="1"/>
    <col min="34" max="34" width="17" bestFit="1" customWidth="1"/>
  </cols>
  <sheetData>
    <row r="2" spans="1:34" ht="46.5">
      <c r="A2" s="292" t="s">
        <v>85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4"/>
      <c r="R2" s="292" t="s">
        <v>87</v>
      </c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4"/>
    </row>
    <row r="3" spans="1:34" ht="21.75" customHeight="1">
      <c r="A3" s="290" t="s">
        <v>33</v>
      </c>
      <c r="B3" s="287" t="s">
        <v>27</v>
      </c>
      <c r="C3" s="288"/>
      <c r="D3" s="287" t="s">
        <v>29</v>
      </c>
      <c r="E3" s="288"/>
      <c r="F3" s="285" t="s">
        <v>28</v>
      </c>
      <c r="G3" s="285" t="s">
        <v>36</v>
      </c>
      <c r="H3" s="285" t="s">
        <v>30</v>
      </c>
      <c r="I3" s="285" t="s">
        <v>31</v>
      </c>
      <c r="J3" s="285" t="s">
        <v>41</v>
      </c>
      <c r="K3" s="285" t="s">
        <v>35</v>
      </c>
      <c r="L3" s="285" t="s">
        <v>40</v>
      </c>
      <c r="M3" s="285" t="s">
        <v>42</v>
      </c>
      <c r="N3" s="285" t="s">
        <v>45</v>
      </c>
      <c r="O3" s="285" t="s">
        <v>34</v>
      </c>
      <c r="R3" s="290" t="s">
        <v>33</v>
      </c>
      <c r="S3" s="287" t="s">
        <v>27</v>
      </c>
      <c r="T3" s="288"/>
      <c r="U3" s="287" t="s">
        <v>29</v>
      </c>
      <c r="V3" s="288"/>
      <c r="W3" s="285" t="s">
        <v>28</v>
      </c>
      <c r="X3" s="285" t="s">
        <v>36</v>
      </c>
      <c r="Y3" s="285" t="s">
        <v>30</v>
      </c>
      <c r="Z3" s="285" t="s">
        <v>31</v>
      </c>
      <c r="AA3" s="285" t="s">
        <v>41</v>
      </c>
      <c r="AB3" s="285" t="s">
        <v>35</v>
      </c>
      <c r="AC3" s="285" t="s">
        <v>40</v>
      </c>
      <c r="AD3" s="285" t="s">
        <v>42</v>
      </c>
      <c r="AE3" s="285" t="s">
        <v>45</v>
      </c>
      <c r="AF3" s="299" t="s">
        <v>55</v>
      </c>
      <c r="AG3" s="300"/>
      <c r="AH3" s="285" t="s">
        <v>34</v>
      </c>
    </row>
    <row r="4" spans="1:34" ht="30">
      <c r="A4" s="291"/>
      <c r="B4" s="5" t="s">
        <v>43</v>
      </c>
      <c r="C4" s="5" t="s">
        <v>44</v>
      </c>
      <c r="D4" s="5" t="s">
        <v>43</v>
      </c>
      <c r="E4" s="5" t="s">
        <v>44</v>
      </c>
      <c r="F4" s="286"/>
      <c r="G4" s="286"/>
      <c r="H4" s="286"/>
      <c r="I4" s="286"/>
      <c r="J4" s="286"/>
      <c r="K4" s="286"/>
      <c r="L4" s="286"/>
      <c r="M4" s="286"/>
      <c r="N4" s="286"/>
      <c r="O4" s="286"/>
      <c r="R4" s="291"/>
      <c r="S4" s="46" t="s">
        <v>43</v>
      </c>
      <c r="T4" s="46" t="s">
        <v>44</v>
      </c>
      <c r="U4" s="46" t="s">
        <v>43</v>
      </c>
      <c r="V4" s="46" t="s">
        <v>44</v>
      </c>
      <c r="W4" s="286"/>
      <c r="X4" s="286"/>
      <c r="Y4" s="286"/>
      <c r="Z4" s="286"/>
      <c r="AA4" s="286"/>
      <c r="AB4" s="286"/>
      <c r="AC4" s="286"/>
      <c r="AD4" s="286"/>
      <c r="AE4" s="286"/>
      <c r="AF4" s="49" t="s">
        <v>53</v>
      </c>
      <c r="AG4" s="49" t="s">
        <v>54</v>
      </c>
      <c r="AH4" s="286"/>
    </row>
    <row r="5" spans="1:34">
      <c r="A5" s="1" t="s">
        <v>0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R5" s="1" t="s">
        <v>0</v>
      </c>
      <c r="S5" s="35">
        <f t="shared" ref="S5:V5" si="0">S75*0.8</f>
        <v>0</v>
      </c>
      <c r="T5" s="35">
        <f t="shared" si="0"/>
        <v>0</v>
      </c>
      <c r="U5" s="35">
        <f t="shared" si="0"/>
        <v>0</v>
      </c>
      <c r="V5" s="35">
        <f t="shared" si="0"/>
        <v>0</v>
      </c>
      <c r="W5" s="35">
        <f t="shared" ref="W5:AG5" si="1">W75*0.8</f>
        <v>0</v>
      </c>
      <c r="X5" s="35">
        <f t="shared" si="1"/>
        <v>0</v>
      </c>
      <c r="Y5" s="35">
        <f t="shared" si="1"/>
        <v>0</v>
      </c>
      <c r="Z5" s="35">
        <f t="shared" si="1"/>
        <v>0</v>
      </c>
      <c r="AA5" s="35">
        <f t="shared" si="1"/>
        <v>0</v>
      </c>
      <c r="AB5" s="35">
        <f t="shared" si="1"/>
        <v>0</v>
      </c>
      <c r="AC5" s="35">
        <f t="shared" si="1"/>
        <v>0</v>
      </c>
      <c r="AD5" s="35">
        <f t="shared" si="1"/>
        <v>0</v>
      </c>
      <c r="AE5" s="35">
        <f t="shared" si="1"/>
        <v>0</v>
      </c>
      <c r="AF5" s="35">
        <f>AF75*0.8</f>
        <v>0</v>
      </c>
      <c r="AG5" s="35">
        <f t="shared" si="1"/>
        <v>0</v>
      </c>
      <c r="AH5" s="4">
        <f>SUM(S5:AG5)</f>
        <v>0</v>
      </c>
    </row>
    <row r="6" spans="1:34">
      <c r="A6" s="1" t="s">
        <v>1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2">SUM(B6:N6)</f>
        <v>0</v>
      </c>
      <c r="R6" s="1" t="s">
        <v>1</v>
      </c>
      <c r="S6" s="35">
        <f t="shared" ref="S6:V6" si="3">S76*0.8</f>
        <v>0</v>
      </c>
      <c r="T6" s="35">
        <f t="shared" si="3"/>
        <v>0</v>
      </c>
      <c r="U6" s="35">
        <f t="shared" si="3"/>
        <v>0</v>
      </c>
      <c r="V6" s="35">
        <f t="shared" si="3"/>
        <v>0</v>
      </c>
      <c r="W6" s="35">
        <f t="shared" ref="W6:AG21" si="4">W76*0.8</f>
        <v>0</v>
      </c>
      <c r="X6" s="35">
        <f t="shared" si="4"/>
        <v>0</v>
      </c>
      <c r="Y6" s="35">
        <f t="shared" si="4"/>
        <v>0</v>
      </c>
      <c r="Z6" s="35">
        <f t="shared" si="4"/>
        <v>0</v>
      </c>
      <c r="AA6" s="35">
        <f t="shared" si="4"/>
        <v>0</v>
      </c>
      <c r="AB6" s="35">
        <f t="shared" si="4"/>
        <v>0</v>
      </c>
      <c r="AC6" s="35">
        <f t="shared" si="4"/>
        <v>0</v>
      </c>
      <c r="AD6" s="35">
        <f t="shared" si="4"/>
        <v>0</v>
      </c>
      <c r="AE6" s="35">
        <f t="shared" si="4"/>
        <v>0</v>
      </c>
      <c r="AF6" s="35">
        <f t="shared" si="4"/>
        <v>0</v>
      </c>
      <c r="AG6" s="35">
        <f t="shared" si="4"/>
        <v>0</v>
      </c>
      <c r="AH6" s="4">
        <f t="shared" ref="AH6:AH31" si="5">SUM(S6:AG6)</f>
        <v>0</v>
      </c>
    </row>
    <row r="7" spans="1:34">
      <c r="A7" s="18" t="s">
        <v>2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2"/>
        <v>0</v>
      </c>
      <c r="R7" s="18" t="s">
        <v>2</v>
      </c>
      <c r="S7" s="35">
        <f t="shared" ref="S7:V7" si="6">S77*0.8</f>
        <v>0</v>
      </c>
      <c r="T7" s="35">
        <f t="shared" si="6"/>
        <v>0</v>
      </c>
      <c r="U7" s="35">
        <f t="shared" si="6"/>
        <v>0</v>
      </c>
      <c r="V7" s="35">
        <f t="shared" si="6"/>
        <v>0</v>
      </c>
      <c r="W7" s="35">
        <f t="shared" si="4"/>
        <v>0</v>
      </c>
      <c r="X7" s="35">
        <f t="shared" si="4"/>
        <v>0</v>
      </c>
      <c r="Y7" s="35">
        <f t="shared" si="4"/>
        <v>0</v>
      </c>
      <c r="Z7" s="35">
        <f t="shared" si="4"/>
        <v>0</v>
      </c>
      <c r="AA7" s="35">
        <f t="shared" si="4"/>
        <v>0</v>
      </c>
      <c r="AB7" s="35">
        <f t="shared" si="4"/>
        <v>0</v>
      </c>
      <c r="AC7" s="35">
        <f t="shared" si="4"/>
        <v>0</v>
      </c>
      <c r="AD7" s="35">
        <f t="shared" si="4"/>
        <v>0</v>
      </c>
      <c r="AE7" s="35">
        <f t="shared" si="4"/>
        <v>0</v>
      </c>
      <c r="AF7" s="35">
        <f t="shared" si="4"/>
        <v>0</v>
      </c>
      <c r="AG7" s="35">
        <f t="shared" si="4"/>
        <v>0</v>
      </c>
      <c r="AH7" s="4">
        <f t="shared" si="5"/>
        <v>0</v>
      </c>
    </row>
    <row r="8" spans="1:34">
      <c r="A8" s="2" t="s">
        <v>3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2"/>
        <v>0</v>
      </c>
      <c r="R8" s="2" t="s">
        <v>3</v>
      </c>
      <c r="S8" s="35">
        <f t="shared" ref="S8:V8" si="7">S78*0.8</f>
        <v>0</v>
      </c>
      <c r="T8" s="35">
        <f t="shared" si="7"/>
        <v>0</v>
      </c>
      <c r="U8" s="35">
        <f t="shared" si="7"/>
        <v>0</v>
      </c>
      <c r="V8" s="35">
        <f t="shared" si="7"/>
        <v>0</v>
      </c>
      <c r="W8" s="35">
        <f t="shared" si="4"/>
        <v>0</v>
      </c>
      <c r="X8" s="35">
        <f t="shared" si="4"/>
        <v>0</v>
      </c>
      <c r="Y8" s="35">
        <f t="shared" si="4"/>
        <v>0</v>
      </c>
      <c r="Z8" s="35">
        <f t="shared" si="4"/>
        <v>0</v>
      </c>
      <c r="AA8" s="35">
        <f t="shared" si="4"/>
        <v>0</v>
      </c>
      <c r="AB8" s="35">
        <f t="shared" si="4"/>
        <v>0</v>
      </c>
      <c r="AC8" s="35">
        <f t="shared" si="4"/>
        <v>0</v>
      </c>
      <c r="AD8" s="35">
        <f t="shared" si="4"/>
        <v>0</v>
      </c>
      <c r="AE8" s="35">
        <f t="shared" si="4"/>
        <v>0</v>
      </c>
      <c r="AF8" s="35">
        <f>AF78</f>
        <v>0</v>
      </c>
      <c r="AG8" s="35">
        <f>AG78</f>
        <v>0</v>
      </c>
      <c r="AH8" s="4">
        <f t="shared" si="5"/>
        <v>0</v>
      </c>
    </row>
    <row r="9" spans="1:34">
      <c r="A9" s="1" t="s">
        <v>4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2"/>
        <v>0</v>
      </c>
      <c r="R9" s="1" t="s">
        <v>4</v>
      </c>
      <c r="S9" s="35">
        <f t="shared" ref="S9:V9" si="8">S79*0.8</f>
        <v>0</v>
      </c>
      <c r="T9" s="35">
        <f t="shared" si="8"/>
        <v>0</v>
      </c>
      <c r="U9" s="35">
        <f t="shared" si="8"/>
        <v>0</v>
      </c>
      <c r="V9" s="35">
        <f t="shared" si="8"/>
        <v>0</v>
      </c>
      <c r="W9" s="35">
        <f t="shared" si="4"/>
        <v>0</v>
      </c>
      <c r="X9" s="35">
        <f t="shared" si="4"/>
        <v>0</v>
      </c>
      <c r="Y9" s="35">
        <f t="shared" si="4"/>
        <v>0</v>
      </c>
      <c r="Z9" s="35">
        <f t="shared" si="4"/>
        <v>0</v>
      </c>
      <c r="AA9" s="35">
        <f t="shared" si="4"/>
        <v>0</v>
      </c>
      <c r="AB9" s="35">
        <f t="shared" si="4"/>
        <v>0</v>
      </c>
      <c r="AC9" s="35">
        <f t="shared" si="4"/>
        <v>0</v>
      </c>
      <c r="AD9" s="35">
        <f t="shared" si="4"/>
        <v>0</v>
      </c>
      <c r="AE9" s="35">
        <f t="shared" si="4"/>
        <v>0</v>
      </c>
      <c r="AF9" s="35">
        <f t="shared" si="4"/>
        <v>0</v>
      </c>
      <c r="AG9" s="35">
        <f t="shared" si="4"/>
        <v>0</v>
      </c>
      <c r="AH9" s="4">
        <f t="shared" si="5"/>
        <v>0</v>
      </c>
    </row>
    <row r="10" spans="1:34">
      <c r="A10" s="1" t="s">
        <v>5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2"/>
        <v>0</v>
      </c>
      <c r="R10" s="1" t="s">
        <v>5</v>
      </c>
      <c r="S10" s="35">
        <f t="shared" ref="S10:V10" si="9">S80*0.8</f>
        <v>0</v>
      </c>
      <c r="T10" s="35">
        <f t="shared" si="9"/>
        <v>0</v>
      </c>
      <c r="U10" s="35">
        <f t="shared" si="9"/>
        <v>0</v>
      </c>
      <c r="V10" s="35">
        <f t="shared" si="9"/>
        <v>0</v>
      </c>
      <c r="W10" s="35">
        <f t="shared" si="4"/>
        <v>0</v>
      </c>
      <c r="X10" s="35">
        <f t="shared" si="4"/>
        <v>0</v>
      </c>
      <c r="Y10" s="35">
        <f t="shared" si="4"/>
        <v>0</v>
      </c>
      <c r="Z10" s="35">
        <f t="shared" si="4"/>
        <v>0</v>
      </c>
      <c r="AA10" s="35">
        <f t="shared" si="4"/>
        <v>0</v>
      </c>
      <c r="AB10" s="35">
        <f t="shared" si="4"/>
        <v>0</v>
      </c>
      <c r="AC10" s="35">
        <f t="shared" si="4"/>
        <v>0</v>
      </c>
      <c r="AD10" s="35">
        <f t="shared" si="4"/>
        <v>0</v>
      </c>
      <c r="AE10" s="35">
        <f t="shared" si="4"/>
        <v>0</v>
      </c>
      <c r="AF10" s="35">
        <f t="shared" si="4"/>
        <v>0</v>
      </c>
      <c r="AG10" s="35">
        <f t="shared" si="4"/>
        <v>0</v>
      </c>
      <c r="AH10" s="4">
        <f t="shared" si="5"/>
        <v>0</v>
      </c>
    </row>
    <row r="11" spans="1:34">
      <c r="A11" s="1" t="s">
        <v>6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2"/>
        <v>0</v>
      </c>
      <c r="R11" s="1" t="s">
        <v>6</v>
      </c>
      <c r="S11" s="35">
        <f t="shared" ref="S11:V11" si="10">S81*0.8</f>
        <v>0</v>
      </c>
      <c r="T11" s="35">
        <f t="shared" si="10"/>
        <v>0</v>
      </c>
      <c r="U11" s="35">
        <f t="shared" si="10"/>
        <v>0</v>
      </c>
      <c r="V11" s="35">
        <f t="shared" si="10"/>
        <v>0</v>
      </c>
      <c r="W11" s="35">
        <f t="shared" si="4"/>
        <v>0</v>
      </c>
      <c r="X11" s="35">
        <f t="shared" si="4"/>
        <v>0</v>
      </c>
      <c r="Y11" s="35">
        <f t="shared" si="4"/>
        <v>0</v>
      </c>
      <c r="Z11" s="35">
        <f t="shared" si="4"/>
        <v>0</v>
      </c>
      <c r="AA11" s="35">
        <f t="shared" si="4"/>
        <v>0</v>
      </c>
      <c r="AB11" s="35">
        <f t="shared" si="4"/>
        <v>0</v>
      </c>
      <c r="AC11" s="35">
        <f t="shared" si="4"/>
        <v>0</v>
      </c>
      <c r="AD11" s="35">
        <f t="shared" si="4"/>
        <v>0</v>
      </c>
      <c r="AE11" s="35">
        <f t="shared" si="4"/>
        <v>0</v>
      </c>
      <c r="AF11" s="35">
        <f t="shared" si="4"/>
        <v>0</v>
      </c>
      <c r="AG11" s="35">
        <f t="shared" si="4"/>
        <v>0</v>
      </c>
      <c r="AH11" s="4">
        <f t="shared" si="5"/>
        <v>0</v>
      </c>
    </row>
    <row r="12" spans="1:34">
      <c r="A12" s="1" t="s">
        <v>7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2"/>
        <v>0</v>
      </c>
      <c r="R12" s="1" t="s">
        <v>7</v>
      </c>
      <c r="S12" s="35">
        <f t="shared" ref="S12:V12" si="11">S82*0.8</f>
        <v>0</v>
      </c>
      <c r="T12" s="35">
        <f t="shared" si="11"/>
        <v>0</v>
      </c>
      <c r="U12" s="35">
        <f t="shared" si="11"/>
        <v>0</v>
      </c>
      <c r="V12" s="35">
        <f t="shared" si="11"/>
        <v>0</v>
      </c>
      <c r="W12" s="35">
        <f t="shared" si="4"/>
        <v>0</v>
      </c>
      <c r="X12" s="35">
        <f t="shared" si="4"/>
        <v>0</v>
      </c>
      <c r="Y12" s="35">
        <f t="shared" si="4"/>
        <v>0</v>
      </c>
      <c r="Z12" s="35">
        <f t="shared" si="4"/>
        <v>0</v>
      </c>
      <c r="AA12" s="35">
        <f t="shared" si="4"/>
        <v>0</v>
      </c>
      <c r="AB12" s="35">
        <f t="shared" si="4"/>
        <v>0</v>
      </c>
      <c r="AC12" s="35">
        <f t="shared" si="4"/>
        <v>0</v>
      </c>
      <c r="AD12" s="35">
        <f t="shared" si="4"/>
        <v>0</v>
      </c>
      <c r="AE12" s="35">
        <f t="shared" si="4"/>
        <v>0</v>
      </c>
      <c r="AF12" s="35">
        <f t="shared" si="4"/>
        <v>0</v>
      </c>
      <c r="AG12" s="35">
        <f t="shared" si="4"/>
        <v>0</v>
      </c>
      <c r="AH12" s="4">
        <f t="shared" si="5"/>
        <v>0</v>
      </c>
    </row>
    <row r="13" spans="1:34">
      <c r="A13" s="1" t="s">
        <v>8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2"/>
        <v>0</v>
      </c>
      <c r="R13" s="1" t="s">
        <v>8</v>
      </c>
      <c r="S13" s="35">
        <f t="shared" ref="S13:V13" si="12">S83*0.8</f>
        <v>0</v>
      </c>
      <c r="T13" s="35">
        <f t="shared" si="12"/>
        <v>0</v>
      </c>
      <c r="U13" s="35">
        <f t="shared" si="12"/>
        <v>0</v>
      </c>
      <c r="V13" s="35">
        <f t="shared" si="12"/>
        <v>0</v>
      </c>
      <c r="W13" s="35">
        <f t="shared" si="4"/>
        <v>0</v>
      </c>
      <c r="X13" s="35">
        <f t="shared" si="4"/>
        <v>0</v>
      </c>
      <c r="Y13" s="35">
        <f t="shared" si="4"/>
        <v>0</v>
      </c>
      <c r="Z13" s="35">
        <f t="shared" si="4"/>
        <v>0</v>
      </c>
      <c r="AA13" s="35">
        <f t="shared" si="4"/>
        <v>0</v>
      </c>
      <c r="AB13" s="35">
        <f t="shared" si="4"/>
        <v>0</v>
      </c>
      <c r="AC13" s="35">
        <f t="shared" si="4"/>
        <v>0</v>
      </c>
      <c r="AD13" s="35">
        <f t="shared" si="4"/>
        <v>0</v>
      </c>
      <c r="AE13" s="35">
        <f t="shared" si="4"/>
        <v>0</v>
      </c>
      <c r="AF13" s="35">
        <f t="shared" si="4"/>
        <v>0</v>
      </c>
      <c r="AG13" s="35">
        <f t="shared" si="4"/>
        <v>0</v>
      </c>
      <c r="AH13" s="4">
        <f t="shared" si="5"/>
        <v>0</v>
      </c>
    </row>
    <row r="14" spans="1:34">
      <c r="A14" s="2" t="s">
        <v>9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2"/>
        <v>0</v>
      </c>
      <c r="R14" s="2" t="s">
        <v>9</v>
      </c>
      <c r="S14" s="35">
        <f t="shared" ref="S14:V14" si="13">S84*0.8</f>
        <v>0</v>
      </c>
      <c r="T14" s="35">
        <f t="shared" si="13"/>
        <v>0</v>
      </c>
      <c r="U14" s="35">
        <f t="shared" si="13"/>
        <v>0</v>
      </c>
      <c r="V14" s="35">
        <f t="shared" si="13"/>
        <v>0</v>
      </c>
      <c r="W14" s="35">
        <f t="shared" si="4"/>
        <v>0</v>
      </c>
      <c r="X14" s="35">
        <f t="shared" si="4"/>
        <v>0</v>
      </c>
      <c r="Y14" s="35">
        <f t="shared" si="4"/>
        <v>0</v>
      </c>
      <c r="Z14" s="35">
        <f t="shared" si="4"/>
        <v>0</v>
      </c>
      <c r="AA14" s="35">
        <f t="shared" si="4"/>
        <v>0</v>
      </c>
      <c r="AB14" s="35">
        <f t="shared" si="4"/>
        <v>0</v>
      </c>
      <c r="AC14" s="35">
        <f t="shared" si="4"/>
        <v>0</v>
      </c>
      <c r="AD14" s="35">
        <f t="shared" si="4"/>
        <v>0</v>
      </c>
      <c r="AE14" s="35">
        <f t="shared" si="4"/>
        <v>0</v>
      </c>
      <c r="AF14" s="35">
        <f t="shared" si="4"/>
        <v>0</v>
      </c>
      <c r="AG14" s="35">
        <f t="shared" si="4"/>
        <v>0</v>
      </c>
      <c r="AH14" s="4">
        <f t="shared" si="5"/>
        <v>0</v>
      </c>
    </row>
    <row r="15" spans="1:34">
      <c r="A15" s="18" t="s">
        <v>10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2"/>
        <v>0</v>
      </c>
      <c r="R15" s="18" t="s">
        <v>10</v>
      </c>
      <c r="S15" s="35">
        <f t="shared" ref="S15:V15" si="14">S85*0.8</f>
        <v>0</v>
      </c>
      <c r="T15" s="35">
        <f t="shared" si="14"/>
        <v>0</v>
      </c>
      <c r="U15" s="35">
        <f t="shared" si="14"/>
        <v>0</v>
      </c>
      <c r="V15" s="35">
        <f t="shared" si="14"/>
        <v>0</v>
      </c>
      <c r="W15" s="35">
        <f t="shared" si="4"/>
        <v>0</v>
      </c>
      <c r="X15" s="35">
        <f t="shared" si="4"/>
        <v>0</v>
      </c>
      <c r="Y15" s="35">
        <f t="shared" si="4"/>
        <v>0</v>
      </c>
      <c r="Z15" s="35">
        <f t="shared" si="4"/>
        <v>0</v>
      </c>
      <c r="AA15" s="35">
        <f t="shared" si="4"/>
        <v>0</v>
      </c>
      <c r="AB15" s="35">
        <f t="shared" si="4"/>
        <v>0</v>
      </c>
      <c r="AC15" s="35">
        <f t="shared" si="4"/>
        <v>0</v>
      </c>
      <c r="AD15" s="35">
        <f t="shared" si="4"/>
        <v>0</v>
      </c>
      <c r="AE15" s="35">
        <f t="shared" si="4"/>
        <v>0</v>
      </c>
      <c r="AF15" s="35">
        <f t="shared" si="4"/>
        <v>0</v>
      </c>
      <c r="AG15" s="35">
        <f t="shared" si="4"/>
        <v>0</v>
      </c>
      <c r="AH15" s="4">
        <f t="shared" si="5"/>
        <v>0</v>
      </c>
    </row>
    <row r="16" spans="1:34">
      <c r="A16" s="1" t="s">
        <v>11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2"/>
        <v>0</v>
      </c>
      <c r="R16" s="1" t="s">
        <v>11</v>
      </c>
      <c r="S16" s="35">
        <f t="shared" ref="S16:V16" si="15">S86*0.8</f>
        <v>0</v>
      </c>
      <c r="T16" s="35">
        <f t="shared" si="15"/>
        <v>0</v>
      </c>
      <c r="U16" s="35">
        <f t="shared" si="15"/>
        <v>0</v>
      </c>
      <c r="V16" s="35">
        <f t="shared" si="15"/>
        <v>0</v>
      </c>
      <c r="W16" s="35">
        <f t="shared" si="4"/>
        <v>0</v>
      </c>
      <c r="X16" s="35">
        <f t="shared" si="4"/>
        <v>0</v>
      </c>
      <c r="Y16" s="35">
        <f t="shared" si="4"/>
        <v>0</v>
      </c>
      <c r="Z16" s="35">
        <f t="shared" si="4"/>
        <v>0</v>
      </c>
      <c r="AA16" s="35">
        <f t="shared" si="4"/>
        <v>0</v>
      </c>
      <c r="AB16" s="35">
        <f t="shared" si="4"/>
        <v>0</v>
      </c>
      <c r="AC16" s="35">
        <f t="shared" si="4"/>
        <v>0</v>
      </c>
      <c r="AD16" s="35">
        <f t="shared" si="4"/>
        <v>0</v>
      </c>
      <c r="AE16" s="35">
        <f t="shared" si="4"/>
        <v>0</v>
      </c>
      <c r="AF16" s="35">
        <f t="shared" si="4"/>
        <v>0</v>
      </c>
      <c r="AG16" s="35">
        <f t="shared" si="4"/>
        <v>0</v>
      </c>
      <c r="AH16" s="4">
        <f t="shared" si="5"/>
        <v>0</v>
      </c>
    </row>
    <row r="17" spans="1:34">
      <c r="A17" s="1" t="s">
        <v>12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2"/>
        <v>0</v>
      </c>
      <c r="R17" s="1" t="s">
        <v>12</v>
      </c>
      <c r="S17" s="35">
        <f t="shared" ref="S17:V17" si="16">S87*0.8</f>
        <v>0</v>
      </c>
      <c r="T17" s="35">
        <f t="shared" si="16"/>
        <v>0</v>
      </c>
      <c r="U17" s="35">
        <f t="shared" si="16"/>
        <v>0</v>
      </c>
      <c r="V17" s="35">
        <f t="shared" si="16"/>
        <v>0</v>
      </c>
      <c r="W17" s="35">
        <f t="shared" si="4"/>
        <v>0</v>
      </c>
      <c r="X17" s="35">
        <f t="shared" si="4"/>
        <v>0</v>
      </c>
      <c r="Y17" s="35">
        <f t="shared" si="4"/>
        <v>0</v>
      </c>
      <c r="Z17" s="35">
        <f t="shared" si="4"/>
        <v>0</v>
      </c>
      <c r="AA17" s="35">
        <f t="shared" si="4"/>
        <v>0</v>
      </c>
      <c r="AB17" s="35">
        <f t="shared" si="4"/>
        <v>0</v>
      </c>
      <c r="AC17" s="35">
        <f t="shared" si="4"/>
        <v>0</v>
      </c>
      <c r="AD17" s="35">
        <f t="shared" si="4"/>
        <v>0</v>
      </c>
      <c r="AE17" s="35">
        <f t="shared" si="4"/>
        <v>0</v>
      </c>
      <c r="AF17" s="35">
        <f t="shared" si="4"/>
        <v>0</v>
      </c>
      <c r="AG17" s="35">
        <f t="shared" si="4"/>
        <v>0</v>
      </c>
      <c r="AH17" s="4">
        <f t="shared" si="5"/>
        <v>0</v>
      </c>
    </row>
    <row r="18" spans="1:34">
      <c r="A18" s="1" t="s">
        <v>15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2"/>
        <v>0</v>
      </c>
      <c r="R18" s="1" t="s">
        <v>15</v>
      </c>
      <c r="S18" s="35">
        <f t="shared" ref="S18:V18" si="17">S88*0.8</f>
        <v>0</v>
      </c>
      <c r="T18" s="35">
        <f t="shared" si="17"/>
        <v>0</v>
      </c>
      <c r="U18" s="35">
        <f t="shared" si="17"/>
        <v>0</v>
      </c>
      <c r="V18" s="35">
        <f t="shared" si="17"/>
        <v>0</v>
      </c>
      <c r="W18" s="35">
        <f t="shared" si="4"/>
        <v>0</v>
      </c>
      <c r="X18" s="35">
        <f t="shared" si="4"/>
        <v>0</v>
      </c>
      <c r="Y18" s="35">
        <f t="shared" si="4"/>
        <v>0</v>
      </c>
      <c r="Z18" s="35">
        <f t="shared" si="4"/>
        <v>0</v>
      </c>
      <c r="AA18" s="35">
        <f t="shared" si="4"/>
        <v>0</v>
      </c>
      <c r="AB18" s="35">
        <f t="shared" si="4"/>
        <v>0</v>
      </c>
      <c r="AC18" s="35">
        <f t="shared" si="4"/>
        <v>0</v>
      </c>
      <c r="AD18" s="35">
        <f t="shared" si="4"/>
        <v>0</v>
      </c>
      <c r="AE18" s="35">
        <f t="shared" si="4"/>
        <v>0</v>
      </c>
      <c r="AF18" s="35">
        <f t="shared" si="4"/>
        <v>0</v>
      </c>
      <c r="AG18" s="35">
        <f t="shared" si="4"/>
        <v>0</v>
      </c>
      <c r="AH18" s="4">
        <f t="shared" si="5"/>
        <v>0</v>
      </c>
    </row>
    <row r="19" spans="1:34">
      <c r="A19" s="42" t="s">
        <v>14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2"/>
        <v>0</v>
      </c>
      <c r="P19" s="15"/>
      <c r="R19" s="1" t="s">
        <v>14</v>
      </c>
      <c r="S19" s="35">
        <f t="shared" ref="S19:V19" si="18">S89*0.8</f>
        <v>0</v>
      </c>
      <c r="T19" s="35">
        <f t="shared" si="18"/>
        <v>0</v>
      </c>
      <c r="U19" s="35">
        <f t="shared" si="18"/>
        <v>0</v>
      </c>
      <c r="V19" s="35">
        <f t="shared" si="18"/>
        <v>0</v>
      </c>
      <c r="W19" s="35">
        <f t="shared" si="4"/>
        <v>0</v>
      </c>
      <c r="X19" s="35">
        <f t="shared" si="4"/>
        <v>0</v>
      </c>
      <c r="Y19" s="35">
        <f t="shared" si="4"/>
        <v>0</v>
      </c>
      <c r="Z19" s="35">
        <f t="shared" si="4"/>
        <v>0</v>
      </c>
      <c r="AA19" s="35">
        <f t="shared" si="4"/>
        <v>0</v>
      </c>
      <c r="AB19" s="35">
        <f t="shared" si="4"/>
        <v>0</v>
      </c>
      <c r="AC19" s="35">
        <f t="shared" si="4"/>
        <v>0</v>
      </c>
      <c r="AD19" s="35">
        <f t="shared" si="4"/>
        <v>0</v>
      </c>
      <c r="AE19" s="35">
        <f t="shared" si="4"/>
        <v>0</v>
      </c>
      <c r="AF19" s="35">
        <f t="shared" si="4"/>
        <v>0</v>
      </c>
      <c r="AG19" s="35">
        <f t="shared" si="4"/>
        <v>0</v>
      </c>
      <c r="AH19" s="4">
        <f t="shared" ref="AH19" si="19">SUM(S19:AG19)</f>
        <v>0</v>
      </c>
    </row>
    <row r="20" spans="1:34">
      <c r="A20" s="18" t="s">
        <v>13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2"/>
        <v>0</v>
      </c>
      <c r="R20" s="18" t="s">
        <v>13</v>
      </c>
      <c r="S20" s="35">
        <f t="shared" ref="S20:AG20" si="20">S90*0.8</f>
        <v>0</v>
      </c>
      <c r="T20" s="35">
        <f t="shared" si="20"/>
        <v>0</v>
      </c>
      <c r="U20" s="35">
        <f t="shared" si="20"/>
        <v>0</v>
      </c>
      <c r="V20" s="35">
        <f t="shared" si="20"/>
        <v>0</v>
      </c>
      <c r="W20" s="35">
        <f t="shared" si="20"/>
        <v>0</v>
      </c>
      <c r="X20" s="35">
        <f t="shared" si="20"/>
        <v>0</v>
      </c>
      <c r="Y20" s="35">
        <f t="shared" si="20"/>
        <v>0</v>
      </c>
      <c r="Z20" s="35">
        <f t="shared" si="20"/>
        <v>0</v>
      </c>
      <c r="AA20" s="35">
        <f t="shared" si="20"/>
        <v>0</v>
      </c>
      <c r="AB20" s="35">
        <f t="shared" si="20"/>
        <v>0</v>
      </c>
      <c r="AC20" s="35">
        <f t="shared" si="20"/>
        <v>0</v>
      </c>
      <c r="AD20" s="35">
        <f t="shared" si="20"/>
        <v>0</v>
      </c>
      <c r="AE20" s="35">
        <f t="shared" si="20"/>
        <v>0</v>
      </c>
      <c r="AF20" s="35">
        <f t="shared" si="20"/>
        <v>0</v>
      </c>
      <c r="AG20" s="35">
        <f t="shared" si="20"/>
        <v>0</v>
      </c>
      <c r="AH20" s="4">
        <f t="shared" si="5"/>
        <v>0</v>
      </c>
    </row>
    <row r="21" spans="1:34">
      <c r="A21" s="1" t="s">
        <v>16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2"/>
        <v>0</v>
      </c>
      <c r="R21" s="1" t="s">
        <v>16</v>
      </c>
      <c r="S21" s="35">
        <f t="shared" ref="S21:V21" si="21">S91*0.8</f>
        <v>0</v>
      </c>
      <c r="T21" s="35">
        <f t="shared" si="21"/>
        <v>0</v>
      </c>
      <c r="U21" s="35">
        <f t="shared" si="21"/>
        <v>0</v>
      </c>
      <c r="V21" s="35">
        <f t="shared" si="21"/>
        <v>0</v>
      </c>
      <c r="W21" s="35">
        <f t="shared" si="4"/>
        <v>0</v>
      </c>
      <c r="X21" s="35">
        <f t="shared" si="4"/>
        <v>0</v>
      </c>
      <c r="Y21" s="35">
        <f t="shared" si="4"/>
        <v>0</v>
      </c>
      <c r="Z21" s="35">
        <f t="shared" si="4"/>
        <v>0</v>
      </c>
      <c r="AA21" s="35">
        <f t="shared" si="4"/>
        <v>0</v>
      </c>
      <c r="AB21" s="35">
        <f t="shared" si="4"/>
        <v>0</v>
      </c>
      <c r="AC21" s="35">
        <f t="shared" si="4"/>
        <v>0</v>
      </c>
      <c r="AD21" s="35">
        <f t="shared" si="4"/>
        <v>0</v>
      </c>
      <c r="AE21" s="35">
        <f t="shared" si="4"/>
        <v>0</v>
      </c>
      <c r="AF21" s="35">
        <f t="shared" si="4"/>
        <v>0</v>
      </c>
      <c r="AG21" s="35">
        <f t="shared" si="4"/>
        <v>0</v>
      </c>
      <c r="AH21" s="4">
        <f t="shared" si="5"/>
        <v>0</v>
      </c>
    </row>
    <row r="22" spans="1:34">
      <c r="A22" s="1" t="s">
        <v>17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2"/>
        <v>0</v>
      </c>
      <c r="R22" s="1" t="s">
        <v>17</v>
      </c>
      <c r="S22" s="35">
        <f t="shared" ref="S22:V22" si="22">S92*0.8</f>
        <v>0</v>
      </c>
      <c r="T22" s="35">
        <f t="shared" si="22"/>
        <v>0</v>
      </c>
      <c r="U22" s="35">
        <f t="shared" si="22"/>
        <v>0</v>
      </c>
      <c r="V22" s="35">
        <f t="shared" si="22"/>
        <v>0</v>
      </c>
      <c r="W22" s="35">
        <f t="shared" ref="W22:AG31" si="23">W92*0.8</f>
        <v>0</v>
      </c>
      <c r="X22" s="35">
        <f t="shared" si="23"/>
        <v>0</v>
      </c>
      <c r="Y22" s="35">
        <f t="shared" si="23"/>
        <v>0</v>
      </c>
      <c r="Z22" s="35">
        <f t="shared" si="23"/>
        <v>0</v>
      </c>
      <c r="AA22" s="35">
        <f t="shared" si="23"/>
        <v>0</v>
      </c>
      <c r="AB22" s="35">
        <f t="shared" si="23"/>
        <v>0</v>
      </c>
      <c r="AC22" s="35">
        <f t="shared" si="23"/>
        <v>0</v>
      </c>
      <c r="AD22" s="35">
        <f t="shared" si="23"/>
        <v>0</v>
      </c>
      <c r="AE22" s="35">
        <f t="shared" si="23"/>
        <v>0</v>
      </c>
      <c r="AF22" s="35">
        <f>AF92</f>
        <v>0</v>
      </c>
      <c r="AG22" s="35">
        <f>AG92</f>
        <v>0</v>
      </c>
      <c r="AH22" s="4">
        <f t="shared" si="5"/>
        <v>0</v>
      </c>
    </row>
    <row r="23" spans="1:34">
      <c r="A23" s="1" t="s">
        <v>18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2"/>
        <v>0</v>
      </c>
      <c r="R23" s="1" t="s">
        <v>18</v>
      </c>
      <c r="S23" s="35">
        <f t="shared" ref="S23:V23" si="24">S93*0.8</f>
        <v>0</v>
      </c>
      <c r="T23" s="35">
        <f t="shared" si="24"/>
        <v>0</v>
      </c>
      <c r="U23" s="35">
        <f t="shared" si="24"/>
        <v>0</v>
      </c>
      <c r="V23" s="35">
        <f t="shared" si="24"/>
        <v>0</v>
      </c>
      <c r="W23" s="35">
        <f t="shared" si="23"/>
        <v>0</v>
      </c>
      <c r="X23" s="35">
        <f t="shared" si="23"/>
        <v>0</v>
      </c>
      <c r="Y23" s="35">
        <f t="shared" si="23"/>
        <v>0</v>
      </c>
      <c r="Z23" s="35">
        <f t="shared" si="23"/>
        <v>0</v>
      </c>
      <c r="AA23" s="35">
        <f t="shared" si="23"/>
        <v>0</v>
      </c>
      <c r="AB23" s="35">
        <f t="shared" si="23"/>
        <v>0</v>
      </c>
      <c r="AC23" s="35">
        <f t="shared" si="23"/>
        <v>0</v>
      </c>
      <c r="AD23" s="35">
        <f t="shared" si="23"/>
        <v>0</v>
      </c>
      <c r="AE23" s="35">
        <f t="shared" si="23"/>
        <v>0</v>
      </c>
      <c r="AF23" s="35">
        <f t="shared" si="23"/>
        <v>0</v>
      </c>
      <c r="AG23" s="35">
        <f t="shared" si="23"/>
        <v>0</v>
      </c>
      <c r="AH23" s="4">
        <f t="shared" si="5"/>
        <v>0</v>
      </c>
    </row>
    <row r="24" spans="1:34">
      <c r="A24" s="1" t="s">
        <v>20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2"/>
        <v>0</v>
      </c>
      <c r="R24" s="1" t="s">
        <v>20</v>
      </c>
      <c r="S24" s="35">
        <f t="shared" ref="S24:V24" si="25">S94*0.8</f>
        <v>0</v>
      </c>
      <c r="T24" s="35">
        <f t="shared" si="25"/>
        <v>0</v>
      </c>
      <c r="U24" s="35">
        <f t="shared" si="25"/>
        <v>0</v>
      </c>
      <c r="V24" s="35">
        <f t="shared" si="25"/>
        <v>0</v>
      </c>
      <c r="W24" s="35">
        <f t="shared" si="23"/>
        <v>0</v>
      </c>
      <c r="X24" s="35">
        <f t="shared" si="23"/>
        <v>0</v>
      </c>
      <c r="Y24" s="35">
        <f t="shared" si="23"/>
        <v>0</v>
      </c>
      <c r="Z24" s="35">
        <f t="shared" si="23"/>
        <v>0</v>
      </c>
      <c r="AA24" s="35">
        <f t="shared" si="23"/>
        <v>0</v>
      </c>
      <c r="AB24" s="35">
        <f t="shared" si="23"/>
        <v>0</v>
      </c>
      <c r="AC24" s="35">
        <f t="shared" si="23"/>
        <v>0</v>
      </c>
      <c r="AD24" s="35">
        <f t="shared" si="23"/>
        <v>0</v>
      </c>
      <c r="AE24" s="35">
        <f t="shared" si="23"/>
        <v>0</v>
      </c>
      <c r="AF24" s="35">
        <f t="shared" si="23"/>
        <v>0</v>
      </c>
      <c r="AG24" s="35">
        <f t="shared" si="23"/>
        <v>0</v>
      </c>
      <c r="AH24" s="4">
        <f t="shared" si="5"/>
        <v>0</v>
      </c>
    </row>
    <row r="25" spans="1:34">
      <c r="A25" s="1" t="s">
        <v>19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 t="shared" si="2"/>
        <v>0</v>
      </c>
      <c r="R25" s="1" t="s">
        <v>19</v>
      </c>
      <c r="S25" s="35">
        <f t="shared" ref="S25:V25" si="26">S95*0.8</f>
        <v>0</v>
      </c>
      <c r="T25" s="35">
        <f t="shared" si="26"/>
        <v>0</v>
      </c>
      <c r="U25" s="35">
        <f t="shared" si="26"/>
        <v>0</v>
      </c>
      <c r="V25" s="35">
        <f t="shared" si="26"/>
        <v>0</v>
      </c>
      <c r="W25" s="35">
        <f t="shared" si="23"/>
        <v>0</v>
      </c>
      <c r="X25" s="35">
        <f t="shared" si="23"/>
        <v>0</v>
      </c>
      <c r="Y25" s="35">
        <f t="shared" si="23"/>
        <v>0</v>
      </c>
      <c r="Z25" s="35">
        <f t="shared" si="23"/>
        <v>0</v>
      </c>
      <c r="AA25" s="35">
        <f t="shared" si="23"/>
        <v>0</v>
      </c>
      <c r="AB25" s="35">
        <f t="shared" si="23"/>
        <v>0</v>
      </c>
      <c r="AC25" s="35">
        <f t="shared" si="23"/>
        <v>0</v>
      </c>
      <c r="AD25" s="35">
        <f t="shared" si="23"/>
        <v>0</v>
      </c>
      <c r="AE25" s="35">
        <f t="shared" si="23"/>
        <v>0</v>
      </c>
      <c r="AF25" s="35">
        <f t="shared" si="23"/>
        <v>0</v>
      </c>
      <c r="AG25" s="35">
        <f t="shared" si="23"/>
        <v>0</v>
      </c>
      <c r="AH25" s="4">
        <f t="shared" si="5"/>
        <v>0</v>
      </c>
    </row>
    <row r="26" spans="1:34">
      <c r="A26" s="1" t="s">
        <v>21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2"/>
        <v>0</v>
      </c>
      <c r="R26" s="1" t="s">
        <v>21</v>
      </c>
      <c r="S26" s="35">
        <f t="shared" ref="S26:V26" si="27">S96*0.8</f>
        <v>0</v>
      </c>
      <c r="T26" s="35">
        <f t="shared" si="27"/>
        <v>0</v>
      </c>
      <c r="U26" s="35">
        <f t="shared" si="27"/>
        <v>0</v>
      </c>
      <c r="V26" s="35">
        <f t="shared" si="27"/>
        <v>0</v>
      </c>
      <c r="W26" s="35">
        <f t="shared" si="23"/>
        <v>0</v>
      </c>
      <c r="X26" s="35">
        <f t="shared" si="23"/>
        <v>0</v>
      </c>
      <c r="Y26" s="35">
        <f t="shared" si="23"/>
        <v>0</v>
      </c>
      <c r="Z26" s="35">
        <f t="shared" si="23"/>
        <v>0</v>
      </c>
      <c r="AA26" s="35">
        <f t="shared" si="23"/>
        <v>0</v>
      </c>
      <c r="AB26" s="35">
        <f t="shared" si="23"/>
        <v>0</v>
      </c>
      <c r="AC26" s="35">
        <f t="shared" si="23"/>
        <v>0</v>
      </c>
      <c r="AD26" s="35">
        <f t="shared" si="23"/>
        <v>0</v>
      </c>
      <c r="AE26" s="35">
        <f t="shared" si="23"/>
        <v>0</v>
      </c>
      <c r="AF26" s="35">
        <f t="shared" si="23"/>
        <v>0</v>
      </c>
      <c r="AG26" s="35">
        <f t="shared" si="23"/>
        <v>0</v>
      </c>
      <c r="AH26" s="4">
        <f t="shared" si="5"/>
        <v>0</v>
      </c>
    </row>
    <row r="27" spans="1:34">
      <c r="A27" s="1" t="s">
        <v>22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2"/>
        <v>0</v>
      </c>
      <c r="R27" s="2" t="s">
        <v>22</v>
      </c>
      <c r="S27" s="35">
        <f t="shared" ref="S27:V27" si="28">S97*0.8</f>
        <v>0</v>
      </c>
      <c r="T27" s="35">
        <f t="shared" si="28"/>
        <v>0</v>
      </c>
      <c r="U27" s="35">
        <f t="shared" si="28"/>
        <v>0</v>
      </c>
      <c r="V27" s="35">
        <f t="shared" si="28"/>
        <v>0</v>
      </c>
      <c r="W27" s="35">
        <f t="shared" si="23"/>
        <v>0</v>
      </c>
      <c r="X27" s="35">
        <f t="shared" si="23"/>
        <v>0</v>
      </c>
      <c r="Y27" s="35">
        <f t="shared" si="23"/>
        <v>0</v>
      </c>
      <c r="Z27" s="35">
        <f t="shared" si="23"/>
        <v>0</v>
      </c>
      <c r="AA27" s="35">
        <f t="shared" si="23"/>
        <v>0</v>
      </c>
      <c r="AB27" s="35">
        <f t="shared" si="23"/>
        <v>0</v>
      </c>
      <c r="AC27" s="35">
        <f t="shared" si="23"/>
        <v>0</v>
      </c>
      <c r="AD27" s="35">
        <f t="shared" si="23"/>
        <v>0</v>
      </c>
      <c r="AE27" s="35">
        <f t="shared" si="23"/>
        <v>0</v>
      </c>
      <c r="AF27" s="35">
        <f t="shared" si="23"/>
        <v>0</v>
      </c>
      <c r="AG27" s="35">
        <f t="shared" si="23"/>
        <v>0</v>
      </c>
      <c r="AH27" s="4">
        <f t="shared" si="5"/>
        <v>0</v>
      </c>
    </row>
    <row r="28" spans="1:34">
      <c r="A28" s="1" t="s">
        <v>23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2"/>
        <v>0</v>
      </c>
      <c r="R28" s="1" t="s">
        <v>23</v>
      </c>
      <c r="S28" s="35">
        <f t="shared" ref="S28:V28" si="29">S98*0.8</f>
        <v>0</v>
      </c>
      <c r="T28" s="35">
        <f t="shared" si="29"/>
        <v>0</v>
      </c>
      <c r="U28" s="35">
        <f t="shared" si="29"/>
        <v>0</v>
      </c>
      <c r="V28" s="35">
        <f t="shared" si="29"/>
        <v>0</v>
      </c>
      <c r="W28" s="35">
        <f t="shared" si="23"/>
        <v>0</v>
      </c>
      <c r="X28" s="35">
        <f t="shared" si="23"/>
        <v>0</v>
      </c>
      <c r="Y28" s="35">
        <f t="shared" si="23"/>
        <v>0</v>
      </c>
      <c r="Z28" s="35">
        <f t="shared" si="23"/>
        <v>0</v>
      </c>
      <c r="AA28" s="35">
        <f t="shared" si="23"/>
        <v>0</v>
      </c>
      <c r="AB28" s="35">
        <f t="shared" si="23"/>
        <v>0</v>
      </c>
      <c r="AC28" s="35">
        <f t="shared" si="23"/>
        <v>0</v>
      </c>
      <c r="AD28" s="35">
        <f t="shared" si="23"/>
        <v>0</v>
      </c>
      <c r="AE28" s="35">
        <f t="shared" si="23"/>
        <v>0</v>
      </c>
      <c r="AF28" s="35">
        <f t="shared" si="23"/>
        <v>0</v>
      </c>
      <c r="AG28" s="35">
        <f t="shared" si="23"/>
        <v>0</v>
      </c>
      <c r="AH28" s="4">
        <f t="shared" si="5"/>
        <v>0</v>
      </c>
    </row>
    <row r="29" spans="1:34">
      <c r="A29" s="1" t="s">
        <v>25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R29" s="1" t="s">
        <v>25</v>
      </c>
      <c r="S29" s="35">
        <f t="shared" ref="S29:V29" si="30">S99*0.8</f>
        <v>0</v>
      </c>
      <c r="T29" s="35">
        <f t="shared" si="30"/>
        <v>0</v>
      </c>
      <c r="U29" s="35">
        <f t="shared" si="30"/>
        <v>0</v>
      </c>
      <c r="V29" s="35">
        <f t="shared" si="30"/>
        <v>0</v>
      </c>
      <c r="W29" s="35">
        <f t="shared" si="23"/>
        <v>0</v>
      </c>
      <c r="X29" s="35">
        <f t="shared" si="23"/>
        <v>0</v>
      </c>
      <c r="Y29" s="35">
        <f t="shared" si="23"/>
        <v>0</v>
      </c>
      <c r="Z29" s="35">
        <f t="shared" si="23"/>
        <v>0</v>
      </c>
      <c r="AA29" s="35">
        <f t="shared" si="23"/>
        <v>0</v>
      </c>
      <c r="AB29" s="35">
        <f t="shared" si="23"/>
        <v>0</v>
      </c>
      <c r="AC29" s="35">
        <f t="shared" si="23"/>
        <v>0</v>
      </c>
      <c r="AD29" s="35">
        <f t="shared" si="23"/>
        <v>0</v>
      </c>
      <c r="AE29" s="35">
        <f t="shared" si="23"/>
        <v>0</v>
      </c>
      <c r="AF29" s="35">
        <f>AF99</f>
        <v>0</v>
      </c>
      <c r="AG29" s="35">
        <f>AG99</f>
        <v>0</v>
      </c>
      <c r="AH29" s="4">
        <f t="shared" si="5"/>
        <v>0</v>
      </c>
    </row>
    <row r="30" spans="1:34">
      <c r="A30" s="1" t="s">
        <v>24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2"/>
        <v>0</v>
      </c>
      <c r="P30" s="21"/>
      <c r="R30" s="1" t="s">
        <v>24</v>
      </c>
      <c r="S30" s="35">
        <f t="shared" ref="S30:V30" si="31">S100*0.8</f>
        <v>0</v>
      </c>
      <c r="T30" s="35">
        <f t="shared" si="31"/>
        <v>0</v>
      </c>
      <c r="U30" s="35">
        <f t="shared" si="31"/>
        <v>0</v>
      </c>
      <c r="V30" s="35">
        <f t="shared" si="31"/>
        <v>0</v>
      </c>
      <c r="W30" s="35">
        <f t="shared" si="23"/>
        <v>0</v>
      </c>
      <c r="X30" s="35">
        <f t="shared" si="23"/>
        <v>0</v>
      </c>
      <c r="Y30" s="35">
        <f t="shared" si="23"/>
        <v>0</v>
      </c>
      <c r="Z30" s="35">
        <f t="shared" si="23"/>
        <v>0</v>
      </c>
      <c r="AA30" s="35">
        <f t="shared" si="23"/>
        <v>0</v>
      </c>
      <c r="AB30" s="35">
        <f t="shared" si="23"/>
        <v>0</v>
      </c>
      <c r="AC30" s="35">
        <f t="shared" si="23"/>
        <v>0</v>
      </c>
      <c r="AD30" s="35">
        <f t="shared" si="23"/>
        <v>0</v>
      </c>
      <c r="AE30" s="35">
        <f t="shared" si="23"/>
        <v>0</v>
      </c>
      <c r="AF30" s="35">
        <f t="shared" si="23"/>
        <v>0</v>
      </c>
      <c r="AG30" s="35">
        <f t="shared" si="23"/>
        <v>0</v>
      </c>
      <c r="AH30" s="4">
        <f t="shared" si="5"/>
        <v>0</v>
      </c>
    </row>
    <row r="31" spans="1:34">
      <c r="A31" s="1" t="s">
        <v>26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2"/>
        <v>0</v>
      </c>
      <c r="R31" s="1" t="s">
        <v>26</v>
      </c>
      <c r="S31" s="35">
        <f t="shared" ref="S31:V31" si="32">S101*0.8</f>
        <v>0</v>
      </c>
      <c r="T31" s="35">
        <f t="shared" si="32"/>
        <v>0</v>
      </c>
      <c r="U31" s="35">
        <f t="shared" si="32"/>
        <v>0</v>
      </c>
      <c r="V31" s="35">
        <f t="shared" si="32"/>
        <v>0</v>
      </c>
      <c r="W31" s="35">
        <f t="shared" si="23"/>
        <v>0</v>
      </c>
      <c r="X31" s="35">
        <f t="shared" si="23"/>
        <v>0</v>
      </c>
      <c r="Y31" s="35">
        <f t="shared" si="23"/>
        <v>0</v>
      </c>
      <c r="Z31" s="35">
        <f t="shared" si="23"/>
        <v>0</v>
      </c>
      <c r="AA31" s="35">
        <f t="shared" si="23"/>
        <v>0</v>
      </c>
      <c r="AB31" s="35">
        <f t="shared" si="23"/>
        <v>0</v>
      </c>
      <c r="AC31" s="35">
        <f t="shared" si="23"/>
        <v>0</v>
      </c>
      <c r="AD31" s="35">
        <f t="shared" si="23"/>
        <v>0</v>
      </c>
      <c r="AE31" s="35">
        <f t="shared" si="23"/>
        <v>0</v>
      </c>
      <c r="AF31" s="35">
        <f t="shared" si="23"/>
        <v>0</v>
      </c>
      <c r="AG31" s="35">
        <f t="shared" si="23"/>
        <v>0</v>
      </c>
      <c r="AH31" s="4">
        <f t="shared" si="5"/>
        <v>0</v>
      </c>
    </row>
    <row r="32" spans="1:34">
      <c r="A32" s="6" t="s">
        <v>37</v>
      </c>
      <c r="B32" s="7">
        <f>SUM(B5:B31)</f>
        <v>0</v>
      </c>
      <c r="C32" s="7">
        <f>SUM(C5:C31)</f>
        <v>0</v>
      </c>
      <c r="D32" s="7">
        <f>SUM(D5:D31)</f>
        <v>0</v>
      </c>
      <c r="E32" s="7">
        <f>SUM(E5:E31)</f>
        <v>0</v>
      </c>
      <c r="F32" s="7">
        <f t="shared" ref="F32:N32" si="33">SUM(F5:F31)</f>
        <v>0</v>
      </c>
      <c r="G32" s="7">
        <f t="shared" si="33"/>
        <v>0</v>
      </c>
      <c r="H32" s="7">
        <f t="shared" si="33"/>
        <v>0</v>
      </c>
      <c r="I32" s="7">
        <f t="shared" si="33"/>
        <v>0</v>
      </c>
      <c r="J32" s="7">
        <f t="shared" si="33"/>
        <v>0</v>
      </c>
      <c r="K32" s="7">
        <f t="shared" si="33"/>
        <v>0</v>
      </c>
      <c r="L32" s="7">
        <f t="shared" si="33"/>
        <v>0</v>
      </c>
      <c r="M32" s="7">
        <f t="shared" si="33"/>
        <v>0</v>
      </c>
      <c r="N32" s="7">
        <f t="shared" si="33"/>
        <v>0</v>
      </c>
      <c r="O32" s="7">
        <f>SUM(O5:O31)</f>
        <v>0</v>
      </c>
      <c r="R32" s="6" t="s">
        <v>37</v>
      </c>
      <c r="S32" s="7">
        <f>SUM(S5:S31)</f>
        <v>0</v>
      </c>
      <c r="T32" s="7">
        <f>SUM(T5:T31)</f>
        <v>0</v>
      </c>
      <c r="U32" s="7">
        <f>SUM(U5:U31)</f>
        <v>0</v>
      </c>
      <c r="V32" s="7">
        <f>SUM(V5:V31)</f>
        <v>0</v>
      </c>
      <c r="W32" s="7">
        <f t="shared" ref="W32:AG32" si="34">SUM(W5:W31)</f>
        <v>0</v>
      </c>
      <c r="X32" s="7">
        <f t="shared" si="34"/>
        <v>0</v>
      </c>
      <c r="Y32" s="7">
        <f t="shared" si="34"/>
        <v>0</v>
      </c>
      <c r="Z32" s="7">
        <f t="shared" si="34"/>
        <v>0</v>
      </c>
      <c r="AA32" s="7">
        <f t="shared" si="34"/>
        <v>0</v>
      </c>
      <c r="AB32" s="7">
        <f t="shared" si="34"/>
        <v>0</v>
      </c>
      <c r="AC32" s="7">
        <f t="shared" si="34"/>
        <v>0</v>
      </c>
      <c r="AD32" s="7">
        <f t="shared" si="34"/>
        <v>0</v>
      </c>
      <c r="AE32" s="7">
        <f t="shared" si="34"/>
        <v>0</v>
      </c>
      <c r="AF32" s="7">
        <f t="shared" si="34"/>
        <v>0</v>
      </c>
      <c r="AG32" s="7">
        <f t="shared" si="34"/>
        <v>0</v>
      </c>
      <c r="AH32" s="7">
        <f>SUM(AH5:AH31)</f>
        <v>0</v>
      </c>
    </row>
    <row r="33" spans="1:34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</row>
    <row r="34" spans="1:34">
      <c r="A34" s="42" t="s">
        <v>14</v>
      </c>
      <c r="B34" s="295" t="s">
        <v>46</v>
      </c>
      <c r="C34" s="295"/>
      <c r="D34" s="295"/>
      <c r="E34" s="295"/>
      <c r="F34" s="295"/>
      <c r="G34" s="295"/>
      <c r="H34" s="295"/>
      <c r="I34" s="33"/>
      <c r="J34" s="33"/>
      <c r="K34" s="33"/>
      <c r="L34" s="33"/>
      <c r="M34" s="33"/>
      <c r="N34" s="33"/>
      <c r="O34" s="33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</row>
    <row r="35" spans="1:34">
      <c r="A35" s="31"/>
      <c r="B35" s="31"/>
      <c r="C35" s="32"/>
      <c r="D35" s="32"/>
      <c r="E35" s="32"/>
      <c r="F35" s="32"/>
      <c r="G35" s="32"/>
      <c r="H35" s="32"/>
      <c r="I35" s="33"/>
      <c r="J35" s="33"/>
      <c r="K35" s="33"/>
      <c r="L35" s="33"/>
      <c r="M35" s="33"/>
      <c r="N35" s="33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</row>
    <row r="36" spans="1:34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</row>
    <row r="37" spans="1:34" ht="46.5">
      <c r="A37" s="292" t="s">
        <v>86</v>
      </c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4"/>
      <c r="R37" s="292" t="s">
        <v>88</v>
      </c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4"/>
    </row>
    <row r="38" spans="1:34" ht="21.75" customHeight="1">
      <c r="A38" s="290" t="s">
        <v>33</v>
      </c>
      <c r="B38" s="287" t="s">
        <v>27</v>
      </c>
      <c r="C38" s="288"/>
      <c r="D38" s="287" t="s">
        <v>29</v>
      </c>
      <c r="E38" s="288"/>
      <c r="F38" s="285" t="s">
        <v>28</v>
      </c>
      <c r="G38" s="285" t="s">
        <v>36</v>
      </c>
      <c r="H38" s="285" t="s">
        <v>30</v>
      </c>
      <c r="I38" s="285" t="s">
        <v>31</v>
      </c>
      <c r="J38" s="285" t="s">
        <v>41</v>
      </c>
      <c r="K38" s="285" t="s">
        <v>35</v>
      </c>
      <c r="L38" s="285" t="s">
        <v>40</v>
      </c>
      <c r="M38" s="285" t="s">
        <v>42</v>
      </c>
      <c r="N38" s="285" t="s">
        <v>45</v>
      </c>
      <c r="O38" s="285" t="s">
        <v>34</v>
      </c>
      <c r="R38" s="290" t="s">
        <v>33</v>
      </c>
      <c r="S38" s="287" t="s">
        <v>27</v>
      </c>
      <c r="T38" s="288"/>
      <c r="U38" s="287" t="s">
        <v>29</v>
      </c>
      <c r="V38" s="288"/>
      <c r="W38" s="285" t="s">
        <v>28</v>
      </c>
      <c r="X38" s="285" t="s">
        <v>36</v>
      </c>
      <c r="Y38" s="285" t="s">
        <v>30</v>
      </c>
      <c r="Z38" s="285" t="s">
        <v>31</v>
      </c>
      <c r="AA38" s="285" t="s">
        <v>41</v>
      </c>
      <c r="AB38" s="285" t="s">
        <v>35</v>
      </c>
      <c r="AC38" s="285" t="s">
        <v>40</v>
      </c>
      <c r="AD38" s="285" t="s">
        <v>42</v>
      </c>
      <c r="AE38" s="285" t="s">
        <v>45</v>
      </c>
      <c r="AF38" s="299" t="s">
        <v>55</v>
      </c>
      <c r="AG38" s="300"/>
      <c r="AH38" s="285" t="s">
        <v>34</v>
      </c>
    </row>
    <row r="39" spans="1:34" ht="30">
      <c r="A39" s="291"/>
      <c r="B39" s="5" t="s">
        <v>43</v>
      </c>
      <c r="C39" s="5" t="s">
        <v>44</v>
      </c>
      <c r="D39" s="5" t="s">
        <v>43</v>
      </c>
      <c r="E39" s="5" t="s">
        <v>44</v>
      </c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R39" s="291"/>
      <c r="S39" s="46" t="s">
        <v>43</v>
      </c>
      <c r="T39" s="46" t="s">
        <v>44</v>
      </c>
      <c r="U39" s="46" t="s">
        <v>43</v>
      </c>
      <c r="V39" s="46" t="s">
        <v>44</v>
      </c>
      <c r="W39" s="286"/>
      <c r="X39" s="286"/>
      <c r="Y39" s="286"/>
      <c r="Z39" s="286"/>
      <c r="AA39" s="286"/>
      <c r="AB39" s="286"/>
      <c r="AC39" s="286"/>
      <c r="AD39" s="286"/>
      <c r="AE39" s="286"/>
      <c r="AF39" s="49" t="s">
        <v>53</v>
      </c>
      <c r="AG39" s="49" t="s">
        <v>54</v>
      </c>
      <c r="AH39" s="286"/>
    </row>
    <row r="40" spans="1:34">
      <c r="A40" s="1" t="s">
        <v>0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35">
        <f t="shared" ref="S40:V40" si="35">S75*0.2</f>
        <v>0</v>
      </c>
      <c r="T40" s="35">
        <f t="shared" si="35"/>
        <v>0</v>
      </c>
      <c r="U40" s="35">
        <f t="shared" si="35"/>
        <v>0</v>
      </c>
      <c r="V40" s="35">
        <f t="shared" si="35"/>
        <v>0</v>
      </c>
      <c r="W40" s="35">
        <f t="shared" ref="W40:AG40" si="36">W75*0.2</f>
        <v>0</v>
      </c>
      <c r="X40" s="35">
        <f t="shared" si="36"/>
        <v>0</v>
      </c>
      <c r="Y40" s="35">
        <f t="shared" si="36"/>
        <v>0</v>
      </c>
      <c r="Z40" s="35">
        <f t="shared" si="36"/>
        <v>0</v>
      </c>
      <c r="AA40" s="35">
        <f t="shared" si="36"/>
        <v>0</v>
      </c>
      <c r="AB40" s="35">
        <f t="shared" si="36"/>
        <v>0</v>
      </c>
      <c r="AC40" s="35">
        <f t="shared" si="36"/>
        <v>0</v>
      </c>
      <c r="AD40" s="35">
        <f t="shared" si="36"/>
        <v>0</v>
      </c>
      <c r="AE40" s="35">
        <f t="shared" si="36"/>
        <v>0</v>
      </c>
      <c r="AF40" s="35">
        <f t="shared" si="36"/>
        <v>0</v>
      </c>
      <c r="AG40" s="35">
        <f t="shared" si="36"/>
        <v>0</v>
      </c>
      <c r="AH40" s="4">
        <f>SUM(S40:AG40)</f>
        <v>0</v>
      </c>
    </row>
    <row r="41" spans="1:34">
      <c r="A41" s="1" t="s">
        <v>1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37">SUM(B41:N41)</f>
        <v>0</v>
      </c>
      <c r="R41" s="1" t="s">
        <v>1</v>
      </c>
      <c r="S41" s="35">
        <f t="shared" ref="S41:V41" si="38">S76*0.2</f>
        <v>0</v>
      </c>
      <c r="T41" s="35">
        <f t="shared" si="38"/>
        <v>0</v>
      </c>
      <c r="U41" s="35">
        <f t="shared" si="38"/>
        <v>0</v>
      </c>
      <c r="V41" s="35">
        <f t="shared" si="38"/>
        <v>0</v>
      </c>
      <c r="W41" s="35">
        <f t="shared" ref="W41:AG56" si="39">W76*0.2</f>
        <v>0</v>
      </c>
      <c r="X41" s="35">
        <f t="shared" si="39"/>
        <v>0</v>
      </c>
      <c r="Y41" s="35">
        <f t="shared" si="39"/>
        <v>0</v>
      </c>
      <c r="Z41" s="35">
        <f t="shared" si="39"/>
        <v>0</v>
      </c>
      <c r="AA41" s="35">
        <f t="shared" si="39"/>
        <v>0</v>
      </c>
      <c r="AB41" s="35">
        <f t="shared" si="39"/>
        <v>0</v>
      </c>
      <c r="AC41" s="35">
        <f t="shared" si="39"/>
        <v>0</v>
      </c>
      <c r="AD41" s="35">
        <f t="shared" si="39"/>
        <v>0</v>
      </c>
      <c r="AE41" s="35">
        <f t="shared" si="39"/>
        <v>0</v>
      </c>
      <c r="AF41" s="35">
        <f t="shared" si="39"/>
        <v>0</v>
      </c>
      <c r="AG41" s="35">
        <f t="shared" si="39"/>
        <v>0</v>
      </c>
      <c r="AH41" s="4">
        <f t="shared" ref="AH41:AH66" si="40">SUM(S41:AG41)</f>
        <v>0</v>
      </c>
    </row>
    <row r="42" spans="1:34">
      <c r="A42" s="18" t="s">
        <v>2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37"/>
        <v>0</v>
      </c>
      <c r="R42" s="18" t="s">
        <v>2</v>
      </c>
      <c r="S42" s="35">
        <f t="shared" ref="S42:V42" si="41">S77*0.2</f>
        <v>0</v>
      </c>
      <c r="T42" s="35">
        <f t="shared" si="41"/>
        <v>0</v>
      </c>
      <c r="U42" s="35">
        <f t="shared" si="41"/>
        <v>0</v>
      </c>
      <c r="V42" s="35">
        <f t="shared" si="41"/>
        <v>0</v>
      </c>
      <c r="W42" s="35">
        <f t="shared" si="39"/>
        <v>0</v>
      </c>
      <c r="X42" s="35">
        <f t="shared" si="39"/>
        <v>0</v>
      </c>
      <c r="Y42" s="35">
        <f t="shared" si="39"/>
        <v>0</v>
      </c>
      <c r="Z42" s="35">
        <f t="shared" si="39"/>
        <v>0</v>
      </c>
      <c r="AA42" s="35">
        <f t="shared" si="39"/>
        <v>0</v>
      </c>
      <c r="AB42" s="35">
        <f t="shared" si="39"/>
        <v>0</v>
      </c>
      <c r="AC42" s="35">
        <f t="shared" si="39"/>
        <v>0</v>
      </c>
      <c r="AD42" s="35">
        <f t="shared" si="39"/>
        <v>0</v>
      </c>
      <c r="AE42" s="35">
        <f t="shared" si="39"/>
        <v>0</v>
      </c>
      <c r="AF42" s="35">
        <f t="shared" si="39"/>
        <v>0</v>
      </c>
      <c r="AG42" s="35">
        <f t="shared" si="39"/>
        <v>0</v>
      </c>
      <c r="AH42" s="4">
        <f t="shared" si="40"/>
        <v>0</v>
      </c>
    </row>
    <row r="43" spans="1:34">
      <c r="A43" s="2" t="s">
        <v>3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37"/>
        <v>0</v>
      </c>
      <c r="R43" s="2" t="s">
        <v>3</v>
      </c>
      <c r="S43" s="35">
        <f t="shared" ref="S43:V43" si="42">S78*0.2</f>
        <v>0</v>
      </c>
      <c r="T43" s="35">
        <f t="shared" si="42"/>
        <v>0</v>
      </c>
      <c r="U43" s="35">
        <f t="shared" si="42"/>
        <v>0</v>
      </c>
      <c r="V43" s="35">
        <f t="shared" si="42"/>
        <v>0</v>
      </c>
      <c r="W43" s="35">
        <f t="shared" si="39"/>
        <v>0</v>
      </c>
      <c r="X43" s="35">
        <f t="shared" si="39"/>
        <v>0</v>
      </c>
      <c r="Y43" s="35">
        <f t="shared" si="39"/>
        <v>0</v>
      </c>
      <c r="Z43" s="35">
        <f t="shared" si="39"/>
        <v>0</v>
      </c>
      <c r="AA43" s="35">
        <f t="shared" si="39"/>
        <v>0</v>
      </c>
      <c r="AB43" s="35">
        <f t="shared" si="39"/>
        <v>0</v>
      </c>
      <c r="AC43" s="35">
        <f t="shared" si="39"/>
        <v>0</v>
      </c>
      <c r="AD43" s="35">
        <f t="shared" si="39"/>
        <v>0</v>
      </c>
      <c r="AE43" s="35">
        <f t="shared" si="39"/>
        <v>0</v>
      </c>
      <c r="AF43" s="35">
        <v>0</v>
      </c>
      <c r="AG43" s="35">
        <v>0</v>
      </c>
      <c r="AH43" s="4">
        <f t="shared" si="40"/>
        <v>0</v>
      </c>
    </row>
    <row r="44" spans="1:34">
      <c r="A44" s="1" t="s">
        <v>4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37"/>
        <v>0</v>
      </c>
      <c r="R44" s="1" t="s">
        <v>4</v>
      </c>
      <c r="S44" s="35">
        <f t="shared" ref="S44:V44" si="43">S79*0.2</f>
        <v>0</v>
      </c>
      <c r="T44" s="35">
        <f t="shared" si="43"/>
        <v>0</v>
      </c>
      <c r="U44" s="35">
        <f t="shared" si="43"/>
        <v>0</v>
      </c>
      <c r="V44" s="35">
        <f t="shared" si="43"/>
        <v>0</v>
      </c>
      <c r="W44" s="35">
        <f t="shared" si="39"/>
        <v>0</v>
      </c>
      <c r="X44" s="35">
        <f t="shared" si="39"/>
        <v>0</v>
      </c>
      <c r="Y44" s="35">
        <f t="shared" si="39"/>
        <v>0</v>
      </c>
      <c r="Z44" s="35">
        <f t="shared" si="39"/>
        <v>0</v>
      </c>
      <c r="AA44" s="35">
        <f t="shared" si="39"/>
        <v>0</v>
      </c>
      <c r="AB44" s="35">
        <f t="shared" si="39"/>
        <v>0</v>
      </c>
      <c r="AC44" s="35">
        <f t="shared" si="39"/>
        <v>0</v>
      </c>
      <c r="AD44" s="35">
        <f t="shared" si="39"/>
        <v>0</v>
      </c>
      <c r="AE44" s="35">
        <f t="shared" si="39"/>
        <v>0</v>
      </c>
      <c r="AF44" s="35">
        <f t="shared" si="39"/>
        <v>0</v>
      </c>
      <c r="AG44" s="35">
        <f t="shared" si="39"/>
        <v>0</v>
      </c>
      <c r="AH44" s="4">
        <f t="shared" si="40"/>
        <v>0</v>
      </c>
    </row>
    <row r="45" spans="1:34">
      <c r="A45" s="1" t="s">
        <v>5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37"/>
        <v>0</v>
      </c>
      <c r="R45" s="1" t="s">
        <v>5</v>
      </c>
      <c r="S45" s="35">
        <f t="shared" ref="S45:V45" si="44">S80*0.2</f>
        <v>0</v>
      </c>
      <c r="T45" s="35">
        <f t="shared" si="44"/>
        <v>0</v>
      </c>
      <c r="U45" s="35">
        <f t="shared" si="44"/>
        <v>0</v>
      </c>
      <c r="V45" s="35">
        <f t="shared" si="44"/>
        <v>0</v>
      </c>
      <c r="W45" s="35">
        <f t="shared" si="39"/>
        <v>0</v>
      </c>
      <c r="X45" s="35">
        <f t="shared" si="39"/>
        <v>0</v>
      </c>
      <c r="Y45" s="35">
        <f t="shared" si="39"/>
        <v>0</v>
      </c>
      <c r="Z45" s="35">
        <f t="shared" si="39"/>
        <v>0</v>
      </c>
      <c r="AA45" s="35">
        <f t="shared" si="39"/>
        <v>0</v>
      </c>
      <c r="AB45" s="35">
        <f t="shared" si="39"/>
        <v>0</v>
      </c>
      <c r="AC45" s="35">
        <f t="shared" si="39"/>
        <v>0</v>
      </c>
      <c r="AD45" s="35">
        <f t="shared" si="39"/>
        <v>0</v>
      </c>
      <c r="AE45" s="35">
        <f t="shared" si="39"/>
        <v>0</v>
      </c>
      <c r="AF45" s="35">
        <f t="shared" si="39"/>
        <v>0</v>
      </c>
      <c r="AG45" s="35">
        <f t="shared" si="39"/>
        <v>0</v>
      </c>
      <c r="AH45" s="4">
        <f t="shared" si="40"/>
        <v>0</v>
      </c>
    </row>
    <row r="46" spans="1:34">
      <c r="A46" s="1" t="s">
        <v>6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37"/>
        <v>0</v>
      </c>
      <c r="R46" s="1" t="s">
        <v>6</v>
      </c>
      <c r="S46" s="35">
        <f t="shared" ref="S46:V46" si="45">S81*0.2</f>
        <v>0</v>
      </c>
      <c r="T46" s="35">
        <f t="shared" si="45"/>
        <v>0</v>
      </c>
      <c r="U46" s="35">
        <f t="shared" si="45"/>
        <v>0</v>
      </c>
      <c r="V46" s="35">
        <f t="shared" si="45"/>
        <v>0</v>
      </c>
      <c r="W46" s="35">
        <f t="shared" si="39"/>
        <v>0</v>
      </c>
      <c r="X46" s="35">
        <f t="shared" si="39"/>
        <v>0</v>
      </c>
      <c r="Y46" s="35">
        <f t="shared" si="39"/>
        <v>0</v>
      </c>
      <c r="Z46" s="35">
        <f t="shared" si="39"/>
        <v>0</v>
      </c>
      <c r="AA46" s="35">
        <f t="shared" si="39"/>
        <v>0</v>
      </c>
      <c r="AB46" s="35">
        <f t="shared" si="39"/>
        <v>0</v>
      </c>
      <c r="AC46" s="35">
        <f t="shared" si="39"/>
        <v>0</v>
      </c>
      <c r="AD46" s="35">
        <f t="shared" si="39"/>
        <v>0</v>
      </c>
      <c r="AE46" s="35">
        <f t="shared" si="39"/>
        <v>0</v>
      </c>
      <c r="AF46" s="35">
        <f t="shared" si="39"/>
        <v>0</v>
      </c>
      <c r="AG46" s="35">
        <f t="shared" si="39"/>
        <v>0</v>
      </c>
      <c r="AH46" s="4">
        <f t="shared" si="40"/>
        <v>0</v>
      </c>
    </row>
    <row r="47" spans="1:34">
      <c r="A47" s="1" t="s">
        <v>7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37"/>
        <v>0</v>
      </c>
      <c r="R47" s="1" t="s">
        <v>7</v>
      </c>
      <c r="S47" s="35">
        <f t="shared" ref="S47:V47" si="46">S82*0.2</f>
        <v>0</v>
      </c>
      <c r="T47" s="35">
        <f t="shared" si="46"/>
        <v>0</v>
      </c>
      <c r="U47" s="35">
        <f t="shared" si="46"/>
        <v>0</v>
      </c>
      <c r="V47" s="35">
        <f t="shared" si="46"/>
        <v>0</v>
      </c>
      <c r="W47" s="35">
        <f t="shared" si="39"/>
        <v>0</v>
      </c>
      <c r="X47" s="35">
        <f t="shared" si="39"/>
        <v>0</v>
      </c>
      <c r="Y47" s="35">
        <f t="shared" si="39"/>
        <v>0</v>
      </c>
      <c r="Z47" s="35">
        <f t="shared" si="39"/>
        <v>0</v>
      </c>
      <c r="AA47" s="35">
        <f t="shared" si="39"/>
        <v>0</v>
      </c>
      <c r="AB47" s="35">
        <f t="shared" si="39"/>
        <v>0</v>
      </c>
      <c r="AC47" s="35">
        <f t="shared" si="39"/>
        <v>0</v>
      </c>
      <c r="AD47" s="35">
        <f t="shared" si="39"/>
        <v>0</v>
      </c>
      <c r="AE47" s="35">
        <f t="shared" si="39"/>
        <v>0</v>
      </c>
      <c r="AF47" s="35">
        <f t="shared" si="39"/>
        <v>0</v>
      </c>
      <c r="AG47" s="35">
        <f t="shared" si="39"/>
        <v>0</v>
      </c>
      <c r="AH47" s="4">
        <f t="shared" si="40"/>
        <v>0</v>
      </c>
    </row>
    <row r="48" spans="1:34">
      <c r="A48" s="1" t="s">
        <v>8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37"/>
        <v>0</v>
      </c>
      <c r="R48" s="1" t="s">
        <v>8</v>
      </c>
      <c r="S48" s="35">
        <f t="shared" ref="S48:V48" si="47">S83*0.2</f>
        <v>0</v>
      </c>
      <c r="T48" s="35">
        <f t="shared" si="47"/>
        <v>0</v>
      </c>
      <c r="U48" s="35">
        <f t="shared" si="47"/>
        <v>0</v>
      </c>
      <c r="V48" s="35">
        <f t="shared" si="47"/>
        <v>0</v>
      </c>
      <c r="W48" s="35">
        <f t="shared" si="39"/>
        <v>0</v>
      </c>
      <c r="X48" s="35">
        <f t="shared" si="39"/>
        <v>0</v>
      </c>
      <c r="Y48" s="35">
        <f t="shared" si="39"/>
        <v>0</v>
      </c>
      <c r="Z48" s="35">
        <f t="shared" si="39"/>
        <v>0</v>
      </c>
      <c r="AA48" s="35">
        <f t="shared" si="39"/>
        <v>0</v>
      </c>
      <c r="AB48" s="35">
        <f t="shared" si="39"/>
        <v>0</v>
      </c>
      <c r="AC48" s="35">
        <f t="shared" si="39"/>
        <v>0</v>
      </c>
      <c r="AD48" s="35">
        <f t="shared" si="39"/>
        <v>0</v>
      </c>
      <c r="AE48" s="35">
        <f t="shared" si="39"/>
        <v>0</v>
      </c>
      <c r="AF48" s="35">
        <f t="shared" si="39"/>
        <v>0</v>
      </c>
      <c r="AG48" s="35">
        <f t="shared" si="39"/>
        <v>0</v>
      </c>
      <c r="AH48" s="4">
        <f t="shared" si="40"/>
        <v>0</v>
      </c>
    </row>
    <row r="49" spans="1:34">
      <c r="A49" s="2" t="s">
        <v>9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37"/>
        <v>0</v>
      </c>
      <c r="R49" s="2" t="s">
        <v>9</v>
      </c>
      <c r="S49" s="35">
        <f t="shared" ref="S49:V49" si="48">S84*0.2</f>
        <v>0</v>
      </c>
      <c r="T49" s="35">
        <f t="shared" si="48"/>
        <v>0</v>
      </c>
      <c r="U49" s="35">
        <f t="shared" si="48"/>
        <v>0</v>
      </c>
      <c r="V49" s="35">
        <f t="shared" si="48"/>
        <v>0</v>
      </c>
      <c r="W49" s="35">
        <f t="shared" si="39"/>
        <v>0</v>
      </c>
      <c r="X49" s="35">
        <f t="shared" si="39"/>
        <v>0</v>
      </c>
      <c r="Y49" s="35">
        <f t="shared" si="39"/>
        <v>0</v>
      </c>
      <c r="Z49" s="35">
        <f t="shared" si="39"/>
        <v>0</v>
      </c>
      <c r="AA49" s="35">
        <f t="shared" si="39"/>
        <v>0</v>
      </c>
      <c r="AB49" s="35">
        <f t="shared" si="39"/>
        <v>0</v>
      </c>
      <c r="AC49" s="35">
        <f t="shared" si="39"/>
        <v>0</v>
      </c>
      <c r="AD49" s="35">
        <f t="shared" si="39"/>
        <v>0</v>
      </c>
      <c r="AE49" s="35">
        <f t="shared" si="39"/>
        <v>0</v>
      </c>
      <c r="AF49" s="35">
        <f t="shared" si="39"/>
        <v>0</v>
      </c>
      <c r="AG49" s="35">
        <f t="shared" si="39"/>
        <v>0</v>
      </c>
      <c r="AH49" s="4">
        <f t="shared" si="40"/>
        <v>0</v>
      </c>
    </row>
    <row r="50" spans="1:34">
      <c r="A50" s="18" t="s">
        <v>10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37"/>
        <v>0</v>
      </c>
      <c r="R50" s="18" t="s">
        <v>10</v>
      </c>
      <c r="S50" s="35">
        <f t="shared" ref="S50:V50" si="49">S85*0.2</f>
        <v>0</v>
      </c>
      <c r="T50" s="35">
        <f t="shared" si="49"/>
        <v>0</v>
      </c>
      <c r="U50" s="35">
        <f t="shared" si="49"/>
        <v>0</v>
      </c>
      <c r="V50" s="35">
        <f t="shared" si="49"/>
        <v>0</v>
      </c>
      <c r="W50" s="35">
        <f t="shared" si="39"/>
        <v>0</v>
      </c>
      <c r="X50" s="35">
        <f t="shared" si="39"/>
        <v>0</v>
      </c>
      <c r="Y50" s="35">
        <f t="shared" si="39"/>
        <v>0</v>
      </c>
      <c r="Z50" s="35">
        <f t="shared" si="39"/>
        <v>0</v>
      </c>
      <c r="AA50" s="35">
        <f t="shared" si="39"/>
        <v>0</v>
      </c>
      <c r="AB50" s="35">
        <f t="shared" si="39"/>
        <v>0</v>
      </c>
      <c r="AC50" s="35">
        <f t="shared" si="39"/>
        <v>0</v>
      </c>
      <c r="AD50" s="35">
        <f t="shared" si="39"/>
        <v>0</v>
      </c>
      <c r="AE50" s="35">
        <f t="shared" si="39"/>
        <v>0</v>
      </c>
      <c r="AF50" s="35">
        <f t="shared" si="39"/>
        <v>0</v>
      </c>
      <c r="AG50" s="35">
        <f t="shared" si="39"/>
        <v>0</v>
      </c>
      <c r="AH50" s="4">
        <f t="shared" si="40"/>
        <v>0</v>
      </c>
    </row>
    <row r="51" spans="1:34">
      <c r="A51" s="1" t="s">
        <v>11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37"/>
        <v>0</v>
      </c>
      <c r="R51" s="1" t="s">
        <v>11</v>
      </c>
      <c r="S51" s="35">
        <f t="shared" ref="S51:V51" si="50">S86*0.2</f>
        <v>0</v>
      </c>
      <c r="T51" s="35">
        <f t="shared" si="50"/>
        <v>0</v>
      </c>
      <c r="U51" s="35">
        <f t="shared" si="50"/>
        <v>0</v>
      </c>
      <c r="V51" s="35">
        <f t="shared" si="50"/>
        <v>0</v>
      </c>
      <c r="W51" s="35">
        <f t="shared" si="39"/>
        <v>0</v>
      </c>
      <c r="X51" s="35">
        <f t="shared" si="39"/>
        <v>0</v>
      </c>
      <c r="Y51" s="35">
        <f t="shared" si="39"/>
        <v>0</v>
      </c>
      <c r="Z51" s="35">
        <f t="shared" si="39"/>
        <v>0</v>
      </c>
      <c r="AA51" s="35">
        <f t="shared" si="39"/>
        <v>0</v>
      </c>
      <c r="AB51" s="35">
        <f t="shared" si="39"/>
        <v>0</v>
      </c>
      <c r="AC51" s="35">
        <f t="shared" si="39"/>
        <v>0</v>
      </c>
      <c r="AD51" s="35">
        <f t="shared" si="39"/>
        <v>0</v>
      </c>
      <c r="AE51" s="35">
        <f t="shared" si="39"/>
        <v>0</v>
      </c>
      <c r="AF51" s="35">
        <f t="shared" si="39"/>
        <v>0</v>
      </c>
      <c r="AG51" s="35">
        <f t="shared" si="39"/>
        <v>0</v>
      </c>
      <c r="AH51" s="4">
        <f t="shared" si="40"/>
        <v>0</v>
      </c>
    </row>
    <row r="52" spans="1:34">
      <c r="A52" s="1" t="s">
        <v>12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37"/>
        <v>0</v>
      </c>
      <c r="R52" s="1" t="s">
        <v>12</v>
      </c>
      <c r="S52" s="35">
        <f t="shared" ref="S52:V52" si="51">S87*0.2</f>
        <v>0</v>
      </c>
      <c r="T52" s="35">
        <f t="shared" si="51"/>
        <v>0</v>
      </c>
      <c r="U52" s="35">
        <f t="shared" si="51"/>
        <v>0</v>
      </c>
      <c r="V52" s="35">
        <f t="shared" si="51"/>
        <v>0</v>
      </c>
      <c r="W52" s="35">
        <f t="shared" si="39"/>
        <v>0</v>
      </c>
      <c r="X52" s="35">
        <f t="shared" si="39"/>
        <v>0</v>
      </c>
      <c r="Y52" s="35">
        <f t="shared" si="39"/>
        <v>0</v>
      </c>
      <c r="Z52" s="35">
        <f t="shared" si="39"/>
        <v>0</v>
      </c>
      <c r="AA52" s="35">
        <f t="shared" si="39"/>
        <v>0</v>
      </c>
      <c r="AB52" s="35">
        <f t="shared" si="39"/>
        <v>0</v>
      </c>
      <c r="AC52" s="35">
        <f t="shared" si="39"/>
        <v>0</v>
      </c>
      <c r="AD52" s="35">
        <f t="shared" si="39"/>
        <v>0</v>
      </c>
      <c r="AE52" s="35">
        <f t="shared" si="39"/>
        <v>0</v>
      </c>
      <c r="AF52" s="35">
        <f t="shared" si="39"/>
        <v>0</v>
      </c>
      <c r="AG52" s="35">
        <f t="shared" si="39"/>
        <v>0</v>
      </c>
      <c r="AH52" s="4">
        <f t="shared" si="40"/>
        <v>0</v>
      </c>
    </row>
    <row r="53" spans="1:34">
      <c r="A53" s="1" t="s">
        <v>15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>SUM(B53:N53)</f>
        <v>0</v>
      </c>
      <c r="R53" s="1" t="s">
        <v>15</v>
      </c>
      <c r="S53" s="35">
        <f t="shared" ref="S53:V53" si="52">S88*0.2</f>
        <v>0</v>
      </c>
      <c r="T53" s="35">
        <f t="shared" si="52"/>
        <v>0</v>
      </c>
      <c r="U53" s="35">
        <f t="shared" si="52"/>
        <v>0</v>
      </c>
      <c r="V53" s="35">
        <f t="shared" si="52"/>
        <v>0</v>
      </c>
      <c r="W53" s="35">
        <f t="shared" si="39"/>
        <v>0</v>
      </c>
      <c r="X53" s="35">
        <f t="shared" si="39"/>
        <v>0</v>
      </c>
      <c r="Y53" s="35">
        <f t="shared" si="39"/>
        <v>0</v>
      </c>
      <c r="Z53" s="35">
        <f t="shared" si="39"/>
        <v>0</v>
      </c>
      <c r="AA53" s="35">
        <f t="shared" si="39"/>
        <v>0</v>
      </c>
      <c r="AB53" s="35">
        <f t="shared" si="39"/>
        <v>0</v>
      </c>
      <c r="AC53" s="35">
        <f t="shared" si="39"/>
        <v>0</v>
      </c>
      <c r="AD53" s="35">
        <f t="shared" si="39"/>
        <v>0</v>
      </c>
      <c r="AE53" s="35">
        <f t="shared" si="39"/>
        <v>0</v>
      </c>
      <c r="AF53" s="35">
        <f t="shared" si="39"/>
        <v>0</v>
      </c>
      <c r="AG53" s="35">
        <f t="shared" si="39"/>
        <v>0</v>
      </c>
      <c r="AH53" s="4">
        <f t="shared" si="40"/>
        <v>0</v>
      </c>
    </row>
    <row r="54" spans="1:34">
      <c r="A54" s="1" t="s">
        <v>14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37"/>
        <v>0</v>
      </c>
      <c r="R54" s="1" t="s">
        <v>14</v>
      </c>
      <c r="S54" s="35">
        <f t="shared" ref="S54:V54" si="53">S89*0.2</f>
        <v>0</v>
      </c>
      <c r="T54" s="35">
        <f t="shared" si="53"/>
        <v>0</v>
      </c>
      <c r="U54" s="35">
        <f t="shared" si="53"/>
        <v>0</v>
      </c>
      <c r="V54" s="35">
        <f t="shared" si="53"/>
        <v>0</v>
      </c>
      <c r="W54" s="35">
        <f t="shared" si="39"/>
        <v>0</v>
      </c>
      <c r="X54" s="35">
        <f t="shared" si="39"/>
        <v>0</v>
      </c>
      <c r="Y54" s="35">
        <f t="shared" si="39"/>
        <v>0</v>
      </c>
      <c r="Z54" s="35">
        <f t="shared" si="39"/>
        <v>0</v>
      </c>
      <c r="AA54" s="35">
        <f t="shared" si="39"/>
        <v>0</v>
      </c>
      <c r="AB54" s="35">
        <f t="shared" si="39"/>
        <v>0</v>
      </c>
      <c r="AC54" s="35">
        <f t="shared" si="39"/>
        <v>0</v>
      </c>
      <c r="AD54" s="35">
        <f t="shared" si="39"/>
        <v>0</v>
      </c>
      <c r="AE54" s="35">
        <f t="shared" si="39"/>
        <v>0</v>
      </c>
      <c r="AF54" s="35">
        <f t="shared" si="39"/>
        <v>0</v>
      </c>
      <c r="AG54" s="35">
        <f t="shared" si="39"/>
        <v>0</v>
      </c>
      <c r="AH54" s="4">
        <f t="shared" ref="AH54" si="54">SUM(S54:AG54)</f>
        <v>0</v>
      </c>
    </row>
    <row r="55" spans="1:34">
      <c r="A55" s="18" t="s">
        <v>13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37"/>
        <v>0</v>
      </c>
      <c r="R55" s="18" t="s">
        <v>13</v>
      </c>
      <c r="S55" s="35">
        <f t="shared" ref="S55:AG55" si="55">S90*0.2</f>
        <v>0</v>
      </c>
      <c r="T55" s="35">
        <f t="shared" si="55"/>
        <v>0</v>
      </c>
      <c r="U55" s="35">
        <f t="shared" si="55"/>
        <v>0</v>
      </c>
      <c r="V55" s="35">
        <f t="shared" si="55"/>
        <v>0</v>
      </c>
      <c r="W55" s="35">
        <f t="shared" si="55"/>
        <v>0</v>
      </c>
      <c r="X55" s="35">
        <f t="shared" si="55"/>
        <v>0</v>
      </c>
      <c r="Y55" s="35">
        <f t="shared" si="55"/>
        <v>0</v>
      </c>
      <c r="Z55" s="35">
        <f t="shared" si="55"/>
        <v>0</v>
      </c>
      <c r="AA55" s="35">
        <f t="shared" si="55"/>
        <v>0</v>
      </c>
      <c r="AB55" s="35">
        <f t="shared" si="55"/>
        <v>0</v>
      </c>
      <c r="AC55" s="35">
        <f t="shared" si="55"/>
        <v>0</v>
      </c>
      <c r="AD55" s="35">
        <f t="shared" si="55"/>
        <v>0</v>
      </c>
      <c r="AE55" s="35">
        <f t="shared" si="55"/>
        <v>0</v>
      </c>
      <c r="AF55" s="35">
        <f t="shared" si="55"/>
        <v>0</v>
      </c>
      <c r="AG55" s="35">
        <f t="shared" si="55"/>
        <v>0</v>
      </c>
      <c r="AH55" s="4">
        <f t="shared" si="40"/>
        <v>0</v>
      </c>
    </row>
    <row r="56" spans="1:34">
      <c r="A56" s="1" t="s">
        <v>16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37"/>
        <v>0</v>
      </c>
      <c r="R56" s="1" t="s">
        <v>16</v>
      </c>
      <c r="S56" s="35">
        <f t="shared" ref="S56:V56" si="56">S91*0.2</f>
        <v>0</v>
      </c>
      <c r="T56" s="35">
        <f t="shared" si="56"/>
        <v>0</v>
      </c>
      <c r="U56" s="35">
        <f t="shared" si="56"/>
        <v>0</v>
      </c>
      <c r="V56" s="35">
        <f t="shared" si="56"/>
        <v>0</v>
      </c>
      <c r="W56" s="35">
        <f t="shared" si="39"/>
        <v>0</v>
      </c>
      <c r="X56" s="35">
        <f t="shared" si="39"/>
        <v>0</v>
      </c>
      <c r="Y56" s="35">
        <f t="shared" si="39"/>
        <v>0</v>
      </c>
      <c r="Z56" s="35">
        <f t="shared" si="39"/>
        <v>0</v>
      </c>
      <c r="AA56" s="35">
        <f t="shared" si="39"/>
        <v>0</v>
      </c>
      <c r="AB56" s="35">
        <f t="shared" si="39"/>
        <v>0</v>
      </c>
      <c r="AC56" s="35">
        <f t="shared" si="39"/>
        <v>0</v>
      </c>
      <c r="AD56" s="35">
        <f t="shared" si="39"/>
        <v>0</v>
      </c>
      <c r="AE56" s="35">
        <f t="shared" si="39"/>
        <v>0</v>
      </c>
      <c r="AF56" s="35">
        <f t="shared" si="39"/>
        <v>0</v>
      </c>
      <c r="AG56" s="35">
        <f t="shared" si="39"/>
        <v>0</v>
      </c>
      <c r="AH56" s="4">
        <f t="shared" si="40"/>
        <v>0</v>
      </c>
    </row>
    <row r="57" spans="1:34">
      <c r="A57" s="1" t="s">
        <v>17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37"/>
        <v>0</v>
      </c>
      <c r="R57" s="1" t="s">
        <v>17</v>
      </c>
      <c r="S57" s="35">
        <f t="shared" ref="S57:V57" si="57">S92*0.2</f>
        <v>0</v>
      </c>
      <c r="T57" s="35">
        <f t="shared" si="57"/>
        <v>0</v>
      </c>
      <c r="U57" s="35">
        <f t="shared" si="57"/>
        <v>0</v>
      </c>
      <c r="V57" s="35">
        <f t="shared" si="57"/>
        <v>0</v>
      </c>
      <c r="W57" s="35">
        <f t="shared" ref="W57:AG66" si="58">W92*0.2</f>
        <v>0</v>
      </c>
      <c r="X57" s="35">
        <f t="shared" si="58"/>
        <v>0</v>
      </c>
      <c r="Y57" s="35">
        <f t="shared" si="58"/>
        <v>0</v>
      </c>
      <c r="Z57" s="35">
        <f t="shared" si="58"/>
        <v>0</v>
      </c>
      <c r="AA57" s="35">
        <f t="shared" si="58"/>
        <v>0</v>
      </c>
      <c r="AB57" s="35">
        <f t="shared" si="58"/>
        <v>0</v>
      </c>
      <c r="AC57" s="35">
        <f t="shared" si="58"/>
        <v>0</v>
      </c>
      <c r="AD57" s="35">
        <f t="shared" si="58"/>
        <v>0</v>
      </c>
      <c r="AE57" s="35">
        <f t="shared" si="58"/>
        <v>0</v>
      </c>
      <c r="AF57" s="35">
        <v>0</v>
      </c>
      <c r="AG57" s="35">
        <v>0</v>
      </c>
      <c r="AH57" s="4">
        <f t="shared" si="40"/>
        <v>0</v>
      </c>
    </row>
    <row r="58" spans="1:34">
      <c r="A58" s="1" t="s">
        <v>18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37"/>
        <v>0</v>
      </c>
      <c r="R58" s="1" t="s">
        <v>18</v>
      </c>
      <c r="S58" s="35">
        <f t="shared" ref="S58:V58" si="59">S93*0.2</f>
        <v>0</v>
      </c>
      <c r="T58" s="35">
        <f t="shared" si="59"/>
        <v>0</v>
      </c>
      <c r="U58" s="35">
        <f t="shared" si="59"/>
        <v>0</v>
      </c>
      <c r="V58" s="35">
        <f t="shared" si="59"/>
        <v>0</v>
      </c>
      <c r="W58" s="35">
        <f t="shared" si="58"/>
        <v>0</v>
      </c>
      <c r="X58" s="35">
        <f t="shared" si="58"/>
        <v>0</v>
      </c>
      <c r="Y58" s="35">
        <f t="shared" si="58"/>
        <v>0</v>
      </c>
      <c r="Z58" s="35">
        <f t="shared" si="58"/>
        <v>0</v>
      </c>
      <c r="AA58" s="35">
        <f t="shared" si="58"/>
        <v>0</v>
      </c>
      <c r="AB58" s="35">
        <f t="shared" si="58"/>
        <v>0</v>
      </c>
      <c r="AC58" s="35">
        <f t="shared" si="58"/>
        <v>0</v>
      </c>
      <c r="AD58" s="35">
        <f t="shared" si="58"/>
        <v>0</v>
      </c>
      <c r="AE58" s="35">
        <f t="shared" si="58"/>
        <v>0</v>
      </c>
      <c r="AF58" s="35">
        <f t="shared" si="58"/>
        <v>0</v>
      </c>
      <c r="AG58" s="35">
        <f t="shared" si="58"/>
        <v>0</v>
      </c>
      <c r="AH58" s="4">
        <f t="shared" si="40"/>
        <v>0</v>
      </c>
    </row>
    <row r="59" spans="1:34">
      <c r="A59" s="1" t="s">
        <v>20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37"/>
        <v>0</v>
      </c>
      <c r="R59" s="1" t="s">
        <v>20</v>
      </c>
      <c r="S59" s="35">
        <f t="shared" ref="S59:V59" si="60">S94*0.2</f>
        <v>0</v>
      </c>
      <c r="T59" s="35">
        <f t="shared" si="60"/>
        <v>0</v>
      </c>
      <c r="U59" s="35">
        <f t="shared" si="60"/>
        <v>0</v>
      </c>
      <c r="V59" s="35">
        <f t="shared" si="60"/>
        <v>0</v>
      </c>
      <c r="W59" s="35">
        <f t="shared" si="58"/>
        <v>0</v>
      </c>
      <c r="X59" s="35">
        <f t="shared" si="58"/>
        <v>0</v>
      </c>
      <c r="Y59" s="35">
        <f t="shared" si="58"/>
        <v>0</v>
      </c>
      <c r="Z59" s="35">
        <f t="shared" si="58"/>
        <v>0</v>
      </c>
      <c r="AA59" s="35">
        <f t="shared" si="58"/>
        <v>0</v>
      </c>
      <c r="AB59" s="35">
        <f t="shared" si="58"/>
        <v>0</v>
      </c>
      <c r="AC59" s="35">
        <f t="shared" si="58"/>
        <v>0</v>
      </c>
      <c r="AD59" s="35">
        <f t="shared" si="58"/>
        <v>0</v>
      </c>
      <c r="AE59" s="35">
        <f t="shared" si="58"/>
        <v>0</v>
      </c>
      <c r="AF59" s="35">
        <f t="shared" si="58"/>
        <v>0</v>
      </c>
      <c r="AG59" s="35">
        <f t="shared" si="58"/>
        <v>0</v>
      </c>
      <c r="AH59" s="4">
        <f t="shared" si="40"/>
        <v>0</v>
      </c>
    </row>
    <row r="60" spans="1:34">
      <c r="A60" s="1" t="s">
        <v>19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37"/>
        <v>0</v>
      </c>
      <c r="R60" s="1" t="s">
        <v>19</v>
      </c>
      <c r="S60" s="35">
        <f t="shared" ref="S60:V60" si="61">S95*0.2</f>
        <v>0</v>
      </c>
      <c r="T60" s="35">
        <f t="shared" si="61"/>
        <v>0</v>
      </c>
      <c r="U60" s="35">
        <f t="shared" si="61"/>
        <v>0</v>
      </c>
      <c r="V60" s="35">
        <f t="shared" si="61"/>
        <v>0</v>
      </c>
      <c r="W60" s="35">
        <f t="shared" si="58"/>
        <v>0</v>
      </c>
      <c r="X60" s="35">
        <f t="shared" si="58"/>
        <v>0</v>
      </c>
      <c r="Y60" s="35">
        <f t="shared" si="58"/>
        <v>0</v>
      </c>
      <c r="Z60" s="35">
        <f t="shared" si="58"/>
        <v>0</v>
      </c>
      <c r="AA60" s="35">
        <f t="shared" si="58"/>
        <v>0</v>
      </c>
      <c r="AB60" s="35">
        <f t="shared" si="58"/>
        <v>0</v>
      </c>
      <c r="AC60" s="35">
        <f t="shared" si="58"/>
        <v>0</v>
      </c>
      <c r="AD60" s="35">
        <f t="shared" si="58"/>
        <v>0</v>
      </c>
      <c r="AE60" s="35">
        <f t="shared" si="58"/>
        <v>0</v>
      </c>
      <c r="AF60" s="35">
        <f t="shared" si="58"/>
        <v>0</v>
      </c>
      <c r="AG60" s="35">
        <f t="shared" si="58"/>
        <v>0</v>
      </c>
      <c r="AH60" s="4">
        <f t="shared" si="40"/>
        <v>0</v>
      </c>
    </row>
    <row r="61" spans="1:34">
      <c r="A61" s="18" t="s">
        <v>21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37"/>
        <v>0</v>
      </c>
      <c r="R61" s="18" t="s">
        <v>21</v>
      </c>
      <c r="S61" s="35">
        <f t="shared" ref="S61:V61" si="62">S96*0.2</f>
        <v>0</v>
      </c>
      <c r="T61" s="35">
        <f t="shared" si="62"/>
        <v>0</v>
      </c>
      <c r="U61" s="35">
        <f t="shared" si="62"/>
        <v>0</v>
      </c>
      <c r="V61" s="35">
        <f t="shared" si="62"/>
        <v>0</v>
      </c>
      <c r="W61" s="35">
        <f t="shared" si="58"/>
        <v>0</v>
      </c>
      <c r="X61" s="35">
        <f t="shared" si="58"/>
        <v>0</v>
      </c>
      <c r="Y61" s="35">
        <f t="shared" si="58"/>
        <v>0</v>
      </c>
      <c r="Z61" s="35">
        <f t="shared" si="58"/>
        <v>0</v>
      </c>
      <c r="AA61" s="35">
        <f t="shared" si="58"/>
        <v>0</v>
      </c>
      <c r="AB61" s="35">
        <f t="shared" si="58"/>
        <v>0</v>
      </c>
      <c r="AC61" s="35">
        <f t="shared" si="58"/>
        <v>0</v>
      </c>
      <c r="AD61" s="35">
        <f t="shared" si="58"/>
        <v>0</v>
      </c>
      <c r="AE61" s="35">
        <f t="shared" si="58"/>
        <v>0</v>
      </c>
      <c r="AF61" s="35">
        <f t="shared" si="58"/>
        <v>0</v>
      </c>
      <c r="AG61" s="35">
        <f t="shared" si="58"/>
        <v>0</v>
      </c>
      <c r="AH61" s="4">
        <f t="shared" si="40"/>
        <v>0</v>
      </c>
    </row>
    <row r="62" spans="1:34">
      <c r="A62" s="2" t="s">
        <v>22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37"/>
        <v>0</v>
      </c>
      <c r="R62" s="2" t="s">
        <v>22</v>
      </c>
      <c r="S62" s="35">
        <f t="shared" ref="S62:V62" si="63">S97*0.2</f>
        <v>0</v>
      </c>
      <c r="T62" s="35">
        <f t="shared" si="63"/>
        <v>0</v>
      </c>
      <c r="U62" s="35">
        <f t="shared" si="63"/>
        <v>0</v>
      </c>
      <c r="V62" s="35">
        <f t="shared" si="63"/>
        <v>0</v>
      </c>
      <c r="W62" s="35">
        <f t="shared" si="58"/>
        <v>0</v>
      </c>
      <c r="X62" s="35">
        <f t="shared" si="58"/>
        <v>0</v>
      </c>
      <c r="Y62" s="35">
        <f t="shared" si="58"/>
        <v>0</v>
      </c>
      <c r="Z62" s="35">
        <f t="shared" si="58"/>
        <v>0</v>
      </c>
      <c r="AA62" s="35">
        <f t="shared" si="58"/>
        <v>0</v>
      </c>
      <c r="AB62" s="35">
        <f t="shared" si="58"/>
        <v>0</v>
      </c>
      <c r="AC62" s="35">
        <f t="shared" si="58"/>
        <v>0</v>
      </c>
      <c r="AD62" s="35">
        <f t="shared" si="58"/>
        <v>0</v>
      </c>
      <c r="AE62" s="35">
        <f t="shared" si="58"/>
        <v>0</v>
      </c>
      <c r="AF62" s="35">
        <f t="shared" si="58"/>
        <v>0</v>
      </c>
      <c r="AG62" s="35">
        <f t="shared" si="58"/>
        <v>0</v>
      </c>
      <c r="AH62" s="4">
        <f t="shared" si="40"/>
        <v>0</v>
      </c>
    </row>
    <row r="63" spans="1:34">
      <c r="A63" s="1" t="s">
        <v>23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37"/>
        <v>0</v>
      </c>
      <c r="R63" s="1" t="s">
        <v>23</v>
      </c>
      <c r="S63" s="35">
        <f t="shared" ref="S63:V63" si="64">S98*0.2</f>
        <v>0</v>
      </c>
      <c r="T63" s="35">
        <f t="shared" si="64"/>
        <v>0</v>
      </c>
      <c r="U63" s="35">
        <f t="shared" si="64"/>
        <v>0</v>
      </c>
      <c r="V63" s="35">
        <f t="shared" si="64"/>
        <v>0</v>
      </c>
      <c r="W63" s="35">
        <f t="shared" si="58"/>
        <v>0</v>
      </c>
      <c r="X63" s="35">
        <f t="shared" si="58"/>
        <v>0</v>
      </c>
      <c r="Y63" s="35">
        <f t="shared" si="58"/>
        <v>0</v>
      </c>
      <c r="Z63" s="35">
        <f t="shared" si="58"/>
        <v>0</v>
      </c>
      <c r="AA63" s="35">
        <f t="shared" si="58"/>
        <v>0</v>
      </c>
      <c r="AB63" s="35">
        <f t="shared" si="58"/>
        <v>0</v>
      </c>
      <c r="AC63" s="35">
        <f t="shared" si="58"/>
        <v>0</v>
      </c>
      <c r="AD63" s="35">
        <f t="shared" si="58"/>
        <v>0</v>
      </c>
      <c r="AE63" s="35">
        <f t="shared" si="58"/>
        <v>0</v>
      </c>
      <c r="AF63" s="35">
        <f t="shared" si="58"/>
        <v>0</v>
      </c>
      <c r="AG63" s="35">
        <f t="shared" si="58"/>
        <v>0</v>
      </c>
      <c r="AH63" s="4">
        <f t="shared" si="40"/>
        <v>0</v>
      </c>
    </row>
    <row r="64" spans="1:34">
      <c r="A64" s="1" t="s">
        <v>25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37"/>
        <v>0</v>
      </c>
      <c r="R64" s="1" t="s">
        <v>25</v>
      </c>
      <c r="S64" s="35">
        <f t="shared" ref="S64:V64" si="65">S99*0.2</f>
        <v>0</v>
      </c>
      <c r="T64" s="35">
        <f t="shared" si="65"/>
        <v>0</v>
      </c>
      <c r="U64" s="35">
        <f t="shared" si="65"/>
        <v>0</v>
      </c>
      <c r="V64" s="35">
        <f t="shared" si="65"/>
        <v>0</v>
      </c>
      <c r="W64" s="35">
        <f t="shared" si="58"/>
        <v>0</v>
      </c>
      <c r="X64" s="35">
        <f t="shared" si="58"/>
        <v>0</v>
      </c>
      <c r="Y64" s="35">
        <f t="shared" si="58"/>
        <v>0</v>
      </c>
      <c r="Z64" s="35">
        <f t="shared" si="58"/>
        <v>0</v>
      </c>
      <c r="AA64" s="35">
        <f t="shared" si="58"/>
        <v>0</v>
      </c>
      <c r="AB64" s="35">
        <f t="shared" si="58"/>
        <v>0</v>
      </c>
      <c r="AC64" s="35">
        <f t="shared" si="58"/>
        <v>0</v>
      </c>
      <c r="AD64" s="35">
        <f t="shared" si="58"/>
        <v>0</v>
      </c>
      <c r="AE64" s="35">
        <f t="shared" si="58"/>
        <v>0</v>
      </c>
      <c r="AF64" s="35">
        <v>0</v>
      </c>
      <c r="AG64" s="35">
        <v>0</v>
      </c>
      <c r="AH64" s="4">
        <f t="shared" si="40"/>
        <v>0</v>
      </c>
    </row>
    <row r="65" spans="1:34">
      <c r="A65" s="1" t="s">
        <v>24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37"/>
        <v>0</v>
      </c>
      <c r="R65" s="1" t="s">
        <v>24</v>
      </c>
      <c r="S65" s="35">
        <f t="shared" ref="S65:V65" si="66">S100*0.2</f>
        <v>0</v>
      </c>
      <c r="T65" s="35">
        <f t="shared" si="66"/>
        <v>0</v>
      </c>
      <c r="U65" s="35">
        <f t="shared" si="66"/>
        <v>0</v>
      </c>
      <c r="V65" s="35">
        <f t="shared" si="66"/>
        <v>0</v>
      </c>
      <c r="W65" s="35">
        <f t="shared" si="58"/>
        <v>0</v>
      </c>
      <c r="X65" s="35">
        <f t="shared" si="58"/>
        <v>0</v>
      </c>
      <c r="Y65" s="35">
        <f t="shared" si="58"/>
        <v>0</v>
      </c>
      <c r="Z65" s="35">
        <f t="shared" si="58"/>
        <v>0</v>
      </c>
      <c r="AA65" s="35">
        <f t="shared" si="58"/>
        <v>0</v>
      </c>
      <c r="AB65" s="35">
        <f t="shared" si="58"/>
        <v>0</v>
      </c>
      <c r="AC65" s="35">
        <f t="shared" si="58"/>
        <v>0</v>
      </c>
      <c r="AD65" s="35">
        <f t="shared" si="58"/>
        <v>0</v>
      </c>
      <c r="AE65" s="35">
        <f t="shared" si="58"/>
        <v>0</v>
      </c>
      <c r="AF65" s="35">
        <f t="shared" si="58"/>
        <v>0</v>
      </c>
      <c r="AG65" s="35">
        <f t="shared" si="58"/>
        <v>0</v>
      </c>
      <c r="AH65" s="4">
        <f t="shared" si="40"/>
        <v>0</v>
      </c>
    </row>
    <row r="66" spans="1:34">
      <c r="A66" s="1" t="s">
        <v>26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37"/>
        <v>0</v>
      </c>
      <c r="R66" s="1" t="s">
        <v>26</v>
      </c>
      <c r="S66" s="35">
        <f t="shared" ref="S66:V66" si="67">S101*0.2</f>
        <v>0</v>
      </c>
      <c r="T66" s="35">
        <f t="shared" si="67"/>
        <v>0</v>
      </c>
      <c r="U66" s="35">
        <f t="shared" si="67"/>
        <v>0</v>
      </c>
      <c r="V66" s="35">
        <f t="shared" si="67"/>
        <v>0</v>
      </c>
      <c r="W66" s="35">
        <f t="shared" si="58"/>
        <v>0</v>
      </c>
      <c r="X66" s="35">
        <f t="shared" si="58"/>
        <v>0</v>
      </c>
      <c r="Y66" s="35">
        <f t="shared" si="58"/>
        <v>0</v>
      </c>
      <c r="Z66" s="35">
        <f t="shared" si="58"/>
        <v>0</v>
      </c>
      <c r="AA66" s="35">
        <f t="shared" si="58"/>
        <v>0</v>
      </c>
      <c r="AB66" s="35">
        <f t="shared" si="58"/>
        <v>0</v>
      </c>
      <c r="AC66" s="35">
        <f t="shared" si="58"/>
        <v>0</v>
      </c>
      <c r="AD66" s="35">
        <f t="shared" si="58"/>
        <v>0</v>
      </c>
      <c r="AE66" s="35">
        <f t="shared" si="58"/>
        <v>0</v>
      </c>
      <c r="AF66" s="35">
        <f t="shared" si="58"/>
        <v>0</v>
      </c>
      <c r="AG66" s="35">
        <f t="shared" si="58"/>
        <v>0</v>
      </c>
      <c r="AH66" s="4">
        <f t="shared" si="40"/>
        <v>0</v>
      </c>
    </row>
    <row r="67" spans="1:34">
      <c r="A67" s="8" t="s">
        <v>37</v>
      </c>
      <c r="B67" s="9">
        <f>SUM(B40:B66)</f>
        <v>0</v>
      </c>
      <c r="C67" s="9">
        <f t="shared" ref="C67:N67" si="68">SUM(C40:C66)</f>
        <v>0</v>
      </c>
      <c r="D67" s="9">
        <f t="shared" si="68"/>
        <v>0</v>
      </c>
      <c r="E67" s="9">
        <f t="shared" si="68"/>
        <v>0</v>
      </c>
      <c r="F67" s="9">
        <f t="shared" si="68"/>
        <v>0</v>
      </c>
      <c r="G67" s="9">
        <f t="shared" si="68"/>
        <v>0</v>
      </c>
      <c r="H67" s="9">
        <f t="shared" si="68"/>
        <v>0</v>
      </c>
      <c r="I67" s="9">
        <f t="shared" si="68"/>
        <v>0</v>
      </c>
      <c r="J67" s="9">
        <f t="shared" si="68"/>
        <v>0</v>
      </c>
      <c r="K67" s="9">
        <f t="shared" si="68"/>
        <v>0</v>
      </c>
      <c r="L67" s="9">
        <f t="shared" si="68"/>
        <v>0</v>
      </c>
      <c r="M67" s="9">
        <f t="shared" si="68"/>
        <v>0</v>
      </c>
      <c r="N67" s="9">
        <f t="shared" si="68"/>
        <v>0</v>
      </c>
      <c r="O67" s="13">
        <f>SUM(O40:O66)</f>
        <v>0</v>
      </c>
      <c r="R67" s="8" t="s">
        <v>37</v>
      </c>
      <c r="S67" s="9">
        <f t="shared" ref="S67:AG67" si="69">SUM(S40:S66)</f>
        <v>0</v>
      </c>
      <c r="T67" s="9">
        <f t="shared" si="69"/>
        <v>0</v>
      </c>
      <c r="U67" s="9">
        <f t="shared" si="69"/>
        <v>0</v>
      </c>
      <c r="V67" s="9">
        <f t="shared" si="69"/>
        <v>0</v>
      </c>
      <c r="W67" s="9">
        <f t="shared" si="69"/>
        <v>0</v>
      </c>
      <c r="X67" s="9">
        <f t="shared" si="69"/>
        <v>0</v>
      </c>
      <c r="Y67" s="9">
        <f t="shared" si="69"/>
        <v>0</v>
      </c>
      <c r="Z67" s="9">
        <f t="shared" si="69"/>
        <v>0</v>
      </c>
      <c r="AA67" s="9">
        <f t="shared" si="69"/>
        <v>0</v>
      </c>
      <c r="AB67" s="9">
        <f t="shared" si="69"/>
        <v>0</v>
      </c>
      <c r="AC67" s="9">
        <f t="shared" si="69"/>
        <v>0</v>
      </c>
      <c r="AD67" s="9">
        <f t="shared" si="69"/>
        <v>0</v>
      </c>
      <c r="AE67" s="9">
        <f t="shared" si="69"/>
        <v>0</v>
      </c>
      <c r="AF67" s="9">
        <f t="shared" si="69"/>
        <v>0</v>
      </c>
      <c r="AG67" s="9">
        <f t="shared" si="69"/>
        <v>0</v>
      </c>
      <c r="AH67" s="13">
        <f>SUM(AH40:AH66)</f>
        <v>0</v>
      </c>
    </row>
    <row r="68" spans="1:34" ht="18.75">
      <c r="O68" s="3"/>
      <c r="R68" s="44" t="s">
        <v>50</v>
      </c>
      <c r="AH68" s="3"/>
    </row>
    <row r="69" spans="1:34" s="34" customFormat="1">
      <c r="A69" s="298" t="s">
        <v>47</v>
      </c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O69" s="33"/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</row>
    <row r="70" spans="1:34">
      <c r="A70" s="39" t="s">
        <v>14</v>
      </c>
      <c r="B70" s="40">
        <f>B19*0.2</f>
        <v>0</v>
      </c>
      <c r="C70" s="40">
        <f t="shared" ref="C70:N70" si="70">C19*0.2</f>
        <v>0</v>
      </c>
      <c r="D70" s="40">
        <f t="shared" si="70"/>
        <v>0</v>
      </c>
      <c r="E70" s="40">
        <f t="shared" si="70"/>
        <v>0</v>
      </c>
      <c r="F70" s="40">
        <f t="shared" si="70"/>
        <v>0</v>
      </c>
      <c r="G70" s="40">
        <f t="shared" si="70"/>
        <v>0</v>
      </c>
      <c r="H70" s="40">
        <f t="shared" si="70"/>
        <v>0</v>
      </c>
      <c r="I70" s="40">
        <f t="shared" si="70"/>
        <v>0</v>
      </c>
      <c r="J70" s="40">
        <f t="shared" si="70"/>
        <v>0</v>
      </c>
      <c r="K70" s="40">
        <f t="shared" si="70"/>
        <v>0</v>
      </c>
      <c r="L70" s="40">
        <f t="shared" si="70"/>
        <v>0</v>
      </c>
      <c r="M70" s="40">
        <f t="shared" si="70"/>
        <v>0</v>
      </c>
      <c r="N70" s="40">
        <f t="shared" si="70"/>
        <v>0</v>
      </c>
      <c r="O70" s="41">
        <f>SUM(B70:N70)</f>
        <v>0</v>
      </c>
      <c r="R70"/>
      <c r="AC70" s="3"/>
      <c r="AD70" s="3"/>
      <c r="AE70" s="3"/>
      <c r="AF70" s="3"/>
      <c r="AG70" s="3"/>
    </row>
    <row r="71" spans="1:34">
      <c r="R71"/>
    </row>
    <row r="72" spans="1:34" ht="46.5">
      <c r="A72" s="292" t="s">
        <v>38</v>
      </c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  <c r="R72" s="292" t="s">
        <v>48</v>
      </c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4"/>
    </row>
    <row r="73" spans="1:34" ht="21.75" customHeight="1">
      <c r="A73" s="290" t="s">
        <v>33</v>
      </c>
      <c r="B73" s="287" t="s">
        <v>27</v>
      </c>
      <c r="C73" s="288"/>
      <c r="D73" s="287" t="s">
        <v>29</v>
      </c>
      <c r="E73" s="288"/>
      <c r="F73" s="285" t="s">
        <v>28</v>
      </c>
      <c r="G73" s="285" t="s">
        <v>36</v>
      </c>
      <c r="H73" s="285" t="s">
        <v>30</v>
      </c>
      <c r="I73" s="285" t="s">
        <v>31</v>
      </c>
      <c r="J73" s="285" t="s">
        <v>41</v>
      </c>
      <c r="K73" s="285" t="s">
        <v>35</v>
      </c>
      <c r="L73" s="285" t="s">
        <v>40</v>
      </c>
      <c r="M73" s="285" t="s">
        <v>42</v>
      </c>
      <c r="N73" s="285" t="s">
        <v>45</v>
      </c>
      <c r="O73" s="285" t="s">
        <v>34</v>
      </c>
      <c r="R73" s="290" t="s">
        <v>33</v>
      </c>
      <c r="S73" s="287" t="s">
        <v>27</v>
      </c>
      <c r="T73" s="288"/>
      <c r="U73" s="287" t="s">
        <v>29</v>
      </c>
      <c r="V73" s="288"/>
      <c r="W73" s="285" t="s">
        <v>28</v>
      </c>
      <c r="X73" s="285" t="s">
        <v>36</v>
      </c>
      <c r="Y73" s="285" t="s">
        <v>30</v>
      </c>
      <c r="Z73" s="285" t="s">
        <v>31</v>
      </c>
      <c r="AA73" s="285" t="s">
        <v>41</v>
      </c>
      <c r="AB73" s="285" t="s">
        <v>35</v>
      </c>
      <c r="AC73" s="285" t="s">
        <v>40</v>
      </c>
      <c r="AD73" s="285" t="s">
        <v>42</v>
      </c>
      <c r="AE73" s="285" t="s">
        <v>45</v>
      </c>
      <c r="AF73" s="299" t="s">
        <v>55</v>
      </c>
      <c r="AG73" s="300"/>
      <c r="AH73" s="285" t="s">
        <v>34</v>
      </c>
    </row>
    <row r="74" spans="1:34" ht="30">
      <c r="A74" s="291"/>
      <c r="B74" s="5" t="s">
        <v>43</v>
      </c>
      <c r="C74" s="5" t="s">
        <v>44</v>
      </c>
      <c r="D74" s="5" t="s">
        <v>43</v>
      </c>
      <c r="E74" s="5" t="s">
        <v>44</v>
      </c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R74" s="291"/>
      <c r="S74" s="46" t="s">
        <v>43</v>
      </c>
      <c r="T74" s="46" t="s">
        <v>44</v>
      </c>
      <c r="U74" s="46" t="s">
        <v>43</v>
      </c>
      <c r="V74" s="46" t="s">
        <v>44</v>
      </c>
      <c r="W74" s="286"/>
      <c r="X74" s="286"/>
      <c r="Y74" s="286"/>
      <c r="Z74" s="286"/>
      <c r="AA74" s="286"/>
      <c r="AB74" s="286"/>
      <c r="AC74" s="286"/>
      <c r="AD74" s="286"/>
      <c r="AE74" s="286"/>
      <c r="AF74" s="49" t="s">
        <v>53</v>
      </c>
      <c r="AG74" s="49" t="s">
        <v>54</v>
      </c>
      <c r="AH74" s="286"/>
    </row>
    <row r="75" spans="1:34">
      <c r="A75" s="1" t="s">
        <v>0</v>
      </c>
      <c r="B75" s="22">
        <f t="shared" ref="B75:N75" si="71">B5+B40</f>
        <v>0</v>
      </c>
      <c r="C75" s="22">
        <f t="shared" si="71"/>
        <v>0</v>
      </c>
      <c r="D75" s="22">
        <f t="shared" si="71"/>
        <v>0</v>
      </c>
      <c r="E75" s="22">
        <f t="shared" si="71"/>
        <v>0</v>
      </c>
      <c r="F75" s="22">
        <f t="shared" si="71"/>
        <v>0</v>
      </c>
      <c r="G75" s="22">
        <f t="shared" si="71"/>
        <v>0</v>
      </c>
      <c r="H75" s="22">
        <f t="shared" si="71"/>
        <v>0</v>
      </c>
      <c r="I75" s="22">
        <f t="shared" si="71"/>
        <v>0</v>
      </c>
      <c r="J75" s="22">
        <f t="shared" si="71"/>
        <v>0</v>
      </c>
      <c r="K75" s="22">
        <f t="shared" si="71"/>
        <v>0</v>
      </c>
      <c r="L75" s="22">
        <f t="shared" si="71"/>
        <v>0</v>
      </c>
      <c r="M75" s="22">
        <f t="shared" si="71"/>
        <v>0</v>
      </c>
      <c r="N75" s="22">
        <f t="shared" si="71"/>
        <v>0</v>
      </c>
      <c r="O75" s="12">
        <f>SUM(B75:N75)</f>
        <v>0</v>
      </c>
      <c r="R75" s="2" t="s">
        <v>0</v>
      </c>
      <c r="S75" s="47">
        <v>0</v>
      </c>
      <c r="T75" s="47">
        <v>0</v>
      </c>
      <c r="U75" s="47">
        <v>0</v>
      </c>
      <c r="V75" s="47">
        <v>0</v>
      </c>
      <c r="W75" s="47">
        <v>0</v>
      </c>
      <c r="X75" s="47">
        <v>0</v>
      </c>
      <c r="Y75" s="47">
        <v>0</v>
      </c>
      <c r="Z75" s="47">
        <v>0</v>
      </c>
      <c r="AA75" s="47">
        <v>0</v>
      </c>
      <c r="AB75" s="47">
        <v>0</v>
      </c>
      <c r="AC75" s="47">
        <v>0</v>
      </c>
      <c r="AD75" s="47">
        <v>0</v>
      </c>
      <c r="AE75" s="47">
        <v>0</v>
      </c>
      <c r="AF75" s="47">
        <v>0</v>
      </c>
      <c r="AG75" s="47">
        <v>0</v>
      </c>
      <c r="AH75" s="12">
        <f t="shared" ref="AH75:AH101" si="72">SUM(S75:AG75)</f>
        <v>0</v>
      </c>
    </row>
    <row r="76" spans="1:34">
      <c r="A76" s="1" t="s">
        <v>1</v>
      </c>
      <c r="B76" s="22">
        <f t="shared" ref="B76:N76" si="73">B6+B41</f>
        <v>0</v>
      </c>
      <c r="C76" s="22">
        <f t="shared" si="73"/>
        <v>0</v>
      </c>
      <c r="D76" s="22">
        <f t="shared" si="73"/>
        <v>0</v>
      </c>
      <c r="E76" s="22">
        <f t="shared" si="73"/>
        <v>0</v>
      </c>
      <c r="F76" s="22">
        <f t="shared" si="73"/>
        <v>0</v>
      </c>
      <c r="G76" s="22">
        <f t="shared" si="73"/>
        <v>0</v>
      </c>
      <c r="H76" s="22">
        <f t="shared" si="73"/>
        <v>0</v>
      </c>
      <c r="I76" s="22">
        <f t="shared" si="73"/>
        <v>0</v>
      </c>
      <c r="J76" s="22">
        <f t="shared" si="73"/>
        <v>0</v>
      </c>
      <c r="K76" s="22">
        <f t="shared" si="73"/>
        <v>0</v>
      </c>
      <c r="L76" s="22">
        <f t="shared" si="73"/>
        <v>0</v>
      </c>
      <c r="M76" s="22">
        <f t="shared" si="73"/>
        <v>0</v>
      </c>
      <c r="N76" s="22">
        <f t="shared" si="73"/>
        <v>0</v>
      </c>
      <c r="O76" s="12">
        <f t="shared" ref="O76:O101" si="74">SUM(B76:N76)</f>
        <v>0</v>
      </c>
      <c r="R76" s="2" t="s">
        <v>1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0</v>
      </c>
      <c r="AB76" s="47">
        <v>0</v>
      </c>
      <c r="AC76" s="47">
        <v>0</v>
      </c>
      <c r="AD76" s="47">
        <v>0</v>
      </c>
      <c r="AE76" s="47">
        <v>0</v>
      </c>
      <c r="AF76" s="47">
        <v>0</v>
      </c>
      <c r="AG76" s="47">
        <v>0</v>
      </c>
      <c r="AH76" s="12">
        <f t="shared" si="72"/>
        <v>0</v>
      </c>
    </row>
    <row r="77" spans="1:34">
      <c r="A77" s="18" t="s">
        <v>2</v>
      </c>
      <c r="B77" s="22">
        <f t="shared" ref="B77:N77" si="75">B7+B42</f>
        <v>0</v>
      </c>
      <c r="C77" s="22">
        <f t="shared" si="75"/>
        <v>0</v>
      </c>
      <c r="D77" s="22">
        <f t="shared" si="75"/>
        <v>0</v>
      </c>
      <c r="E77" s="22">
        <f t="shared" si="75"/>
        <v>0</v>
      </c>
      <c r="F77" s="22">
        <f t="shared" si="75"/>
        <v>0</v>
      </c>
      <c r="G77" s="22">
        <f t="shared" si="75"/>
        <v>0</v>
      </c>
      <c r="H77" s="22">
        <f t="shared" si="75"/>
        <v>0</v>
      </c>
      <c r="I77" s="22">
        <f t="shared" si="75"/>
        <v>0</v>
      </c>
      <c r="J77" s="22">
        <f t="shared" si="75"/>
        <v>0</v>
      </c>
      <c r="K77" s="22">
        <f t="shared" si="75"/>
        <v>0</v>
      </c>
      <c r="L77" s="22">
        <f t="shared" si="75"/>
        <v>0</v>
      </c>
      <c r="M77" s="22">
        <f t="shared" si="75"/>
        <v>0</v>
      </c>
      <c r="N77" s="22">
        <f t="shared" si="75"/>
        <v>0</v>
      </c>
      <c r="O77" s="12">
        <f t="shared" si="74"/>
        <v>0</v>
      </c>
      <c r="R77" s="2" t="s">
        <v>2</v>
      </c>
      <c r="S77" s="47">
        <v>0</v>
      </c>
      <c r="T77" s="47">
        <v>0</v>
      </c>
      <c r="U77" s="47">
        <v>0</v>
      </c>
      <c r="V77" s="47">
        <v>0</v>
      </c>
      <c r="W77" s="47">
        <v>0</v>
      </c>
      <c r="X77" s="47">
        <v>0</v>
      </c>
      <c r="Y77" s="47">
        <v>0</v>
      </c>
      <c r="Z77" s="47">
        <v>0</v>
      </c>
      <c r="AA77" s="47">
        <v>0</v>
      </c>
      <c r="AB77" s="47">
        <v>0</v>
      </c>
      <c r="AC77" s="47">
        <v>0</v>
      </c>
      <c r="AD77" s="47">
        <v>0</v>
      </c>
      <c r="AE77" s="47">
        <v>0</v>
      </c>
      <c r="AF77" s="47">
        <v>0</v>
      </c>
      <c r="AG77" s="47">
        <v>0</v>
      </c>
      <c r="AH77" s="12">
        <f t="shared" si="72"/>
        <v>0</v>
      </c>
    </row>
    <row r="78" spans="1:34">
      <c r="A78" s="2" t="s">
        <v>3</v>
      </c>
      <c r="B78" s="22">
        <f t="shared" ref="B78:N78" si="76">B8+B43</f>
        <v>0</v>
      </c>
      <c r="C78" s="22">
        <f t="shared" si="76"/>
        <v>0</v>
      </c>
      <c r="D78" s="22">
        <f t="shared" si="76"/>
        <v>0</v>
      </c>
      <c r="E78" s="22">
        <f t="shared" si="76"/>
        <v>0</v>
      </c>
      <c r="F78" s="22">
        <f t="shared" si="76"/>
        <v>0</v>
      </c>
      <c r="G78" s="22">
        <f t="shared" si="76"/>
        <v>0</v>
      </c>
      <c r="H78" s="22">
        <f t="shared" si="76"/>
        <v>0</v>
      </c>
      <c r="I78" s="22">
        <f t="shared" si="76"/>
        <v>0</v>
      </c>
      <c r="J78" s="22">
        <f t="shared" si="76"/>
        <v>0</v>
      </c>
      <c r="K78" s="22">
        <f t="shared" si="76"/>
        <v>0</v>
      </c>
      <c r="L78" s="22">
        <f t="shared" si="76"/>
        <v>0</v>
      </c>
      <c r="M78" s="22">
        <f t="shared" si="76"/>
        <v>0</v>
      </c>
      <c r="N78" s="22">
        <f t="shared" si="76"/>
        <v>0</v>
      </c>
      <c r="O78" s="12">
        <f t="shared" si="74"/>
        <v>0</v>
      </c>
      <c r="R78" s="2" t="s">
        <v>3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0</v>
      </c>
      <c r="Y78" s="47">
        <v>0</v>
      </c>
      <c r="Z78" s="47">
        <v>0</v>
      </c>
      <c r="AA78" s="47">
        <v>0</v>
      </c>
      <c r="AB78" s="47">
        <v>0</v>
      </c>
      <c r="AC78" s="47">
        <v>0</v>
      </c>
      <c r="AD78" s="47">
        <v>0</v>
      </c>
      <c r="AE78" s="47">
        <v>0</v>
      </c>
      <c r="AF78" s="47">
        <v>0</v>
      </c>
      <c r="AG78" s="47">
        <v>0</v>
      </c>
      <c r="AH78" s="12">
        <f t="shared" si="72"/>
        <v>0</v>
      </c>
    </row>
    <row r="79" spans="1:34">
      <c r="A79" s="1" t="s">
        <v>4</v>
      </c>
      <c r="B79" s="22">
        <f t="shared" ref="B79:N79" si="77">B9+B44</f>
        <v>0</v>
      </c>
      <c r="C79" s="22">
        <f t="shared" si="77"/>
        <v>0</v>
      </c>
      <c r="D79" s="22">
        <f t="shared" si="77"/>
        <v>0</v>
      </c>
      <c r="E79" s="22">
        <f t="shared" si="77"/>
        <v>0</v>
      </c>
      <c r="F79" s="22">
        <f t="shared" si="77"/>
        <v>0</v>
      </c>
      <c r="G79" s="22">
        <f t="shared" si="77"/>
        <v>0</v>
      </c>
      <c r="H79" s="22">
        <f t="shared" si="77"/>
        <v>0</v>
      </c>
      <c r="I79" s="22">
        <f t="shared" si="77"/>
        <v>0</v>
      </c>
      <c r="J79" s="22">
        <f t="shared" si="77"/>
        <v>0</v>
      </c>
      <c r="K79" s="22">
        <f t="shared" si="77"/>
        <v>0</v>
      </c>
      <c r="L79" s="22">
        <f t="shared" si="77"/>
        <v>0</v>
      </c>
      <c r="M79" s="22">
        <f t="shared" si="77"/>
        <v>0</v>
      </c>
      <c r="N79" s="22">
        <f t="shared" si="77"/>
        <v>0</v>
      </c>
      <c r="O79" s="12">
        <f t="shared" si="74"/>
        <v>0</v>
      </c>
      <c r="R79" s="2" t="s">
        <v>4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12">
        <f t="shared" si="72"/>
        <v>0</v>
      </c>
    </row>
    <row r="80" spans="1:34">
      <c r="A80" s="1" t="s">
        <v>5</v>
      </c>
      <c r="B80" s="22">
        <f t="shared" ref="B80:N80" si="78">B10+B45</f>
        <v>0</v>
      </c>
      <c r="C80" s="22">
        <f t="shared" si="78"/>
        <v>0</v>
      </c>
      <c r="D80" s="22">
        <f t="shared" si="78"/>
        <v>0</v>
      </c>
      <c r="E80" s="22">
        <f t="shared" si="78"/>
        <v>0</v>
      </c>
      <c r="F80" s="22">
        <f t="shared" si="78"/>
        <v>0</v>
      </c>
      <c r="G80" s="22">
        <f t="shared" si="78"/>
        <v>0</v>
      </c>
      <c r="H80" s="22">
        <f t="shared" si="78"/>
        <v>0</v>
      </c>
      <c r="I80" s="22">
        <f t="shared" si="78"/>
        <v>0</v>
      </c>
      <c r="J80" s="22">
        <f t="shared" si="78"/>
        <v>0</v>
      </c>
      <c r="K80" s="22">
        <f t="shared" si="78"/>
        <v>0</v>
      </c>
      <c r="L80" s="22">
        <f t="shared" si="78"/>
        <v>0</v>
      </c>
      <c r="M80" s="22">
        <f t="shared" si="78"/>
        <v>0</v>
      </c>
      <c r="N80" s="22">
        <f t="shared" si="78"/>
        <v>0</v>
      </c>
      <c r="O80" s="12">
        <f t="shared" si="74"/>
        <v>0</v>
      </c>
      <c r="R80" s="2" t="s">
        <v>5</v>
      </c>
      <c r="S80" s="47">
        <v>0</v>
      </c>
      <c r="T80" s="47">
        <v>0</v>
      </c>
      <c r="U80" s="47">
        <v>0</v>
      </c>
      <c r="V80" s="47">
        <v>0</v>
      </c>
      <c r="W80" s="47">
        <v>0</v>
      </c>
      <c r="X80" s="47">
        <v>0</v>
      </c>
      <c r="Y80" s="47">
        <v>0</v>
      </c>
      <c r="Z80" s="47">
        <v>0</v>
      </c>
      <c r="AA80" s="47">
        <v>0</v>
      </c>
      <c r="AB80" s="47">
        <v>0</v>
      </c>
      <c r="AC80" s="47">
        <v>0</v>
      </c>
      <c r="AD80" s="47">
        <v>0</v>
      </c>
      <c r="AE80" s="47">
        <v>0</v>
      </c>
      <c r="AF80" s="47">
        <v>0</v>
      </c>
      <c r="AG80" s="47">
        <v>0</v>
      </c>
      <c r="AH80" s="12">
        <f t="shared" si="72"/>
        <v>0</v>
      </c>
    </row>
    <row r="81" spans="1:34">
      <c r="A81" s="1" t="s">
        <v>6</v>
      </c>
      <c r="B81" s="22">
        <f t="shared" ref="B81:N81" si="79">B11+B46</f>
        <v>0</v>
      </c>
      <c r="C81" s="22">
        <f t="shared" si="79"/>
        <v>0</v>
      </c>
      <c r="D81" s="22">
        <f t="shared" si="79"/>
        <v>0</v>
      </c>
      <c r="E81" s="22">
        <f t="shared" si="79"/>
        <v>0</v>
      </c>
      <c r="F81" s="22">
        <f t="shared" si="79"/>
        <v>0</v>
      </c>
      <c r="G81" s="22">
        <f t="shared" si="79"/>
        <v>0</v>
      </c>
      <c r="H81" s="22">
        <f t="shared" si="79"/>
        <v>0</v>
      </c>
      <c r="I81" s="22">
        <f t="shared" si="79"/>
        <v>0</v>
      </c>
      <c r="J81" s="22">
        <f t="shared" si="79"/>
        <v>0</v>
      </c>
      <c r="K81" s="22">
        <f t="shared" si="79"/>
        <v>0</v>
      </c>
      <c r="L81" s="22">
        <f t="shared" si="79"/>
        <v>0</v>
      </c>
      <c r="M81" s="22">
        <f t="shared" si="79"/>
        <v>0</v>
      </c>
      <c r="N81" s="22">
        <f t="shared" si="79"/>
        <v>0</v>
      </c>
      <c r="O81" s="12">
        <f t="shared" si="74"/>
        <v>0</v>
      </c>
      <c r="R81" s="2" t="s">
        <v>6</v>
      </c>
      <c r="S81" s="47">
        <v>0</v>
      </c>
      <c r="T81" s="47">
        <v>0</v>
      </c>
      <c r="U81" s="47">
        <v>0</v>
      </c>
      <c r="V81" s="47">
        <v>0</v>
      </c>
      <c r="W81" s="47">
        <v>0</v>
      </c>
      <c r="X81" s="47">
        <v>0</v>
      </c>
      <c r="Y81" s="47">
        <v>0</v>
      </c>
      <c r="Z81" s="47">
        <v>0</v>
      </c>
      <c r="AA81" s="47">
        <v>0</v>
      </c>
      <c r="AB81" s="47">
        <v>0</v>
      </c>
      <c r="AC81" s="47">
        <v>0</v>
      </c>
      <c r="AD81" s="47">
        <v>0</v>
      </c>
      <c r="AE81" s="47">
        <v>0</v>
      </c>
      <c r="AF81" s="47">
        <v>0</v>
      </c>
      <c r="AG81" s="47">
        <v>0</v>
      </c>
      <c r="AH81" s="12">
        <f t="shared" si="72"/>
        <v>0</v>
      </c>
    </row>
    <row r="82" spans="1:34">
      <c r="A82" s="1" t="s">
        <v>7</v>
      </c>
      <c r="B82" s="22">
        <f t="shared" ref="B82:N82" si="80">B12+B47</f>
        <v>0</v>
      </c>
      <c r="C82" s="22">
        <f t="shared" si="80"/>
        <v>0</v>
      </c>
      <c r="D82" s="22">
        <f t="shared" si="80"/>
        <v>0</v>
      </c>
      <c r="E82" s="22">
        <f t="shared" si="80"/>
        <v>0</v>
      </c>
      <c r="F82" s="22">
        <f t="shared" si="80"/>
        <v>0</v>
      </c>
      <c r="G82" s="22">
        <f t="shared" si="80"/>
        <v>0</v>
      </c>
      <c r="H82" s="22">
        <f t="shared" si="80"/>
        <v>0</v>
      </c>
      <c r="I82" s="22">
        <f t="shared" si="80"/>
        <v>0</v>
      </c>
      <c r="J82" s="22">
        <f t="shared" si="80"/>
        <v>0</v>
      </c>
      <c r="K82" s="22">
        <f t="shared" si="80"/>
        <v>0</v>
      </c>
      <c r="L82" s="22">
        <f t="shared" si="80"/>
        <v>0</v>
      </c>
      <c r="M82" s="22">
        <f t="shared" si="80"/>
        <v>0</v>
      </c>
      <c r="N82" s="22">
        <f t="shared" si="80"/>
        <v>0</v>
      </c>
      <c r="O82" s="12">
        <f t="shared" si="74"/>
        <v>0</v>
      </c>
      <c r="R82" s="2" t="s">
        <v>7</v>
      </c>
      <c r="S82" s="47">
        <v>0</v>
      </c>
      <c r="T82" s="47">
        <v>0</v>
      </c>
      <c r="U82" s="47">
        <v>0</v>
      </c>
      <c r="V82" s="47">
        <v>0</v>
      </c>
      <c r="W82" s="47">
        <v>0</v>
      </c>
      <c r="X82" s="47">
        <v>0</v>
      </c>
      <c r="Y82" s="47">
        <v>0</v>
      </c>
      <c r="Z82" s="47">
        <v>0</v>
      </c>
      <c r="AA82" s="47">
        <v>0</v>
      </c>
      <c r="AB82" s="47">
        <v>0</v>
      </c>
      <c r="AC82" s="47">
        <v>0</v>
      </c>
      <c r="AD82" s="47">
        <v>0</v>
      </c>
      <c r="AE82" s="47">
        <v>0</v>
      </c>
      <c r="AF82" s="47">
        <v>0</v>
      </c>
      <c r="AG82" s="47">
        <v>0</v>
      </c>
      <c r="AH82" s="12">
        <f t="shared" si="72"/>
        <v>0</v>
      </c>
    </row>
    <row r="83" spans="1:34">
      <c r="A83" s="1" t="s">
        <v>8</v>
      </c>
      <c r="B83" s="22">
        <f t="shared" ref="B83:N83" si="81">B13+B48</f>
        <v>0</v>
      </c>
      <c r="C83" s="22">
        <f t="shared" si="81"/>
        <v>0</v>
      </c>
      <c r="D83" s="22">
        <f t="shared" si="81"/>
        <v>0</v>
      </c>
      <c r="E83" s="22">
        <f t="shared" si="81"/>
        <v>0</v>
      </c>
      <c r="F83" s="22">
        <f t="shared" si="81"/>
        <v>0</v>
      </c>
      <c r="G83" s="22">
        <f t="shared" si="81"/>
        <v>0</v>
      </c>
      <c r="H83" s="22">
        <f t="shared" si="81"/>
        <v>0</v>
      </c>
      <c r="I83" s="22">
        <f t="shared" si="81"/>
        <v>0</v>
      </c>
      <c r="J83" s="22">
        <f t="shared" si="81"/>
        <v>0</v>
      </c>
      <c r="K83" s="22">
        <f t="shared" si="81"/>
        <v>0</v>
      </c>
      <c r="L83" s="22">
        <f t="shared" si="81"/>
        <v>0</v>
      </c>
      <c r="M83" s="22">
        <f t="shared" si="81"/>
        <v>0</v>
      </c>
      <c r="N83" s="22">
        <f t="shared" si="81"/>
        <v>0</v>
      </c>
      <c r="O83" s="12">
        <f t="shared" si="74"/>
        <v>0</v>
      </c>
      <c r="R83" s="2" t="s">
        <v>8</v>
      </c>
      <c r="S83" s="47">
        <v>0</v>
      </c>
      <c r="T83" s="47">
        <v>0</v>
      </c>
      <c r="U83" s="47">
        <v>0</v>
      </c>
      <c r="V83" s="47">
        <v>0</v>
      </c>
      <c r="W83" s="47">
        <v>0</v>
      </c>
      <c r="X83" s="47">
        <v>0</v>
      </c>
      <c r="Y83" s="47">
        <v>0</v>
      </c>
      <c r="Z83" s="47">
        <v>0</v>
      </c>
      <c r="AA83" s="47">
        <v>0</v>
      </c>
      <c r="AB83" s="47">
        <v>0</v>
      </c>
      <c r="AC83" s="47">
        <v>0</v>
      </c>
      <c r="AD83" s="47">
        <v>0</v>
      </c>
      <c r="AE83" s="47">
        <v>0</v>
      </c>
      <c r="AF83" s="47">
        <v>0</v>
      </c>
      <c r="AG83" s="47">
        <v>0</v>
      </c>
      <c r="AH83" s="12">
        <f t="shared" si="72"/>
        <v>0</v>
      </c>
    </row>
    <row r="84" spans="1:34">
      <c r="A84" s="2" t="s">
        <v>9</v>
      </c>
      <c r="B84" s="22">
        <f t="shared" ref="B84:N84" si="82">B14+B49</f>
        <v>0</v>
      </c>
      <c r="C84" s="22">
        <f t="shared" si="82"/>
        <v>0</v>
      </c>
      <c r="D84" s="22">
        <f t="shared" si="82"/>
        <v>0</v>
      </c>
      <c r="E84" s="22">
        <f t="shared" si="82"/>
        <v>0</v>
      </c>
      <c r="F84" s="22">
        <f t="shared" si="82"/>
        <v>0</v>
      </c>
      <c r="G84" s="22">
        <f t="shared" si="82"/>
        <v>0</v>
      </c>
      <c r="H84" s="22">
        <f t="shared" si="82"/>
        <v>0</v>
      </c>
      <c r="I84" s="22">
        <f t="shared" si="82"/>
        <v>0</v>
      </c>
      <c r="J84" s="22">
        <f t="shared" si="82"/>
        <v>0</v>
      </c>
      <c r="K84" s="22">
        <f t="shared" si="82"/>
        <v>0</v>
      </c>
      <c r="L84" s="22">
        <f t="shared" si="82"/>
        <v>0</v>
      </c>
      <c r="M84" s="22">
        <f t="shared" si="82"/>
        <v>0</v>
      </c>
      <c r="N84" s="22">
        <f t="shared" si="82"/>
        <v>0</v>
      </c>
      <c r="O84" s="12">
        <f t="shared" si="74"/>
        <v>0</v>
      </c>
      <c r="R84" s="2" t="s">
        <v>9</v>
      </c>
      <c r="S84" s="47">
        <v>0</v>
      </c>
      <c r="T84" s="47">
        <v>0</v>
      </c>
      <c r="U84" s="47">
        <v>0</v>
      </c>
      <c r="V84" s="47">
        <v>0</v>
      </c>
      <c r="W84" s="47">
        <v>0</v>
      </c>
      <c r="X84" s="47">
        <v>0</v>
      </c>
      <c r="Y84" s="47">
        <v>0</v>
      </c>
      <c r="Z84" s="47">
        <v>0</v>
      </c>
      <c r="AA84" s="47">
        <v>0</v>
      </c>
      <c r="AB84" s="47">
        <v>0</v>
      </c>
      <c r="AC84" s="47">
        <v>0</v>
      </c>
      <c r="AD84" s="47">
        <v>0</v>
      </c>
      <c r="AE84" s="47">
        <v>0</v>
      </c>
      <c r="AF84" s="47">
        <v>0</v>
      </c>
      <c r="AG84" s="47">
        <v>0</v>
      </c>
      <c r="AH84" s="12">
        <f t="shared" si="72"/>
        <v>0</v>
      </c>
    </row>
    <row r="85" spans="1:34">
      <c r="A85" s="18" t="s">
        <v>10</v>
      </c>
      <c r="B85" s="22">
        <f t="shared" ref="B85:N85" si="83">B15+B50</f>
        <v>0</v>
      </c>
      <c r="C85" s="22">
        <f t="shared" si="83"/>
        <v>0</v>
      </c>
      <c r="D85" s="22">
        <f t="shared" si="83"/>
        <v>0</v>
      </c>
      <c r="E85" s="22">
        <f t="shared" si="83"/>
        <v>0</v>
      </c>
      <c r="F85" s="22">
        <f t="shared" si="83"/>
        <v>0</v>
      </c>
      <c r="G85" s="22">
        <f t="shared" si="83"/>
        <v>0</v>
      </c>
      <c r="H85" s="22">
        <f t="shared" si="83"/>
        <v>0</v>
      </c>
      <c r="I85" s="22">
        <f t="shared" si="83"/>
        <v>0</v>
      </c>
      <c r="J85" s="22">
        <f t="shared" si="83"/>
        <v>0</v>
      </c>
      <c r="K85" s="22">
        <f t="shared" si="83"/>
        <v>0</v>
      </c>
      <c r="L85" s="22">
        <f t="shared" si="83"/>
        <v>0</v>
      </c>
      <c r="M85" s="22">
        <f t="shared" si="83"/>
        <v>0</v>
      </c>
      <c r="N85" s="22">
        <f t="shared" si="83"/>
        <v>0</v>
      </c>
      <c r="O85" s="12">
        <f t="shared" si="74"/>
        <v>0</v>
      </c>
      <c r="R85" s="2" t="s">
        <v>10</v>
      </c>
      <c r="S85" s="47">
        <v>0</v>
      </c>
      <c r="T85" s="47">
        <v>0</v>
      </c>
      <c r="U85" s="47">
        <v>0</v>
      </c>
      <c r="V85" s="47">
        <v>0</v>
      </c>
      <c r="W85" s="47">
        <v>0</v>
      </c>
      <c r="X85" s="47">
        <v>0</v>
      </c>
      <c r="Y85" s="47">
        <v>0</v>
      </c>
      <c r="Z85" s="47">
        <v>0</v>
      </c>
      <c r="AA85" s="47">
        <v>0</v>
      </c>
      <c r="AB85" s="47">
        <v>0</v>
      </c>
      <c r="AC85" s="47">
        <v>0</v>
      </c>
      <c r="AD85" s="47">
        <v>0</v>
      </c>
      <c r="AE85" s="47">
        <v>0</v>
      </c>
      <c r="AF85" s="47">
        <v>0</v>
      </c>
      <c r="AG85" s="47">
        <v>0</v>
      </c>
      <c r="AH85" s="12">
        <f t="shared" si="72"/>
        <v>0</v>
      </c>
    </row>
    <row r="86" spans="1:34">
      <c r="A86" s="1" t="s">
        <v>11</v>
      </c>
      <c r="B86" s="22">
        <f t="shared" ref="B86:N86" si="84">B16+B51</f>
        <v>0</v>
      </c>
      <c r="C86" s="22">
        <f t="shared" si="84"/>
        <v>0</v>
      </c>
      <c r="D86" s="22">
        <f t="shared" si="84"/>
        <v>0</v>
      </c>
      <c r="E86" s="22">
        <f t="shared" si="84"/>
        <v>0</v>
      </c>
      <c r="F86" s="22">
        <f t="shared" si="84"/>
        <v>0</v>
      </c>
      <c r="G86" s="22">
        <f t="shared" si="84"/>
        <v>0</v>
      </c>
      <c r="H86" s="22">
        <f t="shared" si="84"/>
        <v>0</v>
      </c>
      <c r="I86" s="22">
        <f t="shared" si="84"/>
        <v>0</v>
      </c>
      <c r="J86" s="22">
        <f t="shared" si="84"/>
        <v>0</v>
      </c>
      <c r="K86" s="22">
        <f t="shared" si="84"/>
        <v>0</v>
      </c>
      <c r="L86" s="22">
        <f t="shared" si="84"/>
        <v>0</v>
      </c>
      <c r="M86" s="22">
        <f t="shared" si="84"/>
        <v>0</v>
      </c>
      <c r="N86" s="22">
        <f t="shared" si="84"/>
        <v>0</v>
      </c>
      <c r="O86" s="12">
        <f t="shared" si="74"/>
        <v>0</v>
      </c>
      <c r="R86" s="2" t="s">
        <v>11</v>
      </c>
      <c r="S86" s="47">
        <v>0</v>
      </c>
      <c r="T86" s="47">
        <v>0</v>
      </c>
      <c r="U86" s="47">
        <v>0</v>
      </c>
      <c r="V86" s="47">
        <v>0</v>
      </c>
      <c r="W86" s="47">
        <v>0</v>
      </c>
      <c r="X86" s="47">
        <v>0</v>
      </c>
      <c r="Y86" s="47">
        <v>0</v>
      </c>
      <c r="Z86" s="47">
        <v>0</v>
      </c>
      <c r="AA86" s="47">
        <v>0</v>
      </c>
      <c r="AB86" s="47">
        <v>0</v>
      </c>
      <c r="AC86" s="47">
        <v>0</v>
      </c>
      <c r="AD86" s="47">
        <v>0</v>
      </c>
      <c r="AE86" s="47">
        <v>0</v>
      </c>
      <c r="AF86" s="47">
        <v>0</v>
      </c>
      <c r="AG86" s="47">
        <v>0</v>
      </c>
      <c r="AH86" s="12">
        <f t="shared" si="72"/>
        <v>0</v>
      </c>
    </row>
    <row r="87" spans="1:34">
      <c r="A87" s="1" t="s">
        <v>12</v>
      </c>
      <c r="B87" s="22">
        <f t="shared" ref="B87:N87" si="85">B17+B52</f>
        <v>0</v>
      </c>
      <c r="C87" s="22">
        <f t="shared" si="85"/>
        <v>0</v>
      </c>
      <c r="D87" s="22">
        <f t="shared" si="85"/>
        <v>0</v>
      </c>
      <c r="E87" s="22">
        <f t="shared" si="85"/>
        <v>0</v>
      </c>
      <c r="F87" s="22">
        <f t="shared" si="85"/>
        <v>0</v>
      </c>
      <c r="G87" s="22">
        <f t="shared" si="85"/>
        <v>0</v>
      </c>
      <c r="H87" s="22">
        <f t="shared" si="85"/>
        <v>0</v>
      </c>
      <c r="I87" s="22">
        <f t="shared" si="85"/>
        <v>0</v>
      </c>
      <c r="J87" s="22">
        <f t="shared" si="85"/>
        <v>0</v>
      </c>
      <c r="K87" s="22">
        <f t="shared" si="85"/>
        <v>0</v>
      </c>
      <c r="L87" s="22">
        <f t="shared" si="85"/>
        <v>0</v>
      </c>
      <c r="M87" s="22">
        <f t="shared" si="85"/>
        <v>0</v>
      </c>
      <c r="N87" s="22">
        <f t="shared" si="85"/>
        <v>0</v>
      </c>
      <c r="O87" s="12">
        <f t="shared" si="74"/>
        <v>0</v>
      </c>
      <c r="R87" s="2" t="s">
        <v>12</v>
      </c>
      <c r="S87" s="47">
        <v>0</v>
      </c>
      <c r="T87" s="47">
        <v>0</v>
      </c>
      <c r="U87" s="47">
        <v>0</v>
      </c>
      <c r="V87" s="47">
        <v>0</v>
      </c>
      <c r="W87" s="47">
        <v>0</v>
      </c>
      <c r="X87" s="47">
        <v>0</v>
      </c>
      <c r="Y87" s="47">
        <v>0</v>
      </c>
      <c r="Z87" s="47">
        <v>0</v>
      </c>
      <c r="AA87" s="47">
        <v>0</v>
      </c>
      <c r="AB87" s="47">
        <v>0</v>
      </c>
      <c r="AC87" s="47">
        <v>0</v>
      </c>
      <c r="AD87" s="47">
        <v>0</v>
      </c>
      <c r="AE87" s="47">
        <v>0</v>
      </c>
      <c r="AF87" s="47">
        <v>0</v>
      </c>
      <c r="AG87" s="47">
        <v>0</v>
      </c>
      <c r="AH87" s="12">
        <f t="shared" si="72"/>
        <v>0</v>
      </c>
    </row>
    <row r="88" spans="1:34">
      <c r="A88" s="1" t="s">
        <v>15</v>
      </c>
      <c r="B88" s="22">
        <f t="shared" ref="B88:N88" si="86">B18+B53</f>
        <v>0</v>
      </c>
      <c r="C88" s="22">
        <f t="shared" si="86"/>
        <v>0</v>
      </c>
      <c r="D88" s="22">
        <f t="shared" si="86"/>
        <v>0</v>
      </c>
      <c r="E88" s="22">
        <f t="shared" si="86"/>
        <v>0</v>
      </c>
      <c r="F88" s="22">
        <f t="shared" si="86"/>
        <v>0</v>
      </c>
      <c r="G88" s="22">
        <f t="shared" si="86"/>
        <v>0</v>
      </c>
      <c r="H88" s="22">
        <f t="shared" si="86"/>
        <v>0</v>
      </c>
      <c r="I88" s="22">
        <f t="shared" si="86"/>
        <v>0</v>
      </c>
      <c r="J88" s="22">
        <f t="shared" si="86"/>
        <v>0</v>
      </c>
      <c r="K88" s="22">
        <f t="shared" si="86"/>
        <v>0</v>
      </c>
      <c r="L88" s="22">
        <f t="shared" si="86"/>
        <v>0</v>
      </c>
      <c r="M88" s="22">
        <f t="shared" si="86"/>
        <v>0</v>
      </c>
      <c r="N88" s="22">
        <f t="shared" si="86"/>
        <v>0</v>
      </c>
      <c r="O88" s="12">
        <f t="shared" si="74"/>
        <v>0</v>
      </c>
      <c r="R88" s="2" t="s">
        <v>15</v>
      </c>
      <c r="S88" s="47">
        <v>0</v>
      </c>
      <c r="T88" s="47">
        <v>0</v>
      </c>
      <c r="U88" s="47">
        <v>0</v>
      </c>
      <c r="V88" s="47">
        <v>0</v>
      </c>
      <c r="W88" s="47">
        <v>0</v>
      </c>
      <c r="X88" s="47">
        <v>0</v>
      </c>
      <c r="Y88" s="47">
        <v>0</v>
      </c>
      <c r="Z88" s="47">
        <v>0</v>
      </c>
      <c r="AA88" s="47">
        <v>0</v>
      </c>
      <c r="AB88" s="47">
        <v>0</v>
      </c>
      <c r="AC88" s="47">
        <v>0</v>
      </c>
      <c r="AD88" s="47">
        <v>0</v>
      </c>
      <c r="AE88" s="47">
        <v>0</v>
      </c>
      <c r="AF88" s="47">
        <v>0</v>
      </c>
      <c r="AG88" s="47">
        <v>0</v>
      </c>
      <c r="AH88" s="12">
        <f t="shared" si="72"/>
        <v>0</v>
      </c>
    </row>
    <row r="89" spans="1:34">
      <c r="A89" s="1" t="s">
        <v>14</v>
      </c>
      <c r="B89" s="22">
        <f t="shared" ref="B89:N89" si="87">B19+B54</f>
        <v>0</v>
      </c>
      <c r="C89" s="22">
        <f t="shared" si="87"/>
        <v>0</v>
      </c>
      <c r="D89" s="22">
        <f t="shared" si="87"/>
        <v>0</v>
      </c>
      <c r="E89" s="22">
        <f t="shared" si="87"/>
        <v>0</v>
      </c>
      <c r="F89" s="22">
        <f t="shared" si="87"/>
        <v>0</v>
      </c>
      <c r="G89" s="22">
        <f t="shared" si="87"/>
        <v>0</v>
      </c>
      <c r="H89" s="22">
        <f t="shared" si="87"/>
        <v>0</v>
      </c>
      <c r="I89" s="22">
        <f t="shared" si="87"/>
        <v>0</v>
      </c>
      <c r="J89" s="22">
        <f t="shared" si="87"/>
        <v>0</v>
      </c>
      <c r="K89" s="22">
        <f t="shared" si="87"/>
        <v>0</v>
      </c>
      <c r="L89" s="22">
        <f t="shared" si="87"/>
        <v>0</v>
      </c>
      <c r="M89" s="22">
        <f t="shared" si="87"/>
        <v>0</v>
      </c>
      <c r="N89" s="22">
        <f t="shared" si="87"/>
        <v>0</v>
      </c>
      <c r="O89" s="12">
        <f t="shared" si="74"/>
        <v>0</v>
      </c>
      <c r="R89" s="2" t="s">
        <v>14</v>
      </c>
      <c r="S89" s="47">
        <v>0</v>
      </c>
      <c r="T89" s="47">
        <v>0</v>
      </c>
      <c r="U89" s="47">
        <v>0</v>
      </c>
      <c r="V89" s="47">
        <v>0</v>
      </c>
      <c r="W89" s="47">
        <v>0</v>
      </c>
      <c r="X89" s="47">
        <v>0</v>
      </c>
      <c r="Y89" s="47">
        <v>0</v>
      </c>
      <c r="Z89" s="47">
        <v>0</v>
      </c>
      <c r="AA89" s="47">
        <v>0</v>
      </c>
      <c r="AB89" s="47">
        <v>0</v>
      </c>
      <c r="AC89" s="47">
        <v>0</v>
      </c>
      <c r="AD89" s="47">
        <v>0</v>
      </c>
      <c r="AE89" s="47">
        <v>0</v>
      </c>
      <c r="AF89" s="47">
        <v>0</v>
      </c>
      <c r="AG89" s="47">
        <v>0</v>
      </c>
      <c r="AH89" s="12">
        <f t="shared" si="72"/>
        <v>0</v>
      </c>
    </row>
    <row r="90" spans="1:34">
      <c r="A90" s="18" t="s">
        <v>13</v>
      </c>
      <c r="B90" s="22">
        <f t="shared" ref="B90:N90" si="88">B20+B55</f>
        <v>0</v>
      </c>
      <c r="C90" s="22">
        <f t="shared" si="88"/>
        <v>0</v>
      </c>
      <c r="D90" s="22">
        <f t="shared" si="88"/>
        <v>0</v>
      </c>
      <c r="E90" s="22">
        <f t="shared" si="88"/>
        <v>0</v>
      </c>
      <c r="F90" s="22">
        <f t="shared" si="88"/>
        <v>0</v>
      </c>
      <c r="G90" s="22">
        <f t="shared" si="88"/>
        <v>0</v>
      </c>
      <c r="H90" s="22">
        <f t="shared" si="88"/>
        <v>0</v>
      </c>
      <c r="I90" s="22">
        <f t="shared" si="88"/>
        <v>0</v>
      </c>
      <c r="J90" s="22">
        <f t="shared" si="88"/>
        <v>0</v>
      </c>
      <c r="K90" s="22">
        <f t="shared" si="88"/>
        <v>0</v>
      </c>
      <c r="L90" s="22">
        <f t="shared" si="88"/>
        <v>0</v>
      </c>
      <c r="M90" s="22">
        <f t="shared" si="88"/>
        <v>0</v>
      </c>
      <c r="N90" s="22">
        <f t="shared" si="88"/>
        <v>0</v>
      </c>
      <c r="O90" s="12">
        <f t="shared" si="74"/>
        <v>0</v>
      </c>
      <c r="R90" s="2" t="s">
        <v>13</v>
      </c>
      <c r="S90" s="47">
        <v>0</v>
      </c>
      <c r="T90" s="47">
        <v>0</v>
      </c>
      <c r="U90" s="47">
        <v>0</v>
      </c>
      <c r="V90" s="47">
        <v>0</v>
      </c>
      <c r="W90" s="47">
        <v>0</v>
      </c>
      <c r="X90" s="47">
        <v>0</v>
      </c>
      <c r="Y90" s="47">
        <v>0</v>
      </c>
      <c r="Z90" s="47">
        <v>0</v>
      </c>
      <c r="AA90" s="47">
        <v>0</v>
      </c>
      <c r="AB90" s="47">
        <v>0</v>
      </c>
      <c r="AC90" s="47">
        <v>0</v>
      </c>
      <c r="AD90" s="47">
        <v>0</v>
      </c>
      <c r="AE90" s="47">
        <v>0</v>
      </c>
      <c r="AF90" s="47">
        <v>0</v>
      </c>
      <c r="AG90" s="47">
        <v>0</v>
      </c>
      <c r="AH90" s="12">
        <f t="shared" si="72"/>
        <v>0</v>
      </c>
    </row>
    <row r="91" spans="1:34">
      <c r="A91" s="1" t="s">
        <v>16</v>
      </c>
      <c r="B91" s="22">
        <f t="shared" ref="B91:N91" si="89">B21+B56</f>
        <v>0</v>
      </c>
      <c r="C91" s="22">
        <f t="shared" si="89"/>
        <v>0</v>
      </c>
      <c r="D91" s="22">
        <f t="shared" si="89"/>
        <v>0</v>
      </c>
      <c r="E91" s="22">
        <f t="shared" si="89"/>
        <v>0</v>
      </c>
      <c r="F91" s="22">
        <f t="shared" si="89"/>
        <v>0</v>
      </c>
      <c r="G91" s="22">
        <f t="shared" si="89"/>
        <v>0</v>
      </c>
      <c r="H91" s="22">
        <f t="shared" si="89"/>
        <v>0</v>
      </c>
      <c r="I91" s="22">
        <f t="shared" si="89"/>
        <v>0</v>
      </c>
      <c r="J91" s="22">
        <f t="shared" si="89"/>
        <v>0</v>
      </c>
      <c r="K91" s="22">
        <f t="shared" si="89"/>
        <v>0</v>
      </c>
      <c r="L91" s="22">
        <f t="shared" si="89"/>
        <v>0</v>
      </c>
      <c r="M91" s="22">
        <f t="shared" si="89"/>
        <v>0</v>
      </c>
      <c r="N91" s="22">
        <f t="shared" si="89"/>
        <v>0</v>
      </c>
      <c r="O91" s="12">
        <f t="shared" si="74"/>
        <v>0</v>
      </c>
      <c r="R91" s="2" t="s">
        <v>16</v>
      </c>
      <c r="S91" s="47">
        <v>0</v>
      </c>
      <c r="T91" s="47">
        <v>0</v>
      </c>
      <c r="U91" s="47">
        <v>0</v>
      </c>
      <c r="V91" s="47">
        <v>0</v>
      </c>
      <c r="W91" s="47">
        <v>0</v>
      </c>
      <c r="X91" s="47">
        <v>0</v>
      </c>
      <c r="Y91" s="47">
        <v>0</v>
      </c>
      <c r="Z91" s="47">
        <v>0</v>
      </c>
      <c r="AA91" s="47">
        <v>0</v>
      </c>
      <c r="AB91" s="47">
        <v>0</v>
      </c>
      <c r="AC91" s="47">
        <v>0</v>
      </c>
      <c r="AD91" s="47">
        <v>0</v>
      </c>
      <c r="AE91" s="47">
        <v>0</v>
      </c>
      <c r="AF91" s="47">
        <v>0</v>
      </c>
      <c r="AG91" s="47">
        <v>0</v>
      </c>
      <c r="AH91" s="12">
        <f t="shared" si="72"/>
        <v>0</v>
      </c>
    </row>
    <row r="92" spans="1:34">
      <c r="A92" s="1" t="s">
        <v>17</v>
      </c>
      <c r="B92" s="22">
        <f t="shared" ref="B92:N92" si="90">B22+B57</f>
        <v>0</v>
      </c>
      <c r="C92" s="22">
        <f t="shared" si="90"/>
        <v>0</v>
      </c>
      <c r="D92" s="22">
        <f t="shared" si="90"/>
        <v>0</v>
      </c>
      <c r="E92" s="22">
        <f t="shared" si="90"/>
        <v>0</v>
      </c>
      <c r="F92" s="22">
        <f t="shared" si="90"/>
        <v>0</v>
      </c>
      <c r="G92" s="22">
        <f t="shared" si="90"/>
        <v>0</v>
      </c>
      <c r="H92" s="22">
        <f t="shared" si="90"/>
        <v>0</v>
      </c>
      <c r="I92" s="22">
        <f t="shared" si="90"/>
        <v>0</v>
      </c>
      <c r="J92" s="22">
        <f t="shared" si="90"/>
        <v>0</v>
      </c>
      <c r="K92" s="22">
        <f t="shared" si="90"/>
        <v>0</v>
      </c>
      <c r="L92" s="22">
        <f t="shared" si="90"/>
        <v>0</v>
      </c>
      <c r="M92" s="22">
        <f t="shared" si="90"/>
        <v>0</v>
      </c>
      <c r="N92" s="22">
        <f t="shared" si="90"/>
        <v>0</v>
      </c>
      <c r="O92" s="12">
        <f t="shared" si="74"/>
        <v>0</v>
      </c>
      <c r="R92" s="2" t="s">
        <v>17</v>
      </c>
      <c r="S92" s="47">
        <v>0</v>
      </c>
      <c r="T92" s="47">
        <v>0</v>
      </c>
      <c r="U92" s="47">
        <v>0</v>
      </c>
      <c r="V92" s="47">
        <v>0</v>
      </c>
      <c r="W92" s="47">
        <v>0</v>
      </c>
      <c r="X92" s="47">
        <v>0</v>
      </c>
      <c r="Y92" s="47">
        <v>0</v>
      </c>
      <c r="Z92" s="47">
        <v>0</v>
      </c>
      <c r="AA92" s="47">
        <v>0</v>
      </c>
      <c r="AB92" s="47">
        <v>0</v>
      </c>
      <c r="AC92" s="47">
        <v>0</v>
      </c>
      <c r="AD92" s="47">
        <v>0</v>
      </c>
      <c r="AE92" s="47">
        <v>0</v>
      </c>
      <c r="AF92" s="47">
        <v>0</v>
      </c>
      <c r="AG92" s="47">
        <v>0</v>
      </c>
      <c r="AH92" s="12">
        <f t="shared" si="72"/>
        <v>0</v>
      </c>
    </row>
    <row r="93" spans="1:34">
      <c r="A93" s="1" t="s">
        <v>18</v>
      </c>
      <c r="B93" s="22">
        <f t="shared" ref="B93:N93" si="91">B23+B58</f>
        <v>0</v>
      </c>
      <c r="C93" s="22">
        <f t="shared" si="91"/>
        <v>0</v>
      </c>
      <c r="D93" s="22">
        <f t="shared" si="91"/>
        <v>0</v>
      </c>
      <c r="E93" s="22">
        <f t="shared" si="91"/>
        <v>0</v>
      </c>
      <c r="F93" s="22">
        <f t="shared" si="91"/>
        <v>0</v>
      </c>
      <c r="G93" s="22">
        <f t="shared" si="91"/>
        <v>0</v>
      </c>
      <c r="H93" s="22">
        <f t="shared" si="91"/>
        <v>0</v>
      </c>
      <c r="I93" s="22">
        <f t="shared" si="91"/>
        <v>0</v>
      </c>
      <c r="J93" s="22">
        <f t="shared" si="91"/>
        <v>0</v>
      </c>
      <c r="K93" s="22">
        <f t="shared" si="91"/>
        <v>0</v>
      </c>
      <c r="L93" s="22">
        <f t="shared" si="91"/>
        <v>0</v>
      </c>
      <c r="M93" s="22">
        <f t="shared" si="91"/>
        <v>0</v>
      </c>
      <c r="N93" s="22">
        <f t="shared" si="91"/>
        <v>0</v>
      </c>
      <c r="O93" s="12">
        <f t="shared" si="74"/>
        <v>0</v>
      </c>
      <c r="R93" s="2" t="s">
        <v>18</v>
      </c>
      <c r="S93" s="47">
        <v>0</v>
      </c>
      <c r="T93" s="47">
        <v>0</v>
      </c>
      <c r="U93" s="47">
        <v>0</v>
      </c>
      <c r="V93" s="47">
        <v>0</v>
      </c>
      <c r="W93" s="47">
        <v>0</v>
      </c>
      <c r="X93" s="47">
        <v>0</v>
      </c>
      <c r="Y93" s="47">
        <v>0</v>
      </c>
      <c r="Z93" s="47">
        <v>0</v>
      </c>
      <c r="AA93" s="47">
        <v>0</v>
      </c>
      <c r="AB93" s="47">
        <v>0</v>
      </c>
      <c r="AC93" s="47">
        <v>0</v>
      </c>
      <c r="AD93" s="47">
        <v>0</v>
      </c>
      <c r="AE93" s="47">
        <v>0</v>
      </c>
      <c r="AF93" s="47">
        <v>0</v>
      </c>
      <c r="AG93" s="47">
        <v>0</v>
      </c>
      <c r="AH93" s="12">
        <f t="shared" si="72"/>
        <v>0</v>
      </c>
    </row>
    <row r="94" spans="1:34">
      <c r="A94" s="1" t="s">
        <v>20</v>
      </c>
      <c r="B94" s="22">
        <f t="shared" ref="B94:N94" si="92">B24+B59</f>
        <v>0</v>
      </c>
      <c r="C94" s="22">
        <f t="shared" si="92"/>
        <v>0</v>
      </c>
      <c r="D94" s="22">
        <f t="shared" si="92"/>
        <v>0</v>
      </c>
      <c r="E94" s="22">
        <f t="shared" si="92"/>
        <v>0</v>
      </c>
      <c r="F94" s="22">
        <f t="shared" si="92"/>
        <v>0</v>
      </c>
      <c r="G94" s="22">
        <f t="shared" si="92"/>
        <v>0</v>
      </c>
      <c r="H94" s="22">
        <f t="shared" si="92"/>
        <v>0</v>
      </c>
      <c r="I94" s="22">
        <f t="shared" si="92"/>
        <v>0</v>
      </c>
      <c r="J94" s="22">
        <f t="shared" si="92"/>
        <v>0</v>
      </c>
      <c r="K94" s="22">
        <f t="shared" si="92"/>
        <v>0</v>
      </c>
      <c r="L94" s="22">
        <f t="shared" si="92"/>
        <v>0</v>
      </c>
      <c r="M94" s="22">
        <f t="shared" si="92"/>
        <v>0</v>
      </c>
      <c r="N94" s="22">
        <f t="shared" si="92"/>
        <v>0</v>
      </c>
      <c r="O94" s="12">
        <f t="shared" si="74"/>
        <v>0</v>
      </c>
      <c r="R94" s="2" t="s">
        <v>20</v>
      </c>
      <c r="S94" s="47">
        <v>0</v>
      </c>
      <c r="T94" s="47">
        <v>0</v>
      </c>
      <c r="U94" s="47">
        <v>0</v>
      </c>
      <c r="V94" s="47">
        <v>0</v>
      </c>
      <c r="W94" s="47">
        <v>0</v>
      </c>
      <c r="X94" s="47">
        <v>0</v>
      </c>
      <c r="Y94" s="47">
        <v>0</v>
      </c>
      <c r="Z94" s="47">
        <v>0</v>
      </c>
      <c r="AA94" s="47">
        <v>0</v>
      </c>
      <c r="AB94" s="47">
        <v>0</v>
      </c>
      <c r="AC94" s="47">
        <v>0</v>
      </c>
      <c r="AD94" s="47">
        <v>0</v>
      </c>
      <c r="AE94" s="47">
        <v>0</v>
      </c>
      <c r="AF94" s="47">
        <v>0</v>
      </c>
      <c r="AG94" s="47">
        <v>0</v>
      </c>
      <c r="AH94" s="12">
        <f t="shared" si="72"/>
        <v>0</v>
      </c>
    </row>
    <row r="95" spans="1:34">
      <c r="A95" s="1" t="s">
        <v>19</v>
      </c>
      <c r="B95" s="22">
        <f t="shared" ref="B95:N95" si="93">B25+B60</f>
        <v>0</v>
      </c>
      <c r="C95" s="22">
        <f t="shared" si="93"/>
        <v>0</v>
      </c>
      <c r="D95" s="22">
        <f t="shared" si="93"/>
        <v>0</v>
      </c>
      <c r="E95" s="22">
        <f t="shared" si="93"/>
        <v>0</v>
      </c>
      <c r="F95" s="22">
        <f t="shared" si="93"/>
        <v>0</v>
      </c>
      <c r="G95" s="22">
        <f t="shared" si="93"/>
        <v>0</v>
      </c>
      <c r="H95" s="22">
        <f t="shared" si="93"/>
        <v>0</v>
      </c>
      <c r="I95" s="22">
        <f t="shared" si="93"/>
        <v>0</v>
      </c>
      <c r="J95" s="22">
        <f t="shared" si="93"/>
        <v>0</v>
      </c>
      <c r="K95" s="22">
        <f t="shared" si="93"/>
        <v>0</v>
      </c>
      <c r="L95" s="22">
        <f t="shared" si="93"/>
        <v>0</v>
      </c>
      <c r="M95" s="22">
        <f t="shared" si="93"/>
        <v>0</v>
      </c>
      <c r="N95" s="22">
        <f t="shared" si="93"/>
        <v>0</v>
      </c>
      <c r="O95" s="12">
        <f t="shared" si="74"/>
        <v>0</v>
      </c>
      <c r="R95" s="2" t="s">
        <v>19</v>
      </c>
      <c r="S95" s="47">
        <v>0</v>
      </c>
      <c r="T95" s="47">
        <v>0</v>
      </c>
      <c r="U95" s="47">
        <v>0</v>
      </c>
      <c r="V95" s="47">
        <v>0</v>
      </c>
      <c r="W95" s="47">
        <v>0</v>
      </c>
      <c r="X95" s="47">
        <v>0</v>
      </c>
      <c r="Y95" s="47">
        <v>0</v>
      </c>
      <c r="Z95" s="47">
        <v>0</v>
      </c>
      <c r="AA95" s="47">
        <v>0</v>
      </c>
      <c r="AB95" s="47">
        <v>0</v>
      </c>
      <c r="AC95" s="47">
        <v>0</v>
      </c>
      <c r="AD95" s="47">
        <v>0</v>
      </c>
      <c r="AE95" s="47">
        <v>0</v>
      </c>
      <c r="AF95" s="47">
        <v>0</v>
      </c>
      <c r="AG95" s="47">
        <v>0</v>
      </c>
      <c r="AH95" s="12">
        <f t="shared" si="72"/>
        <v>0</v>
      </c>
    </row>
    <row r="96" spans="1:34">
      <c r="A96" s="18" t="s">
        <v>21</v>
      </c>
      <c r="B96" s="22">
        <f t="shared" ref="B96:N96" si="94">B26+B61</f>
        <v>0</v>
      </c>
      <c r="C96" s="22">
        <f t="shared" si="94"/>
        <v>0</v>
      </c>
      <c r="D96" s="22">
        <f t="shared" si="94"/>
        <v>0</v>
      </c>
      <c r="E96" s="22">
        <f t="shared" si="94"/>
        <v>0</v>
      </c>
      <c r="F96" s="22">
        <f t="shared" si="94"/>
        <v>0</v>
      </c>
      <c r="G96" s="22">
        <f t="shared" si="94"/>
        <v>0</v>
      </c>
      <c r="H96" s="22">
        <f t="shared" si="94"/>
        <v>0</v>
      </c>
      <c r="I96" s="22">
        <f t="shared" si="94"/>
        <v>0</v>
      </c>
      <c r="J96" s="22">
        <f t="shared" si="94"/>
        <v>0</v>
      </c>
      <c r="K96" s="22">
        <f t="shared" si="94"/>
        <v>0</v>
      </c>
      <c r="L96" s="22">
        <f t="shared" si="94"/>
        <v>0</v>
      </c>
      <c r="M96" s="22">
        <f t="shared" si="94"/>
        <v>0</v>
      </c>
      <c r="N96" s="22">
        <f t="shared" si="94"/>
        <v>0</v>
      </c>
      <c r="O96" s="12">
        <f t="shared" si="74"/>
        <v>0</v>
      </c>
      <c r="R96" s="2" t="s">
        <v>21</v>
      </c>
      <c r="S96" s="47">
        <v>0</v>
      </c>
      <c r="T96" s="47">
        <v>0</v>
      </c>
      <c r="U96" s="47">
        <v>0</v>
      </c>
      <c r="V96" s="47">
        <v>0</v>
      </c>
      <c r="W96" s="47">
        <v>0</v>
      </c>
      <c r="X96" s="47">
        <v>0</v>
      </c>
      <c r="Y96" s="47">
        <v>0</v>
      </c>
      <c r="Z96" s="47">
        <v>0</v>
      </c>
      <c r="AA96" s="47">
        <v>0</v>
      </c>
      <c r="AB96" s="47">
        <v>0</v>
      </c>
      <c r="AC96" s="47">
        <v>0</v>
      </c>
      <c r="AD96" s="47">
        <v>0</v>
      </c>
      <c r="AE96" s="47">
        <v>0</v>
      </c>
      <c r="AF96" s="47">
        <v>0</v>
      </c>
      <c r="AG96" s="47">
        <v>0</v>
      </c>
      <c r="AH96" s="12">
        <f t="shared" si="72"/>
        <v>0</v>
      </c>
    </row>
    <row r="97" spans="1:34">
      <c r="A97" s="2" t="s">
        <v>22</v>
      </c>
      <c r="B97" s="22">
        <f t="shared" ref="B97:N97" si="95">B27+B62</f>
        <v>0</v>
      </c>
      <c r="C97" s="22">
        <f t="shared" si="95"/>
        <v>0</v>
      </c>
      <c r="D97" s="22">
        <f t="shared" si="95"/>
        <v>0</v>
      </c>
      <c r="E97" s="22">
        <f t="shared" si="95"/>
        <v>0</v>
      </c>
      <c r="F97" s="22">
        <f t="shared" si="95"/>
        <v>0</v>
      </c>
      <c r="G97" s="22">
        <f t="shared" si="95"/>
        <v>0</v>
      </c>
      <c r="H97" s="22">
        <f t="shared" si="95"/>
        <v>0</v>
      </c>
      <c r="I97" s="22">
        <f t="shared" si="95"/>
        <v>0</v>
      </c>
      <c r="J97" s="22">
        <f t="shared" si="95"/>
        <v>0</v>
      </c>
      <c r="K97" s="22">
        <f t="shared" si="95"/>
        <v>0</v>
      </c>
      <c r="L97" s="22">
        <f t="shared" si="95"/>
        <v>0</v>
      </c>
      <c r="M97" s="22">
        <f t="shared" si="95"/>
        <v>0</v>
      </c>
      <c r="N97" s="22">
        <f t="shared" si="95"/>
        <v>0</v>
      </c>
      <c r="O97" s="12">
        <f t="shared" si="74"/>
        <v>0</v>
      </c>
      <c r="R97" s="2" t="s">
        <v>22</v>
      </c>
      <c r="S97" s="47">
        <v>0</v>
      </c>
      <c r="T97" s="47">
        <v>0</v>
      </c>
      <c r="U97" s="47">
        <v>0</v>
      </c>
      <c r="V97" s="47">
        <v>0</v>
      </c>
      <c r="W97" s="47">
        <v>0</v>
      </c>
      <c r="X97" s="47">
        <v>0</v>
      </c>
      <c r="Y97" s="47">
        <v>0</v>
      </c>
      <c r="Z97" s="47">
        <v>0</v>
      </c>
      <c r="AA97" s="47">
        <v>0</v>
      </c>
      <c r="AB97" s="47">
        <v>0</v>
      </c>
      <c r="AC97" s="47">
        <v>0</v>
      </c>
      <c r="AD97" s="47">
        <v>0</v>
      </c>
      <c r="AE97" s="47">
        <v>0</v>
      </c>
      <c r="AF97" s="47">
        <v>0</v>
      </c>
      <c r="AG97" s="47">
        <v>0</v>
      </c>
      <c r="AH97" s="12">
        <f t="shared" si="72"/>
        <v>0</v>
      </c>
    </row>
    <row r="98" spans="1:34">
      <c r="A98" s="1" t="s">
        <v>23</v>
      </c>
      <c r="B98" s="22">
        <f t="shared" ref="B98:N98" si="96">B28+B63</f>
        <v>0</v>
      </c>
      <c r="C98" s="22">
        <f t="shared" si="96"/>
        <v>0</v>
      </c>
      <c r="D98" s="22">
        <f t="shared" si="96"/>
        <v>0</v>
      </c>
      <c r="E98" s="22">
        <f t="shared" si="96"/>
        <v>0</v>
      </c>
      <c r="F98" s="22">
        <f t="shared" si="96"/>
        <v>0</v>
      </c>
      <c r="G98" s="22">
        <f t="shared" si="96"/>
        <v>0</v>
      </c>
      <c r="H98" s="22">
        <f t="shared" si="96"/>
        <v>0</v>
      </c>
      <c r="I98" s="22">
        <f t="shared" si="96"/>
        <v>0</v>
      </c>
      <c r="J98" s="22">
        <f t="shared" si="96"/>
        <v>0</v>
      </c>
      <c r="K98" s="22">
        <f t="shared" si="96"/>
        <v>0</v>
      </c>
      <c r="L98" s="22">
        <f t="shared" si="96"/>
        <v>0</v>
      </c>
      <c r="M98" s="22">
        <f t="shared" si="96"/>
        <v>0</v>
      </c>
      <c r="N98" s="22">
        <f t="shared" si="96"/>
        <v>0</v>
      </c>
      <c r="O98" s="12">
        <f t="shared" si="74"/>
        <v>0</v>
      </c>
      <c r="R98" s="2" t="s">
        <v>23</v>
      </c>
      <c r="S98" s="47">
        <v>0</v>
      </c>
      <c r="T98" s="47">
        <v>0</v>
      </c>
      <c r="U98" s="47">
        <v>0</v>
      </c>
      <c r="V98" s="47">
        <v>0</v>
      </c>
      <c r="W98" s="47">
        <v>0</v>
      </c>
      <c r="X98" s="47">
        <v>0</v>
      </c>
      <c r="Y98" s="47">
        <v>0</v>
      </c>
      <c r="Z98" s="47">
        <v>0</v>
      </c>
      <c r="AA98" s="47">
        <v>0</v>
      </c>
      <c r="AB98" s="47">
        <v>0</v>
      </c>
      <c r="AC98" s="47">
        <v>0</v>
      </c>
      <c r="AD98" s="47">
        <v>0</v>
      </c>
      <c r="AE98" s="47">
        <v>0</v>
      </c>
      <c r="AF98" s="47">
        <v>0</v>
      </c>
      <c r="AG98" s="47">
        <v>0</v>
      </c>
      <c r="AH98" s="12">
        <f t="shared" si="72"/>
        <v>0</v>
      </c>
    </row>
    <row r="99" spans="1:34">
      <c r="A99" s="1" t="s">
        <v>25</v>
      </c>
      <c r="B99" s="22">
        <f t="shared" ref="B99:N99" si="97">B29+B64</f>
        <v>0</v>
      </c>
      <c r="C99" s="22">
        <f t="shared" si="97"/>
        <v>0</v>
      </c>
      <c r="D99" s="22">
        <f t="shared" si="97"/>
        <v>0</v>
      </c>
      <c r="E99" s="22">
        <f t="shared" si="97"/>
        <v>0</v>
      </c>
      <c r="F99" s="22">
        <f t="shared" si="97"/>
        <v>0</v>
      </c>
      <c r="G99" s="22">
        <f t="shared" si="97"/>
        <v>0</v>
      </c>
      <c r="H99" s="22">
        <f t="shared" si="97"/>
        <v>0</v>
      </c>
      <c r="I99" s="22">
        <f t="shared" si="97"/>
        <v>0</v>
      </c>
      <c r="J99" s="22">
        <f t="shared" si="97"/>
        <v>0</v>
      </c>
      <c r="K99" s="22">
        <f t="shared" si="97"/>
        <v>0</v>
      </c>
      <c r="L99" s="22">
        <f t="shared" si="97"/>
        <v>0</v>
      </c>
      <c r="M99" s="22">
        <f t="shared" si="97"/>
        <v>0</v>
      </c>
      <c r="N99" s="22">
        <f t="shared" si="97"/>
        <v>0</v>
      </c>
      <c r="O99" s="12">
        <f t="shared" si="74"/>
        <v>0</v>
      </c>
      <c r="R99" s="2" t="s">
        <v>25</v>
      </c>
      <c r="S99" s="47">
        <v>0</v>
      </c>
      <c r="T99" s="47">
        <v>0</v>
      </c>
      <c r="U99" s="47">
        <v>0</v>
      </c>
      <c r="V99" s="47">
        <v>0</v>
      </c>
      <c r="W99" s="47">
        <v>0</v>
      </c>
      <c r="X99" s="47">
        <v>0</v>
      </c>
      <c r="Y99" s="47">
        <v>0</v>
      </c>
      <c r="Z99" s="47">
        <v>0</v>
      </c>
      <c r="AA99" s="47">
        <v>0</v>
      </c>
      <c r="AB99" s="47">
        <v>0</v>
      </c>
      <c r="AC99" s="47">
        <v>0</v>
      </c>
      <c r="AD99" s="47">
        <v>0</v>
      </c>
      <c r="AE99" s="47">
        <v>0</v>
      </c>
      <c r="AF99" s="47">
        <v>0</v>
      </c>
      <c r="AG99" s="47">
        <v>0</v>
      </c>
      <c r="AH99" s="12">
        <f t="shared" si="72"/>
        <v>0</v>
      </c>
    </row>
    <row r="100" spans="1:34">
      <c r="A100" s="1" t="s">
        <v>24</v>
      </c>
      <c r="B100" s="22">
        <f t="shared" ref="B100:N100" si="98">B30+B65</f>
        <v>0</v>
      </c>
      <c r="C100" s="22">
        <f t="shared" si="98"/>
        <v>0</v>
      </c>
      <c r="D100" s="22">
        <f t="shared" si="98"/>
        <v>0</v>
      </c>
      <c r="E100" s="22">
        <f t="shared" si="98"/>
        <v>0</v>
      </c>
      <c r="F100" s="22">
        <f t="shared" si="98"/>
        <v>0</v>
      </c>
      <c r="G100" s="22">
        <f t="shared" si="98"/>
        <v>0</v>
      </c>
      <c r="H100" s="22">
        <f t="shared" si="98"/>
        <v>0</v>
      </c>
      <c r="I100" s="22">
        <f t="shared" si="98"/>
        <v>0</v>
      </c>
      <c r="J100" s="22">
        <f t="shared" si="98"/>
        <v>0</v>
      </c>
      <c r="K100" s="22">
        <f t="shared" si="98"/>
        <v>0</v>
      </c>
      <c r="L100" s="22">
        <f t="shared" si="98"/>
        <v>0</v>
      </c>
      <c r="M100" s="22">
        <f t="shared" si="98"/>
        <v>0</v>
      </c>
      <c r="N100" s="22">
        <f t="shared" si="98"/>
        <v>0</v>
      </c>
      <c r="O100" s="12">
        <f t="shared" si="74"/>
        <v>0</v>
      </c>
      <c r="R100" s="2" t="s">
        <v>24</v>
      </c>
      <c r="S100" s="47">
        <v>0</v>
      </c>
      <c r="T100" s="47">
        <v>0</v>
      </c>
      <c r="U100" s="47">
        <v>0</v>
      </c>
      <c r="V100" s="47">
        <v>0</v>
      </c>
      <c r="W100" s="47">
        <v>0</v>
      </c>
      <c r="X100" s="47">
        <v>0</v>
      </c>
      <c r="Y100" s="47">
        <v>0</v>
      </c>
      <c r="Z100" s="47">
        <v>0</v>
      </c>
      <c r="AA100" s="47">
        <v>0</v>
      </c>
      <c r="AB100" s="47">
        <v>0</v>
      </c>
      <c r="AC100" s="47">
        <v>0</v>
      </c>
      <c r="AD100" s="47">
        <v>0</v>
      </c>
      <c r="AE100" s="47">
        <v>0</v>
      </c>
      <c r="AF100" s="47">
        <v>0</v>
      </c>
      <c r="AG100" s="47">
        <v>0</v>
      </c>
      <c r="AH100" s="12">
        <f t="shared" si="72"/>
        <v>0</v>
      </c>
    </row>
    <row r="101" spans="1:34">
      <c r="A101" s="1" t="s">
        <v>26</v>
      </c>
      <c r="B101" s="22">
        <f t="shared" ref="B101:N101" si="99">B31+B66</f>
        <v>0</v>
      </c>
      <c r="C101" s="22">
        <f t="shared" si="99"/>
        <v>0</v>
      </c>
      <c r="D101" s="22">
        <f t="shared" si="99"/>
        <v>0</v>
      </c>
      <c r="E101" s="22">
        <f t="shared" si="99"/>
        <v>0</v>
      </c>
      <c r="F101" s="22">
        <f t="shared" si="99"/>
        <v>0</v>
      </c>
      <c r="G101" s="22">
        <f t="shared" si="99"/>
        <v>0</v>
      </c>
      <c r="H101" s="22">
        <f t="shared" si="99"/>
        <v>0</v>
      </c>
      <c r="I101" s="22">
        <f t="shared" si="99"/>
        <v>0</v>
      </c>
      <c r="J101" s="22">
        <f t="shared" si="99"/>
        <v>0</v>
      </c>
      <c r="K101" s="22">
        <f t="shared" si="99"/>
        <v>0</v>
      </c>
      <c r="L101" s="22">
        <f t="shared" si="99"/>
        <v>0</v>
      </c>
      <c r="M101" s="22">
        <f t="shared" si="99"/>
        <v>0</v>
      </c>
      <c r="N101" s="22">
        <f t="shared" si="99"/>
        <v>0</v>
      </c>
      <c r="O101" s="12">
        <f t="shared" si="74"/>
        <v>0</v>
      </c>
      <c r="R101" s="2" t="s">
        <v>26</v>
      </c>
      <c r="S101" s="47">
        <v>0</v>
      </c>
      <c r="T101" s="47">
        <v>0</v>
      </c>
      <c r="U101" s="47">
        <v>0</v>
      </c>
      <c r="V101" s="47">
        <v>0</v>
      </c>
      <c r="W101" s="47">
        <v>0</v>
      </c>
      <c r="X101" s="47">
        <v>0</v>
      </c>
      <c r="Y101" s="47">
        <v>0</v>
      </c>
      <c r="Z101" s="47">
        <v>0</v>
      </c>
      <c r="AA101" s="47">
        <v>0</v>
      </c>
      <c r="AB101" s="47">
        <v>0</v>
      </c>
      <c r="AC101" s="47">
        <v>0</v>
      </c>
      <c r="AD101" s="47">
        <v>0</v>
      </c>
      <c r="AE101" s="47">
        <v>0</v>
      </c>
      <c r="AF101" s="47">
        <v>0</v>
      </c>
      <c r="AG101" s="47">
        <v>0</v>
      </c>
      <c r="AH101" s="12">
        <f t="shared" si="72"/>
        <v>0</v>
      </c>
    </row>
    <row r="102" spans="1:34">
      <c r="A102" s="8" t="s">
        <v>37</v>
      </c>
      <c r="B102" s="16">
        <f t="shared" ref="B102:O102" si="100">SUM(B75:B101)</f>
        <v>0</v>
      </c>
      <c r="C102" s="16">
        <f t="shared" si="100"/>
        <v>0</v>
      </c>
      <c r="D102" s="16">
        <f t="shared" si="100"/>
        <v>0</v>
      </c>
      <c r="E102" s="16">
        <f t="shared" si="100"/>
        <v>0</v>
      </c>
      <c r="F102" s="16">
        <f t="shared" si="100"/>
        <v>0</v>
      </c>
      <c r="G102" s="16">
        <f t="shared" si="100"/>
        <v>0</v>
      </c>
      <c r="H102" s="16">
        <f t="shared" si="100"/>
        <v>0</v>
      </c>
      <c r="I102" s="16">
        <f t="shared" si="100"/>
        <v>0</v>
      </c>
      <c r="J102" s="16">
        <f t="shared" si="100"/>
        <v>0</v>
      </c>
      <c r="K102" s="16">
        <f t="shared" si="100"/>
        <v>0</v>
      </c>
      <c r="L102" s="16">
        <f t="shared" si="100"/>
        <v>0</v>
      </c>
      <c r="M102" s="16">
        <f t="shared" si="100"/>
        <v>0</v>
      </c>
      <c r="N102" s="16">
        <f t="shared" si="100"/>
        <v>0</v>
      </c>
      <c r="O102" s="7">
        <f t="shared" si="100"/>
        <v>0</v>
      </c>
      <c r="R102" s="8" t="s">
        <v>37</v>
      </c>
      <c r="S102" s="45">
        <f t="shared" ref="S102:AH102" si="101">SUM(S75:S101)</f>
        <v>0</v>
      </c>
      <c r="T102" s="45">
        <f t="shared" si="101"/>
        <v>0</v>
      </c>
      <c r="U102" s="45">
        <f t="shared" si="101"/>
        <v>0</v>
      </c>
      <c r="V102" s="45">
        <f t="shared" si="101"/>
        <v>0</v>
      </c>
      <c r="W102" s="45">
        <f t="shared" si="101"/>
        <v>0</v>
      </c>
      <c r="X102" s="45">
        <f t="shared" si="101"/>
        <v>0</v>
      </c>
      <c r="Y102" s="45">
        <f t="shared" si="101"/>
        <v>0</v>
      </c>
      <c r="Z102" s="45">
        <f t="shared" si="101"/>
        <v>0</v>
      </c>
      <c r="AA102" s="45">
        <f t="shared" si="101"/>
        <v>0</v>
      </c>
      <c r="AB102" s="45">
        <f t="shared" si="101"/>
        <v>0</v>
      </c>
      <c r="AC102" s="45">
        <f t="shared" si="101"/>
        <v>0</v>
      </c>
      <c r="AD102" s="45">
        <f t="shared" si="101"/>
        <v>0</v>
      </c>
      <c r="AE102" s="45">
        <f t="shared" si="101"/>
        <v>0</v>
      </c>
      <c r="AF102" s="45">
        <f t="shared" si="101"/>
        <v>0</v>
      </c>
      <c r="AG102" s="45">
        <f t="shared" si="101"/>
        <v>0</v>
      </c>
      <c r="AH102" s="7">
        <f t="shared" si="101"/>
        <v>0</v>
      </c>
    </row>
    <row r="104" spans="1:34">
      <c r="O104" s="15"/>
    </row>
    <row r="105" spans="1:34" ht="46.5">
      <c r="K105" s="289" t="s">
        <v>49</v>
      </c>
      <c r="L105" s="28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</row>
    <row r="106" spans="1:34" ht="15" customHeight="1">
      <c r="K106" s="290" t="s">
        <v>33</v>
      </c>
      <c r="L106" s="287" t="s">
        <v>27</v>
      </c>
      <c r="M106" s="288"/>
      <c r="N106" s="287" t="s">
        <v>29</v>
      </c>
      <c r="O106" s="288"/>
      <c r="P106" s="285" t="s">
        <v>28</v>
      </c>
      <c r="Q106" s="285" t="s">
        <v>36</v>
      </c>
      <c r="R106" s="285" t="s">
        <v>30</v>
      </c>
      <c r="S106" s="285" t="s">
        <v>31</v>
      </c>
      <c r="T106" s="285" t="s">
        <v>41</v>
      </c>
      <c r="U106" s="285" t="s">
        <v>35</v>
      </c>
      <c r="V106" s="285" t="s">
        <v>40</v>
      </c>
      <c r="W106" s="285" t="s">
        <v>42</v>
      </c>
      <c r="X106" s="285" t="s">
        <v>45</v>
      </c>
      <c r="Y106" s="299" t="s">
        <v>55</v>
      </c>
      <c r="Z106" s="300"/>
      <c r="AA106" s="285" t="s">
        <v>34</v>
      </c>
    </row>
    <row r="107" spans="1:34" ht="30">
      <c r="K107" s="291"/>
      <c r="L107" s="46" t="s">
        <v>43</v>
      </c>
      <c r="M107" s="46" t="s">
        <v>44</v>
      </c>
      <c r="N107" s="46" t="s">
        <v>43</v>
      </c>
      <c r="O107" s="46" t="s">
        <v>44</v>
      </c>
      <c r="P107" s="286"/>
      <c r="Q107" s="286"/>
      <c r="R107" s="286"/>
      <c r="S107" s="286"/>
      <c r="T107" s="286"/>
      <c r="U107" s="286"/>
      <c r="V107" s="286"/>
      <c r="W107" s="286"/>
      <c r="X107" s="286"/>
      <c r="Y107" s="49" t="s">
        <v>53</v>
      </c>
      <c r="Z107" s="49" t="s">
        <v>54</v>
      </c>
      <c r="AA107" s="286"/>
    </row>
    <row r="108" spans="1:34">
      <c r="K108" s="1" t="s">
        <v>0</v>
      </c>
      <c r="L108" s="22">
        <f>B75+S75</f>
        <v>0</v>
      </c>
      <c r="M108" s="22">
        <f t="shared" ref="M108:X108" si="102">C75+T75</f>
        <v>0</v>
      </c>
      <c r="N108" s="22">
        <f t="shared" si="102"/>
        <v>0</v>
      </c>
      <c r="O108" s="22">
        <f t="shared" si="102"/>
        <v>0</v>
      </c>
      <c r="P108" s="22">
        <f t="shared" si="102"/>
        <v>0</v>
      </c>
      <c r="Q108" s="22">
        <f t="shared" si="102"/>
        <v>0</v>
      </c>
      <c r="R108" s="22">
        <f t="shared" si="102"/>
        <v>0</v>
      </c>
      <c r="S108" s="22">
        <f t="shared" si="102"/>
        <v>0</v>
      </c>
      <c r="T108" s="22">
        <f t="shared" si="102"/>
        <v>0</v>
      </c>
      <c r="U108" s="22">
        <f t="shared" si="102"/>
        <v>0</v>
      </c>
      <c r="V108" s="22">
        <f t="shared" si="102"/>
        <v>0</v>
      </c>
      <c r="W108" s="22">
        <f t="shared" si="102"/>
        <v>0</v>
      </c>
      <c r="X108" s="22">
        <f t="shared" si="102"/>
        <v>0</v>
      </c>
      <c r="Y108" s="22">
        <f>AF75</f>
        <v>0</v>
      </c>
      <c r="Z108" s="22">
        <f>AG75</f>
        <v>0</v>
      </c>
      <c r="AA108" s="12">
        <f t="shared" ref="AA108:AA134" si="103">SUM(L108:Z108)</f>
        <v>0</v>
      </c>
    </row>
    <row r="109" spans="1:34">
      <c r="K109" s="1" t="s">
        <v>1</v>
      </c>
      <c r="L109" s="22">
        <f t="shared" ref="L109:L134" si="104">B76+S76</f>
        <v>0</v>
      </c>
      <c r="M109" s="22">
        <f t="shared" ref="M109:M134" si="105">C76+T76</f>
        <v>0</v>
      </c>
      <c r="N109" s="22">
        <f t="shared" ref="N109:N134" si="106">D76+U76</f>
        <v>0</v>
      </c>
      <c r="O109" s="22">
        <f t="shared" ref="O109:O134" si="107">E76+V76</f>
        <v>0</v>
      </c>
      <c r="P109" s="22">
        <f t="shared" ref="P109:P134" si="108">F76+W76</f>
        <v>0</v>
      </c>
      <c r="Q109" s="22">
        <f t="shared" ref="Q109:Q134" si="109">G76+X76</f>
        <v>0</v>
      </c>
      <c r="R109" s="22">
        <f t="shared" ref="R109:R134" si="110">H76+Y76</f>
        <v>0</v>
      </c>
      <c r="S109" s="22">
        <f t="shared" ref="S109:S134" si="111">I76+Z76</f>
        <v>0</v>
      </c>
      <c r="T109" s="22">
        <f t="shared" ref="T109:T134" si="112">J76+AA76</f>
        <v>0</v>
      </c>
      <c r="U109" s="22">
        <f t="shared" ref="U109:U134" si="113">K76+AB76</f>
        <v>0</v>
      </c>
      <c r="V109" s="22">
        <f t="shared" ref="V109:V134" si="114">L76+AC76</f>
        <v>0</v>
      </c>
      <c r="W109" s="22">
        <f t="shared" ref="W109:W134" si="115">M76+AD76</f>
        <v>0</v>
      </c>
      <c r="X109" s="22">
        <f t="shared" ref="X109:X134" si="116">N76+AE76</f>
        <v>0</v>
      </c>
      <c r="Y109" s="22">
        <f t="shared" ref="Y109:Z109" si="117">AF76</f>
        <v>0</v>
      </c>
      <c r="Z109" s="22">
        <f t="shared" si="117"/>
        <v>0</v>
      </c>
      <c r="AA109" s="12">
        <f t="shared" si="103"/>
        <v>0</v>
      </c>
    </row>
    <row r="110" spans="1:34">
      <c r="K110" s="18" t="s">
        <v>2</v>
      </c>
      <c r="L110" s="22">
        <f t="shared" si="104"/>
        <v>0</v>
      </c>
      <c r="M110" s="22">
        <f t="shared" si="105"/>
        <v>0</v>
      </c>
      <c r="N110" s="22">
        <f t="shared" si="106"/>
        <v>0</v>
      </c>
      <c r="O110" s="22">
        <f t="shared" si="107"/>
        <v>0</v>
      </c>
      <c r="P110" s="22">
        <f t="shared" si="108"/>
        <v>0</v>
      </c>
      <c r="Q110" s="22">
        <f t="shared" si="109"/>
        <v>0</v>
      </c>
      <c r="R110" s="22">
        <f t="shared" si="110"/>
        <v>0</v>
      </c>
      <c r="S110" s="22">
        <f t="shared" si="111"/>
        <v>0</v>
      </c>
      <c r="T110" s="22">
        <f t="shared" si="112"/>
        <v>0</v>
      </c>
      <c r="U110" s="22">
        <f t="shared" si="113"/>
        <v>0</v>
      </c>
      <c r="V110" s="22">
        <f t="shared" si="114"/>
        <v>0</v>
      </c>
      <c r="W110" s="22">
        <f t="shared" si="115"/>
        <v>0</v>
      </c>
      <c r="X110" s="22">
        <f t="shared" si="116"/>
        <v>0</v>
      </c>
      <c r="Y110" s="22">
        <f t="shared" ref="Y110:Z110" si="118">AF77</f>
        <v>0</v>
      </c>
      <c r="Z110" s="22">
        <f t="shared" si="118"/>
        <v>0</v>
      </c>
      <c r="AA110" s="12">
        <f t="shared" si="103"/>
        <v>0</v>
      </c>
    </row>
    <row r="111" spans="1:34">
      <c r="K111" s="2" t="s">
        <v>3</v>
      </c>
      <c r="L111" s="22">
        <f t="shared" si="104"/>
        <v>0</v>
      </c>
      <c r="M111" s="22">
        <f t="shared" si="105"/>
        <v>0</v>
      </c>
      <c r="N111" s="22">
        <f t="shared" si="106"/>
        <v>0</v>
      </c>
      <c r="O111" s="22">
        <f t="shared" si="107"/>
        <v>0</v>
      </c>
      <c r="P111" s="22">
        <f t="shared" si="108"/>
        <v>0</v>
      </c>
      <c r="Q111" s="22">
        <f t="shared" si="109"/>
        <v>0</v>
      </c>
      <c r="R111" s="22">
        <f t="shared" si="110"/>
        <v>0</v>
      </c>
      <c r="S111" s="22">
        <f t="shared" si="111"/>
        <v>0</v>
      </c>
      <c r="T111" s="22">
        <f t="shared" si="112"/>
        <v>0</v>
      </c>
      <c r="U111" s="22">
        <f t="shared" si="113"/>
        <v>0</v>
      </c>
      <c r="V111" s="22">
        <f t="shared" si="114"/>
        <v>0</v>
      </c>
      <c r="W111" s="22">
        <f t="shared" si="115"/>
        <v>0</v>
      </c>
      <c r="X111" s="22">
        <f t="shared" si="116"/>
        <v>0</v>
      </c>
      <c r="Y111" s="22">
        <f t="shared" ref="Y111:Z111" si="119">AF78</f>
        <v>0</v>
      </c>
      <c r="Z111" s="22">
        <f t="shared" si="119"/>
        <v>0</v>
      </c>
      <c r="AA111" s="12">
        <f t="shared" si="103"/>
        <v>0</v>
      </c>
    </row>
    <row r="112" spans="1:34">
      <c r="K112" s="1" t="s">
        <v>4</v>
      </c>
      <c r="L112" s="22">
        <f t="shared" si="104"/>
        <v>0</v>
      </c>
      <c r="M112" s="22">
        <f t="shared" si="105"/>
        <v>0</v>
      </c>
      <c r="N112" s="22">
        <f t="shared" si="106"/>
        <v>0</v>
      </c>
      <c r="O112" s="22">
        <f t="shared" si="107"/>
        <v>0</v>
      </c>
      <c r="P112" s="22">
        <f t="shared" si="108"/>
        <v>0</v>
      </c>
      <c r="Q112" s="22">
        <f t="shared" si="109"/>
        <v>0</v>
      </c>
      <c r="R112" s="22">
        <f t="shared" si="110"/>
        <v>0</v>
      </c>
      <c r="S112" s="22">
        <f t="shared" si="111"/>
        <v>0</v>
      </c>
      <c r="T112" s="22">
        <f t="shared" si="112"/>
        <v>0</v>
      </c>
      <c r="U112" s="22">
        <f t="shared" si="113"/>
        <v>0</v>
      </c>
      <c r="V112" s="22">
        <f t="shared" si="114"/>
        <v>0</v>
      </c>
      <c r="W112" s="22">
        <f t="shared" si="115"/>
        <v>0</v>
      </c>
      <c r="X112" s="22">
        <f t="shared" si="116"/>
        <v>0</v>
      </c>
      <c r="Y112" s="22">
        <f t="shared" ref="Y112:Z112" si="120">AF79</f>
        <v>0</v>
      </c>
      <c r="Z112" s="22">
        <f t="shared" si="120"/>
        <v>0</v>
      </c>
      <c r="AA112" s="12">
        <f t="shared" si="103"/>
        <v>0</v>
      </c>
    </row>
    <row r="113" spans="11:27">
      <c r="K113" s="1" t="s">
        <v>5</v>
      </c>
      <c r="L113" s="22">
        <f t="shared" si="104"/>
        <v>0</v>
      </c>
      <c r="M113" s="22">
        <f t="shared" si="105"/>
        <v>0</v>
      </c>
      <c r="N113" s="22">
        <f t="shared" si="106"/>
        <v>0</v>
      </c>
      <c r="O113" s="22">
        <f t="shared" si="107"/>
        <v>0</v>
      </c>
      <c r="P113" s="22">
        <f t="shared" si="108"/>
        <v>0</v>
      </c>
      <c r="Q113" s="22">
        <f t="shared" si="109"/>
        <v>0</v>
      </c>
      <c r="R113" s="22">
        <f t="shared" si="110"/>
        <v>0</v>
      </c>
      <c r="S113" s="22">
        <f t="shared" si="111"/>
        <v>0</v>
      </c>
      <c r="T113" s="22">
        <f t="shared" si="112"/>
        <v>0</v>
      </c>
      <c r="U113" s="22">
        <f t="shared" si="113"/>
        <v>0</v>
      </c>
      <c r="V113" s="22">
        <f t="shared" si="114"/>
        <v>0</v>
      </c>
      <c r="W113" s="22">
        <f t="shared" si="115"/>
        <v>0</v>
      </c>
      <c r="X113" s="22">
        <f t="shared" si="116"/>
        <v>0</v>
      </c>
      <c r="Y113" s="22">
        <f t="shared" ref="Y113:Z113" si="121">AF80</f>
        <v>0</v>
      </c>
      <c r="Z113" s="22">
        <f t="shared" si="121"/>
        <v>0</v>
      </c>
      <c r="AA113" s="12">
        <f t="shared" si="103"/>
        <v>0</v>
      </c>
    </row>
    <row r="114" spans="11:27">
      <c r="K114" s="1" t="s">
        <v>6</v>
      </c>
      <c r="L114" s="22">
        <f t="shared" si="104"/>
        <v>0</v>
      </c>
      <c r="M114" s="22">
        <f t="shared" si="105"/>
        <v>0</v>
      </c>
      <c r="N114" s="22">
        <f t="shared" si="106"/>
        <v>0</v>
      </c>
      <c r="O114" s="22">
        <f t="shared" si="107"/>
        <v>0</v>
      </c>
      <c r="P114" s="22">
        <f t="shared" si="108"/>
        <v>0</v>
      </c>
      <c r="Q114" s="22">
        <f t="shared" si="109"/>
        <v>0</v>
      </c>
      <c r="R114" s="22">
        <f t="shared" si="110"/>
        <v>0</v>
      </c>
      <c r="S114" s="22">
        <f t="shared" si="111"/>
        <v>0</v>
      </c>
      <c r="T114" s="22">
        <f t="shared" si="112"/>
        <v>0</v>
      </c>
      <c r="U114" s="22">
        <f t="shared" si="113"/>
        <v>0</v>
      </c>
      <c r="V114" s="22">
        <f t="shared" si="114"/>
        <v>0</v>
      </c>
      <c r="W114" s="22">
        <f t="shared" si="115"/>
        <v>0</v>
      </c>
      <c r="X114" s="22">
        <f t="shared" si="116"/>
        <v>0</v>
      </c>
      <c r="Y114" s="22">
        <f t="shared" ref="Y114:Z114" si="122">AF81</f>
        <v>0</v>
      </c>
      <c r="Z114" s="22">
        <f t="shared" si="122"/>
        <v>0</v>
      </c>
      <c r="AA114" s="12">
        <f t="shared" si="103"/>
        <v>0</v>
      </c>
    </row>
    <row r="115" spans="11:27">
      <c r="K115" s="1" t="s">
        <v>7</v>
      </c>
      <c r="L115" s="22">
        <f t="shared" si="104"/>
        <v>0</v>
      </c>
      <c r="M115" s="22">
        <f t="shared" si="105"/>
        <v>0</v>
      </c>
      <c r="N115" s="22">
        <f t="shared" si="106"/>
        <v>0</v>
      </c>
      <c r="O115" s="22">
        <f t="shared" si="107"/>
        <v>0</v>
      </c>
      <c r="P115" s="22">
        <f t="shared" si="108"/>
        <v>0</v>
      </c>
      <c r="Q115" s="22">
        <f t="shared" si="109"/>
        <v>0</v>
      </c>
      <c r="R115" s="22">
        <f t="shared" si="110"/>
        <v>0</v>
      </c>
      <c r="S115" s="22">
        <f t="shared" si="111"/>
        <v>0</v>
      </c>
      <c r="T115" s="22">
        <f t="shared" si="112"/>
        <v>0</v>
      </c>
      <c r="U115" s="22">
        <f t="shared" si="113"/>
        <v>0</v>
      </c>
      <c r="V115" s="22">
        <f t="shared" si="114"/>
        <v>0</v>
      </c>
      <c r="W115" s="22">
        <f t="shared" si="115"/>
        <v>0</v>
      </c>
      <c r="X115" s="22">
        <f t="shared" si="116"/>
        <v>0</v>
      </c>
      <c r="Y115" s="22">
        <f t="shared" ref="Y115:Z115" si="123">AF82</f>
        <v>0</v>
      </c>
      <c r="Z115" s="22">
        <f t="shared" si="123"/>
        <v>0</v>
      </c>
      <c r="AA115" s="12">
        <f t="shared" si="103"/>
        <v>0</v>
      </c>
    </row>
    <row r="116" spans="11:27">
      <c r="K116" s="1" t="s">
        <v>8</v>
      </c>
      <c r="L116" s="22">
        <f t="shared" si="104"/>
        <v>0</v>
      </c>
      <c r="M116" s="22">
        <f t="shared" si="105"/>
        <v>0</v>
      </c>
      <c r="N116" s="22">
        <f t="shared" si="106"/>
        <v>0</v>
      </c>
      <c r="O116" s="22">
        <f t="shared" si="107"/>
        <v>0</v>
      </c>
      <c r="P116" s="22">
        <f t="shared" si="108"/>
        <v>0</v>
      </c>
      <c r="Q116" s="22">
        <f t="shared" si="109"/>
        <v>0</v>
      </c>
      <c r="R116" s="22">
        <f t="shared" si="110"/>
        <v>0</v>
      </c>
      <c r="S116" s="22">
        <f t="shared" si="111"/>
        <v>0</v>
      </c>
      <c r="T116" s="22">
        <f t="shared" si="112"/>
        <v>0</v>
      </c>
      <c r="U116" s="22">
        <f t="shared" si="113"/>
        <v>0</v>
      </c>
      <c r="V116" s="22">
        <f t="shared" si="114"/>
        <v>0</v>
      </c>
      <c r="W116" s="22">
        <f t="shared" si="115"/>
        <v>0</v>
      </c>
      <c r="X116" s="22">
        <f t="shared" si="116"/>
        <v>0</v>
      </c>
      <c r="Y116" s="22">
        <f t="shared" ref="Y116:Z116" si="124">AF83</f>
        <v>0</v>
      </c>
      <c r="Z116" s="22">
        <f t="shared" si="124"/>
        <v>0</v>
      </c>
      <c r="AA116" s="12">
        <f t="shared" si="103"/>
        <v>0</v>
      </c>
    </row>
    <row r="117" spans="11:27">
      <c r="K117" s="2" t="s">
        <v>9</v>
      </c>
      <c r="L117" s="22">
        <f t="shared" si="104"/>
        <v>0</v>
      </c>
      <c r="M117" s="22">
        <f t="shared" si="105"/>
        <v>0</v>
      </c>
      <c r="N117" s="22">
        <f t="shared" si="106"/>
        <v>0</v>
      </c>
      <c r="O117" s="22">
        <f t="shared" si="107"/>
        <v>0</v>
      </c>
      <c r="P117" s="22">
        <f t="shared" si="108"/>
        <v>0</v>
      </c>
      <c r="Q117" s="22">
        <f t="shared" si="109"/>
        <v>0</v>
      </c>
      <c r="R117" s="22">
        <f t="shared" si="110"/>
        <v>0</v>
      </c>
      <c r="S117" s="22">
        <f t="shared" si="111"/>
        <v>0</v>
      </c>
      <c r="T117" s="22">
        <f t="shared" si="112"/>
        <v>0</v>
      </c>
      <c r="U117" s="22">
        <f t="shared" si="113"/>
        <v>0</v>
      </c>
      <c r="V117" s="22">
        <f t="shared" si="114"/>
        <v>0</v>
      </c>
      <c r="W117" s="22">
        <f t="shared" si="115"/>
        <v>0</v>
      </c>
      <c r="X117" s="22">
        <f t="shared" si="116"/>
        <v>0</v>
      </c>
      <c r="Y117" s="22">
        <f t="shared" ref="Y117:Z117" si="125">AF84</f>
        <v>0</v>
      </c>
      <c r="Z117" s="22">
        <f t="shared" si="125"/>
        <v>0</v>
      </c>
      <c r="AA117" s="12">
        <f t="shared" si="103"/>
        <v>0</v>
      </c>
    </row>
    <row r="118" spans="11:27">
      <c r="K118" s="18" t="s">
        <v>10</v>
      </c>
      <c r="L118" s="22">
        <f t="shared" si="104"/>
        <v>0</v>
      </c>
      <c r="M118" s="22">
        <f t="shared" si="105"/>
        <v>0</v>
      </c>
      <c r="N118" s="22">
        <f t="shared" si="106"/>
        <v>0</v>
      </c>
      <c r="O118" s="22">
        <f t="shared" si="107"/>
        <v>0</v>
      </c>
      <c r="P118" s="22">
        <f t="shared" si="108"/>
        <v>0</v>
      </c>
      <c r="Q118" s="22">
        <f t="shared" si="109"/>
        <v>0</v>
      </c>
      <c r="R118" s="22">
        <f t="shared" si="110"/>
        <v>0</v>
      </c>
      <c r="S118" s="22">
        <f t="shared" si="111"/>
        <v>0</v>
      </c>
      <c r="T118" s="22">
        <f t="shared" si="112"/>
        <v>0</v>
      </c>
      <c r="U118" s="22">
        <f t="shared" si="113"/>
        <v>0</v>
      </c>
      <c r="V118" s="22">
        <f t="shared" si="114"/>
        <v>0</v>
      </c>
      <c r="W118" s="22">
        <f t="shared" si="115"/>
        <v>0</v>
      </c>
      <c r="X118" s="22">
        <f t="shared" si="116"/>
        <v>0</v>
      </c>
      <c r="Y118" s="22">
        <f t="shared" ref="Y118:Z118" si="126">AF85</f>
        <v>0</v>
      </c>
      <c r="Z118" s="22">
        <f t="shared" si="126"/>
        <v>0</v>
      </c>
      <c r="AA118" s="12">
        <f t="shared" si="103"/>
        <v>0</v>
      </c>
    </row>
    <row r="119" spans="11:27">
      <c r="K119" s="1" t="s">
        <v>11</v>
      </c>
      <c r="L119" s="22">
        <f t="shared" si="104"/>
        <v>0</v>
      </c>
      <c r="M119" s="22">
        <f t="shared" si="105"/>
        <v>0</v>
      </c>
      <c r="N119" s="22">
        <f t="shared" si="106"/>
        <v>0</v>
      </c>
      <c r="O119" s="22">
        <f t="shared" si="107"/>
        <v>0</v>
      </c>
      <c r="P119" s="22">
        <f t="shared" si="108"/>
        <v>0</v>
      </c>
      <c r="Q119" s="22">
        <f t="shared" si="109"/>
        <v>0</v>
      </c>
      <c r="R119" s="22">
        <f t="shared" si="110"/>
        <v>0</v>
      </c>
      <c r="S119" s="22">
        <f t="shared" si="111"/>
        <v>0</v>
      </c>
      <c r="T119" s="22">
        <f t="shared" si="112"/>
        <v>0</v>
      </c>
      <c r="U119" s="22">
        <f t="shared" si="113"/>
        <v>0</v>
      </c>
      <c r="V119" s="22">
        <f t="shared" si="114"/>
        <v>0</v>
      </c>
      <c r="W119" s="22">
        <f t="shared" si="115"/>
        <v>0</v>
      </c>
      <c r="X119" s="22">
        <f t="shared" si="116"/>
        <v>0</v>
      </c>
      <c r="Y119" s="22">
        <f t="shared" ref="Y119:Z119" si="127">AF86</f>
        <v>0</v>
      </c>
      <c r="Z119" s="22">
        <f t="shared" si="127"/>
        <v>0</v>
      </c>
      <c r="AA119" s="12">
        <f t="shared" si="103"/>
        <v>0</v>
      </c>
    </row>
    <row r="120" spans="11:27">
      <c r="K120" s="1" t="s">
        <v>12</v>
      </c>
      <c r="L120" s="22">
        <f t="shared" si="104"/>
        <v>0</v>
      </c>
      <c r="M120" s="22">
        <f t="shared" si="105"/>
        <v>0</v>
      </c>
      <c r="N120" s="22">
        <f t="shared" si="106"/>
        <v>0</v>
      </c>
      <c r="O120" s="22">
        <f t="shared" si="107"/>
        <v>0</v>
      </c>
      <c r="P120" s="22">
        <f t="shared" si="108"/>
        <v>0</v>
      </c>
      <c r="Q120" s="22">
        <f t="shared" si="109"/>
        <v>0</v>
      </c>
      <c r="R120" s="22">
        <f t="shared" si="110"/>
        <v>0</v>
      </c>
      <c r="S120" s="22">
        <f t="shared" si="111"/>
        <v>0</v>
      </c>
      <c r="T120" s="22">
        <f t="shared" si="112"/>
        <v>0</v>
      </c>
      <c r="U120" s="22">
        <f t="shared" si="113"/>
        <v>0</v>
      </c>
      <c r="V120" s="22">
        <f t="shared" si="114"/>
        <v>0</v>
      </c>
      <c r="W120" s="22">
        <f t="shared" si="115"/>
        <v>0</v>
      </c>
      <c r="X120" s="22">
        <f t="shared" si="116"/>
        <v>0</v>
      </c>
      <c r="Y120" s="22">
        <f t="shared" ref="Y120:Z120" si="128">AF87</f>
        <v>0</v>
      </c>
      <c r="Z120" s="22">
        <f t="shared" si="128"/>
        <v>0</v>
      </c>
      <c r="AA120" s="12">
        <f t="shared" si="103"/>
        <v>0</v>
      </c>
    </row>
    <row r="121" spans="11:27">
      <c r="K121" s="1" t="s">
        <v>15</v>
      </c>
      <c r="L121" s="22">
        <f t="shared" si="104"/>
        <v>0</v>
      </c>
      <c r="M121" s="22">
        <f t="shared" si="105"/>
        <v>0</v>
      </c>
      <c r="N121" s="22">
        <f t="shared" si="106"/>
        <v>0</v>
      </c>
      <c r="O121" s="22">
        <f t="shared" si="107"/>
        <v>0</v>
      </c>
      <c r="P121" s="22">
        <f t="shared" si="108"/>
        <v>0</v>
      </c>
      <c r="Q121" s="22">
        <f t="shared" si="109"/>
        <v>0</v>
      </c>
      <c r="R121" s="22">
        <f t="shared" si="110"/>
        <v>0</v>
      </c>
      <c r="S121" s="22">
        <f t="shared" si="111"/>
        <v>0</v>
      </c>
      <c r="T121" s="22">
        <f t="shared" si="112"/>
        <v>0</v>
      </c>
      <c r="U121" s="22">
        <f t="shared" si="113"/>
        <v>0</v>
      </c>
      <c r="V121" s="22">
        <f t="shared" si="114"/>
        <v>0</v>
      </c>
      <c r="W121" s="22">
        <f t="shared" si="115"/>
        <v>0</v>
      </c>
      <c r="X121" s="22">
        <f t="shared" si="116"/>
        <v>0</v>
      </c>
      <c r="Y121" s="22">
        <f t="shared" ref="Y121:Z121" si="129">AF88</f>
        <v>0</v>
      </c>
      <c r="Z121" s="22">
        <f t="shared" si="129"/>
        <v>0</v>
      </c>
      <c r="AA121" s="12">
        <f t="shared" si="103"/>
        <v>0</v>
      </c>
    </row>
    <row r="122" spans="11:27">
      <c r="K122" s="1" t="s">
        <v>14</v>
      </c>
      <c r="L122" s="22">
        <f t="shared" si="104"/>
        <v>0</v>
      </c>
      <c r="M122" s="22">
        <f t="shared" si="105"/>
        <v>0</v>
      </c>
      <c r="N122" s="22">
        <f t="shared" si="106"/>
        <v>0</v>
      </c>
      <c r="O122" s="22">
        <f t="shared" si="107"/>
        <v>0</v>
      </c>
      <c r="P122" s="22">
        <f t="shared" si="108"/>
        <v>0</v>
      </c>
      <c r="Q122" s="22">
        <f t="shared" si="109"/>
        <v>0</v>
      </c>
      <c r="R122" s="22">
        <f t="shared" si="110"/>
        <v>0</v>
      </c>
      <c r="S122" s="22">
        <f t="shared" si="111"/>
        <v>0</v>
      </c>
      <c r="T122" s="22">
        <f t="shared" si="112"/>
        <v>0</v>
      </c>
      <c r="U122" s="22">
        <f t="shared" si="113"/>
        <v>0</v>
      </c>
      <c r="V122" s="22">
        <f t="shared" si="114"/>
        <v>0</v>
      </c>
      <c r="W122" s="22">
        <f t="shared" si="115"/>
        <v>0</v>
      </c>
      <c r="X122" s="22">
        <f t="shared" si="116"/>
        <v>0</v>
      </c>
      <c r="Y122" s="22">
        <f t="shared" ref="Y122:Z122" si="130">AF89</f>
        <v>0</v>
      </c>
      <c r="Z122" s="22">
        <f t="shared" si="130"/>
        <v>0</v>
      </c>
      <c r="AA122" s="12">
        <f t="shared" si="103"/>
        <v>0</v>
      </c>
    </row>
    <row r="123" spans="11:27">
      <c r="K123" s="18" t="s">
        <v>13</v>
      </c>
      <c r="L123" s="22">
        <f t="shared" si="104"/>
        <v>0</v>
      </c>
      <c r="M123" s="22">
        <f t="shared" si="105"/>
        <v>0</v>
      </c>
      <c r="N123" s="22">
        <f t="shared" si="106"/>
        <v>0</v>
      </c>
      <c r="O123" s="22">
        <f t="shared" si="107"/>
        <v>0</v>
      </c>
      <c r="P123" s="22">
        <f t="shared" si="108"/>
        <v>0</v>
      </c>
      <c r="Q123" s="22">
        <f t="shared" si="109"/>
        <v>0</v>
      </c>
      <c r="R123" s="22">
        <f t="shared" si="110"/>
        <v>0</v>
      </c>
      <c r="S123" s="22">
        <f t="shared" si="111"/>
        <v>0</v>
      </c>
      <c r="T123" s="22">
        <f t="shared" si="112"/>
        <v>0</v>
      </c>
      <c r="U123" s="22">
        <f t="shared" si="113"/>
        <v>0</v>
      </c>
      <c r="V123" s="22">
        <f t="shared" si="114"/>
        <v>0</v>
      </c>
      <c r="W123" s="22">
        <f t="shared" si="115"/>
        <v>0</v>
      </c>
      <c r="X123" s="22">
        <f t="shared" si="116"/>
        <v>0</v>
      </c>
      <c r="Y123" s="22">
        <f t="shared" ref="Y123:Z123" si="131">AF90</f>
        <v>0</v>
      </c>
      <c r="Z123" s="22">
        <f t="shared" si="131"/>
        <v>0</v>
      </c>
      <c r="AA123" s="12">
        <f t="shared" si="103"/>
        <v>0</v>
      </c>
    </row>
    <row r="124" spans="11:27">
      <c r="K124" s="1" t="s">
        <v>16</v>
      </c>
      <c r="L124" s="22">
        <f t="shared" si="104"/>
        <v>0</v>
      </c>
      <c r="M124" s="22">
        <f t="shared" si="105"/>
        <v>0</v>
      </c>
      <c r="N124" s="22">
        <f t="shared" si="106"/>
        <v>0</v>
      </c>
      <c r="O124" s="22">
        <f t="shared" si="107"/>
        <v>0</v>
      </c>
      <c r="P124" s="22">
        <f t="shared" si="108"/>
        <v>0</v>
      </c>
      <c r="Q124" s="22">
        <f t="shared" si="109"/>
        <v>0</v>
      </c>
      <c r="R124" s="22">
        <f t="shared" si="110"/>
        <v>0</v>
      </c>
      <c r="S124" s="22">
        <f t="shared" si="111"/>
        <v>0</v>
      </c>
      <c r="T124" s="22">
        <f t="shared" si="112"/>
        <v>0</v>
      </c>
      <c r="U124" s="22">
        <f t="shared" si="113"/>
        <v>0</v>
      </c>
      <c r="V124" s="22">
        <f t="shared" si="114"/>
        <v>0</v>
      </c>
      <c r="W124" s="22">
        <f t="shared" si="115"/>
        <v>0</v>
      </c>
      <c r="X124" s="22">
        <f t="shared" si="116"/>
        <v>0</v>
      </c>
      <c r="Y124" s="22">
        <f t="shared" ref="Y124:Z124" si="132">AF91</f>
        <v>0</v>
      </c>
      <c r="Z124" s="22">
        <f t="shared" si="132"/>
        <v>0</v>
      </c>
      <c r="AA124" s="12">
        <f t="shared" si="103"/>
        <v>0</v>
      </c>
    </row>
    <row r="125" spans="11:27">
      <c r="K125" s="1" t="s">
        <v>17</v>
      </c>
      <c r="L125" s="22">
        <f t="shared" si="104"/>
        <v>0</v>
      </c>
      <c r="M125" s="22">
        <f t="shared" si="105"/>
        <v>0</v>
      </c>
      <c r="N125" s="22">
        <f t="shared" si="106"/>
        <v>0</v>
      </c>
      <c r="O125" s="22">
        <f t="shared" si="107"/>
        <v>0</v>
      </c>
      <c r="P125" s="22">
        <f t="shared" si="108"/>
        <v>0</v>
      </c>
      <c r="Q125" s="22">
        <f t="shared" si="109"/>
        <v>0</v>
      </c>
      <c r="R125" s="22">
        <f t="shared" si="110"/>
        <v>0</v>
      </c>
      <c r="S125" s="22">
        <f t="shared" si="111"/>
        <v>0</v>
      </c>
      <c r="T125" s="22">
        <f t="shared" si="112"/>
        <v>0</v>
      </c>
      <c r="U125" s="22">
        <f t="shared" si="113"/>
        <v>0</v>
      </c>
      <c r="V125" s="22">
        <f t="shared" si="114"/>
        <v>0</v>
      </c>
      <c r="W125" s="22">
        <f t="shared" si="115"/>
        <v>0</v>
      </c>
      <c r="X125" s="22">
        <f t="shared" si="116"/>
        <v>0</v>
      </c>
      <c r="Y125" s="22">
        <f t="shared" ref="Y125:Z125" si="133">AF92</f>
        <v>0</v>
      </c>
      <c r="Z125" s="22">
        <f t="shared" si="133"/>
        <v>0</v>
      </c>
      <c r="AA125" s="12">
        <f t="shared" si="103"/>
        <v>0</v>
      </c>
    </row>
    <row r="126" spans="11:27">
      <c r="K126" s="1" t="s">
        <v>18</v>
      </c>
      <c r="L126" s="22">
        <f t="shared" si="104"/>
        <v>0</v>
      </c>
      <c r="M126" s="22">
        <f t="shared" si="105"/>
        <v>0</v>
      </c>
      <c r="N126" s="22">
        <f t="shared" si="106"/>
        <v>0</v>
      </c>
      <c r="O126" s="22">
        <f t="shared" si="107"/>
        <v>0</v>
      </c>
      <c r="P126" s="22">
        <f t="shared" si="108"/>
        <v>0</v>
      </c>
      <c r="Q126" s="22">
        <f t="shared" si="109"/>
        <v>0</v>
      </c>
      <c r="R126" s="22">
        <f t="shared" si="110"/>
        <v>0</v>
      </c>
      <c r="S126" s="22">
        <f t="shared" si="111"/>
        <v>0</v>
      </c>
      <c r="T126" s="22">
        <f t="shared" si="112"/>
        <v>0</v>
      </c>
      <c r="U126" s="22">
        <f t="shared" si="113"/>
        <v>0</v>
      </c>
      <c r="V126" s="22">
        <f t="shared" si="114"/>
        <v>0</v>
      </c>
      <c r="W126" s="22">
        <f t="shared" si="115"/>
        <v>0</v>
      </c>
      <c r="X126" s="22">
        <f t="shared" si="116"/>
        <v>0</v>
      </c>
      <c r="Y126" s="22">
        <f t="shared" ref="Y126:Z126" si="134">AF93</f>
        <v>0</v>
      </c>
      <c r="Z126" s="22">
        <f t="shared" si="134"/>
        <v>0</v>
      </c>
      <c r="AA126" s="12">
        <f t="shared" si="103"/>
        <v>0</v>
      </c>
    </row>
    <row r="127" spans="11:27">
      <c r="K127" s="1" t="s">
        <v>20</v>
      </c>
      <c r="L127" s="22">
        <f t="shared" si="104"/>
        <v>0</v>
      </c>
      <c r="M127" s="22">
        <f t="shared" si="105"/>
        <v>0</v>
      </c>
      <c r="N127" s="22">
        <f t="shared" si="106"/>
        <v>0</v>
      </c>
      <c r="O127" s="22">
        <f t="shared" si="107"/>
        <v>0</v>
      </c>
      <c r="P127" s="22">
        <f t="shared" si="108"/>
        <v>0</v>
      </c>
      <c r="Q127" s="22">
        <f t="shared" si="109"/>
        <v>0</v>
      </c>
      <c r="R127" s="22">
        <f t="shared" si="110"/>
        <v>0</v>
      </c>
      <c r="S127" s="22">
        <f t="shared" si="111"/>
        <v>0</v>
      </c>
      <c r="T127" s="22">
        <f t="shared" si="112"/>
        <v>0</v>
      </c>
      <c r="U127" s="22">
        <f t="shared" si="113"/>
        <v>0</v>
      </c>
      <c r="V127" s="22">
        <f t="shared" si="114"/>
        <v>0</v>
      </c>
      <c r="W127" s="22">
        <f t="shared" si="115"/>
        <v>0</v>
      </c>
      <c r="X127" s="22">
        <f t="shared" si="116"/>
        <v>0</v>
      </c>
      <c r="Y127" s="22">
        <f t="shared" ref="Y127:Z127" si="135">AF94</f>
        <v>0</v>
      </c>
      <c r="Z127" s="22">
        <f t="shared" si="135"/>
        <v>0</v>
      </c>
      <c r="AA127" s="12">
        <f t="shared" si="103"/>
        <v>0</v>
      </c>
    </row>
    <row r="128" spans="11:27">
      <c r="K128" s="1" t="s">
        <v>19</v>
      </c>
      <c r="L128" s="22">
        <f t="shared" si="104"/>
        <v>0</v>
      </c>
      <c r="M128" s="22">
        <f t="shared" si="105"/>
        <v>0</v>
      </c>
      <c r="N128" s="22">
        <f t="shared" si="106"/>
        <v>0</v>
      </c>
      <c r="O128" s="22">
        <f t="shared" si="107"/>
        <v>0</v>
      </c>
      <c r="P128" s="22">
        <f t="shared" si="108"/>
        <v>0</v>
      </c>
      <c r="Q128" s="22">
        <f t="shared" si="109"/>
        <v>0</v>
      </c>
      <c r="R128" s="22">
        <f t="shared" si="110"/>
        <v>0</v>
      </c>
      <c r="S128" s="22">
        <f t="shared" si="111"/>
        <v>0</v>
      </c>
      <c r="T128" s="22">
        <f t="shared" si="112"/>
        <v>0</v>
      </c>
      <c r="U128" s="22">
        <f t="shared" si="113"/>
        <v>0</v>
      </c>
      <c r="V128" s="22">
        <f t="shared" si="114"/>
        <v>0</v>
      </c>
      <c r="W128" s="22">
        <f t="shared" si="115"/>
        <v>0</v>
      </c>
      <c r="X128" s="22">
        <f t="shared" si="116"/>
        <v>0</v>
      </c>
      <c r="Y128" s="22">
        <f t="shared" ref="Y128:Z128" si="136">AF95</f>
        <v>0</v>
      </c>
      <c r="Z128" s="22">
        <f t="shared" si="136"/>
        <v>0</v>
      </c>
      <c r="AA128" s="12">
        <f t="shared" si="103"/>
        <v>0</v>
      </c>
    </row>
    <row r="129" spans="11:27">
      <c r="K129" s="18" t="s">
        <v>21</v>
      </c>
      <c r="L129" s="22">
        <f t="shared" si="104"/>
        <v>0</v>
      </c>
      <c r="M129" s="22">
        <f t="shared" si="105"/>
        <v>0</v>
      </c>
      <c r="N129" s="22">
        <f t="shared" si="106"/>
        <v>0</v>
      </c>
      <c r="O129" s="22">
        <f t="shared" si="107"/>
        <v>0</v>
      </c>
      <c r="P129" s="22">
        <f t="shared" si="108"/>
        <v>0</v>
      </c>
      <c r="Q129" s="22">
        <f t="shared" si="109"/>
        <v>0</v>
      </c>
      <c r="R129" s="22">
        <f t="shared" si="110"/>
        <v>0</v>
      </c>
      <c r="S129" s="22">
        <f t="shared" si="111"/>
        <v>0</v>
      </c>
      <c r="T129" s="22">
        <f t="shared" si="112"/>
        <v>0</v>
      </c>
      <c r="U129" s="22">
        <f t="shared" si="113"/>
        <v>0</v>
      </c>
      <c r="V129" s="22">
        <f t="shared" si="114"/>
        <v>0</v>
      </c>
      <c r="W129" s="22">
        <f t="shared" si="115"/>
        <v>0</v>
      </c>
      <c r="X129" s="22">
        <f t="shared" si="116"/>
        <v>0</v>
      </c>
      <c r="Y129" s="22">
        <f t="shared" ref="Y129:Z129" si="137">AF96</f>
        <v>0</v>
      </c>
      <c r="Z129" s="22">
        <f t="shared" si="137"/>
        <v>0</v>
      </c>
      <c r="AA129" s="12">
        <f t="shared" si="103"/>
        <v>0</v>
      </c>
    </row>
    <row r="130" spans="11:27">
      <c r="K130" s="2" t="s">
        <v>22</v>
      </c>
      <c r="L130" s="22">
        <f t="shared" si="104"/>
        <v>0</v>
      </c>
      <c r="M130" s="22">
        <f t="shared" si="105"/>
        <v>0</v>
      </c>
      <c r="N130" s="22">
        <f t="shared" si="106"/>
        <v>0</v>
      </c>
      <c r="O130" s="22">
        <f t="shared" si="107"/>
        <v>0</v>
      </c>
      <c r="P130" s="22">
        <f t="shared" si="108"/>
        <v>0</v>
      </c>
      <c r="Q130" s="22">
        <f t="shared" si="109"/>
        <v>0</v>
      </c>
      <c r="R130" s="22">
        <f t="shared" si="110"/>
        <v>0</v>
      </c>
      <c r="S130" s="22">
        <f t="shared" si="111"/>
        <v>0</v>
      </c>
      <c r="T130" s="22">
        <f t="shared" si="112"/>
        <v>0</v>
      </c>
      <c r="U130" s="22">
        <f t="shared" si="113"/>
        <v>0</v>
      </c>
      <c r="V130" s="22">
        <f t="shared" si="114"/>
        <v>0</v>
      </c>
      <c r="W130" s="22">
        <f t="shared" si="115"/>
        <v>0</v>
      </c>
      <c r="X130" s="22">
        <f t="shared" si="116"/>
        <v>0</v>
      </c>
      <c r="Y130" s="22">
        <f t="shared" ref="Y130:Z130" si="138">AF97</f>
        <v>0</v>
      </c>
      <c r="Z130" s="22">
        <f t="shared" si="138"/>
        <v>0</v>
      </c>
      <c r="AA130" s="12">
        <f t="shared" si="103"/>
        <v>0</v>
      </c>
    </row>
    <row r="131" spans="11:27">
      <c r="K131" s="1" t="s">
        <v>23</v>
      </c>
      <c r="L131" s="22">
        <f t="shared" si="104"/>
        <v>0</v>
      </c>
      <c r="M131" s="22">
        <f t="shared" si="105"/>
        <v>0</v>
      </c>
      <c r="N131" s="22">
        <f t="shared" si="106"/>
        <v>0</v>
      </c>
      <c r="O131" s="22">
        <f t="shared" si="107"/>
        <v>0</v>
      </c>
      <c r="P131" s="22">
        <f t="shared" si="108"/>
        <v>0</v>
      </c>
      <c r="Q131" s="22">
        <f t="shared" si="109"/>
        <v>0</v>
      </c>
      <c r="R131" s="22">
        <f t="shared" si="110"/>
        <v>0</v>
      </c>
      <c r="S131" s="22">
        <f t="shared" si="111"/>
        <v>0</v>
      </c>
      <c r="T131" s="22">
        <f t="shared" si="112"/>
        <v>0</v>
      </c>
      <c r="U131" s="22">
        <f t="shared" si="113"/>
        <v>0</v>
      </c>
      <c r="V131" s="22">
        <f t="shared" si="114"/>
        <v>0</v>
      </c>
      <c r="W131" s="22">
        <f t="shared" si="115"/>
        <v>0</v>
      </c>
      <c r="X131" s="22">
        <f t="shared" si="116"/>
        <v>0</v>
      </c>
      <c r="Y131" s="22">
        <f t="shared" ref="Y131:Z131" si="139">AF98</f>
        <v>0</v>
      </c>
      <c r="Z131" s="22">
        <f t="shared" si="139"/>
        <v>0</v>
      </c>
      <c r="AA131" s="12">
        <f t="shared" si="103"/>
        <v>0</v>
      </c>
    </row>
    <row r="132" spans="11:27">
      <c r="K132" s="1" t="s">
        <v>25</v>
      </c>
      <c r="L132" s="22">
        <f t="shared" si="104"/>
        <v>0</v>
      </c>
      <c r="M132" s="22">
        <f t="shared" si="105"/>
        <v>0</v>
      </c>
      <c r="N132" s="22">
        <f t="shared" si="106"/>
        <v>0</v>
      </c>
      <c r="O132" s="22">
        <f t="shared" si="107"/>
        <v>0</v>
      </c>
      <c r="P132" s="22">
        <f t="shared" si="108"/>
        <v>0</v>
      </c>
      <c r="Q132" s="22">
        <f t="shared" si="109"/>
        <v>0</v>
      </c>
      <c r="R132" s="22">
        <f t="shared" si="110"/>
        <v>0</v>
      </c>
      <c r="S132" s="22">
        <f t="shared" si="111"/>
        <v>0</v>
      </c>
      <c r="T132" s="22">
        <f t="shared" si="112"/>
        <v>0</v>
      </c>
      <c r="U132" s="22">
        <f t="shared" si="113"/>
        <v>0</v>
      </c>
      <c r="V132" s="22">
        <f t="shared" si="114"/>
        <v>0</v>
      </c>
      <c r="W132" s="22">
        <f t="shared" si="115"/>
        <v>0</v>
      </c>
      <c r="X132" s="22">
        <f t="shared" si="116"/>
        <v>0</v>
      </c>
      <c r="Y132" s="22">
        <f t="shared" ref="Y132:Z132" si="140">AF99</f>
        <v>0</v>
      </c>
      <c r="Z132" s="22">
        <f t="shared" si="140"/>
        <v>0</v>
      </c>
      <c r="AA132" s="12">
        <f t="shared" si="103"/>
        <v>0</v>
      </c>
    </row>
    <row r="133" spans="11:27">
      <c r="K133" s="1" t="s">
        <v>24</v>
      </c>
      <c r="L133" s="22">
        <f t="shared" si="104"/>
        <v>0</v>
      </c>
      <c r="M133" s="22">
        <f t="shared" si="105"/>
        <v>0</v>
      </c>
      <c r="N133" s="22">
        <f t="shared" si="106"/>
        <v>0</v>
      </c>
      <c r="O133" s="22">
        <f t="shared" si="107"/>
        <v>0</v>
      </c>
      <c r="P133" s="22">
        <f t="shared" si="108"/>
        <v>0</v>
      </c>
      <c r="Q133" s="22">
        <f t="shared" si="109"/>
        <v>0</v>
      </c>
      <c r="R133" s="22">
        <f t="shared" si="110"/>
        <v>0</v>
      </c>
      <c r="S133" s="22">
        <f t="shared" si="111"/>
        <v>0</v>
      </c>
      <c r="T133" s="22">
        <f t="shared" si="112"/>
        <v>0</v>
      </c>
      <c r="U133" s="22">
        <f t="shared" si="113"/>
        <v>0</v>
      </c>
      <c r="V133" s="22">
        <f t="shared" si="114"/>
        <v>0</v>
      </c>
      <c r="W133" s="22">
        <f t="shared" si="115"/>
        <v>0</v>
      </c>
      <c r="X133" s="22">
        <f t="shared" si="116"/>
        <v>0</v>
      </c>
      <c r="Y133" s="22">
        <f t="shared" ref="Y133:Z133" si="141">AF100</f>
        <v>0</v>
      </c>
      <c r="Z133" s="22">
        <f t="shared" si="141"/>
        <v>0</v>
      </c>
      <c r="AA133" s="12">
        <f t="shared" si="103"/>
        <v>0</v>
      </c>
    </row>
    <row r="134" spans="11:27">
      <c r="K134" s="1" t="s">
        <v>26</v>
      </c>
      <c r="L134" s="22">
        <f t="shared" si="104"/>
        <v>0</v>
      </c>
      <c r="M134" s="22">
        <f t="shared" si="105"/>
        <v>0</v>
      </c>
      <c r="N134" s="22">
        <f t="shared" si="106"/>
        <v>0</v>
      </c>
      <c r="O134" s="22">
        <f t="shared" si="107"/>
        <v>0</v>
      </c>
      <c r="P134" s="22">
        <f t="shared" si="108"/>
        <v>0</v>
      </c>
      <c r="Q134" s="22">
        <f t="shared" si="109"/>
        <v>0</v>
      </c>
      <c r="R134" s="22">
        <f t="shared" si="110"/>
        <v>0</v>
      </c>
      <c r="S134" s="22">
        <f t="shared" si="111"/>
        <v>0</v>
      </c>
      <c r="T134" s="22">
        <f t="shared" si="112"/>
        <v>0</v>
      </c>
      <c r="U134" s="22">
        <f t="shared" si="113"/>
        <v>0</v>
      </c>
      <c r="V134" s="22">
        <f t="shared" si="114"/>
        <v>0</v>
      </c>
      <c r="W134" s="22">
        <f t="shared" si="115"/>
        <v>0</v>
      </c>
      <c r="X134" s="22">
        <f t="shared" si="116"/>
        <v>0</v>
      </c>
      <c r="Y134" s="22">
        <f>AF101</f>
        <v>0</v>
      </c>
      <c r="Z134" s="22">
        <f>AG101</f>
        <v>0</v>
      </c>
      <c r="AA134" s="12">
        <f t="shared" si="103"/>
        <v>0</v>
      </c>
    </row>
    <row r="135" spans="11:27">
      <c r="K135" s="8" t="s">
        <v>37</v>
      </c>
      <c r="L135" s="16">
        <f t="shared" ref="L135:AA135" si="142">SUM(L108:L134)</f>
        <v>0</v>
      </c>
      <c r="M135" s="16">
        <f t="shared" si="142"/>
        <v>0</v>
      </c>
      <c r="N135" s="16">
        <f t="shared" si="142"/>
        <v>0</v>
      </c>
      <c r="O135" s="16">
        <f t="shared" si="142"/>
        <v>0</v>
      </c>
      <c r="P135" s="16">
        <f t="shared" si="142"/>
        <v>0</v>
      </c>
      <c r="Q135" s="16">
        <f t="shared" si="142"/>
        <v>0</v>
      </c>
      <c r="R135" s="16">
        <f t="shared" si="142"/>
        <v>0</v>
      </c>
      <c r="S135" s="16">
        <f t="shared" si="142"/>
        <v>0</v>
      </c>
      <c r="T135" s="16">
        <f t="shared" si="142"/>
        <v>0</v>
      </c>
      <c r="U135" s="16">
        <f t="shared" si="142"/>
        <v>0</v>
      </c>
      <c r="V135" s="16">
        <f t="shared" si="142"/>
        <v>0</v>
      </c>
      <c r="W135" s="16">
        <f t="shared" si="142"/>
        <v>0</v>
      </c>
      <c r="X135" s="16">
        <f t="shared" si="142"/>
        <v>0</v>
      </c>
      <c r="Y135" s="16">
        <f t="shared" si="142"/>
        <v>0</v>
      </c>
      <c r="Z135" s="16">
        <f t="shared" si="142"/>
        <v>0</v>
      </c>
      <c r="AA135" s="7">
        <f t="shared" si="142"/>
        <v>0</v>
      </c>
    </row>
  </sheetData>
  <mergeCells count="104">
    <mergeCell ref="B34:H34"/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M73:M74"/>
    <mergeCell ref="N73:N74"/>
    <mergeCell ref="A69:K69"/>
    <mergeCell ref="M38:M39"/>
    <mergeCell ref="A37:O37"/>
    <mergeCell ref="A38:A39"/>
    <mergeCell ref="B38:C38"/>
    <mergeCell ref="D38:E38"/>
    <mergeCell ref="F38:F39"/>
    <mergeCell ref="G38:G39"/>
    <mergeCell ref="N38:N39"/>
    <mergeCell ref="O38:O39"/>
    <mergeCell ref="I73:I74"/>
    <mergeCell ref="H38:H39"/>
    <mergeCell ref="I38:I39"/>
    <mergeCell ref="J38:J39"/>
    <mergeCell ref="K38:K39"/>
    <mergeCell ref="L38:L39"/>
    <mergeCell ref="J73:J74"/>
    <mergeCell ref="K73:K74"/>
    <mergeCell ref="L73:L74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H3:AH4"/>
    <mergeCell ref="AF3:AG3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H38:AH39"/>
    <mergeCell ref="AF38:AG38"/>
    <mergeCell ref="K105:AA105"/>
    <mergeCell ref="R72:AH72"/>
    <mergeCell ref="R73:R74"/>
    <mergeCell ref="S73:T73"/>
    <mergeCell ref="U73:V73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AH73:AH74"/>
    <mergeCell ref="AF73:AG73"/>
    <mergeCell ref="O73:O74"/>
    <mergeCell ref="A72:O72"/>
    <mergeCell ref="A73:A74"/>
    <mergeCell ref="B73:C73"/>
    <mergeCell ref="D73:E73"/>
    <mergeCell ref="F73:F74"/>
    <mergeCell ref="G73:G74"/>
    <mergeCell ref="H73:H74"/>
    <mergeCell ref="W106:W107"/>
    <mergeCell ref="X106:X107"/>
    <mergeCell ref="AA106:AA107"/>
    <mergeCell ref="K106:K107"/>
    <mergeCell ref="T106:T107"/>
    <mergeCell ref="U106:U107"/>
    <mergeCell ref="V106:V107"/>
    <mergeCell ref="L106:M106"/>
    <mergeCell ref="N106:O106"/>
    <mergeCell ref="P106:P107"/>
    <mergeCell ref="Q106:Q107"/>
    <mergeCell ref="S106:S107"/>
    <mergeCell ref="R106:R107"/>
    <mergeCell ref="Y106:Z106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AH135"/>
  <sheetViews>
    <sheetView topLeftCell="A42" zoomScale="80" zoomScaleNormal="80" workbookViewId="0">
      <selection activeCell="A2" sqref="A2:AC37"/>
    </sheetView>
  </sheetViews>
  <sheetFormatPr defaultRowHeight="15"/>
  <cols>
    <col min="1" max="1" width="23.140625" customWidth="1"/>
    <col min="2" max="2" width="13.85546875" bestFit="1" customWidth="1"/>
    <col min="3" max="3" width="13.7109375" bestFit="1" customWidth="1"/>
    <col min="4" max="4" width="13.28515625" customWidth="1"/>
    <col min="5" max="5" width="13.42578125" bestFit="1" customWidth="1"/>
    <col min="6" max="6" width="13.85546875" bestFit="1" customWidth="1"/>
    <col min="7" max="7" width="19.7109375" bestFit="1" customWidth="1"/>
    <col min="8" max="8" width="11.28515625" bestFit="1" customWidth="1"/>
    <col min="9" max="9" width="15.7109375" bestFit="1" customWidth="1"/>
    <col min="10" max="10" width="13.140625" customWidth="1"/>
    <col min="11" max="11" width="20.42578125" bestFit="1" customWidth="1"/>
    <col min="12" max="14" width="20.28515625" customWidth="1"/>
    <col min="15" max="15" width="15.140625" bestFit="1" customWidth="1"/>
    <col min="16" max="16" width="13.85546875" bestFit="1" customWidth="1"/>
    <col min="17" max="17" width="11.5703125" bestFit="1" customWidth="1"/>
    <col min="18" max="18" width="22.85546875" style="20" customWidth="1"/>
    <col min="19" max="19" width="13.5703125" customWidth="1"/>
    <col min="20" max="20" width="12.42578125" customWidth="1"/>
    <col min="21" max="21" width="14.7109375" customWidth="1"/>
    <col min="22" max="22" width="12.42578125" customWidth="1"/>
    <col min="23" max="23" width="14.28515625" customWidth="1"/>
    <col min="24" max="24" width="20.28515625" customWidth="1"/>
    <col min="25" max="25" width="19.140625" bestFit="1" customWidth="1"/>
    <col min="26" max="27" width="16.5703125" customWidth="1"/>
    <col min="28" max="28" width="17.7109375" customWidth="1"/>
    <col min="29" max="29" width="16.7109375" customWidth="1"/>
    <col min="30" max="30" width="11.5703125" customWidth="1"/>
    <col min="31" max="33" width="14.140625" customWidth="1"/>
    <col min="34" max="34" width="17" bestFit="1" customWidth="1"/>
  </cols>
  <sheetData>
    <row r="2" spans="1:34" ht="46.5">
      <c r="A2" s="292" t="s">
        <v>89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4"/>
      <c r="R2" s="292" t="s">
        <v>91</v>
      </c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4"/>
    </row>
    <row r="3" spans="1:34" ht="21.75" customHeight="1">
      <c r="A3" s="290" t="s">
        <v>33</v>
      </c>
      <c r="B3" s="287" t="s">
        <v>27</v>
      </c>
      <c r="C3" s="288"/>
      <c r="D3" s="287" t="s">
        <v>29</v>
      </c>
      <c r="E3" s="288"/>
      <c r="F3" s="285" t="s">
        <v>28</v>
      </c>
      <c r="G3" s="285" t="s">
        <v>36</v>
      </c>
      <c r="H3" s="285" t="s">
        <v>30</v>
      </c>
      <c r="I3" s="285" t="s">
        <v>31</v>
      </c>
      <c r="J3" s="285" t="s">
        <v>41</v>
      </c>
      <c r="K3" s="285" t="s">
        <v>35</v>
      </c>
      <c r="L3" s="285" t="s">
        <v>40</v>
      </c>
      <c r="M3" s="285" t="s">
        <v>42</v>
      </c>
      <c r="N3" s="285" t="s">
        <v>45</v>
      </c>
      <c r="O3" s="285" t="s">
        <v>34</v>
      </c>
      <c r="R3" s="290" t="s">
        <v>33</v>
      </c>
      <c r="S3" s="287" t="s">
        <v>27</v>
      </c>
      <c r="T3" s="288"/>
      <c r="U3" s="287" t="s">
        <v>29</v>
      </c>
      <c r="V3" s="288"/>
      <c r="W3" s="285" t="s">
        <v>28</v>
      </c>
      <c r="X3" s="285" t="s">
        <v>36</v>
      </c>
      <c r="Y3" s="285" t="s">
        <v>30</v>
      </c>
      <c r="Z3" s="285" t="s">
        <v>31</v>
      </c>
      <c r="AA3" s="285" t="s">
        <v>41</v>
      </c>
      <c r="AB3" s="285" t="s">
        <v>35</v>
      </c>
      <c r="AC3" s="285" t="s">
        <v>40</v>
      </c>
      <c r="AD3" s="285" t="s">
        <v>42</v>
      </c>
      <c r="AE3" s="285" t="s">
        <v>45</v>
      </c>
      <c r="AF3" s="287" t="s">
        <v>52</v>
      </c>
      <c r="AG3" s="288"/>
      <c r="AH3" s="285" t="s">
        <v>34</v>
      </c>
    </row>
    <row r="4" spans="1:34" ht="30">
      <c r="A4" s="291"/>
      <c r="B4" s="5" t="s">
        <v>43</v>
      </c>
      <c r="C4" s="5" t="s">
        <v>44</v>
      </c>
      <c r="D4" s="5" t="s">
        <v>43</v>
      </c>
      <c r="E4" s="5" t="s">
        <v>44</v>
      </c>
      <c r="F4" s="286"/>
      <c r="G4" s="286"/>
      <c r="H4" s="286"/>
      <c r="I4" s="286"/>
      <c r="J4" s="286"/>
      <c r="K4" s="286"/>
      <c r="L4" s="286"/>
      <c r="M4" s="286"/>
      <c r="N4" s="286"/>
      <c r="O4" s="286"/>
      <c r="R4" s="291"/>
      <c r="S4" s="46" t="s">
        <v>43</v>
      </c>
      <c r="T4" s="46" t="s">
        <v>44</v>
      </c>
      <c r="U4" s="46" t="s">
        <v>43</v>
      </c>
      <c r="V4" s="46" t="s">
        <v>44</v>
      </c>
      <c r="W4" s="286"/>
      <c r="X4" s="286"/>
      <c r="Y4" s="286"/>
      <c r="Z4" s="286"/>
      <c r="AA4" s="286"/>
      <c r="AB4" s="286"/>
      <c r="AC4" s="286"/>
      <c r="AD4" s="286"/>
      <c r="AE4" s="286"/>
      <c r="AF4" s="48" t="s">
        <v>53</v>
      </c>
      <c r="AG4" s="48" t="s">
        <v>54</v>
      </c>
      <c r="AH4" s="286"/>
    </row>
    <row r="5" spans="1:34">
      <c r="A5" s="1" t="s">
        <v>0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4">
        <f>SUM(B5:N5)</f>
        <v>0</v>
      </c>
      <c r="R5" s="1" t="s">
        <v>0</v>
      </c>
      <c r="S5" s="35">
        <f>S75*0.8</f>
        <v>0</v>
      </c>
      <c r="T5" s="35">
        <f t="shared" ref="T5:AG5" si="0">T75*0.8</f>
        <v>0</v>
      </c>
      <c r="U5" s="35">
        <f t="shared" si="0"/>
        <v>0</v>
      </c>
      <c r="V5" s="35">
        <f t="shared" si="0"/>
        <v>0</v>
      </c>
      <c r="W5" s="35">
        <f t="shared" si="0"/>
        <v>0</v>
      </c>
      <c r="X5" s="35">
        <f t="shared" si="0"/>
        <v>0</v>
      </c>
      <c r="Y5" s="35">
        <f t="shared" si="0"/>
        <v>0</v>
      </c>
      <c r="Z5" s="35">
        <f t="shared" si="0"/>
        <v>0</v>
      </c>
      <c r="AA5" s="35">
        <f t="shared" si="0"/>
        <v>0</v>
      </c>
      <c r="AB5" s="35">
        <f t="shared" si="0"/>
        <v>0</v>
      </c>
      <c r="AC5" s="35">
        <f t="shared" si="0"/>
        <v>0</v>
      </c>
      <c r="AD5" s="35">
        <f t="shared" si="0"/>
        <v>0</v>
      </c>
      <c r="AE5" s="35">
        <f t="shared" si="0"/>
        <v>0</v>
      </c>
      <c r="AF5" s="35">
        <f t="shared" si="0"/>
        <v>0</v>
      </c>
      <c r="AG5" s="35">
        <f t="shared" si="0"/>
        <v>0</v>
      </c>
      <c r="AH5" s="4">
        <f>SUM(S5:AG5)</f>
        <v>0</v>
      </c>
    </row>
    <row r="6" spans="1:34">
      <c r="A6" s="1" t="s">
        <v>1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4">
        <f t="shared" ref="O6:O31" si="1">SUM(B6:N6)</f>
        <v>0</v>
      </c>
      <c r="R6" s="1" t="s">
        <v>1</v>
      </c>
      <c r="S6" s="35">
        <f t="shared" ref="S6:AG21" si="2">S76*0.8</f>
        <v>0</v>
      </c>
      <c r="T6" s="35">
        <f t="shared" si="2"/>
        <v>0</v>
      </c>
      <c r="U6" s="35">
        <f t="shared" si="2"/>
        <v>0</v>
      </c>
      <c r="V6" s="35">
        <f t="shared" si="2"/>
        <v>0</v>
      </c>
      <c r="W6" s="35">
        <f t="shared" si="2"/>
        <v>0</v>
      </c>
      <c r="X6" s="35">
        <f t="shared" si="2"/>
        <v>0</v>
      </c>
      <c r="Y6" s="35">
        <f t="shared" si="2"/>
        <v>0</v>
      </c>
      <c r="Z6" s="35">
        <f t="shared" si="2"/>
        <v>0</v>
      </c>
      <c r="AA6" s="35">
        <f t="shared" si="2"/>
        <v>0</v>
      </c>
      <c r="AB6" s="35">
        <f t="shared" si="2"/>
        <v>0</v>
      </c>
      <c r="AC6" s="35">
        <f t="shared" si="2"/>
        <v>0</v>
      </c>
      <c r="AD6" s="35">
        <f t="shared" si="2"/>
        <v>0</v>
      </c>
      <c r="AE6" s="35">
        <f t="shared" si="2"/>
        <v>0</v>
      </c>
      <c r="AF6" s="35">
        <f t="shared" si="2"/>
        <v>0</v>
      </c>
      <c r="AG6" s="35">
        <f t="shared" si="2"/>
        <v>0</v>
      </c>
      <c r="AH6" s="4">
        <f t="shared" ref="AH6:AH31" si="3">SUM(S6:AG6)</f>
        <v>0</v>
      </c>
    </row>
    <row r="7" spans="1:34">
      <c r="A7" s="18" t="s">
        <v>2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4">
        <f t="shared" si="1"/>
        <v>0</v>
      </c>
      <c r="R7" s="18" t="s">
        <v>2</v>
      </c>
      <c r="S7" s="35">
        <f t="shared" si="2"/>
        <v>0</v>
      </c>
      <c r="T7" s="35">
        <f t="shared" si="2"/>
        <v>0</v>
      </c>
      <c r="U7" s="35">
        <f t="shared" si="2"/>
        <v>0</v>
      </c>
      <c r="V7" s="35">
        <f t="shared" si="2"/>
        <v>0</v>
      </c>
      <c r="W7" s="35">
        <f t="shared" si="2"/>
        <v>0</v>
      </c>
      <c r="X7" s="35">
        <f t="shared" si="2"/>
        <v>0</v>
      </c>
      <c r="Y7" s="35">
        <f t="shared" si="2"/>
        <v>0</v>
      </c>
      <c r="Z7" s="35">
        <f t="shared" si="2"/>
        <v>0</v>
      </c>
      <c r="AA7" s="35">
        <f t="shared" si="2"/>
        <v>0</v>
      </c>
      <c r="AB7" s="35">
        <f t="shared" si="2"/>
        <v>0</v>
      </c>
      <c r="AC7" s="35">
        <f t="shared" si="2"/>
        <v>0</v>
      </c>
      <c r="AD7" s="35">
        <f t="shared" si="2"/>
        <v>0</v>
      </c>
      <c r="AE7" s="35">
        <f t="shared" si="2"/>
        <v>0</v>
      </c>
      <c r="AF7" s="35">
        <f t="shared" si="2"/>
        <v>0</v>
      </c>
      <c r="AG7" s="35">
        <f t="shared" si="2"/>
        <v>0</v>
      </c>
      <c r="AH7" s="4">
        <f t="shared" si="3"/>
        <v>0</v>
      </c>
    </row>
    <row r="8" spans="1:34">
      <c r="A8" s="2" t="s">
        <v>3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">
        <f t="shared" si="1"/>
        <v>0</v>
      </c>
      <c r="R8" s="2" t="s">
        <v>3</v>
      </c>
      <c r="S8" s="35">
        <f t="shared" si="2"/>
        <v>0</v>
      </c>
      <c r="T8" s="35">
        <f t="shared" si="2"/>
        <v>0</v>
      </c>
      <c r="U8" s="35">
        <f t="shared" si="2"/>
        <v>0</v>
      </c>
      <c r="V8" s="35">
        <f t="shared" si="2"/>
        <v>0</v>
      </c>
      <c r="W8" s="35">
        <f t="shared" si="2"/>
        <v>0</v>
      </c>
      <c r="X8" s="35">
        <f t="shared" si="2"/>
        <v>0</v>
      </c>
      <c r="Y8" s="35">
        <f t="shared" si="2"/>
        <v>0</v>
      </c>
      <c r="Z8" s="35">
        <f t="shared" si="2"/>
        <v>0</v>
      </c>
      <c r="AA8" s="35">
        <f t="shared" si="2"/>
        <v>0</v>
      </c>
      <c r="AB8" s="35">
        <f t="shared" si="2"/>
        <v>0</v>
      </c>
      <c r="AC8" s="35">
        <f t="shared" si="2"/>
        <v>0</v>
      </c>
      <c r="AD8" s="35">
        <f t="shared" si="2"/>
        <v>0</v>
      </c>
      <c r="AE8" s="35">
        <f t="shared" si="2"/>
        <v>0</v>
      </c>
      <c r="AF8" s="35">
        <f>AF78</f>
        <v>0</v>
      </c>
      <c r="AG8" s="35">
        <f>AG78</f>
        <v>0</v>
      </c>
      <c r="AH8" s="4">
        <f t="shared" si="3"/>
        <v>0</v>
      </c>
    </row>
    <row r="9" spans="1:34">
      <c r="A9" s="1" t="s">
        <v>4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4">
        <f t="shared" si="1"/>
        <v>0</v>
      </c>
      <c r="R9" s="1" t="s">
        <v>4</v>
      </c>
      <c r="S9" s="35">
        <f t="shared" si="2"/>
        <v>0</v>
      </c>
      <c r="T9" s="35">
        <f t="shared" si="2"/>
        <v>0</v>
      </c>
      <c r="U9" s="35">
        <f t="shared" si="2"/>
        <v>0</v>
      </c>
      <c r="V9" s="35">
        <f t="shared" si="2"/>
        <v>0</v>
      </c>
      <c r="W9" s="35">
        <f t="shared" si="2"/>
        <v>0</v>
      </c>
      <c r="X9" s="35">
        <f t="shared" si="2"/>
        <v>0</v>
      </c>
      <c r="Y9" s="35">
        <f t="shared" si="2"/>
        <v>0</v>
      </c>
      <c r="Z9" s="35">
        <f t="shared" si="2"/>
        <v>0</v>
      </c>
      <c r="AA9" s="35">
        <f t="shared" si="2"/>
        <v>0</v>
      </c>
      <c r="AB9" s="35">
        <f t="shared" si="2"/>
        <v>0</v>
      </c>
      <c r="AC9" s="35">
        <f t="shared" si="2"/>
        <v>0</v>
      </c>
      <c r="AD9" s="35">
        <f t="shared" si="2"/>
        <v>0</v>
      </c>
      <c r="AE9" s="35">
        <f t="shared" si="2"/>
        <v>0</v>
      </c>
      <c r="AF9" s="35">
        <f t="shared" si="2"/>
        <v>0</v>
      </c>
      <c r="AG9" s="35">
        <f t="shared" si="2"/>
        <v>0</v>
      </c>
      <c r="AH9" s="4">
        <f t="shared" si="3"/>
        <v>0</v>
      </c>
    </row>
    <row r="10" spans="1:34">
      <c r="A10" s="1" t="s">
        <v>5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4">
        <f t="shared" si="1"/>
        <v>0</v>
      </c>
      <c r="R10" s="1" t="s">
        <v>5</v>
      </c>
      <c r="S10" s="35">
        <f t="shared" si="2"/>
        <v>0</v>
      </c>
      <c r="T10" s="35">
        <f t="shared" si="2"/>
        <v>0</v>
      </c>
      <c r="U10" s="35">
        <f t="shared" si="2"/>
        <v>0</v>
      </c>
      <c r="V10" s="35">
        <f t="shared" si="2"/>
        <v>0</v>
      </c>
      <c r="W10" s="35">
        <f t="shared" si="2"/>
        <v>0</v>
      </c>
      <c r="X10" s="35">
        <f t="shared" si="2"/>
        <v>0</v>
      </c>
      <c r="Y10" s="35">
        <f t="shared" si="2"/>
        <v>0</v>
      </c>
      <c r="Z10" s="35">
        <f t="shared" si="2"/>
        <v>0</v>
      </c>
      <c r="AA10" s="35">
        <f t="shared" si="2"/>
        <v>0</v>
      </c>
      <c r="AB10" s="35">
        <f t="shared" si="2"/>
        <v>0</v>
      </c>
      <c r="AC10" s="35">
        <f t="shared" si="2"/>
        <v>0</v>
      </c>
      <c r="AD10" s="35">
        <f t="shared" si="2"/>
        <v>0</v>
      </c>
      <c r="AE10" s="35">
        <f t="shared" si="2"/>
        <v>0</v>
      </c>
      <c r="AF10" s="35">
        <f t="shared" si="2"/>
        <v>0</v>
      </c>
      <c r="AG10" s="35">
        <f t="shared" si="2"/>
        <v>0</v>
      </c>
      <c r="AH10" s="4">
        <f t="shared" si="3"/>
        <v>0</v>
      </c>
    </row>
    <row r="11" spans="1:34">
      <c r="A11" s="1" t="s">
        <v>6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4">
        <f t="shared" si="1"/>
        <v>0</v>
      </c>
      <c r="R11" s="1" t="s">
        <v>6</v>
      </c>
      <c r="S11" s="35">
        <f t="shared" si="2"/>
        <v>0</v>
      </c>
      <c r="T11" s="35">
        <f t="shared" si="2"/>
        <v>0</v>
      </c>
      <c r="U11" s="35">
        <f t="shared" si="2"/>
        <v>0</v>
      </c>
      <c r="V11" s="35">
        <f t="shared" si="2"/>
        <v>0</v>
      </c>
      <c r="W11" s="35">
        <f t="shared" si="2"/>
        <v>0</v>
      </c>
      <c r="X11" s="35">
        <f t="shared" si="2"/>
        <v>0</v>
      </c>
      <c r="Y11" s="35">
        <f t="shared" si="2"/>
        <v>0</v>
      </c>
      <c r="Z11" s="35">
        <f t="shared" si="2"/>
        <v>0</v>
      </c>
      <c r="AA11" s="35">
        <f t="shared" si="2"/>
        <v>0</v>
      </c>
      <c r="AB11" s="35">
        <f t="shared" si="2"/>
        <v>0</v>
      </c>
      <c r="AC11" s="35">
        <f t="shared" si="2"/>
        <v>0</v>
      </c>
      <c r="AD11" s="35">
        <f t="shared" si="2"/>
        <v>0</v>
      </c>
      <c r="AE11" s="35">
        <f t="shared" si="2"/>
        <v>0</v>
      </c>
      <c r="AF11" s="35">
        <f t="shared" si="2"/>
        <v>0</v>
      </c>
      <c r="AG11" s="35">
        <f t="shared" si="2"/>
        <v>0</v>
      </c>
      <c r="AH11" s="4">
        <f t="shared" si="3"/>
        <v>0</v>
      </c>
    </row>
    <row r="12" spans="1:34">
      <c r="A12" s="1" t="s">
        <v>7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4">
        <f t="shared" si="1"/>
        <v>0</v>
      </c>
      <c r="R12" s="1" t="s">
        <v>7</v>
      </c>
      <c r="S12" s="35">
        <f t="shared" si="2"/>
        <v>0</v>
      </c>
      <c r="T12" s="35">
        <f t="shared" si="2"/>
        <v>0</v>
      </c>
      <c r="U12" s="35">
        <f t="shared" si="2"/>
        <v>0</v>
      </c>
      <c r="V12" s="35">
        <f t="shared" si="2"/>
        <v>0</v>
      </c>
      <c r="W12" s="35">
        <f t="shared" si="2"/>
        <v>0</v>
      </c>
      <c r="X12" s="35">
        <f t="shared" si="2"/>
        <v>0</v>
      </c>
      <c r="Y12" s="35">
        <f t="shared" si="2"/>
        <v>0</v>
      </c>
      <c r="Z12" s="35">
        <f t="shared" si="2"/>
        <v>0</v>
      </c>
      <c r="AA12" s="35">
        <f t="shared" si="2"/>
        <v>0</v>
      </c>
      <c r="AB12" s="35">
        <f t="shared" si="2"/>
        <v>0</v>
      </c>
      <c r="AC12" s="35">
        <f t="shared" si="2"/>
        <v>0</v>
      </c>
      <c r="AD12" s="35">
        <f t="shared" si="2"/>
        <v>0</v>
      </c>
      <c r="AE12" s="35">
        <f t="shared" si="2"/>
        <v>0</v>
      </c>
      <c r="AF12" s="35">
        <f t="shared" si="2"/>
        <v>0</v>
      </c>
      <c r="AG12" s="35">
        <f t="shared" si="2"/>
        <v>0</v>
      </c>
      <c r="AH12" s="4">
        <f t="shared" si="3"/>
        <v>0</v>
      </c>
    </row>
    <row r="13" spans="1:34">
      <c r="A13" s="1" t="s">
        <v>8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4">
        <f t="shared" si="1"/>
        <v>0</v>
      </c>
      <c r="R13" s="1" t="s">
        <v>8</v>
      </c>
      <c r="S13" s="35">
        <f t="shared" si="2"/>
        <v>0</v>
      </c>
      <c r="T13" s="35">
        <f t="shared" si="2"/>
        <v>0</v>
      </c>
      <c r="U13" s="35">
        <f t="shared" si="2"/>
        <v>0</v>
      </c>
      <c r="V13" s="35">
        <f t="shared" si="2"/>
        <v>0</v>
      </c>
      <c r="W13" s="35">
        <f t="shared" si="2"/>
        <v>0</v>
      </c>
      <c r="X13" s="35">
        <f t="shared" si="2"/>
        <v>0</v>
      </c>
      <c r="Y13" s="35">
        <f t="shared" si="2"/>
        <v>0</v>
      </c>
      <c r="Z13" s="35">
        <f t="shared" si="2"/>
        <v>0</v>
      </c>
      <c r="AA13" s="35">
        <f t="shared" si="2"/>
        <v>0</v>
      </c>
      <c r="AB13" s="35">
        <f t="shared" si="2"/>
        <v>0</v>
      </c>
      <c r="AC13" s="35">
        <f t="shared" si="2"/>
        <v>0</v>
      </c>
      <c r="AD13" s="35">
        <f t="shared" si="2"/>
        <v>0</v>
      </c>
      <c r="AE13" s="35">
        <f t="shared" si="2"/>
        <v>0</v>
      </c>
      <c r="AF13" s="35">
        <f t="shared" si="2"/>
        <v>0</v>
      </c>
      <c r="AG13" s="35">
        <f t="shared" si="2"/>
        <v>0</v>
      </c>
      <c r="AH13" s="4">
        <f t="shared" si="3"/>
        <v>0</v>
      </c>
    </row>
    <row r="14" spans="1:34">
      <c r="A14" s="2" t="s">
        <v>9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4">
        <f t="shared" si="1"/>
        <v>0</v>
      </c>
      <c r="R14" s="2" t="s">
        <v>9</v>
      </c>
      <c r="S14" s="35">
        <f t="shared" si="2"/>
        <v>0</v>
      </c>
      <c r="T14" s="35">
        <f t="shared" si="2"/>
        <v>0</v>
      </c>
      <c r="U14" s="35">
        <f t="shared" si="2"/>
        <v>0</v>
      </c>
      <c r="V14" s="35">
        <f t="shared" si="2"/>
        <v>0</v>
      </c>
      <c r="W14" s="35">
        <f t="shared" si="2"/>
        <v>0</v>
      </c>
      <c r="X14" s="35">
        <f t="shared" si="2"/>
        <v>0</v>
      </c>
      <c r="Y14" s="35">
        <f t="shared" si="2"/>
        <v>0</v>
      </c>
      <c r="Z14" s="35">
        <f t="shared" si="2"/>
        <v>0</v>
      </c>
      <c r="AA14" s="35">
        <f t="shared" si="2"/>
        <v>0</v>
      </c>
      <c r="AB14" s="35">
        <f t="shared" si="2"/>
        <v>0</v>
      </c>
      <c r="AC14" s="35">
        <f t="shared" si="2"/>
        <v>0</v>
      </c>
      <c r="AD14" s="35">
        <f t="shared" si="2"/>
        <v>0</v>
      </c>
      <c r="AE14" s="35">
        <f t="shared" si="2"/>
        <v>0</v>
      </c>
      <c r="AF14" s="35">
        <f t="shared" si="2"/>
        <v>0</v>
      </c>
      <c r="AG14" s="35">
        <f t="shared" si="2"/>
        <v>0</v>
      </c>
      <c r="AH14" s="4">
        <f t="shared" si="3"/>
        <v>0</v>
      </c>
    </row>
    <row r="15" spans="1:34">
      <c r="A15" s="18" t="s">
        <v>10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">
        <f t="shared" si="1"/>
        <v>0</v>
      </c>
      <c r="R15" s="18" t="s">
        <v>10</v>
      </c>
      <c r="S15" s="35">
        <f t="shared" si="2"/>
        <v>0</v>
      </c>
      <c r="T15" s="35">
        <f t="shared" si="2"/>
        <v>0</v>
      </c>
      <c r="U15" s="35">
        <f t="shared" si="2"/>
        <v>0</v>
      </c>
      <c r="V15" s="35">
        <f t="shared" si="2"/>
        <v>0</v>
      </c>
      <c r="W15" s="35">
        <f t="shared" si="2"/>
        <v>0</v>
      </c>
      <c r="X15" s="35">
        <f t="shared" si="2"/>
        <v>0</v>
      </c>
      <c r="Y15" s="35">
        <f t="shared" si="2"/>
        <v>0</v>
      </c>
      <c r="Z15" s="35">
        <f t="shared" si="2"/>
        <v>0</v>
      </c>
      <c r="AA15" s="35">
        <f t="shared" si="2"/>
        <v>0</v>
      </c>
      <c r="AB15" s="35">
        <f t="shared" si="2"/>
        <v>0</v>
      </c>
      <c r="AC15" s="35">
        <f t="shared" si="2"/>
        <v>0</v>
      </c>
      <c r="AD15" s="35">
        <f t="shared" si="2"/>
        <v>0</v>
      </c>
      <c r="AE15" s="35">
        <f t="shared" si="2"/>
        <v>0</v>
      </c>
      <c r="AF15" s="35">
        <f t="shared" si="2"/>
        <v>0</v>
      </c>
      <c r="AG15" s="35">
        <f t="shared" si="2"/>
        <v>0</v>
      </c>
      <c r="AH15" s="4">
        <f t="shared" si="3"/>
        <v>0</v>
      </c>
    </row>
    <row r="16" spans="1:34">
      <c r="A16" s="1" t="s">
        <v>11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4">
        <f t="shared" si="1"/>
        <v>0</v>
      </c>
      <c r="R16" s="1" t="s">
        <v>11</v>
      </c>
      <c r="S16" s="35">
        <f t="shared" si="2"/>
        <v>0</v>
      </c>
      <c r="T16" s="35">
        <f t="shared" si="2"/>
        <v>0</v>
      </c>
      <c r="U16" s="35">
        <f t="shared" si="2"/>
        <v>0</v>
      </c>
      <c r="V16" s="35">
        <f t="shared" si="2"/>
        <v>0</v>
      </c>
      <c r="W16" s="35">
        <f t="shared" si="2"/>
        <v>0</v>
      </c>
      <c r="X16" s="35">
        <f t="shared" si="2"/>
        <v>0</v>
      </c>
      <c r="Y16" s="35">
        <f t="shared" si="2"/>
        <v>0</v>
      </c>
      <c r="Z16" s="35">
        <f t="shared" si="2"/>
        <v>0</v>
      </c>
      <c r="AA16" s="35">
        <f t="shared" si="2"/>
        <v>0</v>
      </c>
      <c r="AB16" s="35">
        <f t="shared" si="2"/>
        <v>0</v>
      </c>
      <c r="AC16" s="35">
        <f t="shared" si="2"/>
        <v>0</v>
      </c>
      <c r="AD16" s="35">
        <f t="shared" si="2"/>
        <v>0</v>
      </c>
      <c r="AE16" s="35">
        <f t="shared" si="2"/>
        <v>0</v>
      </c>
      <c r="AF16" s="35">
        <f t="shared" si="2"/>
        <v>0</v>
      </c>
      <c r="AG16" s="35">
        <f t="shared" si="2"/>
        <v>0</v>
      </c>
      <c r="AH16" s="4">
        <f t="shared" si="3"/>
        <v>0</v>
      </c>
    </row>
    <row r="17" spans="1:34">
      <c r="A17" s="1" t="s">
        <v>12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4">
        <f t="shared" si="1"/>
        <v>0</v>
      </c>
      <c r="R17" s="1" t="s">
        <v>12</v>
      </c>
      <c r="S17" s="35">
        <f t="shared" si="2"/>
        <v>0</v>
      </c>
      <c r="T17" s="35">
        <f t="shared" si="2"/>
        <v>0</v>
      </c>
      <c r="U17" s="35">
        <f t="shared" si="2"/>
        <v>0</v>
      </c>
      <c r="V17" s="35">
        <f t="shared" si="2"/>
        <v>0</v>
      </c>
      <c r="W17" s="35">
        <f t="shared" si="2"/>
        <v>0</v>
      </c>
      <c r="X17" s="35">
        <f t="shared" si="2"/>
        <v>0</v>
      </c>
      <c r="Y17" s="35">
        <f t="shared" si="2"/>
        <v>0</v>
      </c>
      <c r="Z17" s="35">
        <f t="shared" si="2"/>
        <v>0</v>
      </c>
      <c r="AA17" s="35">
        <f t="shared" si="2"/>
        <v>0</v>
      </c>
      <c r="AB17" s="35">
        <f t="shared" si="2"/>
        <v>0</v>
      </c>
      <c r="AC17" s="35">
        <f t="shared" si="2"/>
        <v>0</v>
      </c>
      <c r="AD17" s="35">
        <f t="shared" si="2"/>
        <v>0</v>
      </c>
      <c r="AE17" s="35">
        <f t="shared" si="2"/>
        <v>0</v>
      </c>
      <c r="AF17" s="35">
        <f t="shared" si="2"/>
        <v>0</v>
      </c>
      <c r="AG17" s="35">
        <f t="shared" si="2"/>
        <v>0</v>
      </c>
      <c r="AH17" s="4">
        <f t="shared" si="3"/>
        <v>0</v>
      </c>
    </row>
    <row r="18" spans="1:34">
      <c r="A18" s="1" t="s">
        <v>15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4">
        <f t="shared" si="1"/>
        <v>0</v>
      </c>
      <c r="R18" s="1" t="s">
        <v>15</v>
      </c>
      <c r="S18" s="35">
        <f t="shared" si="2"/>
        <v>0</v>
      </c>
      <c r="T18" s="35">
        <f t="shared" si="2"/>
        <v>0</v>
      </c>
      <c r="U18" s="35">
        <f t="shared" si="2"/>
        <v>0</v>
      </c>
      <c r="V18" s="35">
        <f t="shared" si="2"/>
        <v>0</v>
      </c>
      <c r="W18" s="35">
        <f t="shared" si="2"/>
        <v>0</v>
      </c>
      <c r="X18" s="35">
        <f t="shared" si="2"/>
        <v>0</v>
      </c>
      <c r="Y18" s="35">
        <f t="shared" si="2"/>
        <v>0</v>
      </c>
      <c r="Z18" s="35">
        <f t="shared" si="2"/>
        <v>0</v>
      </c>
      <c r="AA18" s="35">
        <f t="shared" si="2"/>
        <v>0</v>
      </c>
      <c r="AB18" s="35">
        <f t="shared" si="2"/>
        <v>0</v>
      </c>
      <c r="AC18" s="35">
        <f t="shared" si="2"/>
        <v>0</v>
      </c>
      <c r="AD18" s="35">
        <f t="shared" si="2"/>
        <v>0</v>
      </c>
      <c r="AE18" s="35">
        <f t="shared" si="2"/>
        <v>0</v>
      </c>
      <c r="AF18" s="35">
        <f t="shared" si="2"/>
        <v>0</v>
      </c>
      <c r="AG18" s="35">
        <f t="shared" si="2"/>
        <v>0</v>
      </c>
      <c r="AH18" s="4">
        <f t="shared" si="3"/>
        <v>0</v>
      </c>
    </row>
    <row r="19" spans="1:34">
      <c r="A19" s="42" t="s">
        <v>14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4">
        <f t="shared" si="1"/>
        <v>0</v>
      </c>
      <c r="P19" s="15"/>
      <c r="R19" s="1" t="s">
        <v>14</v>
      </c>
      <c r="S19" s="35">
        <f t="shared" si="2"/>
        <v>0</v>
      </c>
      <c r="T19" s="35">
        <f t="shared" si="2"/>
        <v>0</v>
      </c>
      <c r="U19" s="35">
        <f t="shared" si="2"/>
        <v>0</v>
      </c>
      <c r="V19" s="35">
        <f t="shared" si="2"/>
        <v>0</v>
      </c>
      <c r="W19" s="35">
        <f t="shared" si="2"/>
        <v>0</v>
      </c>
      <c r="X19" s="35">
        <f t="shared" si="2"/>
        <v>0</v>
      </c>
      <c r="Y19" s="35">
        <f t="shared" si="2"/>
        <v>0</v>
      </c>
      <c r="Z19" s="35">
        <f t="shared" si="2"/>
        <v>0</v>
      </c>
      <c r="AA19" s="35">
        <f t="shared" si="2"/>
        <v>0</v>
      </c>
      <c r="AB19" s="35">
        <f t="shared" si="2"/>
        <v>0</v>
      </c>
      <c r="AC19" s="35">
        <f t="shared" si="2"/>
        <v>0</v>
      </c>
      <c r="AD19" s="35">
        <f t="shared" si="2"/>
        <v>0</v>
      </c>
      <c r="AE19" s="35">
        <f t="shared" si="2"/>
        <v>0</v>
      </c>
      <c r="AF19" s="35">
        <f t="shared" si="2"/>
        <v>0</v>
      </c>
      <c r="AG19" s="35">
        <f t="shared" si="2"/>
        <v>0</v>
      </c>
      <c r="AH19" s="4">
        <f t="shared" si="3"/>
        <v>0</v>
      </c>
    </row>
    <row r="20" spans="1:34">
      <c r="A20" s="18" t="s">
        <v>13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4">
        <f t="shared" si="1"/>
        <v>0</v>
      </c>
      <c r="R20" s="18" t="s">
        <v>13</v>
      </c>
      <c r="S20" s="35">
        <f t="shared" si="2"/>
        <v>0</v>
      </c>
      <c r="T20" s="35">
        <f t="shared" si="2"/>
        <v>0</v>
      </c>
      <c r="U20" s="35">
        <f t="shared" si="2"/>
        <v>0</v>
      </c>
      <c r="V20" s="35">
        <f t="shared" si="2"/>
        <v>0</v>
      </c>
      <c r="W20" s="35">
        <f t="shared" si="2"/>
        <v>0</v>
      </c>
      <c r="X20" s="35">
        <f t="shared" si="2"/>
        <v>0</v>
      </c>
      <c r="Y20" s="35">
        <f t="shared" si="2"/>
        <v>0</v>
      </c>
      <c r="Z20" s="35">
        <f t="shared" si="2"/>
        <v>0</v>
      </c>
      <c r="AA20" s="35">
        <f t="shared" si="2"/>
        <v>0</v>
      </c>
      <c r="AB20" s="35">
        <f t="shared" si="2"/>
        <v>0</v>
      </c>
      <c r="AC20" s="35">
        <f t="shared" si="2"/>
        <v>0</v>
      </c>
      <c r="AD20" s="35">
        <f t="shared" si="2"/>
        <v>0</v>
      </c>
      <c r="AE20" s="35">
        <f t="shared" si="2"/>
        <v>0</v>
      </c>
      <c r="AF20" s="35">
        <f t="shared" si="2"/>
        <v>0</v>
      </c>
      <c r="AG20" s="35">
        <f t="shared" si="2"/>
        <v>0</v>
      </c>
      <c r="AH20" s="4">
        <f t="shared" si="3"/>
        <v>0</v>
      </c>
    </row>
    <row r="21" spans="1:34">
      <c r="A21" s="1" t="s">
        <v>16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">
        <f t="shared" si="1"/>
        <v>0</v>
      </c>
      <c r="R21" s="1" t="s">
        <v>16</v>
      </c>
      <c r="S21" s="35">
        <f t="shared" si="2"/>
        <v>0</v>
      </c>
      <c r="T21" s="35">
        <f t="shared" si="2"/>
        <v>0</v>
      </c>
      <c r="U21" s="35">
        <f t="shared" si="2"/>
        <v>0</v>
      </c>
      <c r="V21" s="35">
        <f t="shared" si="2"/>
        <v>0</v>
      </c>
      <c r="W21" s="35">
        <f t="shared" si="2"/>
        <v>0</v>
      </c>
      <c r="X21" s="35">
        <f t="shared" si="2"/>
        <v>0</v>
      </c>
      <c r="Y21" s="35">
        <f t="shared" si="2"/>
        <v>0</v>
      </c>
      <c r="Z21" s="35">
        <f t="shared" si="2"/>
        <v>0</v>
      </c>
      <c r="AA21" s="35">
        <f t="shared" si="2"/>
        <v>0</v>
      </c>
      <c r="AB21" s="35">
        <f t="shared" si="2"/>
        <v>0</v>
      </c>
      <c r="AC21" s="35">
        <f t="shared" si="2"/>
        <v>0</v>
      </c>
      <c r="AD21" s="35">
        <f t="shared" si="2"/>
        <v>0</v>
      </c>
      <c r="AE21" s="35">
        <f t="shared" si="2"/>
        <v>0</v>
      </c>
      <c r="AF21" s="35">
        <f t="shared" si="2"/>
        <v>0</v>
      </c>
      <c r="AG21" s="35">
        <f t="shared" ref="AG21" si="4">AG91*0.8</f>
        <v>0</v>
      </c>
      <c r="AH21" s="4">
        <f t="shared" si="3"/>
        <v>0</v>
      </c>
    </row>
    <row r="22" spans="1:34">
      <c r="A22" s="1" t="s">
        <v>17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4">
        <f t="shared" si="1"/>
        <v>0</v>
      </c>
      <c r="R22" s="1" t="s">
        <v>17</v>
      </c>
      <c r="S22" s="35">
        <f t="shared" ref="S22:AG31" si="5">S92*0.8</f>
        <v>0</v>
      </c>
      <c r="T22" s="35">
        <f t="shared" si="5"/>
        <v>0</v>
      </c>
      <c r="U22" s="35">
        <f t="shared" si="5"/>
        <v>0</v>
      </c>
      <c r="V22" s="35">
        <f t="shared" si="5"/>
        <v>0</v>
      </c>
      <c r="W22" s="35">
        <f t="shared" si="5"/>
        <v>0</v>
      </c>
      <c r="X22" s="35">
        <f t="shared" si="5"/>
        <v>0</v>
      </c>
      <c r="Y22" s="35">
        <f t="shared" si="5"/>
        <v>0</v>
      </c>
      <c r="Z22" s="35">
        <f t="shared" si="5"/>
        <v>0</v>
      </c>
      <c r="AA22" s="35">
        <f t="shared" si="5"/>
        <v>0</v>
      </c>
      <c r="AB22" s="35">
        <f t="shared" si="5"/>
        <v>0</v>
      </c>
      <c r="AC22" s="35">
        <f t="shared" si="5"/>
        <v>0</v>
      </c>
      <c r="AD22" s="35">
        <f t="shared" si="5"/>
        <v>0</v>
      </c>
      <c r="AE22" s="35">
        <f t="shared" si="5"/>
        <v>0</v>
      </c>
      <c r="AF22" s="35">
        <f>AF92</f>
        <v>0</v>
      </c>
      <c r="AG22" s="35">
        <f>AG92</f>
        <v>0</v>
      </c>
      <c r="AH22" s="4">
        <f t="shared" si="3"/>
        <v>0</v>
      </c>
    </row>
    <row r="23" spans="1:34">
      <c r="A23" s="1" t="s">
        <v>18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4">
        <f t="shared" si="1"/>
        <v>0</v>
      </c>
      <c r="R23" s="1" t="s">
        <v>18</v>
      </c>
      <c r="S23" s="35">
        <f t="shared" si="5"/>
        <v>0</v>
      </c>
      <c r="T23" s="35">
        <f t="shared" si="5"/>
        <v>0</v>
      </c>
      <c r="U23" s="35">
        <f t="shared" si="5"/>
        <v>0</v>
      </c>
      <c r="V23" s="35">
        <f t="shared" si="5"/>
        <v>0</v>
      </c>
      <c r="W23" s="35">
        <f t="shared" si="5"/>
        <v>0</v>
      </c>
      <c r="X23" s="35">
        <f t="shared" si="5"/>
        <v>0</v>
      </c>
      <c r="Y23" s="35">
        <f t="shared" si="5"/>
        <v>0</v>
      </c>
      <c r="Z23" s="35">
        <f t="shared" si="5"/>
        <v>0</v>
      </c>
      <c r="AA23" s="35">
        <f t="shared" si="5"/>
        <v>0</v>
      </c>
      <c r="AB23" s="35">
        <f t="shared" si="5"/>
        <v>0</v>
      </c>
      <c r="AC23" s="35">
        <f t="shared" si="5"/>
        <v>0</v>
      </c>
      <c r="AD23" s="35">
        <f t="shared" si="5"/>
        <v>0</v>
      </c>
      <c r="AE23" s="35">
        <f t="shared" si="5"/>
        <v>0</v>
      </c>
      <c r="AF23" s="35">
        <f t="shared" si="5"/>
        <v>0</v>
      </c>
      <c r="AG23" s="35">
        <f t="shared" si="5"/>
        <v>0</v>
      </c>
      <c r="AH23" s="4">
        <f t="shared" si="3"/>
        <v>0</v>
      </c>
    </row>
    <row r="24" spans="1:34">
      <c r="A24" s="1" t="s">
        <v>20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4">
        <f t="shared" si="1"/>
        <v>0</v>
      </c>
      <c r="R24" s="1" t="s">
        <v>20</v>
      </c>
      <c r="S24" s="35">
        <f t="shared" si="5"/>
        <v>0</v>
      </c>
      <c r="T24" s="35">
        <f t="shared" si="5"/>
        <v>0</v>
      </c>
      <c r="U24" s="35">
        <f t="shared" si="5"/>
        <v>0</v>
      </c>
      <c r="V24" s="35">
        <f t="shared" si="5"/>
        <v>0</v>
      </c>
      <c r="W24" s="35">
        <f t="shared" si="5"/>
        <v>0</v>
      </c>
      <c r="X24" s="35">
        <f t="shared" si="5"/>
        <v>0</v>
      </c>
      <c r="Y24" s="35">
        <f t="shared" si="5"/>
        <v>0</v>
      </c>
      <c r="Z24" s="35">
        <f t="shared" si="5"/>
        <v>0</v>
      </c>
      <c r="AA24" s="35">
        <f t="shared" si="5"/>
        <v>0</v>
      </c>
      <c r="AB24" s="35">
        <f t="shared" si="5"/>
        <v>0</v>
      </c>
      <c r="AC24" s="35">
        <f t="shared" si="5"/>
        <v>0</v>
      </c>
      <c r="AD24" s="35">
        <f t="shared" si="5"/>
        <v>0</v>
      </c>
      <c r="AE24" s="35">
        <f t="shared" si="5"/>
        <v>0</v>
      </c>
      <c r="AF24" s="35">
        <f t="shared" si="5"/>
        <v>0</v>
      </c>
      <c r="AG24" s="35">
        <f t="shared" si="5"/>
        <v>0</v>
      </c>
      <c r="AH24" s="4">
        <f t="shared" si="3"/>
        <v>0</v>
      </c>
    </row>
    <row r="25" spans="1:34">
      <c r="A25" s="1" t="s">
        <v>19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4">
        <f t="shared" si="1"/>
        <v>0</v>
      </c>
      <c r="R25" s="1" t="s">
        <v>19</v>
      </c>
      <c r="S25" s="35">
        <f t="shared" si="5"/>
        <v>0</v>
      </c>
      <c r="T25" s="35">
        <f t="shared" si="5"/>
        <v>0</v>
      </c>
      <c r="U25" s="35">
        <f t="shared" si="5"/>
        <v>0</v>
      </c>
      <c r="V25" s="35">
        <f t="shared" si="5"/>
        <v>0</v>
      </c>
      <c r="W25" s="35">
        <f t="shared" si="5"/>
        <v>0</v>
      </c>
      <c r="X25" s="35">
        <f t="shared" si="5"/>
        <v>0</v>
      </c>
      <c r="Y25" s="35">
        <f t="shared" si="5"/>
        <v>0</v>
      </c>
      <c r="Z25" s="35">
        <f t="shared" si="5"/>
        <v>0</v>
      </c>
      <c r="AA25" s="35">
        <f t="shared" si="5"/>
        <v>0</v>
      </c>
      <c r="AB25" s="35">
        <f t="shared" si="5"/>
        <v>0</v>
      </c>
      <c r="AC25" s="35">
        <f t="shared" si="5"/>
        <v>0</v>
      </c>
      <c r="AD25" s="35">
        <f t="shared" si="5"/>
        <v>0</v>
      </c>
      <c r="AE25" s="35">
        <f t="shared" si="5"/>
        <v>0</v>
      </c>
      <c r="AF25" s="35">
        <f t="shared" si="5"/>
        <v>0</v>
      </c>
      <c r="AG25" s="35">
        <f t="shared" si="5"/>
        <v>0</v>
      </c>
      <c r="AH25" s="4">
        <f t="shared" si="3"/>
        <v>0</v>
      </c>
    </row>
    <row r="26" spans="1:34">
      <c r="A26" s="1" t="s">
        <v>21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4">
        <f t="shared" si="1"/>
        <v>0</v>
      </c>
      <c r="R26" s="1" t="s">
        <v>21</v>
      </c>
      <c r="S26" s="35">
        <f t="shared" si="5"/>
        <v>0</v>
      </c>
      <c r="T26" s="35">
        <f t="shared" si="5"/>
        <v>0</v>
      </c>
      <c r="U26" s="35">
        <f t="shared" si="5"/>
        <v>0</v>
      </c>
      <c r="V26" s="35">
        <f t="shared" si="5"/>
        <v>0</v>
      </c>
      <c r="W26" s="35">
        <f t="shared" si="5"/>
        <v>0</v>
      </c>
      <c r="X26" s="35">
        <f t="shared" si="5"/>
        <v>0</v>
      </c>
      <c r="Y26" s="35">
        <f t="shared" si="5"/>
        <v>0</v>
      </c>
      <c r="Z26" s="35">
        <f t="shared" si="5"/>
        <v>0</v>
      </c>
      <c r="AA26" s="35">
        <f t="shared" si="5"/>
        <v>0</v>
      </c>
      <c r="AB26" s="35">
        <f t="shared" si="5"/>
        <v>0</v>
      </c>
      <c r="AC26" s="35">
        <f t="shared" si="5"/>
        <v>0</v>
      </c>
      <c r="AD26" s="35">
        <f t="shared" si="5"/>
        <v>0</v>
      </c>
      <c r="AE26" s="35">
        <f t="shared" si="5"/>
        <v>0</v>
      </c>
      <c r="AF26" s="35">
        <f t="shared" si="5"/>
        <v>0</v>
      </c>
      <c r="AG26" s="35">
        <f t="shared" si="5"/>
        <v>0</v>
      </c>
      <c r="AH26" s="4">
        <f t="shared" si="3"/>
        <v>0</v>
      </c>
    </row>
    <row r="27" spans="1:34">
      <c r="A27" s="2" t="s">
        <v>22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4">
        <f t="shared" si="1"/>
        <v>0</v>
      </c>
      <c r="R27" s="2" t="s">
        <v>22</v>
      </c>
      <c r="S27" s="35">
        <f t="shared" si="5"/>
        <v>0</v>
      </c>
      <c r="T27" s="35">
        <f t="shared" si="5"/>
        <v>0</v>
      </c>
      <c r="U27" s="35">
        <f t="shared" si="5"/>
        <v>0</v>
      </c>
      <c r="V27" s="35">
        <f t="shared" si="5"/>
        <v>0</v>
      </c>
      <c r="W27" s="35">
        <f t="shared" si="5"/>
        <v>0</v>
      </c>
      <c r="X27" s="35">
        <f t="shared" si="5"/>
        <v>0</v>
      </c>
      <c r="Y27" s="35">
        <f t="shared" si="5"/>
        <v>0</v>
      </c>
      <c r="Z27" s="35">
        <f t="shared" si="5"/>
        <v>0</v>
      </c>
      <c r="AA27" s="35">
        <f t="shared" si="5"/>
        <v>0</v>
      </c>
      <c r="AB27" s="35">
        <f t="shared" si="5"/>
        <v>0</v>
      </c>
      <c r="AC27" s="35">
        <f t="shared" si="5"/>
        <v>0</v>
      </c>
      <c r="AD27" s="35">
        <f t="shared" si="5"/>
        <v>0</v>
      </c>
      <c r="AE27" s="35">
        <f t="shared" si="5"/>
        <v>0</v>
      </c>
      <c r="AF27" s="35">
        <f t="shared" si="5"/>
        <v>0</v>
      </c>
      <c r="AG27" s="35">
        <f t="shared" si="5"/>
        <v>0</v>
      </c>
      <c r="AH27" s="4">
        <f t="shared" si="3"/>
        <v>0</v>
      </c>
    </row>
    <row r="28" spans="1:34">
      <c r="A28" s="1" t="s">
        <v>23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4">
        <f t="shared" si="1"/>
        <v>0</v>
      </c>
      <c r="R28" s="1" t="s">
        <v>23</v>
      </c>
      <c r="S28" s="35">
        <f t="shared" si="5"/>
        <v>0</v>
      </c>
      <c r="T28" s="35">
        <f t="shared" si="5"/>
        <v>0</v>
      </c>
      <c r="U28" s="35">
        <f t="shared" si="5"/>
        <v>0</v>
      </c>
      <c r="V28" s="35">
        <f t="shared" si="5"/>
        <v>0</v>
      </c>
      <c r="W28" s="35">
        <f t="shared" si="5"/>
        <v>0</v>
      </c>
      <c r="X28" s="35">
        <f t="shared" si="5"/>
        <v>0</v>
      </c>
      <c r="Y28" s="35">
        <f t="shared" si="5"/>
        <v>0</v>
      </c>
      <c r="Z28" s="35">
        <f t="shared" si="5"/>
        <v>0</v>
      </c>
      <c r="AA28" s="35">
        <f t="shared" si="5"/>
        <v>0</v>
      </c>
      <c r="AB28" s="35">
        <f t="shared" si="5"/>
        <v>0</v>
      </c>
      <c r="AC28" s="35">
        <f t="shared" si="5"/>
        <v>0</v>
      </c>
      <c r="AD28" s="35">
        <f t="shared" si="5"/>
        <v>0</v>
      </c>
      <c r="AE28" s="35">
        <f t="shared" si="5"/>
        <v>0</v>
      </c>
      <c r="AF28" s="35">
        <f t="shared" si="5"/>
        <v>0</v>
      </c>
      <c r="AG28" s="35">
        <f t="shared" si="5"/>
        <v>0</v>
      </c>
      <c r="AH28" s="4">
        <f t="shared" si="3"/>
        <v>0</v>
      </c>
    </row>
    <row r="29" spans="1:34">
      <c r="A29" s="1" t="s">
        <v>25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4">
        <f>SUM(B29:N29)</f>
        <v>0</v>
      </c>
      <c r="R29" s="1" t="s">
        <v>25</v>
      </c>
      <c r="S29" s="35">
        <f t="shared" si="5"/>
        <v>0</v>
      </c>
      <c r="T29" s="35">
        <f t="shared" si="5"/>
        <v>0</v>
      </c>
      <c r="U29" s="35">
        <f t="shared" si="5"/>
        <v>0</v>
      </c>
      <c r="V29" s="35">
        <f t="shared" si="5"/>
        <v>0</v>
      </c>
      <c r="W29" s="35">
        <f t="shared" si="5"/>
        <v>0</v>
      </c>
      <c r="X29" s="35">
        <f t="shared" si="5"/>
        <v>0</v>
      </c>
      <c r="Y29" s="35">
        <f t="shared" si="5"/>
        <v>0</v>
      </c>
      <c r="Z29" s="35">
        <f t="shared" si="5"/>
        <v>0</v>
      </c>
      <c r="AA29" s="35">
        <f t="shared" si="5"/>
        <v>0</v>
      </c>
      <c r="AB29" s="35">
        <f t="shared" si="5"/>
        <v>0</v>
      </c>
      <c r="AC29" s="35">
        <f t="shared" si="5"/>
        <v>0</v>
      </c>
      <c r="AD29" s="35">
        <f t="shared" si="5"/>
        <v>0</v>
      </c>
      <c r="AE29" s="35">
        <f t="shared" si="5"/>
        <v>0</v>
      </c>
      <c r="AF29" s="35">
        <f>AF99</f>
        <v>0</v>
      </c>
      <c r="AG29" s="35">
        <f>AG99</f>
        <v>0</v>
      </c>
      <c r="AH29" s="4">
        <f t="shared" si="3"/>
        <v>0</v>
      </c>
    </row>
    <row r="30" spans="1:34">
      <c r="A30" s="1" t="s">
        <v>24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4">
        <f t="shared" si="1"/>
        <v>0</v>
      </c>
      <c r="P30" s="21"/>
      <c r="R30" s="1" t="s">
        <v>24</v>
      </c>
      <c r="S30" s="35">
        <f t="shared" si="5"/>
        <v>0</v>
      </c>
      <c r="T30" s="35">
        <f t="shared" si="5"/>
        <v>0</v>
      </c>
      <c r="U30" s="35">
        <f t="shared" si="5"/>
        <v>0</v>
      </c>
      <c r="V30" s="35">
        <f t="shared" si="5"/>
        <v>0</v>
      </c>
      <c r="W30" s="35">
        <f t="shared" si="5"/>
        <v>0</v>
      </c>
      <c r="X30" s="35">
        <f t="shared" si="5"/>
        <v>0</v>
      </c>
      <c r="Y30" s="35">
        <f t="shared" si="5"/>
        <v>0</v>
      </c>
      <c r="Z30" s="35">
        <f t="shared" si="5"/>
        <v>0</v>
      </c>
      <c r="AA30" s="35">
        <f t="shared" si="5"/>
        <v>0</v>
      </c>
      <c r="AB30" s="35">
        <f t="shared" si="5"/>
        <v>0</v>
      </c>
      <c r="AC30" s="35">
        <f t="shared" si="5"/>
        <v>0</v>
      </c>
      <c r="AD30" s="35">
        <f t="shared" si="5"/>
        <v>0</v>
      </c>
      <c r="AE30" s="35">
        <f t="shared" si="5"/>
        <v>0</v>
      </c>
      <c r="AF30" s="35">
        <f t="shared" si="5"/>
        <v>0</v>
      </c>
      <c r="AG30" s="35">
        <f t="shared" si="5"/>
        <v>0</v>
      </c>
      <c r="AH30" s="4">
        <f t="shared" si="3"/>
        <v>0</v>
      </c>
    </row>
    <row r="31" spans="1:34">
      <c r="A31" s="1" t="s">
        <v>26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4">
        <f t="shared" si="1"/>
        <v>0</v>
      </c>
      <c r="R31" s="1" t="s">
        <v>26</v>
      </c>
      <c r="S31" s="35">
        <f t="shared" si="5"/>
        <v>0</v>
      </c>
      <c r="T31" s="35">
        <f t="shared" si="5"/>
        <v>0</v>
      </c>
      <c r="U31" s="35">
        <f t="shared" si="5"/>
        <v>0</v>
      </c>
      <c r="V31" s="35">
        <f t="shared" si="5"/>
        <v>0</v>
      </c>
      <c r="W31" s="35">
        <f t="shared" si="5"/>
        <v>0</v>
      </c>
      <c r="X31" s="35">
        <f t="shared" si="5"/>
        <v>0</v>
      </c>
      <c r="Y31" s="35">
        <f t="shared" si="5"/>
        <v>0</v>
      </c>
      <c r="Z31" s="35">
        <f t="shared" si="5"/>
        <v>0</v>
      </c>
      <c r="AA31" s="35">
        <f t="shared" si="5"/>
        <v>0</v>
      </c>
      <c r="AB31" s="35">
        <f t="shared" si="5"/>
        <v>0</v>
      </c>
      <c r="AC31" s="35">
        <f t="shared" si="5"/>
        <v>0</v>
      </c>
      <c r="AD31" s="35">
        <f t="shared" si="5"/>
        <v>0</v>
      </c>
      <c r="AE31" s="35">
        <f t="shared" si="5"/>
        <v>0</v>
      </c>
      <c r="AF31" s="35">
        <f t="shared" si="5"/>
        <v>0</v>
      </c>
      <c r="AG31" s="35">
        <f t="shared" si="5"/>
        <v>0</v>
      </c>
      <c r="AH31" s="4">
        <f t="shared" si="3"/>
        <v>0</v>
      </c>
    </row>
    <row r="32" spans="1:34">
      <c r="A32" s="6" t="s">
        <v>37</v>
      </c>
      <c r="B32" s="7">
        <f>SUM(B5:B31)</f>
        <v>0</v>
      </c>
      <c r="C32" s="7">
        <f>SUM(C5:C31)</f>
        <v>0</v>
      </c>
      <c r="D32" s="7">
        <f>SUM(D5:D31)</f>
        <v>0</v>
      </c>
      <c r="E32" s="7">
        <f>SUM(E5:E31)</f>
        <v>0</v>
      </c>
      <c r="F32" s="7">
        <f t="shared" ref="F32:N32" si="6">SUM(F5:F31)</f>
        <v>0</v>
      </c>
      <c r="G32" s="7">
        <f t="shared" si="6"/>
        <v>0</v>
      </c>
      <c r="H32" s="7">
        <f t="shared" si="6"/>
        <v>0</v>
      </c>
      <c r="I32" s="7">
        <f t="shared" si="6"/>
        <v>0</v>
      </c>
      <c r="J32" s="7">
        <f t="shared" si="6"/>
        <v>0</v>
      </c>
      <c r="K32" s="7">
        <f t="shared" si="6"/>
        <v>0</v>
      </c>
      <c r="L32" s="7">
        <f t="shared" si="6"/>
        <v>0</v>
      </c>
      <c r="M32" s="7">
        <f t="shared" si="6"/>
        <v>0</v>
      </c>
      <c r="N32" s="7">
        <f t="shared" si="6"/>
        <v>0</v>
      </c>
      <c r="O32" s="7">
        <f>SUM(O5:O31)</f>
        <v>0</v>
      </c>
      <c r="R32" s="6" t="s">
        <v>37</v>
      </c>
      <c r="S32" s="7">
        <f>SUM(S5:S31)</f>
        <v>0</v>
      </c>
      <c r="T32" s="7">
        <f>SUM(T5:T31)</f>
        <v>0</v>
      </c>
      <c r="U32" s="7">
        <f>SUM(U5:U31)</f>
        <v>0</v>
      </c>
      <c r="V32" s="7">
        <f>SUM(V5:V31)</f>
        <v>0</v>
      </c>
      <c r="W32" s="7">
        <f t="shared" ref="W32:AG32" si="7">SUM(W5:W31)</f>
        <v>0</v>
      </c>
      <c r="X32" s="7">
        <f t="shared" si="7"/>
        <v>0</v>
      </c>
      <c r="Y32" s="7">
        <f t="shared" si="7"/>
        <v>0</v>
      </c>
      <c r="Z32" s="7">
        <f t="shared" si="7"/>
        <v>0</v>
      </c>
      <c r="AA32" s="7">
        <f t="shared" si="7"/>
        <v>0</v>
      </c>
      <c r="AB32" s="7">
        <f t="shared" si="7"/>
        <v>0</v>
      </c>
      <c r="AC32" s="7">
        <f t="shared" si="7"/>
        <v>0</v>
      </c>
      <c r="AD32" s="7">
        <f t="shared" si="7"/>
        <v>0</v>
      </c>
      <c r="AE32" s="7">
        <f t="shared" si="7"/>
        <v>0</v>
      </c>
      <c r="AF32" s="7">
        <f t="shared" si="7"/>
        <v>0</v>
      </c>
      <c r="AG32" s="7">
        <f t="shared" si="7"/>
        <v>0</v>
      </c>
      <c r="AH32" s="7">
        <f>SUM(AH5:AH31)</f>
        <v>0</v>
      </c>
    </row>
    <row r="33" spans="1:34" ht="18.75">
      <c r="A33" s="10"/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0"/>
      <c r="R33" s="44" t="s">
        <v>51</v>
      </c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0"/>
    </row>
    <row r="34" spans="1:34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/>
      <c r="R34" s="25"/>
      <c r="S34" s="25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7"/>
    </row>
    <row r="35" spans="1:34">
      <c r="A35" s="42" t="s">
        <v>14</v>
      </c>
      <c r="B35" s="295" t="s">
        <v>46</v>
      </c>
      <c r="C35" s="295"/>
      <c r="D35" s="295"/>
      <c r="E35" s="295"/>
      <c r="F35" s="295"/>
      <c r="G35" s="295"/>
      <c r="H35" s="295"/>
      <c r="I35" s="32"/>
      <c r="J35" s="32"/>
      <c r="K35" s="32"/>
      <c r="L35" s="32"/>
      <c r="M35" s="32"/>
      <c r="N35" s="32"/>
      <c r="O35" s="33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3"/>
    </row>
    <row r="36" spans="1:34">
      <c r="A36" s="28"/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30"/>
    </row>
    <row r="37" spans="1:34" ht="46.5">
      <c r="A37" s="292" t="s">
        <v>90</v>
      </c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4"/>
      <c r="R37" s="292" t="s">
        <v>92</v>
      </c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4"/>
    </row>
    <row r="38" spans="1:34" ht="21.75" customHeight="1">
      <c r="A38" s="290" t="s">
        <v>33</v>
      </c>
      <c r="B38" s="287" t="s">
        <v>27</v>
      </c>
      <c r="C38" s="288"/>
      <c r="D38" s="287" t="s">
        <v>29</v>
      </c>
      <c r="E38" s="288"/>
      <c r="F38" s="285" t="s">
        <v>28</v>
      </c>
      <c r="G38" s="285" t="s">
        <v>36</v>
      </c>
      <c r="H38" s="285" t="s">
        <v>30</v>
      </c>
      <c r="I38" s="285" t="s">
        <v>31</v>
      </c>
      <c r="J38" s="285" t="s">
        <v>41</v>
      </c>
      <c r="K38" s="285" t="s">
        <v>35</v>
      </c>
      <c r="L38" s="285" t="s">
        <v>40</v>
      </c>
      <c r="M38" s="285" t="s">
        <v>42</v>
      </c>
      <c r="N38" s="285" t="s">
        <v>45</v>
      </c>
      <c r="O38" s="285" t="s">
        <v>34</v>
      </c>
      <c r="R38" s="290" t="s">
        <v>33</v>
      </c>
      <c r="S38" s="287" t="s">
        <v>27</v>
      </c>
      <c r="T38" s="288"/>
      <c r="U38" s="287" t="s">
        <v>29</v>
      </c>
      <c r="V38" s="288"/>
      <c r="W38" s="285" t="s">
        <v>28</v>
      </c>
      <c r="X38" s="285" t="s">
        <v>36</v>
      </c>
      <c r="Y38" s="285" t="s">
        <v>30</v>
      </c>
      <c r="Z38" s="285" t="s">
        <v>31</v>
      </c>
      <c r="AA38" s="285" t="s">
        <v>41</v>
      </c>
      <c r="AB38" s="285" t="s">
        <v>35</v>
      </c>
      <c r="AC38" s="285" t="s">
        <v>40</v>
      </c>
      <c r="AD38" s="285" t="s">
        <v>42</v>
      </c>
      <c r="AE38" s="285" t="s">
        <v>45</v>
      </c>
      <c r="AF38" s="287" t="s">
        <v>52</v>
      </c>
      <c r="AG38" s="288"/>
      <c r="AH38" s="285" t="s">
        <v>34</v>
      </c>
    </row>
    <row r="39" spans="1:34" ht="30">
      <c r="A39" s="291"/>
      <c r="B39" s="5" t="s">
        <v>43</v>
      </c>
      <c r="C39" s="5" t="s">
        <v>44</v>
      </c>
      <c r="D39" s="5" t="s">
        <v>43</v>
      </c>
      <c r="E39" s="5" t="s">
        <v>44</v>
      </c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R39" s="291"/>
      <c r="S39" s="46" t="s">
        <v>43</v>
      </c>
      <c r="T39" s="46" t="s">
        <v>44</v>
      </c>
      <c r="U39" s="46" t="s">
        <v>43</v>
      </c>
      <c r="V39" s="46" t="s">
        <v>44</v>
      </c>
      <c r="W39" s="286"/>
      <c r="X39" s="286"/>
      <c r="Y39" s="286"/>
      <c r="Z39" s="286"/>
      <c r="AA39" s="286"/>
      <c r="AB39" s="286"/>
      <c r="AC39" s="286"/>
      <c r="AD39" s="286"/>
      <c r="AE39" s="286"/>
      <c r="AF39" s="48" t="s">
        <v>53</v>
      </c>
      <c r="AG39" s="48" t="s">
        <v>54</v>
      </c>
      <c r="AH39" s="286"/>
    </row>
    <row r="40" spans="1:34">
      <c r="A40" s="1" t="s">
        <v>0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4">
        <f>SUM(B40:N40)</f>
        <v>0</v>
      </c>
      <c r="R40" s="1" t="s">
        <v>0</v>
      </c>
      <c r="S40" s="35">
        <f>S75*0.2</f>
        <v>0</v>
      </c>
      <c r="T40" s="35">
        <f t="shared" ref="T40:AG40" si="8">T75*0.2</f>
        <v>0</v>
      </c>
      <c r="U40" s="35">
        <f t="shared" si="8"/>
        <v>0</v>
      </c>
      <c r="V40" s="35">
        <f t="shared" si="8"/>
        <v>0</v>
      </c>
      <c r="W40" s="35">
        <f t="shared" si="8"/>
        <v>0</v>
      </c>
      <c r="X40" s="35">
        <f t="shared" si="8"/>
        <v>0</v>
      </c>
      <c r="Y40" s="35">
        <f t="shared" si="8"/>
        <v>0</v>
      </c>
      <c r="Z40" s="35">
        <f t="shared" si="8"/>
        <v>0</v>
      </c>
      <c r="AA40" s="35">
        <f t="shared" si="8"/>
        <v>0</v>
      </c>
      <c r="AB40" s="35">
        <f t="shared" si="8"/>
        <v>0</v>
      </c>
      <c r="AC40" s="35">
        <f t="shared" si="8"/>
        <v>0</v>
      </c>
      <c r="AD40" s="35">
        <f t="shared" si="8"/>
        <v>0</v>
      </c>
      <c r="AE40" s="35">
        <f t="shared" si="8"/>
        <v>0</v>
      </c>
      <c r="AF40" s="35">
        <f t="shared" si="8"/>
        <v>0</v>
      </c>
      <c r="AG40" s="35">
        <f t="shared" si="8"/>
        <v>0</v>
      </c>
      <c r="AH40" s="4">
        <f>SUM(S40:AG40)</f>
        <v>0</v>
      </c>
    </row>
    <row r="41" spans="1:34">
      <c r="A41" s="1" t="s">
        <v>1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4">
        <f t="shared" ref="O41:O66" si="9">SUM(B41:N41)</f>
        <v>0</v>
      </c>
      <c r="R41" s="1" t="s">
        <v>1</v>
      </c>
      <c r="S41" s="35">
        <f t="shared" ref="S41:AG56" si="10">S76*0.2</f>
        <v>0</v>
      </c>
      <c r="T41" s="35">
        <f t="shared" si="10"/>
        <v>0</v>
      </c>
      <c r="U41" s="35">
        <f t="shared" si="10"/>
        <v>0</v>
      </c>
      <c r="V41" s="35">
        <f t="shared" si="10"/>
        <v>0</v>
      </c>
      <c r="W41" s="35">
        <f t="shared" si="10"/>
        <v>0</v>
      </c>
      <c r="X41" s="35">
        <f t="shared" si="10"/>
        <v>0</v>
      </c>
      <c r="Y41" s="35">
        <f t="shared" si="10"/>
        <v>0</v>
      </c>
      <c r="Z41" s="35">
        <f t="shared" si="10"/>
        <v>0</v>
      </c>
      <c r="AA41" s="35">
        <f t="shared" si="10"/>
        <v>0</v>
      </c>
      <c r="AB41" s="35">
        <f t="shared" si="10"/>
        <v>0</v>
      </c>
      <c r="AC41" s="35">
        <f t="shared" si="10"/>
        <v>0</v>
      </c>
      <c r="AD41" s="35">
        <f t="shared" si="10"/>
        <v>0</v>
      </c>
      <c r="AE41" s="35">
        <f t="shared" si="10"/>
        <v>0</v>
      </c>
      <c r="AF41" s="35">
        <f t="shared" si="10"/>
        <v>0</v>
      </c>
      <c r="AG41" s="35">
        <f t="shared" si="10"/>
        <v>0</v>
      </c>
      <c r="AH41" s="4">
        <f t="shared" ref="AH41:AH66" si="11">SUM(S41:AG41)</f>
        <v>0</v>
      </c>
    </row>
    <row r="42" spans="1:34">
      <c r="A42" s="18" t="s">
        <v>2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">
        <f t="shared" si="9"/>
        <v>0</v>
      </c>
      <c r="R42" s="18" t="s">
        <v>2</v>
      </c>
      <c r="S42" s="35">
        <f t="shared" si="10"/>
        <v>0</v>
      </c>
      <c r="T42" s="35">
        <f t="shared" si="10"/>
        <v>0</v>
      </c>
      <c r="U42" s="35">
        <f t="shared" si="10"/>
        <v>0</v>
      </c>
      <c r="V42" s="35">
        <f t="shared" si="10"/>
        <v>0</v>
      </c>
      <c r="W42" s="35">
        <f t="shared" si="10"/>
        <v>0</v>
      </c>
      <c r="X42" s="35">
        <f t="shared" si="10"/>
        <v>0</v>
      </c>
      <c r="Y42" s="35">
        <f t="shared" si="10"/>
        <v>0</v>
      </c>
      <c r="Z42" s="35">
        <f t="shared" si="10"/>
        <v>0</v>
      </c>
      <c r="AA42" s="35">
        <f t="shared" si="10"/>
        <v>0</v>
      </c>
      <c r="AB42" s="35">
        <f t="shared" si="10"/>
        <v>0</v>
      </c>
      <c r="AC42" s="35">
        <f t="shared" si="10"/>
        <v>0</v>
      </c>
      <c r="AD42" s="35">
        <f t="shared" si="10"/>
        <v>0</v>
      </c>
      <c r="AE42" s="35">
        <f t="shared" si="10"/>
        <v>0</v>
      </c>
      <c r="AF42" s="35">
        <f t="shared" si="10"/>
        <v>0</v>
      </c>
      <c r="AG42" s="35">
        <f t="shared" si="10"/>
        <v>0</v>
      </c>
      <c r="AH42" s="4">
        <f t="shared" si="11"/>
        <v>0</v>
      </c>
    </row>
    <row r="43" spans="1:34">
      <c r="A43" s="2" t="s">
        <v>3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">
        <f t="shared" si="9"/>
        <v>0</v>
      </c>
      <c r="R43" s="2" t="s">
        <v>3</v>
      </c>
      <c r="S43" s="35">
        <f t="shared" si="10"/>
        <v>0</v>
      </c>
      <c r="T43" s="35">
        <f t="shared" si="10"/>
        <v>0</v>
      </c>
      <c r="U43" s="35">
        <f t="shared" si="10"/>
        <v>0</v>
      </c>
      <c r="V43" s="35">
        <f t="shared" si="10"/>
        <v>0</v>
      </c>
      <c r="W43" s="35">
        <f t="shared" si="10"/>
        <v>0</v>
      </c>
      <c r="X43" s="35">
        <f t="shared" si="10"/>
        <v>0</v>
      </c>
      <c r="Y43" s="35">
        <f t="shared" si="10"/>
        <v>0</v>
      </c>
      <c r="Z43" s="35">
        <f t="shared" si="10"/>
        <v>0</v>
      </c>
      <c r="AA43" s="35">
        <f t="shared" si="10"/>
        <v>0</v>
      </c>
      <c r="AB43" s="35">
        <f t="shared" si="10"/>
        <v>0</v>
      </c>
      <c r="AC43" s="35">
        <f t="shared" si="10"/>
        <v>0</v>
      </c>
      <c r="AD43" s="35">
        <f t="shared" si="10"/>
        <v>0</v>
      </c>
      <c r="AE43" s="35">
        <f t="shared" si="10"/>
        <v>0</v>
      </c>
      <c r="AF43" s="35">
        <f t="shared" si="10"/>
        <v>0</v>
      </c>
      <c r="AG43" s="35">
        <f t="shared" si="10"/>
        <v>0</v>
      </c>
      <c r="AH43" s="4">
        <f t="shared" si="11"/>
        <v>0</v>
      </c>
    </row>
    <row r="44" spans="1:34">
      <c r="A44" s="1" t="s">
        <v>4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4">
        <f t="shared" si="9"/>
        <v>0</v>
      </c>
      <c r="R44" s="1" t="s">
        <v>4</v>
      </c>
      <c r="S44" s="35">
        <f t="shared" si="10"/>
        <v>0</v>
      </c>
      <c r="T44" s="35">
        <f t="shared" si="10"/>
        <v>0</v>
      </c>
      <c r="U44" s="35">
        <f t="shared" si="10"/>
        <v>0</v>
      </c>
      <c r="V44" s="35">
        <f t="shared" si="10"/>
        <v>0</v>
      </c>
      <c r="W44" s="35">
        <f t="shared" si="10"/>
        <v>0</v>
      </c>
      <c r="X44" s="35">
        <f t="shared" si="10"/>
        <v>0</v>
      </c>
      <c r="Y44" s="35">
        <f t="shared" si="10"/>
        <v>0</v>
      </c>
      <c r="Z44" s="35">
        <f t="shared" si="10"/>
        <v>0</v>
      </c>
      <c r="AA44" s="35">
        <f t="shared" si="10"/>
        <v>0</v>
      </c>
      <c r="AB44" s="35">
        <f t="shared" si="10"/>
        <v>0</v>
      </c>
      <c r="AC44" s="35">
        <f t="shared" si="10"/>
        <v>0</v>
      </c>
      <c r="AD44" s="35">
        <f t="shared" si="10"/>
        <v>0</v>
      </c>
      <c r="AE44" s="35">
        <f t="shared" si="10"/>
        <v>0</v>
      </c>
      <c r="AF44" s="35">
        <f t="shared" si="10"/>
        <v>0</v>
      </c>
      <c r="AG44" s="35">
        <f t="shared" si="10"/>
        <v>0</v>
      </c>
      <c r="AH44" s="4">
        <f t="shared" si="11"/>
        <v>0</v>
      </c>
    </row>
    <row r="45" spans="1:34">
      <c r="A45" s="1" t="s">
        <v>5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4">
        <f t="shared" si="9"/>
        <v>0</v>
      </c>
      <c r="R45" s="1" t="s">
        <v>5</v>
      </c>
      <c r="S45" s="35">
        <f t="shared" si="10"/>
        <v>0</v>
      </c>
      <c r="T45" s="35">
        <f t="shared" si="10"/>
        <v>0</v>
      </c>
      <c r="U45" s="35">
        <f t="shared" si="10"/>
        <v>0</v>
      </c>
      <c r="V45" s="35">
        <f t="shared" si="10"/>
        <v>0</v>
      </c>
      <c r="W45" s="35">
        <f t="shared" si="10"/>
        <v>0</v>
      </c>
      <c r="X45" s="35">
        <f t="shared" si="10"/>
        <v>0</v>
      </c>
      <c r="Y45" s="35">
        <f t="shared" si="10"/>
        <v>0</v>
      </c>
      <c r="Z45" s="35">
        <f t="shared" si="10"/>
        <v>0</v>
      </c>
      <c r="AA45" s="35">
        <f t="shared" si="10"/>
        <v>0</v>
      </c>
      <c r="AB45" s="35">
        <f t="shared" si="10"/>
        <v>0</v>
      </c>
      <c r="AC45" s="35">
        <f t="shared" si="10"/>
        <v>0</v>
      </c>
      <c r="AD45" s="35">
        <f t="shared" si="10"/>
        <v>0</v>
      </c>
      <c r="AE45" s="35">
        <f t="shared" si="10"/>
        <v>0</v>
      </c>
      <c r="AF45" s="35">
        <f t="shared" si="10"/>
        <v>0</v>
      </c>
      <c r="AG45" s="35">
        <f t="shared" si="10"/>
        <v>0</v>
      </c>
      <c r="AH45" s="4">
        <f t="shared" si="11"/>
        <v>0</v>
      </c>
    </row>
    <row r="46" spans="1:34">
      <c r="A46" s="1" t="s">
        <v>6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4">
        <f t="shared" si="9"/>
        <v>0</v>
      </c>
      <c r="R46" s="1" t="s">
        <v>6</v>
      </c>
      <c r="S46" s="35">
        <f t="shared" si="10"/>
        <v>0</v>
      </c>
      <c r="T46" s="35">
        <f t="shared" si="10"/>
        <v>0</v>
      </c>
      <c r="U46" s="35">
        <f t="shared" si="10"/>
        <v>0</v>
      </c>
      <c r="V46" s="35">
        <f t="shared" si="10"/>
        <v>0</v>
      </c>
      <c r="W46" s="35">
        <f t="shared" si="10"/>
        <v>0</v>
      </c>
      <c r="X46" s="35">
        <f t="shared" si="10"/>
        <v>0</v>
      </c>
      <c r="Y46" s="35">
        <f t="shared" si="10"/>
        <v>0</v>
      </c>
      <c r="Z46" s="35">
        <f t="shared" si="10"/>
        <v>0</v>
      </c>
      <c r="AA46" s="35">
        <f t="shared" si="10"/>
        <v>0</v>
      </c>
      <c r="AB46" s="35">
        <f t="shared" si="10"/>
        <v>0</v>
      </c>
      <c r="AC46" s="35">
        <f t="shared" si="10"/>
        <v>0</v>
      </c>
      <c r="AD46" s="35">
        <f t="shared" si="10"/>
        <v>0</v>
      </c>
      <c r="AE46" s="35">
        <f t="shared" si="10"/>
        <v>0</v>
      </c>
      <c r="AF46" s="35">
        <f t="shared" si="10"/>
        <v>0</v>
      </c>
      <c r="AG46" s="35">
        <f t="shared" si="10"/>
        <v>0</v>
      </c>
      <c r="AH46" s="4">
        <f t="shared" si="11"/>
        <v>0</v>
      </c>
    </row>
    <row r="47" spans="1:34">
      <c r="A47" s="1" t="s">
        <v>7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">
        <f t="shared" si="9"/>
        <v>0</v>
      </c>
      <c r="R47" s="1" t="s">
        <v>7</v>
      </c>
      <c r="S47" s="35">
        <f t="shared" si="10"/>
        <v>0</v>
      </c>
      <c r="T47" s="35">
        <f t="shared" si="10"/>
        <v>0</v>
      </c>
      <c r="U47" s="35">
        <f t="shared" si="10"/>
        <v>0</v>
      </c>
      <c r="V47" s="35">
        <f t="shared" si="10"/>
        <v>0</v>
      </c>
      <c r="W47" s="35">
        <f t="shared" si="10"/>
        <v>0</v>
      </c>
      <c r="X47" s="35">
        <f t="shared" si="10"/>
        <v>0</v>
      </c>
      <c r="Y47" s="35">
        <f t="shared" si="10"/>
        <v>0</v>
      </c>
      <c r="Z47" s="35">
        <f t="shared" si="10"/>
        <v>0</v>
      </c>
      <c r="AA47" s="35">
        <f t="shared" si="10"/>
        <v>0</v>
      </c>
      <c r="AB47" s="35">
        <f t="shared" si="10"/>
        <v>0</v>
      </c>
      <c r="AC47" s="35">
        <f t="shared" si="10"/>
        <v>0</v>
      </c>
      <c r="AD47" s="35">
        <f t="shared" si="10"/>
        <v>0</v>
      </c>
      <c r="AE47" s="35">
        <f t="shared" si="10"/>
        <v>0</v>
      </c>
      <c r="AF47" s="35">
        <f t="shared" si="10"/>
        <v>0</v>
      </c>
      <c r="AG47" s="35">
        <f t="shared" si="10"/>
        <v>0</v>
      </c>
      <c r="AH47" s="4">
        <f t="shared" si="11"/>
        <v>0</v>
      </c>
    </row>
    <row r="48" spans="1:34">
      <c r="A48" s="1" t="s">
        <v>8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4">
        <f t="shared" si="9"/>
        <v>0</v>
      </c>
      <c r="R48" s="1" t="s">
        <v>8</v>
      </c>
      <c r="S48" s="35">
        <f t="shared" si="10"/>
        <v>0</v>
      </c>
      <c r="T48" s="35">
        <f t="shared" si="10"/>
        <v>0</v>
      </c>
      <c r="U48" s="35">
        <f t="shared" si="10"/>
        <v>0</v>
      </c>
      <c r="V48" s="35">
        <f t="shared" si="10"/>
        <v>0</v>
      </c>
      <c r="W48" s="35">
        <f t="shared" si="10"/>
        <v>0</v>
      </c>
      <c r="X48" s="35">
        <f t="shared" si="10"/>
        <v>0</v>
      </c>
      <c r="Y48" s="35">
        <f t="shared" si="10"/>
        <v>0</v>
      </c>
      <c r="Z48" s="35">
        <f t="shared" si="10"/>
        <v>0</v>
      </c>
      <c r="AA48" s="35">
        <f t="shared" si="10"/>
        <v>0</v>
      </c>
      <c r="AB48" s="35">
        <f t="shared" si="10"/>
        <v>0</v>
      </c>
      <c r="AC48" s="35">
        <f t="shared" si="10"/>
        <v>0</v>
      </c>
      <c r="AD48" s="35">
        <f t="shared" si="10"/>
        <v>0</v>
      </c>
      <c r="AE48" s="35">
        <f t="shared" si="10"/>
        <v>0</v>
      </c>
      <c r="AF48" s="35">
        <f t="shared" si="10"/>
        <v>0</v>
      </c>
      <c r="AG48" s="35">
        <f t="shared" si="10"/>
        <v>0</v>
      </c>
      <c r="AH48" s="4">
        <f t="shared" si="11"/>
        <v>0</v>
      </c>
    </row>
    <row r="49" spans="1:34">
      <c r="A49" s="2" t="s">
        <v>9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4">
        <f t="shared" si="9"/>
        <v>0</v>
      </c>
      <c r="R49" s="2" t="s">
        <v>9</v>
      </c>
      <c r="S49" s="35">
        <f t="shared" si="10"/>
        <v>0</v>
      </c>
      <c r="T49" s="35">
        <f t="shared" si="10"/>
        <v>0</v>
      </c>
      <c r="U49" s="35">
        <f t="shared" si="10"/>
        <v>0</v>
      </c>
      <c r="V49" s="35">
        <f t="shared" si="10"/>
        <v>0</v>
      </c>
      <c r="W49" s="35">
        <f t="shared" si="10"/>
        <v>0</v>
      </c>
      <c r="X49" s="35">
        <f t="shared" si="10"/>
        <v>0</v>
      </c>
      <c r="Y49" s="35">
        <f t="shared" si="10"/>
        <v>0</v>
      </c>
      <c r="Z49" s="35">
        <f t="shared" si="10"/>
        <v>0</v>
      </c>
      <c r="AA49" s="35">
        <f t="shared" si="10"/>
        <v>0</v>
      </c>
      <c r="AB49" s="35">
        <f t="shared" si="10"/>
        <v>0</v>
      </c>
      <c r="AC49" s="35">
        <f t="shared" si="10"/>
        <v>0</v>
      </c>
      <c r="AD49" s="35">
        <f t="shared" si="10"/>
        <v>0</v>
      </c>
      <c r="AE49" s="35">
        <f t="shared" si="10"/>
        <v>0</v>
      </c>
      <c r="AF49" s="35">
        <f t="shared" si="10"/>
        <v>0</v>
      </c>
      <c r="AG49" s="35">
        <f t="shared" si="10"/>
        <v>0</v>
      </c>
      <c r="AH49" s="4">
        <f t="shared" si="11"/>
        <v>0</v>
      </c>
    </row>
    <row r="50" spans="1:34">
      <c r="A50" s="18" t="s">
        <v>10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4">
        <f t="shared" si="9"/>
        <v>0</v>
      </c>
      <c r="R50" s="18" t="s">
        <v>10</v>
      </c>
      <c r="S50" s="35">
        <f t="shared" si="10"/>
        <v>0</v>
      </c>
      <c r="T50" s="35">
        <f t="shared" si="10"/>
        <v>0</v>
      </c>
      <c r="U50" s="35">
        <f t="shared" si="10"/>
        <v>0</v>
      </c>
      <c r="V50" s="35">
        <f t="shared" si="10"/>
        <v>0</v>
      </c>
      <c r="W50" s="35">
        <f t="shared" si="10"/>
        <v>0</v>
      </c>
      <c r="X50" s="35">
        <f t="shared" si="10"/>
        <v>0</v>
      </c>
      <c r="Y50" s="35">
        <f t="shared" si="10"/>
        <v>0</v>
      </c>
      <c r="Z50" s="35">
        <f t="shared" si="10"/>
        <v>0</v>
      </c>
      <c r="AA50" s="35">
        <f t="shared" si="10"/>
        <v>0</v>
      </c>
      <c r="AB50" s="35">
        <f t="shared" si="10"/>
        <v>0</v>
      </c>
      <c r="AC50" s="35">
        <f t="shared" si="10"/>
        <v>0</v>
      </c>
      <c r="AD50" s="35">
        <f t="shared" si="10"/>
        <v>0</v>
      </c>
      <c r="AE50" s="35">
        <f t="shared" si="10"/>
        <v>0</v>
      </c>
      <c r="AF50" s="35">
        <f t="shared" si="10"/>
        <v>0</v>
      </c>
      <c r="AG50" s="35">
        <f t="shared" si="10"/>
        <v>0</v>
      </c>
      <c r="AH50" s="4">
        <f t="shared" si="11"/>
        <v>0</v>
      </c>
    </row>
    <row r="51" spans="1:34">
      <c r="A51" s="1" t="s">
        <v>11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">
        <f t="shared" si="9"/>
        <v>0</v>
      </c>
      <c r="R51" s="1" t="s">
        <v>11</v>
      </c>
      <c r="S51" s="35">
        <f t="shared" si="10"/>
        <v>0</v>
      </c>
      <c r="T51" s="35">
        <f t="shared" si="10"/>
        <v>0</v>
      </c>
      <c r="U51" s="35">
        <f t="shared" si="10"/>
        <v>0</v>
      </c>
      <c r="V51" s="35">
        <f t="shared" si="10"/>
        <v>0</v>
      </c>
      <c r="W51" s="35">
        <f t="shared" si="10"/>
        <v>0</v>
      </c>
      <c r="X51" s="35">
        <f t="shared" si="10"/>
        <v>0</v>
      </c>
      <c r="Y51" s="35">
        <f t="shared" si="10"/>
        <v>0</v>
      </c>
      <c r="Z51" s="35">
        <f t="shared" si="10"/>
        <v>0</v>
      </c>
      <c r="AA51" s="35">
        <f t="shared" si="10"/>
        <v>0</v>
      </c>
      <c r="AB51" s="35">
        <f t="shared" si="10"/>
        <v>0</v>
      </c>
      <c r="AC51" s="35">
        <f t="shared" si="10"/>
        <v>0</v>
      </c>
      <c r="AD51" s="35">
        <f t="shared" si="10"/>
        <v>0</v>
      </c>
      <c r="AE51" s="35">
        <f t="shared" si="10"/>
        <v>0</v>
      </c>
      <c r="AF51" s="35">
        <f t="shared" si="10"/>
        <v>0</v>
      </c>
      <c r="AG51" s="35">
        <f t="shared" si="10"/>
        <v>0</v>
      </c>
      <c r="AH51" s="4">
        <f t="shared" si="11"/>
        <v>0</v>
      </c>
    </row>
    <row r="52" spans="1:34">
      <c r="A52" s="1" t="s">
        <v>12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4">
        <f t="shared" si="9"/>
        <v>0</v>
      </c>
      <c r="R52" s="1" t="s">
        <v>12</v>
      </c>
      <c r="S52" s="35">
        <f t="shared" si="10"/>
        <v>0</v>
      </c>
      <c r="T52" s="35">
        <f t="shared" si="10"/>
        <v>0</v>
      </c>
      <c r="U52" s="35">
        <f t="shared" si="10"/>
        <v>0</v>
      </c>
      <c r="V52" s="35">
        <f t="shared" si="10"/>
        <v>0</v>
      </c>
      <c r="W52" s="35">
        <f t="shared" si="10"/>
        <v>0</v>
      </c>
      <c r="X52" s="35">
        <f t="shared" si="10"/>
        <v>0</v>
      </c>
      <c r="Y52" s="35">
        <f t="shared" si="10"/>
        <v>0</v>
      </c>
      <c r="Z52" s="35">
        <f t="shared" si="10"/>
        <v>0</v>
      </c>
      <c r="AA52" s="35">
        <f t="shared" si="10"/>
        <v>0</v>
      </c>
      <c r="AB52" s="35">
        <f t="shared" si="10"/>
        <v>0</v>
      </c>
      <c r="AC52" s="35">
        <f t="shared" si="10"/>
        <v>0</v>
      </c>
      <c r="AD52" s="35">
        <f t="shared" si="10"/>
        <v>0</v>
      </c>
      <c r="AE52" s="35">
        <f t="shared" si="10"/>
        <v>0</v>
      </c>
      <c r="AF52" s="35">
        <f t="shared" si="10"/>
        <v>0</v>
      </c>
      <c r="AG52" s="35">
        <f t="shared" si="10"/>
        <v>0</v>
      </c>
      <c r="AH52" s="4">
        <f t="shared" si="11"/>
        <v>0</v>
      </c>
    </row>
    <row r="53" spans="1:34">
      <c r="A53" s="1" t="s">
        <v>15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4">
        <f t="shared" si="9"/>
        <v>0</v>
      </c>
      <c r="R53" s="1" t="s">
        <v>15</v>
      </c>
      <c r="S53" s="35">
        <f t="shared" si="10"/>
        <v>0</v>
      </c>
      <c r="T53" s="35">
        <f t="shared" si="10"/>
        <v>0</v>
      </c>
      <c r="U53" s="35">
        <f t="shared" si="10"/>
        <v>0</v>
      </c>
      <c r="V53" s="35">
        <f t="shared" si="10"/>
        <v>0</v>
      </c>
      <c r="W53" s="35">
        <f t="shared" si="10"/>
        <v>0</v>
      </c>
      <c r="X53" s="35">
        <f t="shared" si="10"/>
        <v>0</v>
      </c>
      <c r="Y53" s="35">
        <f t="shared" si="10"/>
        <v>0</v>
      </c>
      <c r="Z53" s="35">
        <f t="shared" si="10"/>
        <v>0</v>
      </c>
      <c r="AA53" s="35">
        <f t="shared" si="10"/>
        <v>0</v>
      </c>
      <c r="AB53" s="35">
        <f t="shared" si="10"/>
        <v>0</v>
      </c>
      <c r="AC53" s="35">
        <f t="shared" si="10"/>
        <v>0</v>
      </c>
      <c r="AD53" s="35">
        <f t="shared" si="10"/>
        <v>0</v>
      </c>
      <c r="AE53" s="35">
        <f t="shared" si="10"/>
        <v>0</v>
      </c>
      <c r="AF53" s="35">
        <f t="shared" si="10"/>
        <v>0</v>
      </c>
      <c r="AG53" s="35">
        <f t="shared" si="10"/>
        <v>0</v>
      </c>
      <c r="AH53" s="4">
        <f t="shared" si="11"/>
        <v>0</v>
      </c>
    </row>
    <row r="54" spans="1:34">
      <c r="A54" s="1" t="s">
        <v>14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4">
        <f t="shared" si="9"/>
        <v>0</v>
      </c>
      <c r="R54" s="1" t="s">
        <v>14</v>
      </c>
      <c r="S54" s="35">
        <f t="shared" si="10"/>
        <v>0</v>
      </c>
      <c r="T54" s="35">
        <f t="shared" si="10"/>
        <v>0</v>
      </c>
      <c r="U54" s="35">
        <f t="shared" si="10"/>
        <v>0</v>
      </c>
      <c r="V54" s="35">
        <f t="shared" si="10"/>
        <v>0</v>
      </c>
      <c r="W54" s="35">
        <f t="shared" si="10"/>
        <v>0</v>
      </c>
      <c r="X54" s="35">
        <f t="shared" si="10"/>
        <v>0</v>
      </c>
      <c r="Y54" s="35">
        <f t="shared" si="10"/>
        <v>0</v>
      </c>
      <c r="Z54" s="35">
        <f t="shared" si="10"/>
        <v>0</v>
      </c>
      <c r="AA54" s="35">
        <f t="shared" si="10"/>
        <v>0</v>
      </c>
      <c r="AB54" s="35">
        <f t="shared" si="10"/>
        <v>0</v>
      </c>
      <c r="AC54" s="35">
        <f t="shared" si="10"/>
        <v>0</v>
      </c>
      <c r="AD54" s="35">
        <f t="shared" si="10"/>
        <v>0</v>
      </c>
      <c r="AE54" s="35">
        <f t="shared" si="10"/>
        <v>0</v>
      </c>
      <c r="AF54" s="35">
        <f t="shared" si="10"/>
        <v>0</v>
      </c>
      <c r="AG54" s="35">
        <f t="shared" si="10"/>
        <v>0</v>
      </c>
      <c r="AH54" s="4">
        <f t="shared" si="11"/>
        <v>0</v>
      </c>
    </row>
    <row r="55" spans="1:34">
      <c r="A55" s="18" t="s">
        <v>13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4">
        <f t="shared" si="9"/>
        <v>0</v>
      </c>
      <c r="R55" s="18" t="s">
        <v>13</v>
      </c>
      <c r="S55" s="35">
        <f t="shared" si="10"/>
        <v>0</v>
      </c>
      <c r="T55" s="35">
        <f t="shared" si="10"/>
        <v>0</v>
      </c>
      <c r="U55" s="35">
        <f t="shared" si="10"/>
        <v>0</v>
      </c>
      <c r="V55" s="35">
        <f t="shared" si="10"/>
        <v>0</v>
      </c>
      <c r="W55" s="35">
        <f t="shared" si="10"/>
        <v>0</v>
      </c>
      <c r="X55" s="35">
        <f t="shared" si="10"/>
        <v>0</v>
      </c>
      <c r="Y55" s="35">
        <f t="shared" si="10"/>
        <v>0</v>
      </c>
      <c r="Z55" s="35">
        <f t="shared" si="10"/>
        <v>0</v>
      </c>
      <c r="AA55" s="35">
        <f t="shared" si="10"/>
        <v>0</v>
      </c>
      <c r="AB55" s="35">
        <f t="shared" si="10"/>
        <v>0</v>
      </c>
      <c r="AC55" s="35">
        <f t="shared" si="10"/>
        <v>0</v>
      </c>
      <c r="AD55" s="35">
        <f t="shared" si="10"/>
        <v>0</v>
      </c>
      <c r="AE55" s="35">
        <f t="shared" si="10"/>
        <v>0</v>
      </c>
      <c r="AF55" s="35">
        <f t="shared" si="10"/>
        <v>0</v>
      </c>
      <c r="AG55" s="35">
        <f t="shared" si="10"/>
        <v>0</v>
      </c>
      <c r="AH55" s="4">
        <f t="shared" si="11"/>
        <v>0</v>
      </c>
    </row>
    <row r="56" spans="1:34">
      <c r="A56" s="1" t="s">
        <v>16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4">
        <f t="shared" si="9"/>
        <v>0</v>
      </c>
      <c r="R56" s="1" t="s">
        <v>16</v>
      </c>
      <c r="S56" s="35">
        <f t="shared" si="10"/>
        <v>0</v>
      </c>
      <c r="T56" s="35">
        <f t="shared" si="10"/>
        <v>0</v>
      </c>
      <c r="U56" s="35">
        <f t="shared" si="10"/>
        <v>0</v>
      </c>
      <c r="V56" s="35">
        <f t="shared" si="10"/>
        <v>0</v>
      </c>
      <c r="W56" s="35">
        <f t="shared" si="10"/>
        <v>0</v>
      </c>
      <c r="X56" s="35">
        <f t="shared" si="10"/>
        <v>0</v>
      </c>
      <c r="Y56" s="35">
        <f t="shared" si="10"/>
        <v>0</v>
      </c>
      <c r="Z56" s="35">
        <f t="shared" si="10"/>
        <v>0</v>
      </c>
      <c r="AA56" s="35">
        <f t="shared" si="10"/>
        <v>0</v>
      </c>
      <c r="AB56" s="35">
        <f t="shared" si="10"/>
        <v>0</v>
      </c>
      <c r="AC56" s="35">
        <f t="shared" si="10"/>
        <v>0</v>
      </c>
      <c r="AD56" s="35">
        <f t="shared" si="10"/>
        <v>0</v>
      </c>
      <c r="AE56" s="35">
        <f t="shared" si="10"/>
        <v>0</v>
      </c>
      <c r="AF56" s="35">
        <f t="shared" si="10"/>
        <v>0</v>
      </c>
      <c r="AG56" s="35">
        <f t="shared" ref="AG56" si="12">AG91*0.2</f>
        <v>0</v>
      </c>
      <c r="AH56" s="4">
        <f t="shared" si="11"/>
        <v>0</v>
      </c>
    </row>
    <row r="57" spans="1:34">
      <c r="A57" s="1" t="s">
        <v>17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4">
        <f t="shared" si="9"/>
        <v>0</v>
      </c>
      <c r="R57" s="1" t="s">
        <v>17</v>
      </c>
      <c r="S57" s="35">
        <f t="shared" ref="S57:AG66" si="13">S92*0.2</f>
        <v>0</v>
      </c>
      <c r="T57" s="35">
        <f t="shared" si="13"/>
        <v>0</v>
      </c>
      <c r="U57" s="35">
        <f t="shared" si="13"/>
        <v>0</v>
      </c>
      <c r="V57" s="35">
        <f t="shared" si="13"/>
        <v>0</v>
      </c>
      <c r="W57" s="35">
        <f t="shared" si="13"/>
        <v>0</v>
      </c>
      <c r="X57" s="35">
        <f t="shared" si="13"/>
        <v>0</v>
      </c>
      <c r="Y57" s="35">
        <f t="shared" si="13"/>
        <v>0</v>
      </c>
      <c r="Z57" s="35">
        <f t="shared" si="13"/>
        <v>0</v>
      </c>
      <c r="AA57" s="35">
        <f t="shared" si="13"/>
        <v>0</v>
      </c>
      <c r="AB57" s="35">
        <f t="shared" si="13"/>
        <v>0</v>
      </c>
      <c r="AC57" s="35">
        <f t="shared" si="13"/>
        <v>0</v>
      </c>
      <c r="AD57" s="35">
        <f t="shared" si="13"/>
        <v>0</v>
      </c>
      <c r="AE57" s="35">
        <f t="shared" si="13"/>
        <v>0</v>
      </c>
      <c r="AF57" s="35">
        <f t="shared" si="13"/>
        <v>0</v>
      </c>
      <c r="AG57" s="35">
        <f t="shared" si="13"/>
        <v>0</v>
      </c>
      <c r="AH57" s="4">
        <f t="shared" si="11"/>
        <v>0</v>
      </c>
    </row>
    <row r="58" spans="1:34">
      <c r="A58" s="1" t="s">
        <v>18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4">
        <f t="shared" si="9"/>
        <v>0</v>
      </c>
      <c r="R58" s="1" t="s">
        <v>18</v>
      </c>
      <c r="S58" s="35">
        <f t="shared" si="13"/>
        <v>0</v>
      </c>
      <c r="T58" s="35">
        <f t="shared" si="13"/>
        <v>0</v>
      </c>
      <c r="U58" s="35">
        <f t="shared" si="13"/>
        <v>0</v>
      </c>
      <c r="V58" s="35">
        <f t="shared" si="13"/>
        <v>0</v>
      </c>
      <c r="W58" s="35">
        <f t="shared" si="13"/>
        <v>0</v>
      </c>
      <c r="X58" s="35">
        <f t="shared" si="13"/>
        <v>0</v>
      </c>
      <c r="Y58" s="35">
        <f t="shared" si="13"/>
        <v>0</v>
      </c>
      <c r="Z58" s="35">
        <f t="shared" si="13"/>
        <v>0</v>
      </c>
      <c r="AA58" s="35">
        <f t="shared" si="13"/>
        <v>0</v>
      </c>
      <c r="AB58" s="35">
        <f t="shared" si="13"/>
        <v>0</v>
      </c>
      <c r="AC58" s="35">
        <f t="shared" si="13"/>
        <v>0</v>
      </c>
      <c r="AD58" s="35">
        <f t="shared" si="13"/>
        <v>0</v>
      </c>
      <c r="AE58" s="35">
        <f t="shared" si="13"/>
        <v>0</v>
      </c>
      <c r="AF58" s="35">
        <f t="shared" si="13"/>
        <v>0</v>
      </c>
      <c r="AG58" s="35">
        <f t="shared" si="13"/>
        <v>0</v>
      </c>
      <c r="AH58" s="4">
        <f t="shared" si="11"/>
        <v>0</v>
      </c>
    </row>
    <row r="59" spans="1:34">
      <c r="A59" s="1" t="s">
        <v>20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">
        <f t="shared" si="9"/>
        <v>0</v>
      </c>
      <c r="R59" s="1" t="s">
        <v>20</v>
      </c>
      <c r="S59" s="35">
        <f t="shared" si="13"/>
        <v>0</v>
      </c>
      <c r="T59" s="35">
        <f t="shared" si="13"/>
        <v>0</v>
      </c>
      <c r="U59" s="35">
        <f t="shared" si="13"/>
        <v>0</v>
      </c>
      <c r="V59" s="35">
        <f t="shared" si="13"/>
        <v>0</v>
      </c>
      <c r="W59" s="35">
        <f t="shared" si="13"/>
        <v>0</v>
      </c>
      <c r="X59" s="35">
        <f t="shared" si="13"/>
        <v>0</v>
      </c>
      <c r="Y59" s="35">
        <f t="shared" si="13"/>
        <v>0</v>
      </c>
      <c r="Z59" s="35">
        <f t="shared" si="13"/>
        <v>0</v>
      </c>
      <c r="AA59" s="35">
        <f t="shared" si="13"/>
        <v>0</v>
      </c>
      <c r="AB59" s="35">
        <f t="shared" si="13"/>
        <v>0</v>
      </c>
      <c r="AC59" s="35">
        <f t="shared" si="13"/>
        <v>0</v>
      </c>
      <c r="AD59" s="35">
        <f t="shared" si="13"/>
        <v>0</v>
      </c>
      <c r="AE59" s="35">
        <f t="shared" si="13"/>
        <v>0</v>
      </c>
      <c r="AF59" s="35">
        <f t="shared" si="13"/>
        <v>0</v>
      </c>
      <c r="AG59" s="35">
        <f t="shared" si="13"/>
        <v>0</v>
      </c>
      <c r="AH59" s="4">
        <f t="shared" si="11"/>
        <v>0</v>
      </c>
    </row>
    <row r="60" spans="1:34">
      <c r="A60" s="1" t="s">
        <v>19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4">
        <f t="shared" si="9"/>
        <v>0</v>
      </c>
      <c r="R60" s="1" t="s">
        <v>19</v>
      </c>
      <c r="S60" s="35">
        <f t="shared" si="13"/>
        <v>0</v>
      </c>
      <c r="T60" s="35">
        <f t="shared" si="13"/>
        <v>0</v>
      </c>
      <c r="U60" s="35">
        <f t="shared" si="13"/>
        <v>0</v>
      </c>
      <c r="V60" s="35">
        <f t="shared" si="13"/>
        <v>0</v>
      </c>
      <c r="W60" s="35">
        <f t="shared" si="13"/>
        <v>0</v>
      </c>
      <c r="X60" s="35">
        <f t="shared" si="13"/>
        <v>0</v>
      </c>
      <c r="Y60" s="35">
        <f t="shared" si="13"/>
        <v>0</v>
      </c>
      <c r="Z60" s="35">
        <f t="shared" si="13"/>
        <v>0</v>
      </c>
      <c r="AA60" s="35">
        <f t="shared" si="13"/>
        <v>0</v>
      </c>
      <c r="AB60" s="35">
        <f t="shared" si="13"/>
        <v>0</v>
      </c>
      <c r="AC60" s="35">
        <f t="shared" si="13"/>
        <v>0</v>
      </c>
      <c r="AD60" s="35">
        <f t="shared" si="13"/>
        <v>0</v>
      </c>
      <c r="AE60" s="35">
        <f t="shared" si="13"/>
        <v>0</v>
      </c>
      <c r="AF60" s="35">
        <f t="shared" si="13"/>
        <v>0</v>
      </c>
      <c r="AG60" s="35">
        <f t="shared" si="13"/>
        <v>0</v>
      </c>
      <c r="AH60" s="4">
        <f t="shared" si="11"/>
        <v>0</v>
      </c>
    </row>
    <row r="61" spans="1:34">
      <c r="A61" s="18" t="s">
        <v>21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4">
        <f t="shared" si="9"/>
        <v>0</v>
      </c>
      <c r="R61" s="18" t="s">
        <v>21</v>
      </c>
      <c r="S61" s="35">
        <f t="shared" si="13"/>
        <v>0</v>
      </c>
      <c r="T61" s="35">
        <f t="shared" si="13"/>
        <v>0</v>
      </c>
      <c r="U61" s="35">
        <f t="shared" si="13"/>
        <v>0</v>
      </c>
      <c r="V61" s="35">
        <f t="shared" si="13"/>
        <v>0</v>
      </c>
      <c r="W61" s="35">
        <f t="shared" si="13"/>
        <v>0</v>
      </c>
      <c r="X61" s="35">
        <f t="shared" si="13"/>
        <v>0</v>
      </c>
      <c r="Y61" s="35">
        <f t="shared" si="13"/>
        <v>0</v>
      </c>
      <c r="Z61" s="35">
        <f t="shared" si="13"/>
        <v>0</v>
      </c>
      <c r="AA61" s="35">
        <f t="shared" si="13"/>
        <v>0</v>
      </c>
      <c r="AB61" s="35">
        <f t="shared" si="13"/>
        <v>0</v>
      </c>
      <c r="AC61" s="35">
        <f t="shared" si="13"/>
        <v>0</v>
      </c>
      <c r="AD61" s="35">
        <f t="shared" si="13"/>
        <v>0</v>
      </c>
      <c r="AE61" s="35">
        <f t="shared" si="13"/>
        <v>0</v>
      </c>
      <c r="AF61" s="35">
        <f t="shared" si="13"/>
        <v>0</v>
      </c>
      <c r="AG61" s="35">
        <f t="shared" si="13"/>
        <v>0</v>
      </c>
      <c r="AH61" s="4">
        <f t="shared" si="11"/>
        <v>0</v>
      </c>
    </row>
    <row r="62" spans="1:34">
      <c r="A62" s="2" t="s">
        <v>22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4">
        <f t="shared" si="9"/>
        <v>0</v>
      </c>
      <c r="R62" s="2" t="s">
        <v>22</v>
      </c>
      <c r="S62" s="35">
        <f t="shared" si="13"/>
        <v>0</v>
      </c>
      <c r="T62" s="35">
        <f t="shared" si="13"/>
        <v>0</v>
      </c>
      <c r="U62" s="35">
        <f t="shared" si="13"/>
        <v>0</v>
      </c>
      <c r="V62" s="35">
        <f t="shared" si="13"/>
        <v>0</v>
      </c>
      <c r="W62" s="35">
        <f t="shared" si="13"/>
        <v>0</v>
      </c>
      <c r="X62" s="35">
        <f t="shared" si="13"/>
        <v>0</v>
      </c>
      <c r="Y62" s="35">
        <f t="shared" si="13"/>
        <v>0</v>
      </c>
      <c r="Z62" s="35">
        <f t="shared" si="13"/>
        <v>0</v>
      </c>
      <c r="AA62" s="35">
        <f t="shared" si="13"/>
        <v>0</v>
      </c>
      <c r="AB62" s="35">
        <f t="shared" si="13"/>
        <v>0</v>
      </c>
      <c r="AC62" s="35">
        <f t="shared" si="13"/>
        <v>0</v>
      </c>
      <c r="AD62" s="35">
        <f t="shared" si="13"/>
        <v>0</v>
      </c>
      <c r="AE62" s="35">
        <f t="shared" si="13"/>
        <v>0</v>
      </c>
      <c r="AF62" s="35">
        <f t="shared" si="13"/>
        <v>0</v>
      </c>
      <c r="AG62" s="35">
        <f t="shared" si="13"/>
        <v>0</v>
      </c>
      <c r="AH62" s="4">
        <f t="shared" si="11"/>
        <v>0</v>
      </c>
    </row>
    <row r="63" spans="1:34">
      <c r="A63" s="1" t="s">
        <v>23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4">
        <f t="shared" si="9"/>
        <v>0</v>
      </c>
      <c r="R63" s="1" t="s">
        <v>23</v>
      </c>
      <c r="S63" s="35">
        <f t="shared" si="13"/>
        <v>0</v>
      </c>
      <c r="T63" s="35">
        <f t="shared" si="13"/>
        <v>0</v>
      </c>
      <c r="U63" s="35">
        <f t="shared" si="13"/>
        <v>0</v>
      </c>
      <c r="V63" s="35">
        <f t="shared" si="13"/>
        <v>0</v>
      </c>
      <c r="W63" s="35">
        <f t="shared" si="13"/>
        <v>0</v>
      </c>
      <c r="X63" s="35">
        <f t="shared" si="13"/>
        <v>0</v>
      </c>
      <c r="Y63" s="35">
        <f t="shared" si="13"/>
        <v>0</v>
      </c>
      <c r="Z63" s="35">
        <f t="shared" si="13"/>
        <v>0</v>
      </c>
      <c r="AA63" s="35">
        <f t="shared" si="13"/>
        <v>0</v>
      </c>
      <c r="AB63" s="35">
        <f t="shared" si="13"/>
        <v>0</v>
      </c>
      <c r="AC63" s="35">
        <f t="shared" si="13"/>
        <v>0</v>
      </c>
      <c r="AD63" s="35">
        <f t="shared" si="13"/>
        <v>0</v>
      </c>
      <c r="AE63" s="35">
        <f t="shared" si="13"/>
        <v>0</v>
      </c>
      <c r="AF63" s="35">
        <f t="shared" si="13"/>
        <v>0</v>
      </c>
      <c r="AG63" s="35">
        <f t="shared" si="13"/>
        <v>0</v>
      </c>
      <c r="AH63" s="4">
        <f t="shared" si="11"/>
        <v>0</v>
      </c>
    </row>
    <row r="64" spans="1:34">
      <c r="A64" s="1" t="s">
        <v>25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4">
        <f t="shared" si="9"/>
        <v>0</v>
      </c>
      <c r="R64" s="1" t="s">
        <v>25</v>
      </c>
      <c r="S64" s="35">
        <f t="shared" si="13"/>
        <v>0</v>
      </c>
      <c r="T64" s="35">
        <f t="shared" si="13"/>
        <v>0</v>
      </c>
      <c r="U64" s="35">
        <f t="shared" si="13"/>
        <v>0</v>
      </c>
      <c r="V64" s="35">
        <f t="shared" si="13"/>
        <v>0</v>
      </c>
      <c r="W64" s="35">
        <f t="shared" si="13"/>
        <v>0</v>
      </c>
      <c r="X64" s="35">
        <f t="shared" si="13"/>
        <v>0</v>
      </c>
      <c r="Y64" s="35">
        <f t="shared" si="13"/>
        <v>0</v>
      </c>
      <c r="Z64" s="35">
        <f t="shared" si="13"/>
        <v>0</v>
      </c>
      <c r="AA64" s="35">
        <f t="shared" si="13"/>
        <v>0</v>
      </c>
      <c r="AB64" s="35">
        <f t="shared" si="13"/>
        <v>0</v>
      </c>
      <c r="AC64" s="35">
        <f t="shared" si="13"/>
        <v>0</v>
      </c>
      <c r="AD64" s="35">
        <f t="shared" si="13"/>
        <v>0</v>
      </c>
      <c r="AE64" s="35">
        <f t="shared" si="13"/>
        <v>0</v>
      </c>
      <c r="AF64" s="35">
        <v>0</v>
      </c>
      <c r="AG64" s="35">
        <v>0</v>
      </c>
      <c r="AH64" s="4">
        <f t="shared" si="11"/>
        <v>0</v>
      </c>
    </row>
    <row r="65" spans="1:34">
      <c r="A65" s="1" t="s">
        <v>24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4">
        <f t="shared" si="9"/>
        <v>0</v>
      </c>
      <c r="R65" s="1" t="s">
        <v>24</v>
      </c>
      <c r="S65" s="35">
        <f t="shared" si="13"/>
        <v>0</v>
      </c>
      <c r="T65" s="35">
        <f t="shared" si="13"/>
        <v>0</v>
      </c>
      <c r="U65" s="35">
        <f t="shared" si="13"/>
        <v>0</v>
      </c>
      <c r="V65" s="35">
        <f t="shared" si="13"/>
        <v>0</v>
      </c>
      <c r="W65" s="35">
        <f t="shared" si="13"/>
        <v>0</v>
      </c>
      <c r="X65" s="35">
        <f t="shared" si="13"/>
        <v>0</v>
      </c>
      <c r="Y65" s="35">
        <f t="shared" si="13"/>
        <v>0</v>
      </c>
      <c r="Z65" s="35">
        <f t="shared" si="13"/>
        <v>0</v>
      </c>
      <c r="AA65" s="35">
        <f t="shared" si="13"/>
        <v>0</v>
      </c>
      <c r="AB65" s="35">
        <f t="shared" si="13"/>
        <v>0</v>
      </c>
      <c r="AC65" s="35">
        <f t="shared" si="13"/>
        <v>0</v>
      </c>
      <c r="AD65" s="35">
        <f t="shared" si="13"/>
        <v>0</v>
      </c>
      <c r="AE65" s="35">
        <f t="shared" si="13"/>
        <v>0</v>
      </c>
      <c r="AF65" s="35">
        <f t="shared" si="13"/>
        <v>0</v>
      </c>
      <c r="AG65" s="35">
        <f t="shared" si="13"/>
        <v>0</v>
      </c>
      <c r="AH65" s="4">
        <f t="shared" si="11"/>
        <v>0</v>
      </c>
    </row>
    <row r="66" spans="1:34">
      <c r="A66" s="1" t="s">
        <v>26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4">
        <f t="shared" si="9"/>
        <v>0</v>
      </c>
      <c r="R66" s="1" t="s">
        <v>26</v>
      </c>
      <c r="S66" s="35">
        <f t="shared" si="13"/>
        <v>0</v>
      </c>
      <c r="T66" s="35">
        <f t="shared" si="13"/>
        <v>0</v>
      </c>
      <c r="U66" s="35">
        <f t="shared" si="13"/>
        <v>0</v>
      </c>
      <c r="V66" s="35">
        <f t="shared" si="13"/>
        <v>0</v>
      </c>
      <c r="W66" s="35">
        <f t="shared" si="13"/>
        <v>0</v>
      </c>
      <c r="X66" s="35">
        <f t="shared" si="13"/>
        <v>0</v>
      </c>
      <c r="Y66" s="35">
        <f t="shared" si="13"/>
        <v>0</v>
      </c>
      <c r="Z66" s="35">
        <f t="shared" si="13"/>
        <v>0</v>
      </c>
      <c r="AA66" s="35">
        <f t="shared" si="13"/>
        <v>0</v>
      </c>
      <c r="AB66" s="35">
        <f t="shared" si="13"/>
        <v>0</v>
      </c>
      <c r="AC66" s="35">
        <f t="shared" si="13"/>
        <v>0</v>
      </c>
      <c r="AD66" s="35">
        <f t="shared" si="13"/>
        <v>0</v>
      </c>
      <c r="AE66" s="35">
        <f t="shared" si="13"/>
        <v>0</v>
      </c>
      <c r="AF66" s="35">
        <f t="shared" si="13"/>
        <v>0</v>
      </c>
      <c r="AG66" s="35">
        <f t="shared" si="13"/>
        <v>0</v>
      </c>
      <c r="AH66" s="4">
        <f t="shared" si="11"/>
        <v>0</v>
      </c>
    </row>
    <row r="67" spans="1:34">
      <c r="A67" s="8" t="s">
        <v>37</v>
      </c>
      <c r="B67" s="9">
        <f>SUM(B40:B66)</f>
        <v>0</v>
      </c>
      <c r="C67" s="9">
        <f t="shared" ref="C67:N67" si="14">SUM(C40:C66)</f>
        <v>0</v>
      </c>
      <c r="D67" s="9">
        <f t="shared" si="14"/>
        <v>0</v>
      </c>
      <c r="E67" s="9">
        <f t="shared" si="14"/>
        <v>0</v>
      </c>
      <c r="F67" s="9">
        <f t="shared" si="14"/>
        <v>0</v>
      </c>
      <c r="G67" s="9">
        <f t="shared" si="14"/>
        <v>0</v>
      </c>
      <c r="H67" s="9">
        <f t="shared" si="14"/>
        <v>0</v>
      </c>
      <c r="I67" s="9">
        <f t="shared" si="14"/>
        <v>0</v>
      </c>
      <c r="J67" s="9">
        <f t="shared" si="14"/>
        <v>0</v>
      </c>
      <c r="K67" s="9">
        <f t="shared" si="14"/>
        <v>0</v>
      </c>
      <c r="L67" s="9">
        <f t="shared" si="14"/>
        <v>0</v>
      </c>
      <c r="M67" s="9">
        <f t="shared" si="14"/>
        <v>0</v>
      </c>
      <c r="N67" s="9">
        <f t="shared" si="14"/>
        <v>0</v>
      </c>
      <c r="O67" s="13">
        <f>SUM(O40:O66)</f>
        <v>0</v>
      </c>
      <c r="R67" s="8" t="s">
        <v>37</v>
      </c>
      <c r="S67" s="9">
        <f>SUM(S40:S66)</f>
        <v>0</v>
      </c>
      <c r="T67" s="9">
        <f t="shared" ref="T67:AG67" si="15">SUM(T40:T66)</f>
        <v>0</v>
      </c>
      <c r="U67" s="9">
        <f t="shared" si="15"/>
        <v>0</v>
      </c>
      <c r="V67" s="9">
        <f t="shared" si="15"/>
        <v>0</v>
      </c>
      <c r="W67" s="9">
        <f t="shared" si="15"/>
        <v>0</v>
      </c>
      <c r="X67" s="9">
        <f t="shared" si="15"/>
        <v>0</v>
      </c>
      <c r="Y67" s="9">
        <f t="shared" si="15"/>
        <v>0</v>
      </c>
      <c r="Z67" s="9">
        <f t="shared" si="15"/>
        <v>0</v>
      </c>
      <c r="AA67" s="9">
        <f t="shared" si="15"/>
        <v>0</v>
      </c>
      <c r="AB67" s="9">
        <f t="shared" si="15"/>
        <v>0</v>
      </c>
      <c r="AC67" s="9">
        <f t="shared" si="15"/>
        <v>0</v>
      </c>
      <c r="AD67" s="9">
        <f t="shared" si="15"/>
        <v>0</v>
      </c>
      <c r="AE67" s="9">
        <f t="shared" si="15"/>
        <v>0</v>
      </c>
      <c r="AF67" s="9">
        <f t="shared" si="15"/>
        <v>0</v>
      </c>
      <c r="AG67" s="9">
        <f t="shared" si="15"/>
        <v>0</v>
      </c>
      <c r="AH67" s="13">
        <f>SUM(AH40:AH66)</f>
        <v>0</v>
      </c>
    </row>
    <row r="68" spans="1:34" ht="18.75">
      <c r="O68" s="3"/>
      <c r="R68" s="44" t="s">
        <v>50</v>
      </c>
      <c r="AH68" s="3"/>
    </row>
    <row r="69" spans="1:34" s="34" customFormat="1">
      <c r="A69" s="298" t="s">
        <v>47</v>
      </c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O69" s="33"/>
      <c r="R69" s="31"/>
      <c r="S69" s="31"/>
      <c r="T69" s="32"/>
      <c r="U69" s="32"/>
      <c r="V69" s="32"/>
      <c r="W69" s="32"/>
      <c r="X69" s="32"/>
      <c r="Y69" s="32"/>
      <c r="Z69" s="32"/>
      <c r="AA69" s="32"/>
      <c r="AB69" s="32"/>
      <c r="AH69" s="33"/>
    </row>
    <row r="70" spans="1:34">
      <c r="A70" s="39" t="s">
        <v>14</v>
      </c>
      <c r="B70" s="40">
        <f>B19*0.2</f>
        <v>0</v>
      </c>
      <c r="C70" s="40">
        <f t="shared" ref="C70:N70" si="16">C19*0.2</f>
        <v>0</v>
      </c>
      <c r="D70" s="40">
        <f t="shared" si="16"/>
        <v>0</v>
      </c>
      <c r="E70" s="40">
        <f t="shared" si="16"/>
        <v>0</v>
      </c>
      <c r="F70" s="40">
        <f t="shared" si="16"/>
        <v>0</v>
      </c>
      <c r="G70" s="40">
        <f t="shared" si="16"/>
        <v>0</v>
      </c>
      <c r="H70" s="40">
        <f t="shared" si="16"/>
        <v>0</v>
      </c>
      <c r="I70" s="40">
        <f t="shared" si="16"/>
        <v>0</v>
      </c>
      <c r="J70" s="40">
        <f t="shared" si="16"/>
        <v>0</v>
      </c>
      <c r="K70" s="40">
        <f t="shared" si="16"/>
        <v>0</v>
      </c>
      <c r="L70" s="40">
        <f t="shared" si="16"/>
        <v>0</v>
      </c>
      <c r="M70" s="40">
        <f t="shared" si="16"/>
        <v>0</v>
      </c>
      <c r="N70" s="40">
        <f t="shared" si="16"/>
        <v>0</v>
      </c>
      <c r="O70" s="41">
        <f>SUM(B70:N70)</f>
        <v>0</v>
      </c>
      <c r="R70"/>
      <c r="AC70" s="3"/>
      <c r="AD70" s="3"/>
      <c r="AE70" s="3"/>
      <c r="AF70" s="3"/>
      <c r="AG70" s="3"/>
    </row>
    <row r="71" spans="1:34">
      <c r="R71"/>
    </row>
    <row r="72" spans="1:34" ht="46.5">
      <c r="A72" s="292" t="s">
        <v>38</v>
      </c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  <c r="R72" s="292" t="s">
        <v>48</v>
      </c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4"/>
    </row>
    <row r="73" spans="1:34" ht="21.75" customHeight="1">
      <c r="A73" s="290" t="s">
        <v>33</v>
      </c>
      <c r="B73" s="287" t="s">
        <v>27</v>
      </c>
      <c r="C73" s="288"/>
      <c r="D73" s="287" t="s">
        <v>29</v>
      </c>
      <c r="E73" s="288"/>
      <c r="F73" s="285" t="s">
        <v>28</v>
      </c>
      <c r="G73" s="285" t="s">
        <v>36</v>
      </c>
      <c r="H73" s="285" t="s">
        <v>30</v>
      </c>
      <c r="I73" s="285" t="s">
        <v>31</v>
      </c>
      <c r="J73" s="285" t="s">
        <v>41</v>
      </c>
      <c r="K73" s="285" t="s">
        <v>35</v>
      </c>
      <c r="L73" s="285" t="s">
        <v>40</v>
      </c>
      <c r="M73" s="285" t="s">
        <v>42</v>
      </c>
      <c r="N73" s="285" t="s">
        <v>45</v>
      </c>
      <c r="O73" s="285" t="s">
        <v>34</v>
      </c>
      <c r="R73" s="290" t="s">
        <v>33</v>
      </c>
      <c r="S73" s="287" t="s">
        <v>27</v>
      </c>
      <c r="T73" s="288"/>
      <c r="U73" s="287" t="s">
        <v>29</v>
      </c>
      <c r="V73" s="288"/>
      <c r="W73" s="285" t="s">
        <v>28</v>
      </c>
      <c r="X73" s="285" t="s">
        <v>36</v>
      </c>
      <c r="Y73" s="285" t="s">
        <v>30</v>
      </c>
      <c r="Z73" s="285" t="s">
        <v>31</v>
      </c>
      <c r="AA73" s="285" t="s">
        <v>41</v>
      </c>
      <c r="AB73" s="285" t="s">
        <v>35</v>
      </c>
      <c r="AC73" s="285" t="s">
        <v>40</v>
      </c>
      <c r="AD73" s="285" t="s">
        <v>42</v>
      </c>
      <c r="AE73" s="285" t="s">
        <v>45</v>
      </c>
      <c r="AF73" s="287" t="s">
        <v>52</v>
      </c>
      <c r="AG73" s="288"/>
      <c r="AH73" s="285" t="s">
        <v>34</v>
      </c>
    </row>
    <row r="74" spans="1:34" ht="30">
      <c r="A74" s="291"/>
      <c r="B74" s="5" t="s">
        <v>43</v>
      </c>
      <c r="C74" s="5" t="s">
        <v>44</v>
      </c>
      <c r="D74" s="5" t="s">
        <v>43</v>
      </c>
      <c r="E74" s="5" t="s">
        <v>44</v>
      </c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R74" s="291"/>
      <c r="S74" s="46" t="s">
        <v>43</v>
      </c>
      <c r="T74" s="46" t="s">
        <v>44</v>
      </c>
      <c r="U74" s="46" t="s">
        <v>43</v>
      </c>
      <c r="V74" s="46" t="s">
        <v>44</v>
      </c>
      <c r="W74" s="286"/>
      <c r="X74" s="286"/>
      <c r="Y74" s="286"/>
      <c r="Z74" s="286"/>
      <c r="AA74" s="286"/>
      <c r="AB74" s="286"/>
      <c r="AC74" s="286"/>
      <c r="AD74" s="286"/>
      <c r="AE74" s="286"/>
      <c r="AF74" s="48" t="s">
        <v>53</v>
      </c>
      <c r="AG74" s="48" t="s">
        <v>54</v>
      </c>
      <c r="AH74" s="286"/>
    </row>
    <row r="75" spans="1:34">
      <c r="A75" s="1" t="s">
        <v>0</v>
      </c>
      <c r="B75" s="22">
        <f>B5+B40</f>
        <v>0</v>
      </c>
      <c r="C75" s="22">
        <f t="shared" ref="C75:N75" si="17">C5+C40</f>
        <v>0</v>
      </c>
      <c r="D75" s="22">
        <f t="shared" si="17"/>
        <v>0</v>
      </c>
      <c r="E75" s="22">
        <f t="shared" si="17"/>
        <v>0</v>
      </c>
      <c r="F75" s="22">
        <f t="shared" si="17"/>
        <v>0</v>
      </c>
      <c r="G75" s="22">
        <f t="shared" si="17"/>
        <v>0</v>
      </c>
      <c r="H75" s="22">
        <f t="shared" si="17"/>
        <v>0</v>
      </c>
      <c r="I75" s="22">
        <f t="shared" si="17"/>
        <v>0</v>
      </c>
      <c r="J75" s="22">
        <f t="shared" si="17"/>
        <v>0</v>
      </c>
      <c r="K75" s="22">
        <f t="shared" si="17"/>
        <v>0</v>
      </c>
      <c r="L75" s="22">
        <f t="shared" si="17"/>
        <v>0</v>
      </c>
      <c r="M75" s="22">
        <f t="shared" si="17"/>
        <v>0</v>
      </c>
      <c r="N75" s="22">
        <f t="shared" si="17"/>
        <v>0</v>
      </c>
      <c r="O75" s="12">
        <f>SUM(B75:N75)</f>
        <v>0</v>
      </c>
      <c r="R75" s="2" t="s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12">
        <f>SUM(S75:AG75)</f>
        <v>0</v>
      </c>
    </row>
    <row r="76" spans="1:34">
      <c r="A76" s="1" t="s">
        <v>1</v>
      </c>
      <c r="B76" s="22">
        <f t="shared" ref="B76:N91" si="18">B6+B41</f>
        <v>0</v>
      </c>
      <c r="C76" s="22">
        <f t="shared" si="18"/>
        <v>0</v>
      </c>
      <c r="D76" s="22">
        <f t="shared" si="18"/>
        <v>0</v>
      </c>
      <c r="E76" s="22">
        <f t="shared" si="18"/>
        <v>0</v>
      </c>
      <c r="F76" s="22">
        <f t="shared" si="18"/>
        <v>0</v>
      </c>
      <c r="G76" s="22">
        <f t="shared" si="18"/>
        <v>0</v>
      </c>
      <c r="H76" s="22">
        <f t="shared" si="18"/>
        <v>0</v>
      </c>
      <c r="I76" s="22">
        <f t="shared" si="18"/>
        <v>0</v>
      </c>
      <c r="J76" s="22">
        <f t="shared" si="18"/>
        <v>0</v>
      </c>
      <c r="K76" s="22">
        <f t="shared" si="18"/>
        <v>0</v>
      </c>
      <c r="L76" s="22">
        <f t="shared" si="18"/>
        <v>0</v>
      </c>
      <c r="M76" s="22">
        <f t="shared" si="18"/>
        <v>0</v>
      </c>
      <c r="N76" s="22">
        <f t="shared" si="18"/>
        <v>0</v>
      </c>
      <c r="O76" s="12">
        <f t="shared" ref="O76:O101" si="19">SUM(B76:N76)</f>
        <v>0</v>
      </c>
      <c r="R76" s="2" t="s">
        <v>1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12">
        <f t="shared" ref="AH76:AH101" si="20">SUM(S76:AG76)</f>
        <v>0</v>
      </c>
    </row>
    <row r="77" spans="1:34">
      <c r="A77" s="18" t="s">
        <v>2</v>
      </c>
      <c r="B77" s="22">
        <f t="shared" si="18"/>
        <v>0</v>
      </c>
      <c r="C77" s="22">
        <f t="shared" si="18"/>
        <v>0</v>
      </c>
      <c r="D77" s="22">
        <f t="shared" si="18"/>
        <v>0</v>
      </c>
      <c r="E77" s="22">
        <f t="shared" si="18"/>
        <v>0</v>
      </c>
      <c r="F77" s="22">
        <f t="shared" si="18"/>
        <v>0</v>
      </c>
      <c r="G77" s="22">
        <f t="shared" si="18"/>
        <v>0</v>
      </c>
      <c r="H77" s="22">
        <f t="shared" si="18"/>
        <v>0</v>
      </c>
      <c r="I77" s="22">
        <f t="shared" si="18"/>
        <v>0</v>
      </c>
      <c r="J77" s="22">
        <f t="shared" si="18"/>
        <v>0</v>
      </c>
      <c r="K77" s="22">
        <f t="shared" si="18"/>
        <v>0</v>
      </c>
      <c r="L77" s="22">
        <f t="shared" si="18"/>
        <v>0</v>
      </c>
      <c r="M77" s="22">
        <f t="shared" si="18"/>
        <v>0</v>
      </c>
      <c r="N77" s="22">
        <f t="shared" si="18"/>
        <v>0</v>
      </c>
      <c r="O77" s="12">
        <f t="shared" si="19"/>
        <v>0</v>
      </c>
      <c r="R77" s="2" t="s">
        <v>2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12">
        <f t="shared" si="20"/>
        <v>0</v>
      </c>
    </row>
    <row r="78" spans="1:34">
      <c r="A78" s="2" t="s">
        <v>3</v>
      </c>
      <c r="B78" s="22">
        <f t="shared" si="18"/>
        <v>0</v>
      </c>
      <c r="C78" s="22">
        <f t="shared" si="18"/>
        <v>0</v>
      </c>
      <c r="D78" s="22">
        <f t="shared" si="18"/>
        <v>0</v>
      </c>
      <c r="E78" s="22">
        <f t="shared" si="18"/>
        <v>0</v>
      </c>
      <c r="F78" s="22">
        <f t="shared" si="18"/>
        <v>0</v>
      </c>
      <c r="G78" s="22">
        <f t="shared" si="18"/>
        <v>0</v>
      </c>
      <c r="H78" s="22">
        <f t="shared" si="18"/>
        <v>0</v>
      </c>
      <c r="I78" s="22">
        <f t="shared" si="18"/>
        <v>0</v>
      </c>
      <c r="J78" s="22">
        <f t="shared" si="18"/>
        <v>0</v>
      </c>
      <c r="K78" s="22">
        <f t="shared" si="18"/>
        <v>0</v>
      </c>
      <c r="L78" s="22">
        <f t="shared" si="18"/>
        <v>0</v>
      </c>
      <c r="M78" s="22">
        <f t="shared" si="18"/>
        <v>0</v>
      </c>
      <c r="N78" s="22">
        <f t="shared" si="18"/>
        <v>0</v>
      </c>
      <c r="O78" s="12">
        <f t="shared" si="19"/>
        <v>0</v>
      </c>
      <c r="R78" s="2" t="s">
        <v>3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12">
        <f t="shared" si="20"/>
        <v>0</v>
      </c>
    </row>
    <row r="79" spans="1:34">
      <c r="A79" s="1" t="s">
        <v>4</v>
      </c>
      <c r="B79" s="22">
        <f t="shared" si="18"/>
        <v>0</v>
      </c>
      <c r="C79" s="22">
        <f t="shared" si="18"/>
        <v>0</v>
      </c>
      <c r="D79" s="22">
        <f t="shared" si="18"/>
        <v>0</v>
      </c>
      <c r="E79" s="22">
        <f t="shared" si="18"/>
        <v>0</v>
      </c>
      <c r="F79" s="22">
        <f t="shared" si="18"/>
        <v>0</v>
      </c>
      <c r="G79" s="22">
        <f t="shared" si="18"/>
        <v>0</v>
      </c>
      <c r="H79" s="22">
        <f t="shared" si="18"/>
        <v>0</v>
      </c>
      <c r="I79" s="22">
        <f t="shared" si="18"/>
        <v>0</v>
      </c>
      <c r="J79" s="22">
        <f t="shared" si="18"/>
        <v>0</v>
      </c>
      <c r="K79" s="22">
        <f t="shared" si="18"/>
        <v>0</v>
      </c>
      <c r="L79" s="22">
        <f t="shared" si="18"/>
        <v>0</v>
      </c>
      <c r="M79" s="22">
        <f t="shared" si="18"/>
        <v>0</v>
      </c>
      <c r="N79" s="22">
        <f t="shared" si="18"/>
        <v>0</v>
      </c>
      <c r="O79" s="12">
        <f t="shared" si="19"/>
        <v>0</v>
      </c>
      <c r="R79" s="2" t="s">
        <v>4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12">
        <f t="shared" si="20"/>
        <v>0</v>
      </c>
    </row>
    <row r="80" spans="1:34">
      <c r="A80" s="1" t="s">
        <v>5</v>
      </c>
      <c r="B80" s="22">
        <f t="shared" si="18"/>
        <v>0</v>
      </c>
      <c r="C80" s="22">
        <f t="shared" si="18"/>
        <v>0</v>
      </c>
      <c r="D80" s="22">
        <f t="shared" si="18"/>
        <v>0</v>
      </c>
      <c r="E80" s="22">
        <f t="shared" si="18"/>
        <v>0</v>
      </c>
      <c r="F80" s="22">
        <f t="shared" si="18"/>
        <v>0</v>
      </c>
      <c r="G80" s="22">
        <f t="shared" si="18"/>
        <v>0</v>
      </c>
      <c r="H80" s="22">
        <f t="shared" si="18"/>
        <v>0</v>
      </c>
      <c r="I80" s="22">
        <f t="shared" si="18"/>
        <v>0</v>
      </c>
      <c r="J80" s="22">
        <f t="shared" si="18"/>
        <v>0</v>
      </c>
      <c r="K80" s="22">
        <f t="shared" si="18"/>
        <v>0</v>
      </c>
      <c r="L80" s="22">
        <f t="shared" si="18"/>
        <v>0</v>
      </c>
      <c r="M80" s="22">
        <f t="shared" si="18"/>
        <v>0</v>
      </c>
      <c r="N80" s="22">
        <f t="shared" si="18"/>
        <v>0</v>
      </c>
      <c r="O80" s="12">
        <f t="shared" si="19"/>
        <v>0</v>
      </c>
      <c r="R80" s="2" t="s">
        <v>5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12">
        <f t="shared" si="20"/>
        <v>0</v>
      </c>
    </row>
    <row r="81" spans="1:34">
      <c r="A81" s="1" t="s">
        <v>6</v>
      </c>
      <c r="B81" s="22">
        <f t="shared" si="18"/>
        <v>0</v>
      </c>
      <c r="C81" s="22">
        <f t="shared" si="18"/>
        <v>0</v>
      </c>
      <c r="D81" s="22">
        <f t="shared" si="18"/>
        <v>0</v>
      </c>
      <c r="E81" s="22">
        <f t="shared" si="18"/>
        <v>0</v>
      </c>
      <c r="F81" s="22">
        <f t="shared" si="18"/>
        <v>0</v>
      </c>
      <c r="G81" s="22">
        <f t="shared" si="18"/>
        <v>0</v>
      </c>
      <c r="H81" s="22">
        <f t="shared" si="18"/>
        <v>0</v>
      </c>
      <c r="I81" s="22">
        <f t="shared" si="18"/>
        <v>0</v>
      </c>
      <c r="J81" s="22">
        <f t="shared" si="18"/>
        <v>0</v>
      </c>
      <c r="K81" s="22">
        <f t="shared" si="18"/>
        <v>0</v>
      </c>
      <c r="L81" s="22">
        <f t="shared" si="18"/>
        <v>0</v>
      </c>
      <c r="M81" s="22">
        <f t="shared" si="18"/>
        <v>0</v>
      </c>
      <c r="N81" s="22">
        <f t="shared" si="18"/>
        <v>0</v>
      </c>
      <c r="O81" s="12">
        <f t="shared" si="19"/>
        <v>0</v>
      </c>
      <c r="R81" s="2" t="s">
        <v>6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12">
        <f t="shared" si="20"/>
        <v>0</v>
      </c>
    </row>
    <row r="82" spans="1:34">
      <c r="A82" s="1" t="s">
        <v>7</v>
      </c>
      <c r="B82" s="22">
        <f t="shared" si="18"/>
        <v>0</v>
      </c>
      <c r="C82" s="22">
        <f t="shared" si="18"/>
        <v>0</v>
      </c>
      <c r="D82" s="22">
        <f t="shared" si="18"/>
        <v>0</v>
      </c>
      <c r="E82" s="22">
        <f t="shared" si="18"/>
        <v>0</v>
      </c>
      <c r="F82" s="22">
        <f t="shared" si="18"/>
        <v>0</v>
      </c>
      <c r="G82" s="22">
        <f t="shared" si="18"/>
        <v>0</v>
      </c>
      <c r="H82" s="22">
        <f t="shared" si="18"/>
        <v>0</v>
      </c>
      <c r="I82" s="22">
        <f t="shared" si="18"/>
        <v>0</v>
      </c>
      <c r="J82" s="22">
        <f>J12+J47</f>
        <v>0</v>
      </c>
      <c r="K82" s="22">
        <f t="shared" si="18"/>
        <v>0</v>
      </c>
      <c r="L82" s="22">
        <f t="shared" si="18"/>
        <v>0</v>
      </c>
      <c r="M82" s="22">
        <f t="shared" si="18"/>
        <v>0</v>
      </c>
      <c r="N82" s="22">
        <f t="shared" si="18"/>
        <v>0</v>
      </c>
      <c r="O82" s="12">
        <f t="shared" si="19"/>
        <v>0</v>
      </c>
      <c r="R82" s="2" t="s">
        <v>7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12">
        <f t="shared" si="20"/>
        <v>0</v>
      </c>
    </row>
    <row r="83" spans="1:34">
      <c r="A83" s="1" t="s">
        <v>8</v>
      </c>
      <c r="B83" s="22">
        <f t="shared" si="18"/>
        <v>0</v>
      </c>
      <c r="C83" s="22">
        <f t="shared" si="18"/>
        <v>0</v>
      </c>
      <c r="D83" s="22">
        <f t="shared" si="18"/>
        <v>0</v>
      </c>
      <c r="E83" s="22">
        <f t="shared" si="18"/>
        <v>0</v>
      </c>
      <c r="F83" s="22">
        <f t="shared" si="18"/>
        <v>0</v>
      </c>
      <c r="G83" s="22">
        <f t="shared" si="18"/>
        <v>0</v>
      </c>
      <c r="H83" s="22">
        <f t="shared" si="18"/>
        <v>0</v>
      </c>
      <c r="I83" s="22">
        <f t="shared" si="18"/>
        <v>0</v>
      </c>
      <c r="J83" s="22">
        <f t="shared" si="18"/>
        <v>0</v>
      </c>
      <c r="K83" s="22">
        <f t="shared" si="18"/>
        <v>0</v>
      </c>
      <c r="L83" s="22">
        <f t="shared" si="18"/>
        <v>0</v>
      </c>
      <c r="M83" s="22">
        <f t="shared" si="18"/>
        <v>0</v>
      </c>
      <c r="N83" s="22">
        <f t="shared" si="18"/>
        <v>0</v>
      </c>
      <c r="O83" s="12">
        <f t="shared" si="19"/>
        <v>0</v>
      </c>
      <c r="R83" s="2" t="s">
        <v>8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12">
        <f t="shared" si="20"/>
        <v>0</v>
      </c>
    </row>
    <row r="84" spans="1:34">
      <c r="A84" s="2" t="s">
        <v>9</v>
      </c>
      <c r="B84" s="22">
        <f t="shared" si="18"/>
        <v>0</v>
      </c>
      <c r="C84" s="22">
        <f t="shared" si="18"/>
        <v>0</v>
      </c>
      <c r="D84" s="22">
        <f t="shared" si="18"/>
        <v>0</v>
      </c>
      <c r="E84" s="22">
        <f t="shared" si="18"/>
        <v>0</v>
      </c>
      <c r="F84" s="22">
        <f t="shared" si="18"/>
        <v>0</v>
      </c>
      <c r="G84" s="22">
        <f t="shared" si="18"/>
        <v>0</v>
      </c>
      <c r="H84" s="22">
        <f t="shared" si="18"/>
        <v>0</v>
      </c>
      <c r="I84" s="22">
        <f t="shared" si="18"/>
        <v>0</v>
      </c>
      <c r="J84" s="22">
        <f t="shared" si="18"/>
        <v>0</v>
      </c>
      <c r="K84" s="22">
        <f t="shared" si="18"/>
        <v>0</v>
      </c>
      <c r="L84" s="22">
        <f t="shared" si="18"/>
        <v>0</v>
      </c>
      <c r="M84" s="22">
        <f t="shared" si="18"/>
        <v>0</v>
      </c>
      <c r="N84" s="22">
        <f t="shared" si="18"/>
        <v>0</v>
      </c>
      <c r="O84" s="12">
        <f t="shared" si="19"/>
        <v>0</v>
      </c>
      <c r="R84" s="2" t="s">
        <v>9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12">
        <f t="shared" si="20"/>
        <v>0</v>
      </c>
    </row>
    <row r="85" spans="1:34">
      <c r="A85" s="18" t="s">
        <v>10</v>
      </c>
      <c r="B85" s="22">
        <f t="shared" si="18"/>
        <v>0</v>
      </c>
      <c r="C85" s="22">
        <f t="shared" si="18"/>
        <v>0</v>
      </c>
      <c r="D85" s="22">
        <f t="shared" si="18"/>
        <v>0</v>
      </c>
      <c r="E85" s="22">
        <f t="shared" si="18"/>
        <v>0</v>
      </c>
      <c r="F85" s="22">
        <f t="shared" si="18"/>
        <v>0</v>
      </c>
      <c r="G85" s="22">
        <f t="shared" si="18"/>
        <v>0</v>
      </c>
      <c r="H85" s="22">
        <f t="shared" si="18"/>
        <v>0</v>
      </c>
      <c r="I85" s="22">
        <f t="shared" si="18"/>
        <v>0</v>
      </c>
      <c r="J85" s="22">
        <f t="shared" si="18"/>
        <v>0</v>
      </c>
      <c r="K85" s="22">
        <f t="shared" si="18"/>
        <v>0</v>
      </c>
      <c r="L85" s="22">
        <f t="shared" si="18"/>
        <v>0</v>
      </c>
      <c r="M85" s="22">
        <f t="shared" si="18"/>
        <v>0</v>
      </c>
      <c r="N85" s="22">
        <f t="shared" si="18"/>
        <v>0</v>
      </c>
      <c r="O85" s="12">
        <f t="shared" si="19"/>
        <v>0</v>
      </c>
      <c r="R85" s="2" t="s">
        <v>10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12">
        <f t="shared" si="20"/>
        <v>0</v>
      </c>
    </row>
    <row r="86" spans="1:34">
      <c r="A86" s="1" t="s">
        <v>11</v>
      </c>
      <c r="B86" s="22">
        <f t="shared" si="18"/>
        <v>0</v>
      </c>
      <c r="C86" s="22">
        <f t="shared" si="18"/>
        <v>0</v>
      </c>
      <c r="D86" s="22">
        <f t="shared" si="18"/>
        <v>0</v>
      </c>
      <c r="E86" s="22">
        <f t="shared" si="18"/>
        <v>0</v>
      </c>
      <c r="F86" s="22">
        <f t="shared" si="18"/>
        <v>0</v>
      </c>
      <c r="G86" s="22">
        <f t="shared" si="18"/>
        <v>0</v>
      </c>
      <c r="H86" s="22">
        <f t="shared" si="18"/>
        <v>0</v>
      </c>
      <c r="I86" s="22">
        <f t="shared" si="18"/>
        <v>0</v>
      </c>
      <c r="J86" s="22">
        <f t="shared" si="18"/>
        <v>0</v>
      </c>
      <c r="K86" s="22">
        <f t="shared" si="18"/>
        <v>0</v>
      </c>
      <c r="L86" s="22">
        <f t="shared" si="18"/>
        <v>0</v>
      </c>
      <c r="M86" s="22">
        <f t="shared" si="18"/>
        <v>0</v>
      </c>
      <c r="N86" s="22">
        <f t="shared" si="18"/>
        <v>0</v>
      </c>
      <c r="O86" s="12">
        <f t="shared" si="19"/>
        <v>0</v>
      </c>
      <c r="R86" s="2" t="s">
        <v>11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12">
        <f t="shared" si="20"/>
        <v>0</v>
      </c>
    </row>
    <row r="87" spans="1:34">
      <c r="A87" s="1" t="s">
        <v>12</v>
      </c>
      <c r="B87" s="22">
        <f t="shared" si="18"/>
        <v>0</v>
      </c>
      <c r="C87" s="22">
        <f t="shared" si="18"/>
        <v>0</v>
      </c>
      <c r="D87" s="22">
        <f t="shared" si="18"/>
        <v>0</v>
      </c>
      <c r="E87" s="22">
        <f t="shared" si="18"/>
        <v>0</v>
      </c>
      <c r="F87" s="22">
        <f t="shared" si="18"/>
        <v>0</v>
      </c>
      <c r="G87" s="22">
        <f t="shared" si="18"/>
        <v>0</v>
      </c>
      <c r="H87" s="22">
        <f t="shared" si="18"/>
        <v>0</v>
      </c>
      <c r="I87" s="22">
        <f t="shared" si="18"/>
        <v>0</v>
      </c>
      <c r="J87" s="22">
        <f t="shared" si="18"/>
        <v>0</v>
      </c>
      <c r="K87" s="22">
        <f t="shared" si="18"/>
        <v>0</v>
      </c>
      <c r="L87" s="22">
        <f t="shared" si="18"/>
        <v>0</v>
      </c>
      <c r="M87" s="22">
        <f t="shared" si="18"/>
        <v>0</v>
      </c>
      <c r="N87" s="22">
        <f t="shared" si="18"/>
        <v>0</v>
      </c>
      <c r="O87" s="12">
        <f t="shared" si="19"/>
        <v>0</v>
      </c>
      <c r="R87" s="2" t="s">
        <v>12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12">
        <f t="shared" si="20"/>
        <v>0</v>
      </c>
    </row>
    <row r="88" spans="1:34">
      <c r="A88" s="1" t="s">
        <v>15</v>
      </c>
      <c r="B88" s="22">
        <f t="shared" si="18"/>
        <v>0</v>
      </c>
      <c r="C88" s="22">
        <f t="shared" si="18"/>
        <v>0</v>
      </c>
      <c r="D88" s="22">
        <f t="shared" si="18"/>
        <v>0</v>
      </c>
      <c r="E88" s="22">
        <f t="shared" si="18"/>
        <v>0</v>
      </c>
      <c r="F88" s="22">
        <f t="shared" si="18"/>
        <v>0</v>
      </c>
      <c r="G88" s="22">
        <f t="shared" si="18"/>
        <v>0</v>
      </c>
      <c r="H88" s="22">
        <f t="shared" si="18"/>
        <v>0</v>
      </c>
      <c r="I88" s="22">
        <f t="shared" si="18"/>
        <v>0</v>
      </c>
      <c r="J88" s="22">
        <f t="shared" si="18"/>
        <v>0</v>
      </c>
      <c r="K88" s="22">
        <f t="shared" si="18"/>
        <v>0</v>
      </c>
      <c r="L88" s="22">
        <f t="shared" si="18"/>
        <v>0</v>
      </c>
      <c r="M88" s="22">
        <f t="shared" si="18"/>
        <v>0</v>
      </c>
      <c r="N88" s="22">
        <f t="shared" si="18"/>
        <v>0</v>
      </c>
      <c r="O88" s="12">
        <f t="shared" si="19"/>
        <v>0</v>
      </c>
      <c r="R88" s="2" t="s">
        <v>15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12">
        <f t="shared" si="20"/>
        <v>0</v>
      </c>
    </row>
    <row r="89" spans="1:34">
      <c r="A89" s="1" t="s">
        <v>14</v>
      </c>
      <c r="B89" s="22">
        <f t="shared" si="18"/>
        <v>0</v>
      </c>
      <c r="C89" s="22">
        <f t="shared" si="18"/>
        <v>0</v>
      </c>
      <c r="D89" s="22">
        <f t="shared" si="18"/>
        <v>0</v>
      </c>
      <c r="E89" s="22">
        <f t="shared" si="18"/>
        <v>0</v>
      </c>
      <c r="F89" s="22">
        <f t="shared" si="18"/>
        <v>0</v>
      </c>
      <c r="G89" s="22">
        <f t="shared" si="18"/>
        <v>0</v>
      </c>
      <c r="H89" s="22">
        <f t="shared" si="18"/>
        <v>0</v>
      </c>
      <c r="I89" s="22">
        <f t="shared" si="18"/>
        <v>0</v>
      </c>
      <c r="J89" s="22">
        <f t="shared" si="18"/>
        <v>0</v>
      </c>
      <c r="K89" s="22">
        <f t="shared" si="18"/>
        <v>0</v>
      </c>
      <c r="L89" s="22">
        <f t="shared" si="18"/>
        <v>0</v>
      </c>
      <c r="M89" s="22">
        <f t="shared" si="18"/>
        <v>0</v>
      </c>
      <c r="N89" s="22">
        <f t="shared" si="18"/>
        <v>0</v>
      </c>
      <c r="O89" s="12">
        <f t="shared" si="19"/>
        <v>0</v>
      </c>
      <c r="R89" s="2" t="s">
        <v>14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12">
        <f t="shared" si="20"/>
        <v>0</v>
      </c>
    </row>
    <row r="90" spans="1:34">
      <c r="A90" s="18" t="s">
        <v>13</v>
      </c>
      <c r="B90" s="22">
        <f t="shared" si="18"/>
        <v>0</v>
      </c>
      <c r="C90" s="22">
        <f t="shared" si="18"/>
        <v>0</v>
      </c>
      <c r="D90" s="22">
        <f t="shared" si="18"/>
        <v>0</v>
      </c>
      <c r="E90" s="22">
        <f t="shared" si="18"/>
        <v>0</v>
      </c>
      <c r="F90" s="22">
        <f t="shared" si="18"/>
        <v>0</v>
      </c>
      <c r="G90" s="22">
        <f t="shared" si="18"/>
        <v>0</v>
      </c>
      <c r="H90" s="22">
        <f t="shared" si="18"/>
        <v>0</v>
      </c>
      <c r="I90" s="22">
        <f t="shared" si="18"/>
        <v>0</v>
      </c>
      <c r="J90" s="22">
        <f t="shared" si="18"/>
        <v>0</v>
      </c>
      <c r="K90" s="22">
        <f t="shared" si="18"/>
        <v>0</v>
      </c>
      <c r="L90" s="22">
        <f t="shared" si="18"/>
        <v>0</v>
      </c>
      <c r="M90" s="22">
        <f t="shared" si="18"/>
        <v>0</v>
      </c>
      <c r="N90" s="22">
        <f t="shared" si="18"/>
        <v>0</v>
      </c>
      <c r="O90" s="12">
        <f t="shared" si="19"/>
        <v>0</v>
      </c>
      <c r="R90" s="2" t="s">
        <v>13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12">
        <f t="shared" si="20"/>
        <v>0</v>
      </c>
    </row>
    <row r="91" spans="1:34">
      <c r="A91" s="1" t="s">
        <v>16</v>
      </c>
      <c r="B91" s="22">
        <f t="shared" si="18"/>
        <v>0</v>
      </c>
      <c r="C91" s="22">
        <f t="shared" si="18"/>
        <v>0</v>
      </c>
      <c r="D91" s="22">
        <f t="shared" si="18"/>
        <v>0</v>
      </c>
      <c r="E91" s="22">
        <f t="shared" si="18"/>
        <v>0</v>
      </c>
      <c r="F91" s="22">
        <f t="shared" si="18"/>
        <v>0</v>
      </c>
      <c r="G91" s="22">
        <f t="shared" si="18"/>
        <v>0</v>
      </c>
      <c r="H91" s="22">
        <f t="shared" si="18"/>
        <v>0</v>
      </c>
      <c r="I91" s="22">
        <f t="shared" si="18"/>
        <v>0</v>
      </c>
      <c r="J91" s="22">
        <f t="shared" si="18"/>
        <v>0</v>
      </c>
      <c r="K91" s="22">
        <f t="shared" si="18"/>
        <v>0</v>
      </c>
      <c r="L91" s="22">
        <f t="shared" si="18"/>
        <v>0</v>
      </c>
      <c r="M91" s="22">
        <f t="shared" si="18"/>
        <v>0</v>
      </c>
      <c r="N91" s="22">
        <f t="shared" si="18"/>
        <v>0</v>
      </c>
      <c r="O91" s="12">
        <f t="shared" si="19"/>
        <v>0</v>
      </c>
      <c r="R91" s="2" t="s">
        <v>16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12">
        <f t="shared" si="20"/>
        <v>0</v>
      </c>
    </row>
    <row r="92" spans="1:34">
      <c r="A92" s="1" t="s">
        <v>17</v>
      </c>
      <c r="B92" s="22">
        <f t="shared" ref="B92:N101" si="21">B22+B57</f>
        <v>0</v>
      </c>
      <c r="C92" s="22">
        <f t="shared" si="21"/>
        <v>0</v>
      </c>
      <c r="D92" s="22">
        <f t="shared" si="21"/>
        <v>0</v>
      </c>
      <c r="E92" s="22">
        <f t="shared" si="21"/>
        <v>0</v>
      </c>
      <c r="F92" s="22">
        <f t="shared" si="21"/>
        <v>0</v>
      </c>
      <c r="G92" s="22">
        <f t="shared" si="21"/>
        <v>0</v>
      </c>
      <c r="H92" s="22">
        <f t="shared" si="21"/>
        <v>0</v>
      </c>
      <c r="I92" s="22">
        <f t="shared" si="21"/>
        <v>0</v>
      </c>
      <c r="J92" s="22">
        <f t="shared" si="21"/>
        <v>0</v>
      </c>
      <c r="K92" s="22">
        <f t="shared" si="21"/>
        <v>0</v>
      </c>
      <c r="L92" s="22">
        <f t="shared" si="21"/>
        <v>0</v>
      </c>
      <c r="M92" s="22">
        <f t="shared" si="21"/>
        <v>0</v>
      </c>
      <c r="N92" s="22">
        <f t="shared" si="21"/>
        <v>0</v>
      </c>
      <c r="O92" s="12">
        <f t="shared" si="19"/>
        <v>0</v>
      </c>
      <c r="R92" s="2" t="s">
        <v>17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12">
        <f t="shared" si="20"/>
        <v>0</v>
      </c>
    </row>
    <row r="93" spans="1:34">
      <c r="A93" s="1" t="s">
        <v>18</v>
      </c>
      <c r="B93" s="22">
        <f t="shared" si="21"/>
        <v>0</v>
      </c>
      <c r="C93" s="22">
        <f t="shared" si="21"/>
        <v>0</v>
      </c>
      <c r="D93" s="22">
        <f t="shared" si="21"/>
        <v>0</v>
      </c>
      <c r="E93" s="22">
        <f t="shared" si="21"/>
        <v>0</v>
      </c>
      <c r="F93" s="22">
        <f t="shared" si="21"/>
        <v>0</v>
      </c>
      <c r="G93" s="22">
        <f t="shared" si="21"/>
        <v>0</v>
      </c>
      <c r="H93" s="22">
        <f t="shared" si="21"/>
        <v>0</v>
      </c>
      <c r="I93" s="22">
        <f t="shared" si="21"/>
        <v>0</v>
      </c>
      <c r="J93" s="22">
        <f t="shared" si="21"/>
        <v>0</v>
      </c>
      <c r="K93" s="22">
        <f t="shared" si="21"/>
        <v>0</v>
      </c>
      <c r="L93" s="22">
        <f t="shared" si="21"/>
        <v>0</v>
      </c>
      <c r="M93" s="22">
        <f t="shared" si="21"/>
        <v>0</v>
      </c>
      <c r="N93" s="22">
        <f t="shared" si="21"/>
        <v>0</v>
      </c>
      <c r="O93" s="12">
        <f t="shared" si="19"/>
        <v>0</v>
      </c>
      <c r="R93" s="2" t="s">
        <v>18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12">
        <f t="shared" si="20"/>
        <v>0</v>
      </c>
    </row>
    <row r="94" spans="1:34">
      <c r="A94" s="1" t="s">
        <v>20</v>
      </c>
      <c r="B94" s="22">
        <f t="shared" si="21"/>
        <v>0</v>
      </c>
      <c r="C94" s="22">
        <f t="shared" si="21"/>
        <v>0</v>
      </c>
      <c r="D94" s="22">
        <f t="shared" si="21"/>
        <v>0</v>
      </c>
      <c r="E94" s="22">
        <f t="shared" si="21"/>
        <v>0</v>
      </c>
      <c r="F94" s="22">
        <f t="shared" si="21"/>
        <v>0</v>
      </c>
      <c r="G94" s="22">
        <f t="shared" si="21"/>
        <v>0</v>
      </c>
      <c r="H94" s="22">
        <f t="shared" si="21"/>
        <v>0</v>
      </c>
      <c r="I94" s="22">
        <f t="shared" si="21"/>
        <v>0</v>
      </c>
      <c r="J94" s="22">
        <f t="shared" si="21"/>
        <v>0</v>
      </c>
      <c r="K94" s="22">
        <f t="shared" si="21"/>
        <v>0</v>
      </c>
      <c r="L94" s="22">
        <f t="shared" si="21"/>
        <v>0</v>
      </c>
      <c r="M94" s="22">
        <f t="shared" si="21"/>
        <v>0</v>
      </c>
      <c r="N94" s="22">
        <f t="shared" si="21"/>
        <v>0</v>
      </c>
      <c r="O94" s="12">
        <f t="shared" si="19"/>
        <v>0</v>
      </c>
      <c r="R94" s="2" t="s">
        <v>20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12">
        <f t="shared" si="20"/>
        <v>0</v>
      </c>
    </row>
    <row r="95" spans="1:34">
      <c r="A95" s="1" t="s">
        <v>19</v>
      </c>
      <c r="B95" s="22">
        <f t="shared" si="21"/>
        <v>0</v>
      </c>
      <c r="C95" s="22">
        <f t="shared" si="21"/>
        <v>0</v>
      </c>
      <c r="D95" s="22">
        <f t="shared" si="21"/>
        <v>0</v>
      </c>
      <c r="E95" s="22">
        <f t="shared" si="21"/>
        <v>0</v>
      </c>
      <c r="F95" s="22">
        <f t="shared" si="21"/>
        <v>0</v>
      </c>
      <c r="G95" s="22">
        <f t="shared" si="21"/>
        <v>0</v>
      </c>
      <c r="H95" s="22">
        <f t="shared" si="21"/>
        <v>0</v>
      </c>
      <c r="I95" s="22">
        <f t="shared" si="21"/>
        <v>0</v>
      </c>
      <c r="J95" s="22">
        <f t="shared" si="21"/>
        <v>0</v>
      </c>
      <c r="K95" s="22">
        <f t="shared" si="21"/>
        <v>0</v>
      </c>
      <c r="L95" s="22">
        <f t="shared" si="21"/>
        <v>0</v>
      </c>
      <c r="M95" s="22">
        <f t="shared" si="21"/>
        <v>0</v>
      </c>
      <c r="N95" s="22">
        <f t="shared" si="21"/>
        <v>0</v>
      </c>
      <c r="O95" s="12">
        <f t="shared" si="19"/>
        <v>0</v>
      </c>
      <c r="R95" s="2" t="s">
        <v>19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12">
        <f t="shared" si="20"/>
        <v>0</v>
      </c>
    </row>
    <row r="96" spans="1:34">
      <c r="A96" s="18" t="s">
        <v>21</v>
      </c>
      <c r="B96" s="22">
        <f t="shared" si="21"/>
        <v>0</v>
      </c>
      <c r="C96" s="22">
        <f t="shared" si="21"/>
        <v>0</v>
      </c>
      <c r="D96" s="22">
        <f t="shared" si="21"/>
        <v>0</v>
      </c>
      <c r="E96" s="22">
        <f t="shared" si="21"/>
        <v>0</v>
      </c>
      <c r="F96" s="22">
        <f t="shared" si="21"/>
        <v>0</v>
      </c>
      <c r="G96" s="22">
        <f t="shared" si="21"/>
        <v>0</v>
      </c>
      <c r="H96" s="22">
        <f t="shared" si="21"/>
        <v>0</v>
      </c>
      <c r="I96" s="22">
        <f t="shared" si="21"/>
        <v>0</v>
      </c>
      <c r="J96" s="22">
        <f t="shared" si="21"/>
        <v>0</v>
      </c>
      <c r="K96" s="22">
        <f t="shared" si="21"/>
        <v>0</v>
      </c>
      <c r="L96" s="22">
        <f t="shared" si="21"/>
        <v>0</v>
      </c>
      <c r="M96" s="22">
        <f t="shared" si="21"/>
        <v>0</v>
      </c>
      <c r="N96" s="22">
        <f t="shared" si="21"/>
        <v>0</v>
      </c>
      <c r="O96" s="12">
        <f t="shared" si="19"/>
        <v>0</v>
      </c>
      <c r="R96" s="2" t="s">
        <v>21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12">
        <f t="shared" si="20"/>
        <v>0</v>
      </c>
    </row>
    <row r="97" spans="1:34">
      <c r="A97" s="2" t="s">
        <v>22</v>
      </c>
      <c r="B97" s="22">
        <f t="shared" si="21"/>
        <v>0</v>
      </c>
      <c r="C97" s="22">
        <f t="shared" si="21"/>
        <v>0</v>
      </c>
      <c r="D97" s="22">
        <f t="shared" si="21"/>
        <v>0</v>
      </c>
      <c r="E97" s="22">
        <f t="shared" si="21"/>
        <v>0</v>
      </c>
      <c r="F97" s="22">
        <f t="shared" si="21"/>
        <v>0</v>
      </c>
      <c r="G97" s="22">
        <f t="shared" si="21"/>
        <v>0</v>
      </c>
      <c r="H97" s="22">
        <f t="shared" si="21"/>
        <v>0</v>
      </c>
      <c r="I97" s="22">
        <f t="shared" si="21"/>
        <v>0</v>
      </c>
      <c r="J97" s="22">
        <f t="shared" si="21"/>
        <v>0</v>
      </c>
      <c r="K97" s="22">
        <f t="shared" si="21"/>
        <v>0</v>
      </c>
      <c r="L97" s="22">
        <f t="shared" si="21"/>
        <v>0</v>
      </c>
      <c r="M97" s="22">
        <f t="shared" si="21"/>
        <v>0</v>
      </c>
      <c r="N97" s="22">
        <f t="shared" si="21"/>
        <v>0</v>
      </c>
      <c r="O97" s="12">
        <f t="shared" si="19"/>
        <v>0</v>
      </c>
      <c r="R97" s="2" t="s">
        <v>22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12">
        <f t="shared" si="20"/>
        <v>0</v>
      </c>
    </row>
    <row r="98" spans="1:34">
      <c r="A98" s="1" t="s">
        <v>23</v>
      </c>
      <c r="B98" s="22">
        <f t="shared" si="21"/>
        <v>0</v>
      </c>
      <c r="C98" s="22">
        <f t="shared" si="21"/>
        <v>0</v>
      </c>
      <c r="D98" s="22">
        <f t="shared" si="21"/>
        <v>0</v>
      </c>
      <c r="E98" s="22">
        <f t="shared" si="21"/>
        <v>0</v>
      </c>
      <c r="F98" s="22">
        <f t="shared" si="21"/>
        <v>0</v>
      </c>
      <c r="G98" s="22">
        <f t="shared" si="21"/>
        <v>0</v>
      </c>
      <c r="H98" s="22">
        <f t="shared" si="21"/>
        <v>0</v>
      </c>
      <c r="I98" s="22">
        <f t="shared" si="21"/>
        <v>0</v>
      </c>
      <c r="J98" s="22">
        <f t="shared" si="21"/>
        <v>0</v>
      </c>
      <c r="K98" s="22">
        <f t="shared" si="21"/>
        <v>0</v>
      </c>
      <c r="L98" s="22">
        <f t="shared" si="21"/>
        <v>0</v>
      </c>
      <c r="M98" s="22">
        <f t="shared" si="21"/>
        <v>0</v>
      </c>
      <c r="N98" s="22">
        <f t="shared" si="21"/>
        <v>0</v>
      </c>
      <c r="O98" s="12">
        <f t="shared" si="19"/>
        <v>0</v>
      </c>
      <c r="R98" s="2" t="s">
        <v>23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12">
        <f t="shared" si="20"/>
        <v>0</v>
      </c>
    </row>
    <row r="99" spans="1:34">
      <c r="A99" s="1" t="s">
        <v>25</v>
      </c>
      <c r="B99" s="22">
        <f t="shared" si="21"/>
        <v>0</v>
      </c>
      <c r="C99" s="22">
        <f t="shared" si="21"/>
        <v>0</v>
      </c>
      <c r="D99" s="22">
        <f t="shared" si="21"/>
        <v>0</v>
      </c>
      <c r="E99" s="22">
        <f t="shared" si="21"/>
        <v>0</v>
      </c>
      <c r="F99" s="22">
        <f t="shared" si="21"/>
        <v>0</v>
      </c>
      <c r="G99" s="22">
        <f t="shared" si="21"/>
        <v>0</v>
      </c>
      <c r="H99" s="22">
        <f t="shared" si="21"/>
        <v>0</v>
      </c>
      <c r="I99" s="22">
        <f t="shared" si="21"/>
        <v>0</v>
      </c>
      <c r="J99" s="22">
        <f t="shared" si="21"/>
        <v>0</v>
      </c>
      <c r="K99" s="22">
        <f t="shared" si="21"/>
        <v>0</v>
      </c>
      <c r="L99" s="22">
        <f t="shared" si="21"/>
        <v>0</v>
      </c>
      <c r="M99" s="22">
        <f t="shared" si="21"/>
        <v>0</v>
      </c>
      <c r="N99" s="22">
        <f t="shared" si="21"/>
        <v>0</v>
      </c>
      <c r="O99" s="12">
        <f t="shared" si="19"/>
        <v>0</v>
      </c>
      <c r="R99" s="2" t="s">
        <v>25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12">
        <f t="shared" si="20"/>
        <v>0</v>
      </c>
    </row>
    <row r="100" spans="1:34">
      <c r="A100" s="1" t="s">
        <v>24</v>
      </c>
      <c r="B100" s="22">
        <f t="shared" si="21"/>
        <v>0</v>
      </c>
      <c r="C100" s="22">
        <f t="shared" si="21"/>
        <v>0</v>
      </c>
      <c r="D100" s="22">
        <f t="shared" si="21"/>
        <v>0</v>
      </c>
      <c r="E100" s="22">
        <f t="shared" si="21"/>
        <v>0</v>
      </c>
      <c r="F100" s="22">
        <f t="shared" si="21"/>
        <v>0</v>
      </c>
      <c r="G100" s="22">
        <f t="shared" si="21"/>
        <v>0</v>
      </c>
      <c r="H100" s="22">
        <f t="shared" si="21"/>
        <v>0</v>
      </c>
      <c r="I100" s="22">
        <f t="shared" si="21"/>
        <v>0</v>
      </c>
      <c r="J100" s="22">
        <f t="shared" si="21"/>
        <v>0</v>
      </c>
      <c r="K100" s="22">
        <f t="shared" si="21"/>
        <v>0</v>
      </c>
      <c r="L100" s="22">
        <f t="shared" si="21"/>
        <v>0</v>
      </c>
      <c r="M100" s="22">
        <f t="shared" si="21"/>
        <v>0</v>
      </c>
      <c r="N100" s="22">
        <f t="shared" si="21"/>
        <v>0</v>
      </c>
      <c r="O100" s="12">
        <f t="shared" si="19"/>
        <v>0</v>
      </c>
      <c r="R100" s="2" t="s">
        <v>24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12">
        <f t="shared" si="20"/>
        <v>0</v>
      </c>
    </row>
    <row r="101" spans="1:34">
      <c r="A101" s="1" t="s">
        <v>26</v>
      </c>
      <c r="B101" s="22">
        <f t="shared" si="21"/>
        <v>0</v>
      </c>
      <c r="C101" s="22">
        <f t="shared" si="21"/>
        <v>0</v>
      </c>
      <c r="D101" s="22">
        <f t="shared" si="21"/>
        <v>0</v>
      </c>
      <c r="E101" s="22">
        <f t="shared" si="21"/>
        <v>0</v>
      </c>
      <c r="F101" s="22">
        <f t="shared" si="21"/>
        <v>0</v>
      </c>
      <c r="G101" s="22">
        <f t="shared" si="21"/>
        <v>0</v>
      </c>
      <c r="H101" s="22">
        <f t="shared" si="21"/>
        <v>0</v>
      </c>
      <c r="I101" s="22">
        <f t="shared" si="21"/>
        <v>0</v>
      </c>
      <c r="J101" s="22">
        <f t="shared" si="21"/>
        <v>0</v>
      </c>
      <c r="K101" s="22">
        <f t="shared" si="21"/>
        <v>0</v>
      </c>
      <c r="L101" s="22">
        <f t="shared" si="21"/>
        <v>0</v>
      </c>
      <c r="M101" s="22">
        <f t="shared" si="21"/>
        <v>0</v>
      </c>
      <c r="N101" s="22">
        <f t="shared" si="21"/>
        <v>0</v>
      </c>
      <c r="O101" s="12">
        <f t="shared" si="19"/>
        <v>0</v>
      </c>
      <c r="R101" s="2" t="s">
        <v>26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12">
        <f t="shared" si="20"/>
        <v>0</v>
      </c>
    </row>
    <row r="102" spans="1:34">
      <c r="A102" s="8" t="s">
        <v>37</v>
      </c>
      <c r="B102" s="16">
        <f t="shared" ref="B102:O102" si="22">SUM(B75:B101)</f>
        <v>0</v>
      </c>
      <c r="C102" s="16">
        <f t="shared" si="22"/>
        <v>0</v>
      </c>
      <c r="D102" s="16">
        <f t="shared" si="22"/>
        <v>0</v>
      </c>
      <c r="E102" s="16">
        <f t="shared" si="22"/>
        <v>0</v>
      </c>
      <c r="F102" s="16">
        <f t="shared" si="22"/>
        <v>0</v>
      </c>
      <c r="G102" s="16">
        <f t="shared" si="22"/>
        <v>0</v>
      </c>
      <c r="H102" s="16">
        <f t="shared" si="22"/>
        <v>0</v>
      </c>
      <c r="I102" s="16">
        <f t="shared" si="22"/>
        <v>0</v>
      </c>
      <c r="J102" s="16">
        <f t="shared" si="22"/>
        <v>0</v>
      </c>
      <c r="K102" s="16">
        <f t="shared" si="22"/>
        <v>0</v>
      </c>
      <c r="L102" s="16">
        <f t="shared" si="22"/>
        <v>0</v>
      </c>
      <c r="M102" s="16">
        <f t="shared" si="22"/>
        <v>0</v>
      </c>
      <c r="N102" s="16">
        <f t="shared" si="22"/>
        <v>0</v>
      </c>
      <c r="O102" s="7">
        <f t="shared" si="22"/>
        <v>0</v>
      </c>
      <c r="R102" s="8" t="s">
        <v>37</v>
      </c>
      <c r="S102" s="45">
        <f t="shared" ref="S102:AH102" si="23">SUM(S75:S101)</f>
        <v>0</v>
      </c>
      <c r="T102" s="45">
        <f t="shared" si="23"/>
        <v>0</v>
      </c>
      <c r="U102" s="45">
        <f t="shared" si="23"/>
        <v>0</v>
      </c>
      <c r="V102" s="45">
        <f t="shared" si="23"/>
        <v>0</v>
      </c>
      <c r="W102" s="45">
        <f t="shared" si="23"/>
        <v>0</v>
      </c>
      <c r="X102" s="45">
        <f t="shared" si="23"/>
        <v>0</v>
      </c>
      <c r="Y102" s="45">
        <f t="shared" si="23"/>
        <v>0</v>
      </c>
      <c r="Z102" s="45">
        <f t="shared" si="23"/>
        <v>0</v>
      </c>
      <c r="AA102" s="45">
        <f t="shared" si="23"/>
        <v>0</v>
      </c>
      <c r="AB102" s="45">
        <f t="shared" si="23"/>
        <v>0</v>
      </c>
      <c r="AC102" s="45">
        <f t="shared" si="23"/>
        <v>0</v>
      </c>
      <c r="AD102" s="45">
        <f t="shared" si="23"/>
        <v>0</v>
      </c>
      <c r="AE102" s="45">
        <f t="shared" si="23"/>
        <v>0</v>
      </c>
      <c r="AF102" s="45">
        <f t="shared" si="23"/>
        <v>0</v>
      </c>
      <c r="AG102" s="45">
        <f t="shared" si="23"/>
        <v>0</v>
      </c>
      <c r="AH102" s="7">
        <f t="shared" si="23"/>
        <v>0</v>
      </c>
    </row>
    <row r="104" spans="1:34">
      <c r="O104" s="15"/>
    </row>
    <row r="105" spans="1:34" ht="46.5">
      <c r="K105" s="296" t="s">
        <v>49</v>
      </c>
      <c r="L105" s="297"/>
      <c r="M105" s="297"/>
      <c r="N105" s="297"/>
      <c r="O105" s="297"/>
      <c r="P105" s="297"/>
      <c r="Q105" s="297"/>
      <c r="R105" s="297"/>
      <c r="S105" s="297"/>
      <c r="T105" s="297"/>
      <c r="U105" s="297"/>
      <c r="V105" s="297"/>
      <c r="W105" s="297"/>
      <c r="X105" s="297"/>
      <c r="Y105" s="297"/>
      <c r="Z105" s="297"/>
      <c r="AA105" s="297"/>
    </row>
    <row r="106" spans="1:34">
      <c r="K106" s="290" t="s">
        <v>33</v>
      </c>
      <c r="L106" s="287" t="s">
        <v>27</v>
      </c>
      <c r="M106" s="288"/>
      <c r="N106" s="287" t="s">
        <v>29</v>
      </c>
      <c r="O106" s="288"/>
      <c r="P106" s="285" t="s">
        <v>28</v>
      </c>
      <c r="Q106" s="285" t="s">
        <v>36</v>
      </c>
      <c r="R106" s="285" t="s">
        <v>30</v>
      </c>
      <c r="S106" s="285" t="s">
        <v>31</v>
      </c>
      <c r="T106" s="285" t="s">
        <v>41</v>
      </c>
      <c r="U106" s="285" t="s">
        <v>35</v>
      </c>
      <c r="V106" s="285" t="s">
        <v>40</v>
      </c>
      <c r="W106" s="285" t="s">
        <v>42</v>
      </c>
      <c r="X106" s="285" t="s">
        <v>45</v>
      </c>
      <c r="Y106" s="287" t="s">
        <v>52</v>
      </c>
      <c r="Z106" s="288"/>
      <c r="AA106" s="285" t="s">
        <v>34</v>
      </c>
    </row>
    <row r="107" spans="1:34" ht="30">
      <c r="K107" s="291"/>
      <c r="L107" s="46" t="s">
        <v>43</v>
      </c>
      <c r="M107" s="46" t="s">
        <v>44</v>
      </c>
      <c r="N107" s="46" t="s">
        <v>43</v>
      </c>
      <c r="O107" s="46" t="s">
        <v>44</v>
      </c>
      <c r="P107" s="286"/>
      <c r="Q107" s="286"/>
      <c r="R107" s="286"/>
      <c r="S107" s="286"/>
      <c r="T107" s="286"/>
      <c r="U107" s="286"/>
      <c r="V107" s="286"/>
      <c r="W107" s="286"/>
      <c r="X107" s="286"/>
      <c r="Y107" s="48" t="s">
        <v>53</v>
      </c>
      <c r="Z107" s="48" t="s">
        <v>54</v>
      </c>
      <c r="AA107" s="286"/>
    </row>
    <row r="108" spans="1:34">
      <c r="K108" s="1" t="s">
        <v>0</v>
      </c>
      <c r="L108" s="22">
        <f>B75+S75</f>
        <v>0</v>
      </c>
      <c r="M108" s="22">
        <f t="shared" ref="M108:W123" si="24">C75+T75</f>
        <v>0</v>
      </c>
      <c r="N108" s="22">
        <f t="shared" si="24"/>
        <v>0</v>
      </c>
      <c r="O108" s="22">
        <f t="shared" si="24"/>
        <v>0</v>
      </c>
      <c r="P108" s="22">
        <f t="shared" si="24"/>
        <v>0</v>
      </c>
      <c r="Q108" s="22">
        <f t="shared" si="24"/>
        <v>0</v>
      </c>
      <c r="R108" s="22">
        <f t="shared" si="24"/>
        <v>0</v>
      </c>
      <c r="S108" s="22">
        <f t="shared" si="24"/>
        <v>0</v>
      </c>
      <c r="T108" s="22">
        <f t="shared" si="24"/>
        <v>0</v>
      </c>
      <c r="U108" s="22">
        <f t="shared" si="24"/>
        <v>0</v>
      </c>
      <c r="V108" s="22">
        <f t="shared" si="24"/>
        <v>0</v>
      </c>
      <c r="W108" s="22">
        <f t="shared" si="24"/>
        <v>0</v>
      </c>
      <c r="X108" s="22">
        <f t="shared" ref="X108:X134" si="25">N75+AE75</f>
        <v>0</v>
      </c>
      <c r="Y108" s="22">
        <f>AF75</f>
        <v>0</v>
      </c>
      <c r="Z108" s="22">
        <f>AG75</f>
        <v>0</v>
      </c>
      <c r="AA108" s="12">
        <f>SUM(L108:Z108)</f>
        <v>0</v>
      </c>
    </row>
    <row r="109" spans="1:34">
      <c r="K109" s="1" t="s">
        <v>1</v>
      </c>
      <c r="L109" s="22">
        <f t="shared" ref="L109:W134" si="26">B76+S76</f>
        <v>0</v>
      </c>
      <c r="M109" s="22">
        <f t="shared" si="24"/>
        <v>0</v>
      </c>
      <c r="N109" s="22">
        <f t="shared" si="24"/>
        <v>0</v>
      </c>
      <c r="O109" s="22">
        <f t="shared" si="24"/>
        <v>0</v>
      </c>
      <c r="P109" s="22">
        <f t="shared" si="24"/>
        <v>0</v>
      </c>
      <c r="Q109" s="22">
        <f t="shared" si="24"/>
        <v>0</v>
      </c>
      <c r="R109" s="22">
        <f t="shared" si="24"/>
        <v>0</v>
      </c>
      <c r="S109" s="22">
        <f t="shared" si="24"/>
        <v>0</v>
      </c>
      <c r="T109" s="22">
        <f t="shared" si="24"/>
        <v>0</v>
      </c>
      <c r="U109" s="22">
        <f t="shared" si="24"/>
        <v>0</v>
      </c>
      <c r="V109" s="22">
        <f t="shared" si="24"/>
        <v>0</v>
      </c>
      <c r="W109" s="22">
        <f t="shared" si="24"/>
        <v>0</v>
      </c>
      <c r="X109" s="22">
        <f t="shared" si="25"/>
        <v>0</v>
      </c>
      <c r="Y109" s="22">
        <f t="shared" ref="Y109:Z134" si="27">AF76</f>
        <v>0</v>
      </c>
      <c r="Z109" s="22">
        <f t="shared" si="27"/>
        <v>0</v>
      </c>
      <c r="AA109" s="12">
        <f t="shared" ref="AA109:AA134" si="28">SUM(L109:Z109)</f>
        <v>0</v>
      </c>
    </row>
    <row r="110" spans="1:34">
      <c r="K110" s="18" t="s">
        <v>2</v>
      </c>
      <c r="L110" s="22">
        <f t="shared" si="26"/>
        <v>0</v>
      </c>
      <c r="M110" s="22">
        <f t="shared" si="24"/>
        <v>0</v>
      </c>
      <c r="N110" s="22">
        <f t="shared" si="24"/>
        <v>0</v>
      </c>
      <c r="O110" s="22">
        <f t="shared" si="24"/>
        <v>0</v>
      </c>
      <c r="P110" s="22">
        <f t="shared" si="24"/>
        <v>0</v>
      </c>
      <c r="Q110" s="22">
        <f t="shared" si="24"/>
        <v>0</v>
      </c>
      <c r="R110" s="22">
        <f t="shared" si="24"/>
        <v>0</v>
      </c>
      <c r="S110" s="22">
        <f t="shared" si="24"/>
        <v>0</v>
      </c>
      <c r="T110" s="22">
        <f t="shared" si="24"/>
        <v>0</v>
      </c>
      <c r="U110" s="22">
        <f t="shared" si="24"/>
        <v>0</v>
      </c>
      <c r="V110" s="22">
        <f t="shared" si="24"/>
        <v>0</v>
      </c>
      <c r="W110" s="22">
        <f t="shared" si="24"/>
        <v>0</v>
      </c>
      <c r="X110" s="22">
        <f t="shared" si="25"/>
        <v>0</v>
      </c>
      <c r="Y110" s="22">
        <f t="shared" si="27"/>
        <v>0</v>
      </c>
      <c r="Z110" s="22">
        <f t="shared" si="27"/>
        <v>0</v>
      </c>
      <c r="AA110" s="12">
        <f t="shared" si="28"/>
        <v>0</v>
      </c>
    </row>
    <row r="111" spans="1:34">
      <c r="K111" s="2" t="s">
        <v>3</v>
      </c>
      <c r="L111" s="22">
        <f t="shared" si="26"/>
        <v>0</v>
      </c>
      <c r="M111" s="22">
        <f t="shared" si="24"/>
        <v>0</v>
      </c>
      <c r="N111" s="22">
        <f t="shared" si="24"/>
        <v>0</v>
      </c>
      <c r="O111" s="22">
        <f t="shared" si="24"/>
        <v>0</v>
      </c>
      <c r="P111" s="22">
        <f t="shared" si="24"/>
        <v>0</v>
      </c>
      <c r="Q111" s="22">
        <f t="shared" si="24"/>
        <v>0</v>
      </c>
      <c r="R111" s="22">
        <f t="shared" si="24"/>
        <v>0</v>
      </c>
      <c r="S111" s="22">
        <f t="shared" si="24"/>
        <v>0</v>
      </c>
      <c r="T111" s="22">
        <f t="shared" si="24"/>
        <v>0</v>
      </c>
      <c r="U111" s="22">
        <f t="shared" si="24"/>
        <v>0</v>
      </c>
      <c r="V111" s="22">
        <f t="shared" si="24"/>
        <v>0</v>
      </c>
      <c r="W111" s="22">
        <f t="shared" si="24"/>
        <v>0</v>
      </c>
      <c r="X111" s="22">
        <f t="shared" si="25"/>
        <v>0</v>
      </c>
      <c r="Y111" s="22">
        <f t="shared" si="27"/>
        <v>0</v>
      </c>
      <c r="Z111" s="22">
        <f t="shared" si="27"/>
        <v>0</v>
      </c>
      <c r="AA111" s="12">
        <f t="shared" si="28"/>
        <v>0</v>
      </c>
    </row>
    <row r="112" spans="1:34">
      <c r="K112" s="1" t="s">
        <v>4</v>
      </c>
      <c r="L112" s="22">
        <f t="shared" si="26"/>
        <v>0</v>
      </c>
      <c r="M112" s="22">
        <f t="shared" si="24"/>
        <v>0</v>
      </c>
      <c r="N112" s="22">
        <f t="shared" si="24"/>
        <v>0</v>
      </c>
      <c r="O112" s="22">
        <f t="shared" si="24"/>
        <v>0</v>
      </c>
      <c r="P112" s="22">
        <f t="shared" si="24"/>
        <v>0</v>
      </c>
      <c r="Q112" s="22">
        <f t="shared" si="24"/>
        <v>0</v>
      </c>
      <c r="R112" s="22">
        <f t="shared" si="24"/>
        <v>0</v>
      </c>
      <c r="S112" s="22">
        <f t="shared" si="24"/>
        <v>0</v>
      </c>
      <c r="T112" s="22">
        <f t="shared" si="24"/>
        <v>0</v>
      </c>
      <c r="U112" s="22">
        <f t="shared" si="24"/>
        <v>0</v>
      </c>
      <c r="V112" s="22">
        <f t="shared" si="24"/>
        <v>0</v>
      </c>
      <c r="W112" s="22">
        <f t="shared" si="24"/>
        <v>0</v>
      </c>
      <c r="X112" s="22">
        <f t="shared" si="25"/>
        <v>0</v>
      </c>
      <c r="Y112" s="22">
        <f t="shared" si="27"/>
        <v>0</v>
      </c>
      <c r="Z112" s="22">
        <f t="shared" si="27"/>
        <v>0</v>
      </c>
      <c r="AA112" s="12">
        <f t="shared" si="28"/>
        <v>0</v>
      </c>
    </row>
    <row r="113" spans="11:27">
      <c r="K113" s="1" t="s">
        <v>5</v>
      </c>
      <c r="L113" s="22">
        <f t="shared" si="26"/>
        <v>0</v>
      </c>
      <c r="M113" s="22">
        <f t="shared" si="24"/>
        <v>0</v>
      </c>
      <c r="N113" s="22">
        <f t="shared" si="24"/>
        <v>0</v>
      </c>
      <c r="O113" s="22">
        <f t="shared" si="24"/>
        <v>0</v>
      </c>
      <c r="P113" s="22">
        <f t="shared" si="24"/>
        <v>0</v>
      </c>
      <c r="Q113" s="22">
        <f t="shared" si="24"/>
        <v>0</v>
      </c>
      <c r="R113" s="22">
        <f t="shared" si="24"/>
        <v>0</v>
      </c>
      <c r="S113" s="22">
        <f t="shared" si="24"/>
        <v>0</v>
      </c>
      <c r="T113" s="22">
        <f t="shared" si="24"/>
        <v>0</v>
      </c>
      <c r="U113" s="22">
        <f t="shared" si="24"/>
        <v>0</v>
      </c>
      <c r="V113" s="22">
        <f t="shared" si="24"/>
        <v>0</v>
      </c>
      <c r="W113" s="22">
        <f t="shared" si="24"/>
        <v>0</v>
      </c>
      <c r="X113" s="22">
        <f t="shared" si="25"/>
        <v>0</v>
      </c>
      <c r="Y113" s="22">
        <f t="shared" si="27"/>
        <v>0</v>
      </c>
      <c r="Z113" s="22">
        <f t="shared" si="27"/>
        <v>0</v>
      </c>
      <c r="AA113" s="12">
        <f t="shared" si="28"/>
        <v>0</v>
      </c>
    </row>
    <row r="114" spans="11:27">
      <c r="K114" s="1" t="s">
        <v>6</v>
      </c>
      <c r="L114" s="22">
        <f t="shared" si="26"/>
        <v>0</v>
      </c>
      <c r="M114" s="22">
        <f t="shared" si="24"/>
        <v>0</v>
      </c>
      <c r="N114" s="22">
        <f t="shared" si="24"/>
        <v>0</v>
      </c>
      <c r="O114" s="22">
        <f t="shared" si="24"/>
        <v>0</v>
      </c>
      <c r="P114" s="22">
        <f t="shared" si="24"/>
        <v>0</v>
      </c>
      <c r="Q114" s="22">
        <f t="shared" si="24"/>
        <v>0</v>
      </c>
      <c r="R114" s="22">
        <f t="shared" si="24"/>
        <v>0</v>
      </c>
      <c r="S114" s="22">
        <f t="shared" si="24"/>
        <v>0</v>
      </c>
      <c r="T114" s="22">
        <f t="shared" si="24"/>
        <v>0</v>
      </c>
      <c r="U114" s="22">
        <f t="shared" si="24"/>
        <v>0</v>
      </c>
      <c r="V114" s="22">
        <f t="shared" si="24"/>
        <v>0</v>
      </c>
      <c r="W114" s="22">
        <f t="shared" si="24"/>
        <v>0</v>
      </c>
      <c r="X114" s="22">
        <f t="shared" si="25"/>
        <v>0</v>
      </c>
      <c r="Y114" s="22">
        <f t="shared" si="27"/>
        <v>0</v>
      </c>
      <c r="Z114" s="22">
        <f t="shared" si="27"/>
        <v>0</v>
      </c>
      <c r="AA114" s="12">
        <f t="shared" si="28"/>
        <v>0</v>
      </c>
    </row>
    <row r="115" spans="11:27">
      <c r="K115" s="1" t="s">
        <v>7</v>
      </c>
      <c r="L115" s="22">
        <f t="shared" si="26"/>
        <v>0</v>
      </c>
      <c r="M115" s="22">
        <f t="shared" si="24"/>
        <v>0</v>
      </c>
      <c r="N115" s="22">
        <f t="shared" si="24"/>
        <v>0</v>
      </c>
      <c r="O115" s="22">
        <f t="shared" si="24"/>
        <v>0</v>
      </c>
      <c r="P115" s="22">
        <f t="shared" si="24"/>
        <v>0</v>
      </c>
      <c r="Q115" s="22">
        <f t="shared" si="24"/>
        <v>0</v>
      </c>
      <c r="R115" s="22">
        <f t="shared" si="24"/>
        <v>0</v>
      </c>
      <c r="S115" s="22">
        <f t="shared" si="24"/>
        <v>0</v>
      </c>
      <c r="T115" s="22">
        <f t="shared" si="24"/>
        <v>0</v>
      </c>
      <c r="U115" s="22">
        <f t="shared" si="24"/>
        <v>0</v>
      </c>
      <c r="V115" s="22">
        <f t="shared" si="24"/>
        <v>0</v>
      </c>
      <c r="W115" s="22">
        <f t="shared" si="24"/>
        <v>0</v>
      </c>
      <c r="X115" s="22">
        <f t="shared" si="25"/>
        <v>0</v>
      </c>
      <c r="Y115" s="22">
        <f t="shared" si="27"/>
        <v>0</v>
      </c>
      <c r="Z115" s="22">
        <f t="shared" si="27"/>
        <v>0</v>
      </c>
      <c r="AA115" s="12">
        <f t="shared" si="28"/>
        <v>0</v>
      </c>
    </row>
    <row r="116" spans="11:27">
      <c r="K116" s="1" t="s">
        <v>8</v>
      </c>
      <c r="L116" s="22">
        <f t="shared" si="26"/>
        <v>0</v>
      </c>
      <c r="M116" s="22">
        <f t="shared" si="24"/>
        <v>0</v>
      </c>
      <c r="N116" s="22">
        <f t="shared" si="24"/>
        <v>0</v>
      </c>
      <c r="O116" s="22">
        <f t="shared" si="24"/>
        <v>0</v>
      </c>
      <c r="P116" s="22">
        <f t="shared" si="24"/>
        <v>0</v>
      </c>
      <c r="Q116" s="22">
        <f t="shared" si="24"/>
        <v>0</v>
      </c>
      <c r="R116" s="22">
        <f t="shared" si="24"/>
        <v>0</v>
      </c>
      <c r="S116" s="22">
        <f t="shared" si="24"/>
        <v>0</v>
      </c>
      <c r="T116" s="22">
        <f t="shared" si="24"/>
        <v>0</v>
      </c>
      <c r="U116" s="22">
        <f t="shared" si="24"/>
        <v>0</v>
      </c>
      <c r="V116" s="22">
        <f t="shared" si="24"/>
        <v>0</v>
      </c>
      <c r="W116" s="22">
        <f t="shared" si="24"/>
        <v>0</v>
      </c>
      <c r="X116" s="22">
        <f t="shared" si="25"/>
        <v>0</v>
      </c>
      <c r="Y116" s="22">
        <f t="shared" si="27"/>
        <v>0</v>
      </c>
      <c r="Z116" s="22">
        <f t="shared" si="27"/>
        <v>0</v>
      </c>
      <c r="AA116" s="12">
        <f t="shared" si="28"/>
        <v>0</v>
      </c>
    </row>
    <row r="117" spans="11:27">
      <c r="K117" s="2" t="s">
        <v>9</v>
      </c>
      <c r="L117" s="22">
        <f t="shared" si="26"/>
        <v>0</v>
      </c>
      <c r="M117" s="22">
        <f t="shared" si="24"/>
        <v>0</v>
      </c>
      <c r="N117" s="22">
        <f t="shared" si="24"/>
        <v>0</v>
      </c>
      <c r="O117" s="22">
        <f t="shared" si="24"/>
        <v>0</v>
      </c>
      <c r="P117" s="22">
        <f t="shared" si="24"/>
        <v>0</v>
      </c>
      <c r="Q117" s="22">
        <f t="shared" si="24"/>
        <v>0</v>
      </c>
      <c r="R117" s="22">
        <f t="shared" si="24"/>
        <v>0</v>
      </c>
      <c r="S117" s="22">
        <f t="shared" si="24"/>
        <v>0</v>
      </c>
      <c r="T117" s="22">
        <f t="shared" si="24"/>
        <v>0</v>
      </c>
      <c r="U117" s="22">
        <f t="shared" si="24"/>
        <v>0</v>
      </c>
      <c r="V117" s="22">
        <f t="shared" si="24"/>
        <v>0</v>
      </c>
      <c r="W117" s="22">
        <f t="shared" si="24"/>
        <v>0</v>
      </c>
      <c r="X117" s="22">
        <f t="shared" si="25"/>
        <v>0</v>
      </c>
      <c r="Y117" s="22">
        <f t="shared" si="27"/>
        <v>0</v>
      </c>
      <c r="Z117" s="22">
        <f t="shared" si="27"/>
        <v>0</v>
      </c>
      <c r="AA117" s="12">
        <f t="shared" si="28"/>
        <v>0</v>
      </c>
    </row>
    <row r="118" spans="11:27">
      <c r="K118" s="18" t="s">
        <v>10</v>
      </c>
      <c r="L118" s="22">
        <f t="shared" si="26"/>
        <v>0</v>
      </c>
      <c r="M118" s="22">
        <f t="shared" si="24"/>
        <v>0</v>
      </c>
      <c r="N118" s="22">
        <f t="shared" si="24"/>
        <v>0</v>
      </c>
      <c r="O118" s="22">
        <f t="shared" si="24"/>
        <v>0</v>
      </c>
      <c r="P118" s="22">
        <f t="shared" si="24"/>
        <v>0</v>
      </c>
      <c r="Q118" s="22">
        <f t="shared" si="24"/>
        <v>0</v>
      </c>
      <c r="R118" s="22">
        <f t="shared" si="24"/>
        <v>0</v>
      </c>
      <c r="S118" s="22">
        <f t="shared" si="24"/>
        <v>0</v>
      </c>
      <c r="T118" s="22">
        <f t="shared" si="24"/>
        <v>0</v>
      </c>
      <c r="U118" s="22">
        <f t="shared" si="24"/>
        <v>0</v>
      </c>
      <c r="V118" s="22">
        <f t="shared" si="24"/>
        <v>0</v>
      </c>
      <c r="W118" s="22">
        <f t="shared" si="24"/>
        <v>0</v>
      </c>
      <c r="X118" s="22">
        <f t="shared" si="25"/>
        <v>0</v>
      </c>
      <c r="Y118" s="22">
        <f t="shared" si="27"/>
        <v>0</v>
      </c>
      <c r="Z118" s="22">
        <f t="shared" si="27"/>
        <v>0</v>
      </c>
      <c r="AA118" s="12">
        <f t="shared" si="28"/>
        <v>0</v>
      </c>
    </row>
    <row r="119" spans="11:27">
      <c r="K119" s="1" t="s">
        <v>11</v>
      </c>
      <c r="L119" s="22">
        <f t="shared" si="26"/>
        <v>0</v>
      </c>
      <c r="M119" s="22">
        <f t="shared" si="24"/>
        <v>0</v>
      </c>
      <c r="N119" s="22">
        <f t="shared" si="24"/>
        <v>0</v>
      </c>
      <c r="O119" s="22">
        <f t="shared" si="24"/>
        <v>0</v>
      </c>
      <c r="P119" s="22">
        <f t="shared" si="24"/>
        <v>0</v>
      </c>
      <c r="Q119" s="22">
        <f t="shared" si="24"/>
        <v>0</v>
      </c>
      <c r="R119" s="22">
        <f t="shared" si="24"/>
        <v>0</v>
      </c>
      <c r="S119" s="22">
        <f t="shared" si="24"/>
        <v>0</v>
      </c>
      <c r="T119" s="22">
        <f t="shared" si="24"/>
        <v>0</v>
      </c>
      <c r="U119" s="22">
        <f t="shared" si="24"/>
        <v>0</v>
      </c>
      <c r="V119" s="22">
        <f t="shared" si="24"/>
        <v>0</v>
      </c>
      <c r="W119" s="22">
        <f t="shared" si="24"/>
        <v>0</v>
      </c>
      <c r="X119" s="22">
        <f t="shared" si="25"/>
        <v>0</v>
      </c>
      <c r="Y119" s="22">
        <f t="shared" si="27"/>
        <v>0</v>
      </c>
      <c r="Z119" s="22">
        <f t="shared" si="27"/>
        <v>0</v>
      </c>
      <c r="AA119" s="12">
        <f t="shared" si="28"/>
        <v>0</v>
      </c>
    </row>
    <row r="120" spans="11:27">
      <c r="K120" s="1" t="s">
        <v>12</v>
      </c>
      <c r="L120" s="22">
        <f t="shared" si="26"/>
        <v>0</v>
      </c>
      <c r="M120" s="22">
        <f t="shared" si="24"/>
        <v>0</v>
      </c>
      <c r="N120" s="22">
        <f t="shared" si="24"/>
        <v>0</v>
      </c>
      <c r="O120" s="22">
        <f t="shared" si="24"/>
        <v>0</v>
      </c>
      <c r="P120" s="22">
        <f t="shared" si="24"/>
        <v>0</v>
      </c>
      <c r="Q120" s="22">
        <f t="shared" si="24"/>
        <v>0</v>
      </c>
      <c r="R120" s="22">
        <f t="shared" si="24"/>
        <v>0</v>
      </c>
      <c r="S120" s="22">
        <f t="shared" si="24"/>
        <v>0</v>
      </c>
      <c r="T120" s="22">
        <f t="shared" si="24"/>
        <v>0</v>
      </c>
      <c r="U120" s="22">
        <f t="shared" si="24"/>
        <v>0</v>
      </c>
      <c r="V120" s="22">
        <f t="shared" si="24"/>
        <v>0</v>
      </c>
      <c r="W120" s="22">
        <f t="shared" si="24"/>
        <v>0</v>
      </c>
      <c r="X120" s="22">
        <f t="shared" si="25"/>
        <v>0</v>
      </c>
      <c r="Y120" s="22">
        <f t="shared" si="27"/>
        <v>0</v>
      </c>
      <c r="Z120" s="22">
        <f t="shared" si="27"/>
        <v>0</v>
      </c>
      <c r="AA120" s="12">
        <f t="shared" si="28"/>
        <v>0</v>
      </c>
    </row>
    <row r="121" spans="11:27">
      <c r="K121" s="1" t="s">
        <v>15</v>
      </c>
      <c r="L121" s="22">
        <f t="shared" si="26"/>
        <v>0</v>
      </c>
      <c r="M121" s="22">
        <f t="shared" si="24"/>
        <v>0</v>
      </c>
      <c r="N121" s="22">
        <f t="shared" si="24"/>
        <v>0</v>
      </c>
      <c r="O121" s="22">
        <f t="shared" si="24"/>
        <v>0</v>
      </c>
      <c r="P121" s="22">
        <f t="shared" si="24"/>
        <v>0</v>
      </c>
      <c r="Q121" s="22">
        <f t="shared" si="24"/>
        <v>0</v>
      </c>
      <c r="R121" s="22">
        <f t="shared" si="24"/>
        <v>0</v>
      </c>
      <c r="S121" s="22">
        <f t="shared" si="24"/>
        <v>0</v>
      </c>
      <c r="T121" s="22">
        <f t="shared" si="24"/>
        <v>0</v>
      </c>
      <c r="U121" s="22">
        <f t="shared" si="24"/>
        <v>0</v>
      </c>
      <c r="V121" s="22">
        <f t="shared" si="24"/>
        <v>0</v>
      </c>
      <c r="W121" s="22">
        <f t="shared" si="24"/>
        <v>0</v>
      </c>
      <c r="X121" s="22">
        <f t="shared" si="25"/>
        <v>0</v>
      </c>
      <c r="Y121" s="22">
        <f t="shared" si="27"/>
        <v>0</v>
      </c>
      <c r="Z121" s="22">
        <f t="shared" si="27"/>
        <v>0</v>
      </c>
      <c r="AA121" s="12">
        <f t="shared" si="28"/>
        <v>0</v>
      </c>
    </row>
    <row r="122" spans="11:27">
      <c r="K122" s="1" t="s">
        <v>14</v>
      </c>
      <c r="L122" s="22">
        <f t="shared" si="26"/>
        <v>0</v>
      </c>
      <c r="M122" s="22">
        <f t="shared" si="24"/>
        <v>0</v>
      </c>
      <c r="N122" s="22">
        <f t="shared" si="24"/>
        <v>0</v>
      </c>
      <c r="O122" s="22">
        <f t="shared" si="24"/>
        <v>0</v>
      </c>
      <c r="P122" s="22">
        <f t="shared" si="24"/>
        <v>0</v>
      </c>
      <c r="Q122" s="22">
        <f t="shared" si="24"/>
        <v>0</v>
      </c>
      <c r="R122" s="22">
        <f t="shared" si="24"/>
        <v>0</v>
      </c>
      <c r="S122" s="22">
        <f t="shared" si="24"/>
        <v>0</v>
      </c>
      <c r="T122" s="22">
        <f t="shared" si="24"/>
        <v>0</v>
      </c>
      <c r="U122" s="22">
        <f t="shared" si="24"/>
        <v>0</v>
      </c>
      <c r="V122" s="22">
        <f t="shared" si="24"/>
        <v>0</v>
      </c>
      <c r="W122" s="22">
        <f t="shared" si="24"/>
        <v>0</v>
      </c>
      <c r="X122" s="22">
        <f t="shared" si="25"/>
        <v>0</v>
      </c>
      <c r="Y122" s="22">
        <f t="shared" si="27"/>
        <v>0</v>
      </c>
      <c r="Z122" s="22">
        <f t="shared" si="27"/>
        <v>0</v>
      </c>
      <c r="AA122" s="12">
        <f t="shared" si="28"/>
        <v>0</v>
      </c>
    </row>
    <row r="123" spans="11:27">
      <c r="K123" s="18" t="s">
        <v>13</v>
      </c>
      <c r="L123" s="22">
        <f t="shared" si="26"/>
        <v>0</v>
      </c>
      <c r="M123" s="22">
        <f t="shared" si="24"/>
        <v>0</v>
      </c>
      <c r="N123" s="22">
        <f t="shared" si="24"/>
        <v>0</v>
      </c>
      <c r="O123" s="22">
        <f t="shared" si="24"/>
        <v>0</v>
      </c>
      <c r="P123" s="22">
        <f t="shared" si="24"/>
        <v>0</v>
      </c>
      <c r="Q123" s="22">
        <f t="shared" si="24"/>
        <v>0</v>
      </c>
      <c r="R123" s="22">
        <f t="shared" si="24"/>
        <v>0</v>
      </c>
      <c r="S123" s="22">
        <f t="shared" si="24"/>
        <v>0</v>
      </c>
      <c r="T123" s="22">
        <f t="shared" si="24"/>
        <v>0</v>
      </c>
      <c r="U123" s="22">
        <f t="shared" si="24"/>
        <v>0</v>
      </c>
      <c r="V123" s="22">
        <f t="shared" si="24"/>
        <v>0</v>
      </c>
      <c r="W123" s="22">
        <f t="shared" si="24"/>
        <v>0</v>
      </c>
      <c r="X123" s="22">
        <f t="shared" si="25"/>
        <v>0</v>
      </c>
      <c r="Y123" s="22">
        <f t="shared" si="27"/>
        <v>0</v>
      </c>
      <c r="Z123" s="22">
        <f t="shared" si="27"/>
        <v>0</v>
      </c>
      <c r="AA123" s="12">
        <f t="shared" si="28"/>
        <v>0</v>
      </c>
    </row>
    <row r="124" spans="11:27">
      <c r="K124" s="1" t="s">
        <v>16</v>
      </c>
      <c r="L124" s="22">
        <f t="shared" si="26"/>
        <v>0</v>
      </c>
      <c r="M124" s="22">
        <f t="shared" si="26"/>
        <v>0</v>
      </c>
      <c r="N124" s="22">
        <f t="shared" si="26"/>
        <v>0</v>
      </c>
      <c r="O124" s="22">
        <f t="shared" si="26"/>
        <v>0</v>
      </c>
      <c r="P124" s="22">
        <f t="shared" si="26"/>
        <v>0</v>
      </c>
      <c r="Q124" s="22">
        <f t="shared" si="26"/>
        <v>0</v>
      </c>
      <c r="R124" s="22">
        <f t="shared" si="26"/>
        <v>0</v>
      </c>
      <c r="S124" s="22">
        <f t="shared" si="26"/>
        <v>0</v>
      </c>
      <c r="T124" s="22">
        <f t="shared" si="26"/>
        <v>0</v>
      </c>
      <c r="U124" s="22">
        <f t="shared" si="26"/>
        <v>0</v>
      </c>
      <c r="V124" s="22">
        <f t="shared" si="26"/>
        <v>0</v>
      </c>
      <c r="W124" s="22">
        <f t="shared" si="26"/>
        <v>0</v>
      </c>
      <c r="X124" s="22">
        <f t="shared" si="25"/>
        <v>0</v>
      </c>
      <c r="Y124" s="22">
        <f t="shared" si="27"/>
        <v>0</v>
      </c>
      <c r="Z124" s="22">
        <f t="shared" si="27"/>
        <v>0</v>
      </c>
      <c r="AA124" s="12">
        <f t="shared" si="28"/>
        <v>0</v>
      </c>
    </row>
    <row r="125" spans="11:27">
      <c r="K125" s="1" t="s">
        <v>17</v>
      </c>
      <c r="L125" s="22">
        <f t="shared" si="26"/>
        <v>0</v>
      </c>
      <c r="M125" s="22">
        <f t="shared" si="26"/>
        <v>0</v>
      </c>
      <c r="N125" s="22">
        <f t="shared" si="26"/>
        <v>0</v>
      </c>
      <c r="O125" s="22">
        <f t="shared" si="26"/>
        <v>0</v>
      </c>
      <c r="P125" s="22">
        <f t="shared" si="26"/>
        <v>0</v>
      </c>
      <c r="Q125" s="22">
        <f t="shared" si="26"/>
        <v>0</v>
      </c>
      <c r="R125" s="22">
        <f t="shared" si="26"/>
        <v>0</v>
      </c>
      <c r="S125" s="22">
        <f t="shared" si="26"/>
        <v>0</v>
      </c>
      <c r="T125" s="22">
        <f t="shared" si="26"/>
        <v>0</v>
      </c>
      <c r="U125" s="22">
        <f t="shared" si="26"/>
        <v>0</v>
      </c>
      <c r="V125" s="22">
        <f t="shared" si="26"/>
        <v>0</v>
      </c>
      <c r="W125" s="22">
        <f t="shared" si="26"/>
        <v>0</v>
      </c>
      <c r="X125" s="22">
        <f t="shared" si="25"/>
        <v>0</v>
      </c>
      <c r="Y125" s="22">
        <f t="shared" si="27"/>
        <v>0</v>
      </c>
      <c r="Z125" s="22">
        <f t="shared" si="27"/>
        <v>0</v>
      </c>
      <c r="AA125" s="12">
        <f t="shared" si="28"/>
        <v>0</v>
      </c>
    </row>
    <row r="126" spans="11:27">
      <c r="K126" s="1" t="s">
        <v>18</v>
      </c>
      <c r="L126" s="22">
        <f t="shared" si="26"/>
        <v>0</v>
      </c>
      <c r="M126" s="22">
        <f t="shared" si="26"/>
        <v>0</v>
      </c>
      <c r="N126" s="22">
        <f t="shared" si="26"/>
        <v>0</v>
      </c>
      <c r="O126" s="22">
        <f t="shared" si="26"/>
        <v>0</v>
      </c>
      <c r="P126" s="22">
        <f t="shared" si="26"/>
        <v>0</v>
      </c>
      <c r="Q126" s="22">
        <f t="shared" si="26"/>
        <v>0</v>
      </c>
      <c r="R126" s="22">
        <f t="shared" si="26"/>
        <v>0</v>
      </c>
      <c r="S126" s="22">
        <f t="shared" si="26"/>
        <v>0</v>
      </c>
      <c r="T126" s="22">
        <f t="shared" si="26"/>
        <v>0</v>
      </c>
      <c r="U126" s="22">
        <f t="shared" si="26"/>
        <v>0</v>
      </c>
      <c r="V126" s="22">
        <f t="shared" si="26"/>
        <v>0</v>
      </c>
      <c r="W126" s="22">
        <f t="shared" si="26"/>
        <v>0</v>
      </c>
      <c r="X126" s="22">
        <f t="shared" si="25"/>
        <v>0</v>
      </c>
      <c r="Y126" s="22">
        <f t="shared" si="27"/>
        <v>0</v>
      </c>
      <c r="Z126" s="22">
        <f t="shared" si="27"/>
        <v>0</v>
      </c>
      <c r="AA126" s="12">
        <f t="shared" si="28"/>
        <v>0</v>
      </c>
    </row>
    <row r="127" spans="11:27">
      <c r="K127" s="1" t="s">
        <v>20</v>
      </c>
      <c r="L127" s="22">
        <f t="shared" si="26"/>
        <v>0</v>
      </c>
      <c r="M127" s="22">
        <f t="shared" si="26"/>
        <v>0</v>
      </c>
      <c r="N127" s="22">
        <f t="shared" si="26"/>
        <v>0</v>
      </c>
      <c r="O127" s="22">
        <f t="shared" si="26"/>
        <v>0</v>
      </c>
      <c r="P127" s="22">
        <f t="shared" si="26"/>
        <v>0</v>
      </c>
      <c r="Q127" s="22">
        <f t="shared" si="26"/>
        <v>0</v>
      </c>
      <c r="R127" s="22">
        <f t="shared" si="26"/>
        <v>0</v>
      </c>
      <c r="S127" s="22">
        <f t="shared" si="26"/>
        <v>0</v>
      </c>
      <c r="T127" s="22">
        <f t="shared" si="26"/>
        <v>0</v>
      </c>
      <c r="U127" s="22">
        <f t="shared" si="26"/>
        <v>0</v>
      </c>
      <c r="V127" s="22">
        <f t="shared" si="26"/>
        <v>0</v>
      </c>
      <c r="W127" s="22">
        <f t="shared" si="26"/>
        <v>0</v>
      </c>
      <c r="X127" s="22">
        <f t="shared" si="25"/>
        <v>0</v>
      </c>
      <c r="Y127" s="22">
        <f t="shared" si="27"/>
        <v>0</v>
      </c>
      <c r="Z127" s="22">
        <f t="shared" si="27"/>
        <v>0</v>
      </c>
      <c r="AA127" s="12">
        <f t="shared" si="28"/>
        <v>0</v>
      </c>
    </row>
    <row r="128" spans="11:27">
      <c r="K128" s="1" t="s">
        <v>19</v>
      </c>
      <c r="L128" s="22">
        <f t="shared" si="26"/>
        <v>0</v>
      </c>
      <c r="M128" s="22">
        <f t="shared" si="26"/>
        <v>0</v>
      </c>
      <c r="N128" s="22">
        <f t="shared" si="26"/>
        <v>0</v>
      </c>
      <c r="O128" s="22">
        <f t="shared" si="26"/>
        <v>0</v>
      </c>
      <c r="P128" s="22">
        <f t="shared" si="26"/>
        <v>0</v>
      </c>
      <c r="Q128" s="22">
        <f t="shared" si="26"/>
        <v>0</v>
      </c>
      <c r="R128" s="22">
        <f t="shared" si="26"/>
        <v>0</v>
      </c>
      <c r="S128" s="22">
        <f t="shared" si="26"/>
        <v>0</v>
      </c>
      <c r="T128" s="22">
        <f t="shared" si="26"/>
        <v>0</v>
      </c>
      <c r="U128" s="22">
        <f t="shared" si="26"/>
        <v>0</v>
      </c>
      <c r="V128" s="22">
        <f t="shared" si="26"/>
        <v>0</v>
      </c>
      <c r="W128" s="22">
        <f t="shared" si="26"/>
        <v>0</v>
      </c>
      <c r="X128" s="22">
        <f t="shared" si="25"/>
        <v>0</v>
      </c>
      <c r="Y128" s="22">
        <f t="shared" si="27"/>
        <v>0</v>
      </c>
      <c r="Z128" s="22">
        <f t="shared" si="27"/>
        <v>0</v>
      </c>
      <c r="AA128" s="12">
        <f t="shared" si="28"/>
        <v>0</v>
      </c>
    </row>
    <row r="129" spans="11:27">
      <c r="K129" s="18" t="s">
        <v>21</v>
      </c>
      <c r="L129" s="22">
        <f t="shared" si="26"/>
        <v>0</v>
      </c>
      <c r="M129" s="22">
        <f t="shared" si="26"/>
        <v>0</v>
      </c>
      <c r="N129" s="22">
        <f t="shared" si="26"/>
        <v>0</v>
      </c>
      <c r="O129" s="22">
        <f t="shared" si="26"/>
        <v>0</v>
      </c>
      <c r="P129" s="22">
        <f t="shared" si="26"/>
        <v>0</v>
      </c>
      <c r="Q129" s="22">
        <f t="shared" si="26"/>
        <v>0</v>
      </c>
      <c r="R129" s="22">
        <f t="shared" si="26"/>
        <v>0</v>
      </c>
      <c r="S129" s="22">
        <f t="shared" si="26"/>
        <v>0</v>
      </c>
      <c r="T129" s="22">
        <f t="shared" si="26"/>
        <v>0</v>
      </c>
      <c r="U129" s="22">
        <f t="shared" si="26"/>
        <v>0</v>
      </c>
      <c r="V129" s="22">
        <f t="shared" si="26"/>
        <v>0</v>
      </c>
      <c r="W129" s="22">
        <f t="shared" si="26"/>
        <v>0</v>
      </c>
      <c r="X129" s="22">
        <f t="shared" si="25"/>
        <v>0</v>
      </c>
      <c r="Y129" s="22">
        <f t="shared" si="27"/>
        <v>0</v>
      </c>
      <c r="Z129" s="22">
        <f t="shared" si="27"/>
        <v>0</v>
      </c>
      <c r="AA129" s="12">
        <f t="shared" si="28"/>
        <v>0</v>
      </c>
    </row>
    <row r="130" spans="11:27">
      <c r="K130" s="2" t="s">
        <v>22</v>
      </c>
      <c r="L130" s="22">
        <f t="shared" si="26"/>
        <v>0</v>
      </c>
      <c r="M130" s="22">
        <f t="shared" si="26"/>
        <v>0</v>
      </c>
      <c r="N130" s="22">
        <f t="shared" si="26"/>
        <v>0</v>
      </c>
      <c r="O130" s="22">
        <f t="shared" si="26"/>
        <v>0</v>
      </c>
      <c r="P130" s="22">
        <f t="shared" si="26"/>
        <v>0</v>
      </c>
      <c r="Q130" s="22">
        <f t="shared" si="26"/>
        <v>0</v>
      </c>
      <c r="R130" s="22">
        <f t="shared" si="26"/>
        <v>0</v>
      </c>
      <c r="S130" s="22">
        <f t="shared" si="26"/>
        <v>0</v>
      </c>
      <c r="T130" s="22">
        <f t="shared" si="26"/>
        <v>0</v>
      </c>
      <c r="U130" s="22">
        <f t="shared" si="26"/>
        <v>0</v>
      </c>
      <c r="V130" s="22">
        <f t="shared" si="26"/>
        <v>0</v>
      </c>
      <c r="W130" s="22">
        <f t="shared" si="26"/>
        <v>0</v>
      </c>
      <c r="X130" s="22">
        <f t="shared" si="25"/>
        <v>0</v>
      </c>
      <c r="Y130" s="22">
        <f t="shared" si="27"/>
        <v>0</v>
      </c>
      <c r="Z130" s="22">
        <f t="shared" si="27"/>
        <v>0</v>
      </c>
      <c r="AA130" s="12">
        <f t="shared" si="28"/>
        <v>0</v>
      </c>
    </row>
    <row r="131" spans="11:27">
      <c r="K131" s="1" t="s">
        <v>23</v>
      </c>
      <c r="L131" s="22">
        <f t="shared" si="26"/>
        <v>0</v>
      </c>
      <c r="M131" s="22">
        <f t="shared" si="26"/>
        <v>0</v>
      </c>
      <c r="N131" s="22">
        <f t="shared" si="26"/>
        <v>0</v>
      </c>
      <c r="O131" s="22">
        <f t="shared" si="26"/>
        <v>0</v>
      </c>
      <c r="P131" s="22">
        <f t="shared" si="26"/>
        <v>0</v>
      </c>
      <c r="Q131" s="22">
        <f t="shared" si="26"/>
        <v>0</v>
      </c>
      <c r="R131" s="22">
        <f t="shared" si="26"/>
        <v>0</v>
      </c>
      <c r="S131" s="22">
        <f t="shared" si="26"/>
        <v>0</v>
      </c>
      <c r="T131" s="22">
        <f t="shared" si="26"/>
        <v>0</v>
      </c>
      <c r="U131" s="22">
        <f t="shared" si="26"/>
        <v>0</v>
      </c>
      <c r="V131" s="22">
        <f t="shared" si="26"/>
        <v>0</v>
      </c>
      <c r="W131" s="22">
        <f t="shared" si="26"/>
        <v>0</v>
      </c>
      <c r="X131" s="22">
        <f t="shared" si="25"/>
        <v>0</v>
      </c>
      <c r="Y131" s="22">
        <f t="shared" si="27"/>
        <v>0</v>
      </c>
      <c r="Z131" s="22">
        <f t="shared" si="27"/>
        <v>0</v>
      </c>
      <c r="AA131" s="12">
        <f t="shared" si="28"/>
        <v>0</v>
      </c>
    </row>
    <row r="132" spans="11:27">
      <c r="K132" s="1" t="s">
        <v>25</v>
      </c>
      <c r="L132" s="22">
        <f t="shared" si="26"/>
        <v>0</v>
      </c>
      <c r="M132" s="22">
        <f t="shared" si="26"/>
        <v>0</v>
      </c>
      <c r="N132" s="22">
        <f t="shared" si="26"/>
        <v>0</v>
      </c>
      <c r="O132" s="22">
        <f t="shared" si="26"/>
        <v>0</v>
      </c>
      <c r="P132" s="22">
        <f t="shared" si="26"/>
        <v>0</v>
      </c>
      <c r="Q132" s="22">
        <f t="shared" si="26"/>
        <v>0</v>
      </c>
      <c r="R132" s="22">
        <f t="shared" si="26"/>
        <v>0</v>
      </c>
      <c r="S132" s="22">
        <f t="shared" si="26"/>
        <v>0</v>
      </c>
      <c r="T132" s="22">
        <f t="shared" si="26"/>
        <v>0</v>
      </c>
      <c r="U132" s="22">
        <f t="shared" si="26"/>
        <v>0</v>
      </c>
      <c r="V132" s="22">
        <f t="shared" si="26"/>
        <v>0</v>
      </c>
      <c r="W132" s="22">
        <f t="shared" si="26"/>
        <v>0</v>
      </c>
      <c r="X132" s="22">
        <f t="shared" si="25"/>
        <v>0</v>
      </c>
      <c r="Y132" s="22">
        <f t="shared" si="27"/>
        <v>0</v>
      </c>
      <c r="Z132" s="22">
        <f t="shared" si="27"/>
        <v>0</v>
      </c>
      <c r="AA132" s="12">
        <f t="shared" si="28"/>
        <v>0</v>
      </c>
    </row>
    <row r="133" spans="11:27">
      <c r="K133" s="1" t="s">
        <v>24</v>
      </c>
      <c r="L133" s="22">
        <f t="shared" si="26"/>
        <v>0</v>
      </c>
      <c r="M133" s="22">
        <f t="shared" si="26"/>
        <v>0</v>
      </c>
      <c r="N133" s="22">
        <f t="shared" si="26"/>
        <v>0</v>
      </c>
      <c r="O133" s="22">
        <f t="shared" si="26"/>
        <v>0</v>
      </c>
      <c r="P133" s="22">
        <f t="shared" si="26"/>
        <v>0</v>
      </c>
      <c r="Q133" s="22">
        <f t="shared" si="26"/>
        <v>0</v>
      </c>
      <c r="R133" s="22">
        <f t="shared" si="26"/>
        <v>0</v>
      </c>
      <c r="S133" s="22">
        <f t="shared" si="26"/>
        <v>0</v>
      </c>
      <c r="T133" s="22">
        <f t="shared" si="26"/>
        <v>0</v>
      </c>
      <c r="U133" s="22">
        <f t="shared" si="26"/>
        <v>0</v>
      </c>
      <c r="V133" s="22">
        <f t="shared" si="26"/>
        <v>0</v>
      </c>
      <c r="W133" s="22">
        <f t="shared" si="26"/>
        <v>0</v>
      </c>
      <c r="X133" s="22">
        <f t="shared" si="25"/>
        <v>0</v>
      </c>
      <c r="Y133" s="22">
        <f t="shared" si="27"/>
        <v>0</v>
      </c>
      <c r="Z133" s="22">
        <f t="shared" si="27"/>
        <v>0</v>
      </c>
      <c r="AA133" s="12">
        <f t="shared" si="28"/>
        <v>0</v>
      </c>
    </row>
    <row r="134" spans="11:27">
      <c r="K134" s="1" t="s">
        <v>26</v>
      </c>
      <c r="L134" s="22">
        <f t="shared" si="26"/>
        <v>0</v>
      </c>
      <c r="M134" s="22">
        <f t="shared" si="26"/>
        <v>0</v>
      </c>
      <c r="N134" s="22">
        <f t="shared" si="26"/>
        <v>0</v>
      </c>
      <c r="O134" s="22">
        <f t="shared" si="26"/>
        <v>0</v>
      </c>
      <c r="P134" s="22">
        <f t="shared" si="26"/>
        <v>0</v>
      </c>
      <c r="Q134" s="22">
        <f t="shared" si="26"/>
        <v>0</v>
      </c>
      <c r="R134" s="22">
        <f t="shared" si="26"/>
        <v>0</v>
      </c>
      <c r="S134" s="22">
        <f t="shared" si="26"/>
        <v>0</v>
      </c>
      <c r="T134" s="22">
        <f t="shared" si="26"/>
        <v>0</v>
      </c>
      <c r="U134" s="22">
        <f t="shared" si="26"/>
        <v>0</v>
      </c>
      <c r="V134" s="22">
        <f t="shared" si="26"/>
        <v>0</v>
      </c>
      <c r="W134" s="22">
        <f t="shared" si="26"/>
        <v>0</v>
      </c>
      <c r="X134" s="22">
        <f t="shared" si="25"/>
        <v>0</v>
      </c>
      <c r="Y134" s="22">
        <f t="shared" si="27"/>
        <v>0</v>
      </c>
      <c r="Z134" s="22">
        <f t="shared" si="27"/>
        <v>0</v>
      </c>
      <c r="AA134" s="12">
        <f t="shared" si="28"/>
        <v>0</v>
      </c>
    </row>
    <row r="135" spans="11:27">
      <c r="K135" s="8" t="s">
        <v>37</v>
      </c>
      <c r="L135" s="16">
        <f t="shared" ref="L135:AA135" si="29">SUM(L108:L134)</f>
        <v>0</v>
      </c>
      <c r="M135" s="16">
        <f t="shared" si="29"/>
        <v>0</v>
      </c>
      <c r="N135" s="16">
        <f t="shared" si="29"/>
        <v>0</v>
      </c>
      <c r="O135" s="16">
        <f t="shared" si="29"/>
        <v>0</v>
      </c>
      <c r="P135" s="16">
        <f t="shared" si="29"/>
        <v>0</v>
      </c>
      <c r="Q135" s="16">
        <f t="shared" si="29"/>
        <v>0</v>
      </c>
      <c r="R135" s="16">
        <f t="shared" si="29"/>
        <v>0</v>
      </c>
      <c r="S135" s="16">
        <f t="shared" si="29"/>
        <v>0</v>
      </c>
      <c r="T135" s="16">
        <f t="shared" si="29"/>
        <v>0</v>
      </c>
      <c r="U135" s="16">
        <f t="shared" si="29"/>
        <v>0</v>
      </c>
      <c r="V135" s="16">
        <f t="shared" si="29"/>
        <v>0</v>
      </c>
      <c r="W135" s="16">
        <f t="shared" si="29"/>
        <v>0</v>
      </c>
      <c r="X135" s="16">
        <f>SUM(X108:X134)</f>
        <v>0</v>
      </c>
      <c r="Y135" s="16">
        <f t="shared" ref="Y135:Z135" si="30">SUM(Y108:Y134)</f>
        <v>0</v>
      </c>
      <c r="Z135" s="16">
        <f t="shared" si="30"/>
        <v>0</v>
      </c>
      <c r="AA135" s="7">
        <f t="shared" si="29"/>
        <v>0</v>
      </c>
    </row>
  </sheetData>
  <mergeCells count="104">
    <mergeCell ref="A2:O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A37:O37"/>
    <mergeCell ref="A38:A39"/>
    <mergeCell ref="B38:C38"/>
    <mergeCell ref="D38:E38"/>
    <mergeCell ref="F38:F39"/>
    <mergeCell ref="G38:G39"/>
    <mergeCell ref="B35:H35"/>
    <mergeCell ref="N38:N39"/>
    <mergeCell ref="O38:O39"/>
    <mergeCell ref="A72:O72"/>
    <mergeCell ref="A73:A74"/>
    <mergeCell ref="B73:C73"/>
    <mergeCell ref="D73:E73"/>
    <mergeCell ref="F73:F74"/>
    <mergeCell ref="G73:G74"/>
    <mergeCell ref="H73:H74"/>
    <mergeCell ref="I73:I74"/>
    <mergeCell ref="H38:H39"/>
    <mergeCell ref="I38:I39"/>
    <mergeCell ref="J38:J39"/>
    <mergeCell ref="K38:K39"/>
    <mergeCell ref="L38:L39"/>
    <mergeCell ref="M38:M39"/>
    <mergeCell ref="A69:K69"/>
    <mergeCell ref="V106:V107"/>
    <mergeCell ref="W106:W107"/>
    <mergeCell ref="X106:X107"/>
    <mergeCell ref="AA106:AA107"/>
    <mergeCell ref="Y106:Z106"/>
    <mergeCell ref="K105:AA105"/>
    <mergeCell ref="J73:J74"/>
    <mergeCell ref="K73:K74"/>
    <mergeCell ref="L73:L74"/>
    <mergeCell ref="M73:M74"/>
    <mergeCell ref="N73:N74"/>
    <mergeCell ref="O73:O74"/>
    <mergeCell ref="K106:K107"/>
    <mergeCell ref="L106:M106"/>
    <mergeCell ref="N106:O106"/>
    <mergeCell ref="P106:P107"/>
    <mergeCell ref="Q106:Q107"/>
    <mergeCell ref="R106:R107"/>
    <mergeCell ref="S106:S107"/>
    <mergeCell ref="T106:T107"/>
    <mergeCell ref="U106:U107"/>
    <mergeCell ref="R2:AH2"/>
    <mergeCell ref="R3:R4"/>
    <mergeCell ref="S3:T3"/>
    <mergeCell ref="U3:V3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H3:AH4"/>
    <mergeCell ref="AF3:AG3"/>
    <mergeCell ref="R37:AH37"/>
    <mergeCell ref="R38:R39"/>
    <mergeCell ref="S38:T38"/>
    <mergeCell ref="U38:V38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AE38:AE39"/>
    <mergeCell ref="AH38:AH39"/>
    <mergeCell ref="AF38:AG38"/>
    <mergeCell ref="R72:AH72"/>
    <mergeCell ref="R73:R74"/>
    <mergeCell ref="S73:T73"/>
    <mergeCell ref="U73:V73"/>
    <mergeCell ref="W73:W74"/>
    <mergeCell ref="X73:X74"/>
    <mergeCell ref="Y73:Y74"/>
    <mergeCell ref="Z73:Z74"/>
    <mergeCell ref="AA73:AA74"/>
    <mergeCell ref="AB73:AB74"/>
    <mergeCell ref="AC73:AC74"/>
    <mergeCell ref="AD73:AD74"/>
    <mergeCell ref="AE73:AE74"/>
    <mergeCell ref="AH73:AH74"/>
    <mergeCell ref="AF73:AG73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39</vt:i4>
      </vt:variant>
      <vt:variant>
        <vt:lpstr>Intervalos Nomeados</vt:lpstr>
      </vt:variant>
      <vt:variant>
        <vt:i4>1</vt:i4>
      </vt:variant>
    </vt:vector>
  </HeadingPairs>
  <TitlesOfParts>
    <vt:vector size="40" baseType="lpstr"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ARRECADAÇÃO MENSAL POR RECEITA</vt:lpstr>
      <vt:lpstr>TOTAL POR UF</vt:lpstr>
      <vt:lpstr>EXERCÍCIOS ANTERIORES</vt:lpstr>
      <vt:lpstr>Lançamentos</vt:lpstr>
      <vt:lpstr>Médias por UF</vt:lpstr>
      <vt:lpstr>Médias por UF - Acumulada</vt:lpstr>
      <vt:lpstr>Evolução das Receitas</vt:lpstr>
      <vt:lpstr>Gráficos</vt:lpstr>
      <vt:lpstr>Dados - Receita e Qntd</vt:lpstr>
      <vt:lpstr>Dados - RRT</vt:lpstr>
      <vt:lpstr>Índice</vt:lpstr>
      <vt:lpstr>PF - Qntd</vt:lpstr>
      <vt:lpstr>PF - Receita</vt:lpstr>
      <vt:lpstr>PJ - Qntd</vt:lpstr>
      <vt:lpstr>PJ - Receita</vt:lpstr>
      <vt:lpstr>RRT - Qntd e Receita</vt:lpstr>
      <vt:lpstr>RRT - Subgrupos</vt:lpstr>
      <vt:lpstr>Taxas e Multas</vt:lpstr>
      <vt:lpstr>CAU BR - PF e PJ</vt:lpstr>
      <vt:lpstr>CAU BR - RRT e Taxas</vt:lpstr>
      <vt:lpstr>Gráficos - Arrec. Total</vt:lpstr>
      <vt:lpstr>Gráficos - PF</vt:lpstr>
      <vt:lpstr>Gráficos - PF - Ex. Ant.</vt:lpstr>
      <vt:lpstr>Gráficos - PJ</vt:lpstr>
      <vt:lpstr>Gráficos - PJ - Ex. Ant.</vt:lpstr>
      <vt:lpstr>Gráficos - RRT</vt:lpstr>
      <vt:lpstr>Gráficos - Taxas</vt:lpstr>
      <vt:lpstr>'Gráficos - Taxas'!Area_de_impressao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suporte</dc:creator>
  <cp:lastModifiedBy>Emerson Fraga</cp:lastModifiedBy>
  <cp:lastPrinted>2019-05-08T12:04:19Z</cp:lastPrinted>
  <dcterms:created xsi:type="dcterms:W3CDTF">2014-05-13T15:18:38Z</dcterms:created>
  <dcterms:modified xsi:type="dcterms:W3CDTF">2019-05-17T13:33:06Z</dcterms:modified>
</cp:coreProperties>
</file>